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udget 12 Mnths" sheetId="1" r:id="rId4"/>
    <sheet state="hidden" name="2015-16 12 Mnths" sheetId="2" r:id="rId5"/>
    <sheet state="hidden" name="Summary Budget.Old" sheetId="3" r:id="rId6"/>
    <sheet state="hidden" name="Tuition 16-17" sheetId="4" r:id="rId7"/>
    <sheet state="hidden" name="Variance16-17" sheetId="5" r:id="rId8"/>
    <sheet state="visible" name="Draft" sheetId="6" r:id="rId9"/>
    <sheet state="visible" name="Notes" sheetId="7" r:id="rId10"/>
    <sheet state="visible" name="Tuition 19-20" sheetId="8" r:id="rId11"/>
    <sheet state="visible" name="Salaries 2019-20" sheetId="9" r:id="rId12"/>
    <sheet state="visible" name="Detail 19-20" sheetId="10" r:id="rId13"/>
    <sheet state="visible" name="Key" sheetId="11" r:id="rId14"/>
    <sheet state="visible" name="2019-03" sheetId="12" r:id="rId15"/>
    <sheet state="visible" name="Detail 18-19" sheetId="13" r:id="rId16"/>
    <sheet state="visible" name="SalaryProjection" sheetId="14" r:id="rId17"/>
    <sheet state="visible" name="Map" sheetId="15" r:id="rId18"/>
    <sheet state="hidden" name="Notes 50" sheetId="16" r:id="rId19"/>
    <sheet state="hidden" name="Mapping" sheetId="17" r:id="rId20"/>
  </sheets>
  <definedNames>
    <definedName hidden="1" localSheetId="9" name="_xlnm._FilterDatabase">'Detail 19-20'!$A$1:$AL$203</definedName>
    <definedName hidden="1" localSheetId="12" name="_xlnm._FilterDatabase">'Detail 18-19'!$A$1:$AO$276</definedName>
  </definedNames>
  <calcPr/>
  <extLst>
    <ext uri="GoogleSheetsCustomDataVersion1">
      <go:sheetsCustomData xmlns:go="http://customooxmlschemas.google.com/" r:id="rId21" roundtripDataSignature="AMtx7miBpwJ51I6XXeiv4Y3E4Lj7JdkPz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W12">
      <text>
        <t xml:space="preserve">======
ID#AAAACLJfteQ
Carey F Reynolds    (2019-08-26 18:28:11)
Set at 68</t>
      </text>
    </comment>
    <comment authorId="0" ref="W84">
      <text>
        <t xml:space="preserve">======
ID#AAAACLJfteA
Carey F Reynolds    (2019-08-26 18:28:11)
Cost for Feasibility study on Capital Campaign</t>
      </text>
    </comment>
    <comment authorId="0" ref="X11">
      <text>
        <t xml:space="preserve">======
ID#AAAACLJftd0
Carey F Reynolds    (2019-08-26 18:28:11)
Set from Tuiton Tab</t>
      </text>
    </comment>
  </commentList>
  <extLst>
    <ext uri="GoogleSheetsCustomDataVersion1">
      <go:sheetsCustomData xmlns:go="http://customooxmlschemas.google.com/" r:id="rId1" roundtripDataSignature="AMtx7mgJXnFKMHlO1bNPVAMs4B823xtZI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193">
      <text>
        <t xml:space="preserve">======
ID#AAAACLJftd8
Carey F Reynolds    (2019-08-26 18:28:11)
Potential bonuses</t>
      </text>
    </comment>
    <comment authorId="0" ref="V18">
      <text>
        <t xml:space="preserve">======
ID#AAAACLJftds
Carey F Reynolds    (2019-08-26 18:28:11)
Extrapolated 8 months and divided evenly over 3 Ees.</t>
      </text>
    </comment>
  </commentList>
  <extLst>
    <ext uri="GoogleSheetsCustomDataVersion1">
      <go:sheetsCustomData xmlns:go="http://customooxmlschemas.google.com/" r:id="rId1" roundtripDataSignature="AMtx7mhUi3dx22S8jy5m4Wr5jysUA6lrk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W12">
      <text>
        <t xml:space="preserve">======
ID#AAAACLJfteg
Carey F Reynolds    (2019-08-26 18:28:11)
Set at 68</t>
      </text>
    </comment>
    <comment authorId="0" ref="W84">
      <text>
        <t xml:space="preserve">======
ID#AAAACLJfteM
Carey F Reynolds    (2019-08-26 18:28:11)
Cost for Feasibility study on Capital Campaign</t>
      </text>
    </comment>
    <comment authorId="0" ref="X11">
      <text>
        <t xml:space="preserve">======
ID#AAAACLJfteE
Carey F Reynolds    (2019-08-26 18:28:11)
Set from Tuiton Tab</t>
      </text>
    </comment>
    <comment authorId="0" ref="AB148">
      <text>
        <t xml:space="preserve">======
ID#AAAACLJftdo
Carey F Reynolds    (2019-08-26 18:28:11)
With MB Replacement Time</t>
      </text>
    </comment>
  </commentList>
  <extLst>
    <ext uri="GoogleSheetsCustomDataVersion1">
      <go:sheetsCustomData xmlns:go="http://customooxmlschemas.google.com/" r:id="rId1" roundtripDataSignature="AMtx7mjg+R0egLvbSsqGfhwtQUxrUHiKzw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5">
      <text>
        <t xml:space="preserve">======
ID#AAAACLJftec
Carey F Reynolds    (2019-08-26 18:28:11)
434 Replacements</t>
      </text>
    </comment>
    <comment authorId="0" ref="C5">
      <text>
        <t xml:space="preserve">======
ID#AAAACLJfteY
Carey F Reynolds    (2019-08-26 18:28:11)
434 Replacements</t>
      </text>
    </comment>
    <comment authorId="0" ref="F102">
      <text>
        <t xml:space="preserve">======
ID#AAAACLJfteU
Carey F Reynolds    (2019-08-26 18:28:11)
Formula Change</t>
      </text>
    </comment>
    <comment authorId="0" ref="G5">
      <text>
        <t xml:space="preserve">======
ID#AAAACLJfteI
Carey F Reynolds    (2019-08-26 18:28:11)
159 Replacements</t>
      </text>
    </comment>
    <comment authorId="0" ref="F226">
      <text>
        <t xml:space="preserve">======
ID#AAAACLJftd4
Carey F Reynolds    (2019-08-26 18:28:11)
Month total P&amp;L NI</t>
      </text>
    </comment>
    <comment authorId="0" ref="F5">
      <text>
        <t xml:space="preserve">======
ID#AAAACLJftdw
Carey F Reynolds    (2019-08-26 18:28:11)
159 or 318 Replacements</t>
      </text>
    </comment>
    <comment authorId="0" ref="F64">
      <text>
        <t xml:space="preserve">======
ID#AAAACLJftdk
Carey F Reynolds    (2019-08-26 18:28:11)
159 Replacements</t>
      </text>
    </comment>
  </commentList>
  <extLst>
    <ext uri="GoogleSheetsCustomDataVersion1">
      <go:sheetsCustomData xmlns:go="http://customooxmlschemas.google.com/" r:id="rId1" roundtripDataSignature="AMtx7miSTrxSiUblnq8x4Tb24nwgKBud+Q=="/>
    </ext>
  </extLst>
</comments>
</file>

<file path=xl/sharedStrings.xml><?xml version="1.0" encoding="utf-8"?>
<sst xmlns="http://schemas.openxmlformats.org/spreadsheetml/2006/main" count="9903" uniqueCount="1800">
  <si>
    <t>Account ID</t>
  </si>
  <si>
    <t>Budget 16-17</t>
  </si>
  <si>
    <t>Budget 15-16</t>
  </si>
  <si>
    <t>% of PY</t>
  </si>
  <si>
    <t>Students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</si>
  <si>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</si>
  <si>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</si>
  <si>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</si>
  <si>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</si>
  <si>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</si>
  <si>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</si>
  <si>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</si>
  <si>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</si>
  <si>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</si>
  <si>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</si>
  <si>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</si>
  <si>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</si>
  <si>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Account Description</t>
  </si>
  <si>
    <t>Account Type</t>
  </si>
  <si>
    <t>7/31/15</t>
  </si>
  <si>
    <t>Revenues</t>
  </si>
  <si>
    <t>8/31/15</t>
  </si>
  <si>
    <t>9/30/15</t>
  </si>
  <si>
    <t>10/31/15</t>
  </si>
  <si>
    <t>11/30/15</t>
  </si>
  <si>
    <t>12/31/15</t>
  </si>
  <si>
    <t>1/31/16</t>
  </si>
  <si>
    <t>2/29/16</t>
  </si>
  <si>
    <t>3/31/16</t>
  </si>
  <si>
    <t>4/30/16</t>
  </si>
  <si>
    <t>5/31/16</t>
  </si>
  <si>
    <t>6/30/16</t>
  </si>
  <si>
    <t>YTD Total</t>
  </si>
  <si>
    <t>MAPPING</t>
  </si>
  <si>
    <t>Average 10</t>
  </si>
  <si>
    <t>Average 12</t>
  </si>
  <si>
    <t>412200-3U</t>
  </si>
  <si>
    <t>Annual Giving Campaign revenue</t>
  </si>
  <si>
    <t>YTD</t>
  </si>
  <si>
    <t>Hide</t>
  </si>
  <si>
    <t>Earned</t>
  </si>
  <si>
    <t>Income</t>
  </si>
  <si>
    <t>Tuition and Fees</t>
  </si>
  <si>
    <t>Tuition</t>
  </si>
  <si>
    <t>412210-3U</t>
  </si>
  <si>
    <t>Contributions</t>
  </si>
  <si>
    <t>Counseling Fees</t>
  </si>
  <si>
    <t>Counseling</t>
  </si>
  <si>
    <t>412212-3U</t>
  </si>
  <si>
    <t>Contributions: Board mandated</t>
  </si>
  <si>
    <t>Aftercare</t>
  </si>
  <si>
    <t>412250-1U</t>
  </si>
  <si>
    <t>Grants</t>
  </si>
  <si>
    <t>412300-3U</t>
  </si>
  <si>
    <t>Contributions: In-kind</t>
  </si>
  <si>
    <t>Student Activities &amp; Athletics</t>
  </si>
  <si>
    <t>Student Activities</t>
  </si>
  <si>
    <t>412305-3U</t>
  </si>
  <si>
    <t>Contributions: In-kind service</t>
  </si>
  <si>
    <t>Transportation</t>
  </si>
  <si>
    <t>Merchandise Sales</t>
  </si>
  <si>
    <t>Merchandise</t>
  </si>
  <si>
    <t>412320-3T</t>
  </si>
  <si>
    <t>Temp. restricted revenue-Time</t>
  </si>
  <si>
    <t>Cost of Merchandise</t>
  </si>
  <si>
    <t>412340-3T</t>
  </si>
  <si>
    <t>Temp. restricted revenue-Purpo</t>
  </si>
  <si>
    <t>Cost of Goods Sold</t>
  </si>
  <si>
    <t>412600-3P</t>
  </si>
  <si>
    <t>Permanently restricted revenue</t>
  </si>
  <si>
    <t>420100-1U</t>
  </si>
  <si>
    <t>Tuition and fees</t>
  </si>
  <si>
    <t>Total Earned Income</t>
  </si>
  <si>
    <t>420105-1U</t>
  </si>
  <si>
    <t>Tuition Hedge</t>
  </si>
  <si>
    <t>420120-1U</t>
  </si>
  <si>
    <t>Tuition and fees - Summer</t>
  </si>
  <si>
    <t/>
  </si>
  <si>
    <t>Unearned</t>
  </si>
  <si>
    <t>420150-1U</t>
  </si>
  <si>
    <t>Application fee</t>
  </si>
  <si>
    <t>Contributions In Kind</t>
  </si>
  <si>
    <t>420199-1U</t>
  </si>
  <si>
    <t>Tuition Insurance Revenue</t>
  </si>
  <si>
    <t>Fundraising</t>
  </si>
  <si>
    <t>420200-1U</t>
  </si>
  <si>
    <t>Counseling fee revenue</t>
  </si>
  <si>
    <t>Cost of Fundraising</t>
  </si>
  <si>
    <t>421000-1U</t>
  </si>
  <si>
    <t>Other service revenue</t>
  </si>
  <si>
    <t>PTO Income</t>
  </si>
  <si>
    <t>PTO</t>
  </si>
  <si>
    <t>421010-1U</t>
  </si>
  <si>
    <t>Aftercare revenue</t>
  </si>
  <si>
    <t>Restricted Released</t>
  </si>
  <si>
    <t>421012-1U</t>
  </si>
  <si>
    <t>Aftercare registration revenue</t>
  </si>
  <si>
    <t>Total Unearned Income</t>
  </si>
  <si>
    <t>421014-1U</t>
  </si>
  <si>
    <t>Aftercare program fee revenue</t>
  </si>
  <si>
    <t>421020-1U</t>
  </si>
  <si>
    <t>Transportation revenue</t>
  </si>
  <si>
    <t>Other Income</t>
  </si>
  <si>
    <t>Investment Income</t>
  </si>
  <si>
    <t>Investment</t>
  </si>
  <si>
    <t>421100-1U</t>
  </si>
  <si>
    <t>Product sales revenue</t>
  </si>
  <si>
    <t>Miscellaneous</t>
  </si>
  <si>
    <t>Misc</t>
  </si>
  <si>
    <t>421102-1U</t>
  </si>
  <si>
    <t>Smart card revenue</t>
  </si>
  <si>
    <t>421103-1U</t>
  </si>
  <si>
    <t>Baseball Cap sales</t>
  </si>
  <si>
    <t>Total Other Income</t>
  </si>
  <si>
    <t>421104-1U</t>
  </si>
  <si>
    <t>Total Revenues</t>
  </si>
  <si>
    <t>Cookbook sales</t>
  </si>
  <si>
    <t>421105-1U</t>
  </si>
  <si>
    <t>License Plate Frame Sales</t>
  </si>
  <si>
    <t>Expenses</t>
  </si>
  <si>
    <t>General &amp; Administrative</t>
  </si>
  <si>
    <t>Salaries and Wages</t>
  </si>
  <si>
    <t>Salaries</t>
  </si>
  <si>
    <t>421106-1U</t>
  </si>
  <si>
    <t>Note Card Sales</t>
  </si>
  <si>
    <t>Employee Benefits</t>
  </si>
  <si>
    <t>Benefits</t>
  </si>
  <si>
    <t>421107-1U</t>
  </si>
  <si>
    <t>Travel Mug sales</t>
  </si>
  <si>
    <t>421108-1U</t>
  </si>
  <si>
    <t>Tote Bag sales revenue</t>
  </si>
  <si>
    <t>Payroll Taxes</t>
  </si>
  <si>
    <t>Legal, Accounting, IT</t>
  </si>
  <si>
    <t>Legal &amp; Actg</t>
  </si>
  <si>
    <t>421109-1U</t>
  </si>
  <si>
    <t>Sales - Thunder Hawk Tee-shirt</t>
  </si>
  <si>
    <t>Insurance</t>
  </si>
  <si>
    <t>421122-1U</t>
  </si>
  <si>
    <t>Uniform and clothing revenue</t>
  </si>
  <si>
    <t>Equipment</t>
  </si>
  <si>
    <t>421124-1U</t>
  </si>
  <si>
    <t>Hoodie sweatshirt sales</t>
  </si>
  <si>
    <t>Postage and Shipping</t>
  </si>
  <si>
    <t>Postage</t>
  </si>
  <si>
    <t>422000-1U</t>
  </si>
  <si>
    <t>Student meal revenue</t>
  </si>
  <si>
    <t>Office Supplies</t>
  </si>
  <si>
    <t>422120-1U</t>
  </si>
  <si>
    <t>Entertainment book sales</t>
  </si>
  <si>
    <t>424020-1U</t>
  </si>
  <si>
    <t>Basketball - Gate reciepts</t>
  </si>
  <si>
    <t>Telecommunications</t>
  </si>
  <si>
    <t>424025-1U</t>
  </si>
  <si>
    <t>Test fees</t>
  </si>
  <si>
    <t>Bank Charges</t>
  </si>
  <si>
    <t>424040-1U</t>
  </si>
  <si>
    <t>Basketball Concessions</t>
  </si>
  <si>
    <t>Tax and Licenses</t>
  </si>
  <si>
    <t>Taxes</t>
  </si>
  <si>
    <t>424060-1U</t>
  </si>
  <si>
    <t>Soccer fees</t>
  </si>
  <si>
    <t>Computer Expenses</t>
  </si>
  <si>
    <t>Computer Exp</t>
  </si>
  <si>
    <t>425000-1U</t>
  </si>
  <si>
    <t>Yearbook sales</t>
  </si>
  <si>
    <t>Professional Developement</t>
  </si>
  <si>
    <t>Continuing Ed</t>
  </si>
  <si>
    <t>425010-1U</t>
  </si>
  <si>
    <t>Advertising sales - annual</t>
  </si>
  <si>
    <t>Dues and Subscriptions</t>
  </si>
  <si>
    <t>Dues</t>
  </si>
  <si>
    <t>425020-1U</t>
  </si>
  <si>
    <t>Student activity revenue</t>
  </si>
  <si>
    <t>Scholarships and Discounts</t>
  </si>
  <si>
    <t>Scholarships</t>
  </si>
  <si>
    <t>425030-1U</t>
  </si>
  <si>
    <t>Jimmy's Camp Revenue</t>
  </si>
  <si>
    <t>School Supplies</t>
  </si>
  <si>
    <t>425040-1U</t>
  </si>
  <si>
    <t>Student activity rev. - Prom</t>
  </si>
  <si>
    <t>Student Act Exp</t>
  </si>
  <si>
    <t>425060-1U</t>
  </si>
  <si>
    <t>Recycling income</t>
  </si>
  <si>
    <t>Transportation Exp</t>
  </si>
  <si>
    <t>425080-1U</t>
  </si>
  <si>
    <t>Student meal costs</t>
  </si>
  <si>
    <t>Ren Web System</t>
  </si>
  <si>
    <t>RenWeb</t>
  </si>
  <si>
    <t>425090-3U</t>
  </si>
  <si>
    <t>Fundraising: PTO</t>
  </si>
  <si>
    <t>425095-1U</t>
  </si>
  <si>
    <t>Test Expenses</t>
  </si>
  <si>
    <t>PTO Dues</t>
  </si>
  <si>
    <t>Test Exp</t>
  </si>
  <si>
    <t>425150-1U</t>
  </si>
  <si>
    <t>Other income or loss</t>
  </si>
  <si>
    <t>Textbooks</t>
  </si>
  <si>
    <t>425200-1U</t>
  </si>
  <si>
    <t>Refunds</t>
  </si>
  <si>
    <t>Summer Program</t>
  </si>
  <si>
    <t>425250-1U</t>
  </si>
  <si>
    <t>Commission - School Photos</t>
  </si>
  <si>
    <t>425300-1U</t>
  </si>
  <si>
    <t>Federal Projects revenue</t>
  </si>
  <si>
    <t>Aftercare Expenses</t>
  </si>
  <si>
    <t>Aftercare Exp</t>
  </si>
  <si>
    <t>425350-1U</t>
  </si>
  <si>
    <t>Bad debts recovered</t>
  </si>
  <si>
    <t>Marketing/PR/Advertising</t>
  </si>
  <si>
    <t>Marketing</t>
  </si>
  <si>
    <t>428010-1U</t>
  </si>
  <si>
    <t>Finance charge revenue</t>
  </si>
  <si>
    <t>Travel</t>
  </si>
  <si>
    <t>428015-1U</t>
  </si>
  <si>
    <t>NSF Charges Recouped</t>
  </si>
  <si>
    <t>428020-1U</t>
  </si>
  <si>
    <t>Interest income</t>
  </si>
  <si>
    <t>Misc. Expense</t>
  </si>
  <si>
    <t>Misc Exp</t>
  </si>
  <si>
    <t>428040-1U</t>
  </si>
  <si>
    <t>Dividend income</t>
  </si>
  <si>
    <t>429100-1U</t>
  </si>
  <si>
    <t>Unrealized gain or (loss)</t>
  </si>
  <si>
    <t>Total General &amp; Administrative</t>
  </si>
  <si>
    <t>429110-1U</t>
  </si>
  <si>
    <t>Unrealized G or (L)-ExxonMobil</t>
  </si>
  <si>
    <t>Building</t>
  </si>
  <si>
    <t>Occupancy Utilities</t>
  </si>
  <si>
    <t>Variable Occupancy</t>
  </si>
  <si>
    <t>429120-1U</t>
  </si>
  <si>
    <t>Unrealized G or (L)-UPS</t>
  </si>
  <si>
    <t>429130-1U</t>
  </si>
  <si>
    <t>Occupancy Fixed</t>
  </si>
  <si>
    <t>Unrealized G or (L)-Pepco</t>
  </si>
  <si>
    <t>Fixed Occupancy</t>
  </si>
  <si>
    <t>429999-1U</t>
  </si>
  <si>
    <t>Realized Gain/(Loss)-Stock Sal</t>
  </si>
  <si>
    <t>Total Building Expenses</t>
  </si>
  <si>
    <t>464020-3U</t>
  </si>
  <si>
    <t>Ticket sales- Food for Thought</t>
  </si>
  <si>
    <t>464021-3U</t>
  </si>
  <si>
    <t>Fundraising: Wreath/Poinsettia</t>
  </si>
  <si>
    <t>Total Expenses</t>
  </si>
  <si>
    <t>464022-3U</t>
  </si>
  <si>
    <t>Silent Auction-Food for Though</t>
  </si>
  <si>
    <t>Bad Debt Expense</t>
  </si>
  <si>
    <t>Bad Debt</t>
  </si>
  <si>
    <t>464024-3U</t>
  </si>
  <si>
    <t>Sponsors-Food for Thought</t>
  </si>
  <si>
    <t>Insurance Loss Expense</t>
  </si>
  <si>
    <t>Insurance Loss Exp</t>
  </si>
  <si>
    <t>464026-3U</t>
  </si>
  <si>
    <t>Donations Food for Thought</t>
  </si>
  <si>
    <t>464027-3U</t>
  </si>
  <si>
    <t>Wine Pull Food for Thought</t>
  </si>
  <si>
    <t>Interest Expense</t>
  </si>
  <si>
    <t>Interest Exp</t>
  </si>
  <si>
    <t>464028-3U</t>
  </si>
  <si>
    <t>Derby Party Bar</t>
  </si>
  <si>
    <t>Net Income</t>
  </si>
  <si>
    <t>464029-3U</t>
  </si>
  <si>
    <t>Derby Party Salvage</t>
  </si>
  <si>
    <t>464030-3U</t>
  </si>
  <si>
    <t>Depreciation</t>
  </si>
  <si>
    <t>Fundraising: Beer Snob event</t>
  </si>
  <si>
    <t>464035-3U</t>
  </si>
  <si>
    <t>Fundraising: Founder's Day</t>
  </si>
  <si>
    <t>Total</t>
  </si>
  <si>
    <t>464037-3U</t>
  </si>
  <si>
    <t>Fundraising: Breakfast of Cham</t>
  </si>
  <si>
    <t>464040-3U</t>
  </si>
  <si>
    <t>Fundraising: Pizza Sales</t>
  </si>
  <si>
    <t>464050-3U</t>
  </si>
  <si>
    <t>Readers Digest/QSP Fundraiser</t>
  </si>
  <si>
    <t>464060-3U</t>
  </si>
  <si>
    <t>Fundraising: Candle Sales</t>
  </si>
  <si>
    <t>490110-3U</t>
  </si>
  <si>
    <t>Temporary rest. released</t>
  </si>
  <si>
    <t>49993</t>
  </si>
  <si>
    <t>Promises to give</t>
  </si>
  <si>
    <t>49996</t>
  </si>
  <si>
    <t>Recycling</t>
  </si>
  <si>
    <t>49997</t>
  </si>
  <si>
    <t>Cost of Sales</t>
  </si>
  <si>
    <t>500020-3U</t>
  </si>
  <si>
    <t>Special events direct costs</t>
  </si>
  <si>
    <t>500040-3U</t>
  </si>
  <si>
    <t>Fundraiser costs: Breakfast</t>
  </si>
  <si>
    <t>500050-3U</t>
  </si>
  <si>
    <t>Annual Mailing Costs</t>
  </si>
  <si>
    <t>500060-3U</t>
  </si>
  <si>
    <t>Fundraiser cost: Beer Snob</t>
  </si>
  <si>
    <t>500070-3U</t>
  </si>
  <si>
    <t>PTO Fundraiser Costs</t>
  </si>
  <si>
    <t>500080-3U</t>
  </si>
  <si>
    <t>Fundraiser costs: Pizza Cost</t>
  </si>
  <si>
    <t>500100-3U</t>
  </si>
  <si>
    <t>Entertainment book costs</t>
  </si>
  <si>
    <t>500120-3U</t>
  </si>
  <si>
    <t>Fundraiser Costs: Candle Cost</t>
  </si>
  <si>
    <t>500130-3U</t>
  </si>
  <si>
    <t>Fundraiser Costs: Christmas</t>
  </si>
  <si>
    <t>500140-3U</t>
  </si>
  <si>
    <t>Fundraiser costs: Fall event</t>
  </si>
  <si>
    <t>500160-3U</t>
  </si>
  <si>
    <t>Fundraiser costs: Founders Day</t>
  </si>
  <si>
    <t>500180-3U</t>
  </si>
  <si>
    <t>Cost: Food For Thought</t>
  </si>
  <si>
    <t>521100-1U</t>
  </si>
  <si>
    <t>Cost of products sold</t>
  </si>
  <si>
    <t>521102-1U</t>
  </si>
  <si>
    <t>Smartcards</t>
  </si>
  <si>
    <t>Benton Hall Academy</t>
  </si>
  <si>
    <t>521103-1U</t>
  </si>
  <si>
    <t>Cost of Sales - Baseball Caps</t>
  </si>
  <si>
    <t>521104-1U</t>
  </si>
  <si>
    <t>Cookbook costs</t>
  </si>
  <si>
    <t>521105-1U</t>
  </si>
  <si>
    <t>Cost of Sales - License Plate</t>
  </si>
  <si>
    <t>Tuition Increase 2016-2017</t>
  </si>
  <si>
    <t>521106-1U</t>
  </si>
  <si>
    <t>Cost of Sales - Note Card</t>
  </si>
  <si>
    <t xml:space="preserve">Tuition 2015-2016 </t>
  </si>
  <si>
    <t>521107-1U</t>
  </si>
  <si>
    <t>Travel Mug cost of sales</t>
  </si>
  <si>
    <t>521108-1U</t>
  </si>
  <si>
    <t>Cost of sales - Tote Bags</t>
  </si>
  <si>
    <t>521109-1U</t>
  </si>
  <si>
    <t>Cost of Sales - TH Tee-shirt</t>
  </si>
  <si>
    <t>Lower School</t>
  </si>
  <si>
    <t>521124-1U</t>
  </si>
  <si>
    <t>Hoodie sweatshirt costs</t>
  </si>
  <si>
    <t>Includes</t>
  </si>
  <si>
    <t>521200-1U</t>
  </si>
  <si>
    <t>COGS-Concessions</t>
  </si>
  <si>
    <t>      375.00</t>
  </si>
  <si>
    <t>Student Fee</t>
  </si>
  <si>
    <t>      12,926.00</t>
  </si>
  <si>
    <t>Net Tuition</t>
  </si>
  <si>
    <t>531100-1U</t>
  </si>
  <si>
    <t>Cost of Goods-Lunch</t>
  </si>
  <si>
    <t>Deposit</t>
  </si>
  <si>
    <t>534080-1U</t>
  </si>
  <si>
    <t>Yeabook Costs</t>
  </si>
  <si>
    <t>      0.0400</t>
  </si>
  <si>
    <t>534100-1U</t>
  </si>
  <si>
    <t>Other costs</t>
  </si>
  <si>
    <t>% Increase</t>
  </si>
  <si>
    <t>Middle/High School</t>
  </si>
  <si>
    <t>      13,576.00</t>
  </si>
  <si>
    <t>Total Cost of Sales</t>
  </si>
  <si>
    <t>Gross Profit</t>
  </si>
  <si>
    <t>490150-3T</t>
  </si>
  <si>
    <t>Time restrictions released</t>
  </si>
  <si>
    <t>      4.5% Increase</t>
  </si>
  <si>
    <t>490200-3T</t>
  </si>
  <si>
    <t>Purpose restrictions released</t>
  </si>
  <si>
    <t>50445</t>
  </si>
  <si>
    <t>622000-1U</t>
  </si>
  <si>
    <t>Haiti - Sister School Donation</t>
  </si>
  <si>
    <t>623100-1U</t>
  </si>
  <si>
    <t>Financial aid and discounts</t>
  </si>
  <si>
    <t>623120-1U</t>
  </si>
  <si>
    <t>Scholarships awarded</t>
  </si>
  <si>
    <t>For budget purposes assume 10% Lower School</t>
  </si>
  <si>
    <t>Average Student Count 14-15</t>
  </si>
  <si>
    <t>Average Student Count 15-16</t>
  </si>
  <si>
    <t>Budgeted Student Count 16-17</t>
  </si>
  <si>
    <t>623140-1U</t>
  </si>
  <si>
    <t>Discounts - pre-pay and other</t>
  </si>
  <si>
    <t>Middle/Upper</t>
  </si>
  <si>
    <t>625000-1U</t>
  </si>
  <si>
    <t>Lower</t>
  </si>
  <si>
    <t>625010-1U</t>
  </si>
  <si>
    <t>Sycamore Education</t>
  </si>
  <si>
    <t>625100-1U</t>
  </si>
  <si>
    <t>Substitute teachers</t>
  </si>
  <si>
    <t>625120-1U</t>
  </si>
  <si>
    <t>Consutant fees - counseling</t>
  </si>
  <si>
    <t>625140-1U</t>
  </si>
  <si>
    <t>Other outside labor</t>
  </si>
  <si>
    <t>626000-1U</t>
  </si>
  <si>
    <t>Salaries and wages</t>
  </si>
  <si>
    <t>626001-1U</t>
  </si>
  <si>
    <t>Salaries - Teaching</t>
  </si>
  <si>
    <t>626002-1U</t>
  </si>
  <si>
    <t>Salaries - Teacher Aids</t>
  </si>
  <si>
    <t>626003-1U</t>
  </si>
  <si>
    <t>Salaries - Summer School</t>
  </si>
  <si>
    <t>626004-2U</t>
  </si>
  <si>
    <t>Salaries - Administrative</t>
  </si>
  <si>
    <t>626005-3U</t>
  </si>
  <si>
    <t>Salaries - Development</t>
  </si>
  <si>
    <t>626006-1U</t>
  </si>
  <si>
    <t>Salaries - Counseling</t>
  </si>
  <si>
    <t>626007-1U</t>
  </si>
  <si>
    <t>Salaries - Athletics</t>
  </si>
  <si>
    <t>626008-1U</t>
  </si>
  <si>
    <t>Salaries - Transportation</t>
  </si>
  <si>
    <t>626010-1U</t>
  </si>
  <si>
    <t>Salary Differential Holding</t>
  </si>
  <si>
    <t>626022-1U</t>
  </si>
  <si>
    <t>Wages expense-Aftercare</t>
  </si>
  <si>
    <t>Act - Budget</t>
  </si>
  <si>
    <t>626024-1U</t>
  </si>
  <si>
    <t>Wages expense-Teaching</t>
  </si>
  <si>
    <t>Budget YTD</t>
  </si>
  <si>
    <t>626026-1U</t>
  </si>
  <si>
    <t>Wages expense - Teacher Aids</t>
  </si>
  <si>
    <t>Actual YTD</t>
  </si>
  <si>
    <t>626028-1U</t>
  </si>
  <si>
    <t>V%B</t>
  </si>
  <si>
    <t>Wages expense-other</t>
  </si>
  <si>
    <t>V%A</t>
  </si>
  <si>
    <t>Base on</t>
  </si>
  <si>
    <t>Budget 2016-17 68</t>
  </si>
  <si>
    <t>Budget 2016-17 50</t>
  </si>
  <si>
    <t>1/2 Year</t>
  </si>
  <si>
    <t>Jul</t>
  </si>
  <si>
    <t>Aug</t>
  </si>
  <si>
    <t>626030-1U</t>
  </si>
  <si>
    <t>Wages Expense-Lunch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</si>
  <si>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</si>
  <si>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</si>
  <si>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</si>
  <si>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</si>
  <si>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</si>
  <si>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</si>
  <si>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</si>
  <si>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</si>
  <si>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</si>
  <si>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</si>
  <si>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#</t>
  </si>
  <si>
    <t>626240-1U</t>
  </si>
  <si>
    <t>Bonuses</t>
  </si>
  <si>
    <t>626240-2U</t>
  </si>
  <si>
    <t>626240-3U</t>
  </si>
  <si>
    <t>627000-1U</t>
  </si>
  <si>
    <t>Employee benefit programs</t>
  </si>
  <si>
    <t>627100-1U</t>
  </si>
  <si>
    <t>Pension plan contributions</t>
  </si>
  <si>
    <t>627100-2U</t>
  </si>
  <si>
    <t>627100-3U</t>
  </si>
  <si>
    <t>627200-1U</t>
  </si>
  <si>
    <t>Employee benefits - Health Ins</t>
  </si>
  <si>
    <t>627200-2U</t>
  </si>
  <si>
    <t>627200-3U</t>
  </si>
  <si>
    <t>627210-1U</t>
  </si>
  <si>
    <t>Employee benefits - HSA cont.</t>
  </si>
  <si>
    <t>627220-2U</t>
  </si>
  <si>
    <t>627240-1U</t>
  </si>
  <si>
    <t>Actual</t>
  </si>
  <si>
    <t>Health Plan admin fees</t>
  </si>
  <si>
    <t>627300-1U</t>
  </si>
  <si>
    <t>Employee benefits - Life ins.</t>
  </si>
  <si>
    <t>627300-2U</t>
  </si>
  <si>
    <t>627300-3U</t>
  </si>
  <si>
    <t>629000-1U</t>
  </si>
  <si>
    <t>Payroll tax expense</t>
  </si>
  <si>
    <t>629020-1U</t>
  </si>
  <si>
    <t>FICA tax expense</t>
  </si>
  <si>
    <t>629020-2U</t>
  </si>
  <si>
    <t>629020-3U</t>
  </si>
  <si>
    <t>629040-1U</t>
  </si>
  <si>
    <t>Medicare tax expense</t>
  </si>
  <si>
    <t>629040-2U</t>
  </si>
  <si>
    <t>629040-3U</t>
  </si>
  <si>
    <t>629060-1U</t>
  </si>
  <si>
    <t>State employment tax expense</t>
  </si>
  <si>
    <t>631000-2U</t>
  </si>
  <si>
    <t>Accounting and auditing fees</t>
  </si>
  <si>
    <t>631010-2U</t>
  </si>
  <si>
    <t>Auditing fees</t>
  </si>
  <si>
    <t>631020-2U</t>
  </si>
  <si>
    <t>Tax return preparation</t>
  </si>
  <si>
    <t>631030-2U</t>
  </si>
  <si>
    <t>Payroll service fees</t>
  </si>
  <si>
    <t>631040-2U</t>
  </si>
  <si>
    <t>Payroll delivery fees</t>
  </si>
  <si>
    <t>631045-2U</t>
  </si>
  <si>
    <t>Payroll processing fees</t>
  </si>
  <si>
    <t>631050-2U</t>
  </si>
  <si>
    <t>Contract Accounting Services</t>
  </si>
  <si>
    <t>631060-2U</t>
  </si>
  <si>
    <t>Contract IT Services</t>
  </si>
  <si>
    <t>632000-2U</t>
  </si>
  <si>
    <t>Legal fees</t>
  </si>
  <si>
    <t>633000-1U</t>
  </si>
  <si>
    <t>Supplies</t>
  </si>
  <si>
    <t>633010-1U</t>
  </si>
  <si>
    <t>633012-1U</t>
  </si>
  <si>
    <t>School Supplies - Workbooks</t>
  </si>
  <si>
    <t>633020-1U</t>
  </si>
  <si>
    <t>633020-2U</t>
  </si>
  <si>
    <t>633020-3U</t>
  </si>
  <si>
    <t>633030-1U</t>
  </si>
  <si>
    <t>Dues And Subscriptions</t>
  </si>
  <si>
    <t>633030-2U</t>
  </si>
  <si>
    <t>633030-3U</t>
  </si>
  <si>
    <t>633040-1U</t>
  </si>
  <si>
    <t>Tax and licenses</t>
  </si>
  <si>
    <t>633050-1U</t>
  </si>
  <si>
    <t>633100-1U</t>
  </si>
  <si>
    <t>Ins. - General liability</t>
  </si>
  <si>
    <t>633100-2U</t>
  </si>
  <si>
    <t>Ins. - General Liability</t>
  </si>
  <si>
    <t>633110-1U</t>
  </si>
  <si>
    <t>Ins.-Worker's Comp</t>
  </si>
  <si>
    <t>633120-1U</t>
  </si>
  <si>
    <t>Ins. - Directors &amp; Officers</t>
  </si>
  <si>
    <t>633125-1U</t>
  </si>
  <si>
    <t>633127-1U</t>
  </si>
  <si>
    <t>Yearbook</t>
  </si>
  <si>
    <t>633130-1U</t>
  </si>
  <si>
    <t>Athletics - Basketball</t>
  </si>
  <si>
    <t>633132-1U</t>
  </si>
  <si>
    <t>Athletics - Basketball Referee</t>
  </si>
  <si>
    <t>633135-1U</t>
  </si>
  <si>
    <t>Prom Activities</t>
  </si>
  <si>
    <t>633140-1U</t>
  </si>
  <si>
    <t>Athletics - Football</t>
  </si>
  <si>
    <t>633145-1U</t>
  </si>
  <si>
    <t>Graduation Activities</t>
  </si>
  <si>
    <t>633150-1U</t>
  </si>
  <si>
    <t>Athletics - Soccer</t>
  </si>
  <si>
    <t>633152-1U</t>
  </si>
  <si>
    <t>Athletics - Soccer Referees</t>
  </si>
  <si>
    <t>633155-1U</t>
  </si>
  <si>
    <t>Student trip</t>
  </si>
  <si>
    <t>633160-1U</t>
  </si>
  <si>
    <t>Athletics - Golf</t>
  </si>
  <si>
    <t>633162-1U</t>
  </si>
  <si>
    <t>Saddle Up Program Fees</t>
  </si>
  <si>
    <t>633164-1U</t>
  </si>
  <si>
    <t>Charitable Contributions</t>
  </si>
  <si>
    <t>633165-1U</t>
  </si>
  <si>
    <t>Student Activities-Adult exp.</t>
  </si>
  <si>
    <t>633170-1U</t>
  </si>
  <si>
    <t>Athletics-Bowling</t>
  </si>
  <si>
    <t>633180-1U</t>
  </si>
  <si>
    <t>Athletics-Cheerleading</t>
  </si>
  <si>
    <t>633185-1U</t>
  </si>
  <si>
    <t>Athletics-Other</t>
  </si>
  <si>
    <t>633190-1U</t>
  </si>
  <si>
    <t>Camp Activities</t>
  </si>
  <si>
    <t>633200-1U</t>
  </si>
  <si>
    <t>633200-2U</t>
  </si>
  <si>
    <t>633200-3U</t>
  </si>
  <si>
    <t>633280-1U</t>
  </si>
  <si>
    <t>Test Expense</t>
  </si>
  <si>
    <t>633520-1U</t>
  </si>
  <si>
    <t>Public relations and advertisi</t>
  </si>
  <si>
    <t>633520-2U</t>
  </si>
  <si>
    <t>633520-3U</t>
  </si>
  <si>
    <t>633540-3U</t>
  </si>
  <si>
    <t>Development - Board mandated</t>
  </si>
  <si>
    <t>633550-2U</t>
  </si>
  <si>
    <t>Board Expenses</t>
  </si>
  <si>
    <t>633560-2U</t>
  </si>
  <si>
    <t>Marketing Misc.</t>
  </si>
  <si>
    <t>633560-3U</t>
  </si>
  <si>
    <t>633570-1U</t>
  </si>
  <si>
    <t>Printing and publications</t>
  </si>
  <si>
    <t>633580-1U</t>
  </si>
  <si>
    <t>Web hosting</t>
  </si>
  <si>
    <t>633590-1U</t>
  </si>
  <si>
    <t>Meetings</t>
  </si>
  <si>
    <t>633595-2U</t>
  </si>
  <si>
    <t>633597-3U</t>
  </si>
  <si>
    <t>633600-1U</t>
  </si>
  <si>
    <t>Meals and entertainment</t>
  </si>
  <si>
    <t>633600-2U</t>
  </si>
  <si>
    <t>633600-3U</t>
  </si>
  <si>
    <t>633720-1U</t>
  </si>
  <si>
    <t>FACTS Draft Charges</t>
  </si>
  <si>
    <t>633740-1U</t>
  </si>
  <si>
    <t>633760-1U</t>
  </si>
  <si>
    <t>Credit card processing fees</t>
  </si>
  <si>
    <t>633760-3U</t>
  </si>
  <si>
    <t>633800-1U</t>
  </si>
  <si>
    <t>Aftercare Expense</t>
  </si>
  <si>
    <t>634000-1U</t>
  </si>
  <si>
    <t>634020-1U</t>
  </si>
  <si>
    <t>Telephone</t>
  </si>
  <si>
    <t>634020-2U</t>
  </si>
  <si>
    <t>634020-3U</t>
  </si>
  <si>
    <t>634040-2U</t>
  </si>
  <si>
    <t>Cellular telephone - Admin.</t>
  </si>
  <si>
    <t>634050-3U</t>
  </si>
  <si>
    <t>Personal cellphone-Development</t>
  </si>
  <si>
    <t>634060-1U</t>
  </si>
  <si>
    <t>Internet</t>
  </si>
  <si>
    <t>634065-1U</t>
  </si>
  <si>
    <t>Cable Television</t>
  </si>
  <si>
    <t>Custom</t>
  </si>
  <si>
    <t>635000-1U</t>
  </si>
  <si>
    <t>Postage and shipping</t>
  </si>
  <si>
    <t>635000-2U</t>
  </si>
  <si>
    <t>635000-3U</t>
  </si>
  <si>
    <t>636000-1U</t>
  </si>
  <si>
    <t>Occupancy Expenses Fixed</t>
  </si>
  <si>
    <t>Altered for count reduction</t>
  </si>
  <si>
    <t>636000-2U</t>
  </si>
  <si>
    <t>636000-3U</t>
  </si>
  <si>
    <t>636005-1U</t>
  </si>
  <si>
    <t>Occupancy - Repairs</t>
  </si>
  <si>
    <t>636006-1U</t>
  </si>
  <si>
    <t>Occupancy - Maintenance</t>
  </si>
  <si>
    <t>636007-1U</t>
  </si>
  <si>
    <t>Occupancy - Cleaning</t>
  </si>
  <si>
    <t>636008-1U</t>
  </si>
  <si>
    <t>Occupancy - Grounds</t>
  </si>
  <si>
    <t>636009-1U</t>
  </si>
  <si>
    <t>Occupancy - Security</t>
  </si>
  <si>
    <t>636010-1U</t>
  </si>
  <si>
    <t>Occupancy-Administration fees</t>
  </si>
  <si>
    <t>636016-1U</t>
  </si>
  <si>
    <t>Occupancy - Waste removal</t>
  </si>
  <si>
    <t>636017-1U</t>
  </si>
  <si>
    <t>Occupancy - Water and sewer</t>
  </si>
  <si>
    <t>636018-1U</t>
  </si>
  <si>
    <t>Occupancy - Natural gas</t>
  </si>
  <si>
    <t>636019-1U</t>
  </si>
  <si>
    <t>Occupancy - Electric power</t>
  </si>
  <si>
    <t>636020-1U</t>
  </si>
  <si>
    <t>Occupancy Variable</t>
  </si>
  <si>
    <t>637000-1U</t>
  </si>
  <si>
    <t>Equip. rental and maintenance</t>
  </si>
  <si>
    <t>637020-1U</t>
  </si>
  <si>
    <t>Copier Lease</t>
  </si>
  <si>
    <t>637030-1U</t>
  </si>
  <si>
    <t>Repairs</t>
  </si>
  <si>
    <t>637040-1U</t>
  </si>
  <si>
    <t>Equipment maintenance</t>
  </si>
  <si>
    <t>637040-2U</t>
  </si>
  <si>
    <t>Equipment Maintenance</t>
  </si>
  <si>
    <t>637040-3U</t>
  </si>
  <si>
    <t>639010-1U</t>
  </si>
  <si>
    <t>Conferences and seminars</t>
  </si>
  <si>
    <t>639012-1U</t>
  </si>
  <si>
    <t>Teacher In-Service</t>
  </si>
  <si>
    <t>Budget</t>
  </si>
  <si>
    <t>639015-1U</t>
  </si>
  <si>
    <t>Conference fees</t>
  </si>
  <si>
    <t>639015-2U</t>
  </si>
  <si>
    <t>639015-3U</t>
  </si>
  <si>
    <t>639017-1U</t>
  </si>
  <si>
    <t>Travel and vehicle expense</t>
  </si>
  <si>
    <t>639020-1U</t>
  </si>
  <si>
    <t>Travel - Mileage reimbursement</t>
  </si>
  <si>
    <t>639020-2U</t>
  </si>
  <si>
    <t>639020-3U</t>
  </si>
  <si>
    <t>639022-1U</t>
  </si>
  <si>
    <t>Travel - other vehicle expense</t>
  </si>
  <si>
    <t>639022-2U</t>
  </si>
  <si>
    <t>639022-3U</t>
  </si>
  <si>
    <t>639040-1U</t>
  </si>
  <si>
    <t>Travel - Airfare</t>
  </si>
  <si>
    <t>639040-2U</t>
  </si>
  <si>
    <t>639040-3U</t>
  </si>
  <si>
    <t>639060-1U</t>
  </si>
  <si>
    <t>Travel - lodging</t>
  </si>
  <si>
    <t>639060-2U</t>
  </si>
  <si>
    <t>639060-3U</t>
  </si>
  <si>
    <t>639080-1U</t>
  </si>
  <si>
    <t>Travel - meals</t>
  </si>
  <si>
    <t>639080-2U</t>
  </si>
  <si>
    <t>639080-3U</t>
  </si>
  <si>
    <t>639120-1U</t>
  </si>
  <si>
    <t>Vehicle expense - fuel and oil</t>
  </si>
  <si>
    <t>639140-1U</t>
  </si>
  <si>
    <t>Vehicle expense - rental</t>
  </si>
  <si>
    <t>639150-1U</t>
  </si>
  <si>
    <t>Vehicle-Mileage Reimbursement</t>
  </si>
  <si>
    <t>639160-1U</t>
  </si>
  <si>
    <t>Vehicle expense - R&amp;M</t>
  </si>
  <si>
    <t>641000-1U</t>
  </si>
  <si>
    <t>Interest expense</t>
  </si>
  <si>
    <t>641000-2U</t>
  </si>
  <si>
    <t>641000-3U</t>
  </si>
  <si>
    <t>642000-1U</t>
  </si>
  <si>
    <t>Depreciation Expense</t>
  </si>
  <si>
    <t>642000-2U</t>
  </si>
  <si>
    <t>642000-3U</t>
  </si>
  <si>
    <t>643000-1U</t>
  </si>
  <si>
    <t>Other expense</t>
  </si>
  <si>
    <t>643000-2U</t>
  </si>
  <si>
    <t>643000-3U</t>
  </si>
  <si>
    <t>643100-1U</t>
  </si>
  <si>
    <t>Cash short and over</t>
  </si>
  <si>
    <t>644100-2U</t>
  </si>
  <si>
    <t>Bad debts and collection costs</t>
  </si>
  <si>
    <t>644120-1U</t>
  </si>
  <si>
    <t>644140-2U</t>
  </si>
  <si>
    <t>Debt collection expense</t>
  </si>
  <si>
    <t>645000-1U</t>
  </si>
  <si>
    <t>900500-1U</t>
  </si>
  <si>
    <t>Equity Adjustments URNA</t>
  </si>
  <si>
    <t>900501-1B</t>
  </si>
  <si>
    <t>Equity Adjustments BRNA</t>
  </si>
  <si>
    <t>900502-1T</t>
  </si>
  <si>
    <t>Equity Adjustments TRNA</t>
  </si>
  <si>
    <t>900503-1P</t>
  </si>
  <si>
    <t>Equity Adjustments PRNA</t>
  </si>
  <si>
    <t>Revenue</t>
  </si>
  <si>
    <t>- Cost of Sales</t>
  </si>
  <si>
    <t>- Expenses</t>
  </si>
  <si>
    <t>Budget 19-20</t>
  </si>
  <si>
    <t>Projected 18-19</t>
  </si>
  <si>
    <t>$ Var</t>
  </si>
  <si>
    <t>% Var</t>
  </si>
  <si>
    <t>Budget 18-19</t>
  </si>
  <si>
    <t>Budget 17-18</t>
  </si>
  <si>
    <t>Students (Actual or Budgeted)</t>
  </si>
  <si>
    <t>Feasibility Study</t>
  </si>
  <si>
    <t>Current Budget Highlights</t>
  </si>
  <si>
    <t>PY Budget</t>
  </si>
  <si>
    <t>Addition of a part time bookkeeper @ $45,000</t>
  </si>
  <si>
    <t>Addition of an CFO/accounting service @ $15,000</t>
  </si>
  <si>
    <t>25k for both 18-19</t>
  </si>
  <si>
    <t>Professional Development</t>
  </si>
  <si>
    <t>Transportation Expense</t>
  </si>
  <si>
    <t>Tuition Increase 2015-2020</t>
  </si>
  <si>
    <t>Tuition Increase 2017-2018</t>
  </si>
  <si>
    <t>Tuition Increase 2018-2019</t>
  </si>
  <si>
    <t>Tuition Increase 2019-20</t>
  </si>
  <si>
    <t>Total Tuition</t>
  </si>
  <si>
    <t>Technology Fee</t>
  </si>
  <si>
    <t>Total Lower School Tuition &amp; Fees</t>
  </si>
  <si>
    <t>Total Middle/High School Tuition &amp; Fees</t>
  </si>
  <si>
    <t>Average Student Count 16-17</t>
  </si>
  <si>
    <t>Average Student Count 17-18</t>
  </si>
  <si>
    <t>Average Student Count 18-19</t>
  </si>
  <si>
    <t>Budgeted Student Count 19-20</t>
  </si>
  <si>
    <t>Deposits</t>
  </si>
  <si>
    <t>Net of Deposits</t>
  </si>
  <si>
    <t>Technology Fee $100</t>
  </si>
  <si>
    <t>Salary Sub Budget</t>
  </si>
  <si>
    <t>2015-16</t>
  </si>
  <si>
    <t>Employees</t>
  </si>
  <si>
    <t>Accts</t>
  </si>
  <si>
    <t>Archer, W</t>
  </si>
  <si>
    <t>Bright, A</t>
  </si>
  <si>
    <t>Britton, M</t>
  </si>
  <si>
    <t>Cavanaugh, K</t>
  </si>
  <si>
    <t>Ferguson, J</t>
  </si>
  <si>
    <t>Hodges, R</t>
  </si>
  <si>
    <t>Johnson, D</t>
  </si>
  <si>
    <t>Kaatz, S</t>
  </si>
  <si>
    <t>Keith, J</t>
  </si>
  <si>
    <t>Mason, L</t>
  </si>
  <si>
    <t>Meyers, A</t>
  </si>
  <si>
    <t>Murphy, A</t>
  </si>
  <si>
    <t>Ochs, N</t>
  </si>
  <si>
    <t>Purcell, J</t>
  </si>
  <si>
    <t>Weaver, C</t>
  </si>
  <si>
    <t>Wood, D</t>
  </si>
  <si>
    <t>3rd Party Counseling</t>
  </si>
  <si>
    <t>Subs</t>
  </si>
  <si>
    <t>Totals</t>
  </si>
  <si>
    <t>Wages expens-Lunch</t>
  </si>
  <si>
    <t>Total Salaries</t>
  </si>
  <si>
    <t>EE Benefits Health Ins</t>
  </si>
  <si>
    <t>SEP Plan ER</t>
  </si>
  <si>
    <t>%</t>
  </si>
  <si>
    <t>Life Insurance</t>
  </si>
  <si>
    <t>FICA Tax Expense</t>
  </si>
  <si>
    <t>Medicare Tax Expense</t>
  </si>
  <si>
    <t>Salaries &amp; Wages</t>
  </si>
  <si>
    <t>2% Assumed Raise</t>
  </si>
  <si>
    <t>4% Benefits Increase</t>
  </si>
  <si>
    <t>2016-17</t>
  </si>
  <si>
    <t xml:space="preserve"> </t>
  </si>
  <si>
    <t>2017-18</t>
  </si>
  <si>
    <t>2% Raise, same EEs</t>
  </si>
  <si>
    <t>Full Time Math Replacement</t>
  </si>
  <si>
    <t>1 Month</t>
  </si>
  <si>
    <t>Bright</t>
  </si>
  <si>
    <t>Was Same as Bright</t>
  </si>
  <si>
    <t>Weaver</t>
  </si>
  <si>
    <t>Archer</t>
  </si>
  <si>
    <t>Britton</t>
  </si>
  <si>
    <t>Johnson</t>
  </si>
  <si>
    <t>Meyers</t>
  </si>
  <si>
    <t>Murphy</t>
  </si>
  <si>
    <t>Mason</t>
  </si>
  <si>
    <t>Kaatz</t>
  </si>
  <si>
    <t>No changes in plan, check for accurate increase estimate</t>
  </si>
  <si>
    <t>Cavanaugh</t>
  </si>
  <si>
    <t>Hodges</t>
  </si>
  <si>
    <t>Keith</t>
  </si>
  <si>
    <t>Purcell</t>
  </si>
  <si>
    <t>x 6 months</t>
  </si>
  <si>
    <t>Employee Raise</t>
  </si>
  <si>
    <t>2018-19</t>
  </si>
  <si>
    <t>P/G/F</t>
  </si>
  <si>
    <t>Sutphen, A</t>
  </si>
  <si>
    <t>2017-18 Gross Pay</t>
  </si>
  <si>
    <t>1</t>
  </si>
  <si>
    <t>2</t>
  </si>
  <si>
    <t>3</t>
  </si>
  <si>
    <t>Included in Gross pay below EE Name</t>
  </si>
  <si>
    <t>Program</t>
  </si>
  <si>
    <t>Admin</t>
  </si>
  <si>
    <t>Per EE Per Month/ % Inc</t>
  </si>
  <si>
    <t>2019-20</t>
  </si>
  <si>
    <t>P/M/F</t>
  </si>
  <si>
    <t>Accountant</t>
  </si>
  <si>
    <t>Polatsek</t>
  </si>
  <si>
    <t>3rd Party Actg</t>
  </si>
  <si>
    <t>2018-19 Gross Pay</t>
  </si>
  <si>
    <t>Moving Costs</t>
  </si>
  <si>
    <t>D</t>
  </si>
  <si>
    <t>????</t>
  </si>
  <si>
    <t>Add'l Moving Expenses</t>
  </si>
  <si>
    <t>Moving</t>
  </si>
  <si>
    <t>Per JP</t>
  </si>
  <si>
    <t>Leasehold Architect</t>
  </si>
  <si>
    <t>Construction/Dividers</t>
  </si>
  <si>
    <t>Rent - Storage</t>
  </si>
  <si>
    <t>Portable Furniture</t>
  </si>
  <si>
    <t>QBO</t>
  </si>
  <si>
    <t>Category</t>
  </si>
  <si>
    <t>2018-19 Budget</t>
  </si>
  <si>
    <t>Extrapolation Type</t>
  </si>
  <si>
    <t>Forecast 18-19</t>
  </si>
  <si>
    <t>2019-20 Budget</t>
  </si>
  <si>
    <t>Bud 2 Bud $</t>
  </si>
  <si>
    <t>Bud 2 Bud %</t>
  </si>
  <si>
    <t>Bud 2 PY</t>
  </si>
  <si>
    <t>Bud 2 PY %</t>
  </si>
  <si>
    <t>Timing Type</t>
  </si>
  <si>
    <t>Mgmt Map</t>
  </si>
  <si>
    <t>1015-1U</t>
  </si>
  <si>
    <t>A</t>
  </si>
  <si>
    <t>Cash - Pinnacle Hedge 6630</t>
  </si>
  <si>
    <t>1020-1U</t>
  </si>
  <si>
    <t>Cash - Pinnacle PTO 4638</t>
  </si>
  <si>
    <t>1025-1B</t>
  </si>
  <si>
    <t>Cash - Board Restricted 7982</t>
  </si>
  <si>
    <t>1010-1U</t>
  </si>
  <si>
    <t>Cash - Pinnacle Checking 3606</t>
  </si>
  <si>
    <t>1030-1T</t>
  </si>
  <si>
    <t>Cash - Restricted - Pinnacle</t>
  </si>
  <si>
    <t>1035-1P</t>
  </si>
  <si>
    <t>Special account - Perm Res</t>
  </si>
  <si>
    <t>1050-1U</t>
  </si>
  <si>
    <t>Undeposited Funds</t>
  </si>
  <si>
    <t>1100-1U</t>
  </si>
  <si>
    <t>Student accounts receivable</t>
  </si>
  <si>
    <t>1105-1U</t>
  </si>
  <si>
    <t>Allowance for doubtful account</t>
  </si>
  <si>
    <t>1150-1U</t>
  </si>
  <si>
    <t>TN State IEA Funds Receivable</t>
  </si>
  <si>
    <t>1200-1U</t>
  </si>
  <si>
    <t>Inventory - Hoodie sweatshirts</t>
  </si>
  <si>
    <t>1400-1U</t>
  </si>
  <si>
    <t>Prepaid expenses</t>
  </si>
  <si>
    <t>1450-1U</t>
  </si>
  <si>
    <t>Unamortized Discounts</t>
  </si>
  <si>
    <t>1455-1U</t>
  </si>
  <si>
    <t>Unamortized Ins Loss</t>
  </si>
  <si>
    <t>1475-1U</t>
  </si>
  <si>
    <t>Unamortized Financial Aid</t>
  </si>
  <si>
    <t>1501-1U</t>
  </si>
  <si>
    <t>Furniture and fixtures</t>
  </si>
  <si>
    <t>1505-1U</t>
  </si>
  <si>
    <t>1510-1U</t>
  </si>
  <si>
    <t>Computers and peripherals</t>
  </si>
  <si>
    <t>1515-1U</t>
  </si>
  <si>
    <t>Software</t>
  </si>
  <si>
    <t>1520-1U</t>
  </si>
  <si>
    <t>1525-1U</t>
  </si>
  <si>
    <t>Transportation equipment</t>
  </si>
  <si>
    <t>1530-1U</t>
  </si>
  <si>
    <t>Intangible assets</t>
  </si>
  <si>
    <t>1535-1U</t>
  </si>
  <si>
    <t>Leasehold improvements</t>
  </si>
  <si>
    <t>1701-1U</t>
  </si>
  <si>
    <t>Accum. dep. - Furniture</t>
  </si>
  <si>
    <t>1705-1U</t>
  </si>
  <si>
    <t>Accum. dep. - Equipment</t>
  </si>
  <si>
    <t>1710-1U</t>
  </si>
  <si>
    <t>Accum. dep.-Computer equipment</t>
  </si>
  <si>
    <t>1715-1U</t>
  </si>
  <si>
    <t>Accum. amort. - Software</t>
  </si>
  <si>
    <t>1720-1U</t>
  </si>
  <si>
    <t>Accum. dep. - Textbooks</t>
  </si>
  <si>
    <t>1725-1U</t>
  </si>
  <si>
    <t>Accum. dep. - Transportation</t>
  </si>
  <si>
    <t>1730-1U</t>
  </si>
  <si>
    <t>Accum. amort. - intangibles</t>
  </si>
  <si>
    <t>1735-1U</t>
  </si>
  <si>
    <t>Accum. dep. - Leaseholds</t>
  </si>
  <si>
    <t>2000-1U</t>
  </si>
  <si>
    <t>L</t>
  </si>
  <si>
    <t>Accounts payable</t>
  </si>
  <si>
    <t>2210-1U</t>
  </si>
  <si>
    <t>Deferred tution revenue</t>
  </si>
  <si>
    <t>2215-1U</t>
  </si>
  <si>
    <t>Deferred Deposits</t>
  </si>
  <si>
    <t>2280-1U</t>
  </si>
  <si>
    <t>Tuition insurance liability</t>
  </si>
  <si>
    <t>2300-1U</t>
  </si>
  <si>
    <t>Accrued Expenses</t>
  </si>
  <si>
    <t>2320-1U</t>
  </si>
  <si>
    <t>Differential Wage Accrual</t>
  </si>
  <si>
    <t>2322-1U</t>
  </si>
  <si>
    <t>Annuity-Investors Life W/H</t>
  </si>
  <si>
    <t>2335-1U</t>
  </si>
  <si>
    <t>AFLAC deductions payable</t>
  </si>
  <si>
    <t>2325-1U</t>
  </si>
  <si>
    <t>Dental deductions payable</t>
  </si>
  <si>
    <t>2330-1U</t>
  </si>
  <si>
    <t>Health insurance withheld</t>
  </si>
  <si>
    <t>2340-1U</t>
  </si>
  <si>
    <t>Vision insurance payable</t>
  </si>
  <si>
    <t>2345-1U</t>
  </si>
  <si>
    <t>Colonial Life STD</t>
  </si>
  <si>
    <t>2350-1U</t>
  </si>
  <si>
    <t>IRA w/h</t>
  </si>
  <si>
    <t>2480-1U</t>
  </si>
  <si>
    <t>Payble to PTO</t>
  </si>
  <si>
    <t>2550-1U</t>
  </si>
  <si>
    <t>Current portion - Pinnacle Nat</t>
  </si>
  <si>
    <t>2600-1U</t>
  </si>
  <si>
    <t>Fed SS W/H</t>
  </si>
  <si>
    <t>2605-1U</t>
  </si>
  <si>
    <t>Fed MD W/H</t>
  </si>
  <si>
    <t>2620-1U</t>
  </si>
  <si>
    <t>FIT W/H</t>
  </si>
  <si>
    <t>2625-1U</t>
  </si>
  <si>
    <t>SS EE</t>
  </si>
  <si>
    <t>2630-1U</t>
  </si>
  <si>
    <t>MD EE</t>
  </si>
  <si>
    <t>2700-1U</t>
  </si>
  <si>
    <t>Note Payable - Pinnacle Bank</t>
  </si>
  <si>
    <t>2900-1U</t>
  </si>
  <si>
    <t>Suspense</t>
  </si>
  <si>
    <t>3905-1B</t>
  </si>
  <si>
    <t>E</t>
  </si>
  <si>
    <t>Board designated net assets</t>
  </si>
  <si>
    <t>3900-1U</t>
  </si>
  <si>
    <t>Unrestricted net assets</t>
  </si>
  <si>
    <t>3910-1T</t>
  </si>
  <si>
    <t>Use restricted net assets</t>
  </si>
  <si>
    <t>3915-1P</t>
  </si>
  <si>
    <t>Endowment net assets</t>
  </si>
  <si>
    <t>4120-3U</t>
  </si>
  <si>
    <t>R</t>
  </si>
  <si>
    <t>Simple</t>
  </si>
  <si>
    <t>4125-3U</t>
  </si>
  <si>
    <t>4127-1U</t>
  </si>
  <si>
    <t>Contributions In-Kind</t>
  </si>
  <si>
    <t>None</t>
  </si>
  <si>
    <t>4130-1U</t>
  </si>
  <si>
    <t>4135-3T</t>
  </si>
  <si>
    <t>PT ID</t>
  </si>
  <si>
    <t>101220-1U</t>
  </si>
  <si>
    <t>101222-1U</t>
  </si>
  <si>
    <t>101240-1B</t>
  </si>
  <si>
    <t>101260-1U</t>
  </si>
  <si>
    <t>101302-1T</t>
  </si>
  <si>
    <t>101420-1P</t>
  </si>
  <si>
    <t>110100-1U</t>
  </si>
  <si>
    <t>110900-1U</t>
  </si>
  <si>
    <t>121124-1U</t>
  </si>
  <si>
    <t>140000-1U</t>
  </si>
  <si>
    <t>145550-1U</t>
  </si>
  <si>
    <t>150100-1U</t>
  </si>
  <si>
    <t>151200-1U</t>
  </si>
  <si>
    <t>151300-1U</t>
  </si>
  <si>
    <t>4200-1U</t>
  </si>
  <si>
    <t>151310-1U</t>
  </si>
  <si>
    <t>152100-1U</t>
  </si>
  <si>
    <t>153000-1U</t>
  </si>
  <si>
    <t>155000-1U</t>
  </si>
  <si>
    <t>156100-1U</t>
  </si>
  <si>
    <t>170100-1U</t>
  </si>
  <si>
    <t>171200-1U</t>
  </si>
  <si>
    <t>171300-1U</t>
  </si>
  <si>
    <t>171310-1U</t>
  </si>
  <si>
    <t>172100-1U</t>
  </si>
  <si>
    <t>173000-1U</t>
  </si>
  <si>
    <t>175000-1U</t>
  </si>
  <si>
    <t>176100-1U</t>
  </si>
  <si>
    <t>200000-1U</t>
  </si>
  <si>
    <t>221100-1U</t>
  </si>
  <si>
    <t>221150-1U</t>
  </si>
  <si>
    <t>228000-1U</t>
  </si>
  <si>
    <t>232001-1U</t>
  </si>
  <si>
    <t>233030-1U</t>
  </si>
  <si>
    <t>Ten Month</t>
  </si>
  <si>
    <t>233200-1U</t>
  </si>
  <si>
    <t>233350-1U</t>
  </si>
  <si>
    <t>233700-1U</t>
  </si>
  <si>
    <t>248100-1U</t>
  </si>
  <si>
    <t>255100-1U</t>
  </si>
  <si>
    <t>271600-1U</t>
  </si>
  <si>
    <t>4202-1U</t>
  </si>
  <si>
    <t>390004-1B</t>
  </si>
  <si>
    <t>390005-1U</t>
  </si>
  <si>
    <t>390006-1T</t>
  </si>
  <si>
    <t>390008-1P</t>
  </si>
  <si>
    <t>4205-1U</t>
  </si>
  <si>
    <t>4210-1U</t>
  </si>
  <si>
    <t>4215-1U</t>
  </si>
  <si>
    <t>4220-1U</t>
  </si>
  <si>
    <t>4225-1U</t>
  </si>
  <si>
    <t>4230-1U</t>
  </si>
  <si>
    <t>4235-1U</t>
  </si>
  <si>
    <t>4240-1U</t>
  </si>
  <si>
    <t>4250-1U</t>
  </si>
  <si>
    <t>4260-1U</t>
  </si>
  <si>
    <t>4270-1U</t>
  </si>
  <si>
    <t>4290-1U</t>
  </si>
  <si>
    <t>4300-1U</t>
  </si>
  <si>
    <t>4305-1U</t>
  </si>
  <si>
    <t>4310-1U</t>
  </si>
  <si>
    <t>Summer Camp Revenue</t>
  </si>
  <si>
    <t>4315-1U</t>
  </si>
  <si>
    <t>4700-1U</t>
  </si>
  <si>
    <t>4800-1U</t>
  </si>
  <si>
    <t>4802-1B</t>
  </si>
  <si>
    <t>Interest BR</t>
  </si>
  <si>
    <t>4900-3U</t>
  </si>
  <si>
    <t>4950-3U</t>
  </si>
  <si>
    <t>4905-3U</t>
  </si>
  <si>
    <t>4910-3U</t>
  </si>
  <si>
    <t>4915-3U</t>
  </si>
  <si>
    <t>4920-3U</t>
  </si>
  <si>
    <t>4990-3U</t>
  </si>
  <si>
    <t>4995-3T</t>
  </si>
  <si>
    <t>5005-3U</t>
  </si>
  <si>
    <t>5010-3U</t>
  </si>
  <si>
    <t>5015-1U</t>
  </si>
  <si>
    <t>5020-1U</t>
  </si>
  <si>
    <t>5025-1U</t>
  </si>
  <si>
    <t>4211-1U</t>
  </si>
  <si>
    <t>4212-1U</t>
  </si>
  <si>
    <t>6100-1U</t>
  </si>
  <si>
    <t>6200-1U</t>
  </si>
  <si>
    <t>6305-1U</t>
  </si>
  <si>
    <t>Consultant fees - counseling</t>
  </si>
  <si>
    <t>6205-1U</t>
  </si>
  <si>
    <t>6220-2U</t>
  </si>
  <si>
    <t>6225-3U</t>
  </si>
  <si>
    <t>6235-1U</t>
  </si>
  <si>
    <t>6240-1U</t>
  </si>
  <si>
    <t>6250-1U</t>
  </si>
  <si>
    <t>6255-1U</t>
  </si>
  <si>
    <t>Wage Expense - Teaching</t>
  </si>
  <si>
    <t>6260-1U</t>
  </si>
  <si>
    <t>Wage Exp - Teachers Aid</t>
  </si>
  <si>
    <t>6265-1U</t>
  </si>
  <si>
    <t>6270-1U</t>
  </si>
  <si>
    <t>6275-1U</t>
  </si>
  <si>
    <t>6276-2U</t>
  </si>
  <si>
    <t>6280-1U</t>
  </si>
  <si>
    <t>6281-2U</t>
  </si>
  <si>
    <t>Health Insurance M&amp;G</t>
  </si>
  <si>
    <t>6285-1U</t>
  </si>
  <si>
    <t>6285-2U</t>
  </si>
  <si>
    <t>Life Ins M&amp;G</t>
  </si>
  <si>
    <t>6290-1U</t>
  </si>
  <si>
    <t>6290-2U</t>
  </si>
  <si>
    <t>FICA M&amp;G</t>
  </si>
  <si>
    <t>6295-1U</t>
  </si>
  <si>
    <t>6295-2U</t>
  </si>
  <si>
    <t>Medicare M&amp;G</t>
  </si>
  <si>
    <t>6310-2U</t>
  </si>
  <si>
    <t>6315-2U</t>
  </si>
  <si>
    <t>6320-2U</t>
  </si>
  <si>
    <t>6325-2U</t>
  </si>
  <si>
    <t>6330-2U</t>
  </si>
  <si>
    <t>6400-1U</t>
  </si>
  <si>
    <t>6410-1U</t>
  </si>
  <si>
    <t>6410-2U</t>
  </si>
  <si>
    <t>6410-3U</t>
  </si>
  <si>
    <t>6415-1U</t>
  </si>
  <si>
    <t>6415-2U</t>
  </si>
  <si>
    <t>Dues M&amp;G</t>
  </si>
  <si>
    <t>6415-3U</t>
  </si>
  <si>
    <t>6420-1U</t>
  </si>
  <si>
    <t>1. Formula to Col D for Single Number Column.</t>
  </si>
  <si>
    <t>Now School Supplies</t>
  </si>
  <si>
    <t>6500-1U</t>
  </si>
  <si>
    <t>6500-2U</t>
  </si>
  <si>
    <t>6505-2U</t>
  </si>
  <si>
    <t>6510-2U</t>
  </si>
  <si>
    <t>Trial Balance</t>
  </si>
  <si>
    <t>2. Copy &amp; Paste Accts #s, Text to Columns</t>
  </si>
  <si>
    <t>6600-1U</t>
  </si>
  <si>
    <t>6610-1U</t>
  </si>
  <si>
    <t>As of March 31, 2019</t>
  </si>
  <si>
    <t>6615-1U</t>
  </si>
  <si>
    <t>6630-1U</t>
  </si>
  <si>
    <t>3. Ensure all accounts are showing on Key Tab</t>
  </si>
  <si>
    <t>Summer</t>
  </si>
  <si>
    <t>6635-1U</t>
  </si>
  <si>
    <t>6625-1U</t>
  </si>
  <si>
    <t>Debit</t>
  </si>
  <si>
    <t>6640-1U</t>
  </si>
  <si>
    <t>6645-1U</t>
  </si>
  <si>
    <t>6650-1U</t>
  </si>
  <si>
    <t>Credit</t>
  </si>
  <si>
    <t>6655-1U</t>
  </si>
  <si>
    <t>6660-1U</t>
  </si>
  <si>
    <t>1010-1U Pinnacle Checking 3606</t>
  </si>
  <si>
    <t>6665-2U</t>
  </si>
  <si>
    <t>6632-1U</t>
  </si>
  <si>
    <t>6670-1U</t>
  </si>
  <si>
    <t>6700-1U</t>
  </si>
  <si>
    <t>6700-2U</t>
  </si>
  <si>
    <t>6700-3U</t>
  </si>
  <si>
    <t>6705-2U</t>
  </si>
  <si>
    <t>6705-3U</t>
  </si>
  <si>
    <t>6710-1U</t>
  </si>
  <si>
    <t>6715-1U</t>
  </si>
  <si>
    <t>6720-1U</t>
  </si>
  <si>
    <t>Pinnacle Checking 3606</t>
  </si>
  <si>
    <t>6720-2U</t>
  </si>
  <si>
    <t>6720-3U</t>
  </si>
  <si>
    <t>1015-1U Pinnacle Hedge 6630</t>
  </si>
  <si>
    <t>6800-1U</t>
  </si>
  <si>
    <t>633740-2U</t>
  </si>
  <si>
    <t>6805-2U</t>
  </si>
  <si>
    <t>Pinnacle Hedge 6630</t>
  </si>
  <si>
    <t>6810-1U</t>
  </si>
  <si>
    <t>6810-3U</t>
  </si>
  <si>
    <t>1020-1U Pinnacle PTO 4638</t>
  </si>
  <si>
    <t>6900-1U</t>
  </si>
  <si>
    <t>6900-2U</t>
  </si>
  <si>
    <t>Pinnacle PTO 4638</t>
  </si>
  <si>
    <t>6900-3U</t>
  </si>
  <si>
    <t>6905-1U</t>
  </si>
  <si>
    <t>1025-1B Board Restricted 7982</t>
  </si>
  <si>
    <t>Semester</t>
  </si>
  <si>
    <t>6910-1U</t>
  </si>
  <si>
    <t>6910-2U</t>
  </si>
  <si>
    <t>Board Restricted 7982</t>
  </si>
  <si>
    <t>6910-3U</t>
  </si>
  <si>
    <t>7000-1U</t>
  </si>
  <si>
    <t>1030-1T Pinnacle Temp Restricted</t>
  </si>
  <si>
    <t>7000-2U</t>
  </si>
  <si>
    <t>7000-3U</t>
  </si>
  <si>
    <t>Pinnacle Temp Restricted</t>
  </si>
  <si>
    <t>7005-1U</t>
  </si>
  <si>
    <t>7100-1U</t>
  </si>
  <si>
    <t>7105-1U</t>
  </si>
  <si>
    <t>1035-1P Pinnacle Perm Restricted</t>
  </si>
  <si>
    <t>7110-1U</t>
  </si>
  <si>
    <t>7110-2U</t>
  </si>
  <si>
    <t>Pinnacle Perm Restricted</t>
  </si>
  <si>
    <t>7200-1U</t>
  </si>
  <si>
    <t>7205-1U</t>
  </si>
  <si>
    <t>1100-1U Student Accounts Receivable</t>
  </si>
  <si>
    <t>7205-2U</t>
  </si>
  <si>
    <t>7300-1U</t>
  </si>
  <si>
    <t>Student Accounts Receivable</t>
  </si>
  <si>
    <t>7305-1U</t>
  </si>
  <si>
    <t>1050-1U Undeposited Funds</t>
  </si>
  <si>
    <t>7310-1U</t>
  </si>
  <si>
    <t>7315-1U</t>
  </si>
  <si>
    <t>7320-1U</t>
  </si>
  <si>
    <t>7500-1U</t>
  </si>
  <si>
    <t>7500-2U</t>
  </si>
  <si>
    <t>7500-3U</t>
  </si>
  <si>
    <t>1060-1U Cash in Safe</t>
  </si>
  <si>
    <t>7600-1U</t>
  </si>
  <si>
    <t>1060-1U</t>
  </si>
  <si>
    <t>Cash in Safe</t>
  </si>
  <si>
    <t>7600-2U</t>
  </si>
  <si>
    <t>7600-3U</t>
  </si>
  <si>
    <t>8000-1U</t>
  </si>
  <si>
    <t>1105-1U Allowance for Doubtful Accounts</t>
  </si>
  <si>
    <t>8000-2U</t>
  </si>
  <si>
    <t>8000-3U</t>
  </si>
  <si>
    <t>643100-2U</t>
  </si>
  <si>
    <t>Allowance for Doubtful Accounts</t>
  </si>
  <si>
    <t>Moving Expenses</t>
  </si>
  <si>
    <t>8600-1U</t>
  </si>
  <si>
    <t>8605-1U</t>
  </si>
  <si>
    <t>1150-1U TN State IEA Funds Receivable</t>
  </si>
  <si>
    <t>9000-1U</t>
  </si>
  <si>
    <t>9000-1B</t>
  </si>
  <si>
    <t>Total:</t>
  </si>
  <si>
    <t>NA</t>
  </si>
  <si>
    <t>Rev</t>
  </si>
  <si>
    <t>Exp</t>
  </si>
  <si>
    <t>1200-1U Inventory</t>
  </si>
  <si>
    <t>NI</t>
  </si>
  <si>
    <t>Inventory</t>
  </si>
  <si>
    <t>1400-1U Prepaid Expenses</t>
  </si>
  <si>
    <t>Prepaid Expenses</t>
  </si>
  <si>
    <t>1450-1U Un-Amortized Discounts</t>
  </si>
  <si>
    <t>Un-Amortized Discounts</t>
  </si>
  <si>
    <t>1455-1U Un-Amortized Insurance Loss</t>
  </si>
  <si>
    <t>Un-Amortized Insurance Loss</t>
  </si>
  <si>
    <t>1475-1U Un-Amortized Financial Aid</t>
  </si>
  <si>
    <t>Un-Amortized Financial Aid</t>
  </si>
  <si>
    <t>1501-1U Furniture &amp; Fixtures</t>
  </si>
  <si>
    <t>Furniture &amp; Fixtures</t>
  </si>
  <si>
    <t>1505-1U Equipment</t>
  </si>
  <si>
    <t>1510-1U Computers &amp; Peripherals</t>
  </si>
  <si>
    <t>Computers &amp; Peripherals</t>
  </si>
  <si>
    <t>1515-1U Software</t>
  </si>
  <si>
    <t>1520-1U Textbooks</t>
  </si>
  <si>
    <t>1525-1U Transportation Equipment</t>
  </si>
  <si>
    <t>Transportation Equipment</t>
  </si>
  <si>
    <t>1530-1U Intangible Assets</t>
  </si>
  <si>
    <t>Intangible Assets</t>
  </si>
  <si>
    <t>1535-1U Leasehold Improvements</t>
  </si>
  <si>
    <t>Leasehold Improvements</t>
  </si>
  <si>
    <t>1701-1U Accum. Dep. - Furniture</t>
  </si>
  <si>
    <t>Accum. Dep. - Furniture</t>
  </si>
  <si>
    <t>1705-1U Accum. Dep. - Equipment</t>
  </si>
  <si>
    <t>Accum. Dep. - Equipment</t>
  </si>
  <si>
    <t>1710-1U Accum. Dep. - Computers</t>
  </si>
  <si>
    <t>Accum. Dep. - Computers</t>
  </si>
  <si>
    <t>1715-1U Accum. Amort. - Software</t>
  </si>
  <si>
    <t>Accum. Amort. - Software</t>
  </si>
  <si>
    <t>Budget 2017-18</t>
  </si>
  <si>
    <t>Key</t>
  </si>
  <si>
    <t>Budget 2018-19</t>
  </si>
  <si>
    <t>1720-1U Accum. Dep. - Textbooks</t>
  </si>
  <si>
    <t>Accum. Dep. - Textbooks</t>
  </si>
  <si>
    <t>1725-1U Accum. Dep. - Transportation</t>
  </si>
  <si>
    <t>Accum. Dep. - Transportation</t>
  </si>
  <si>
    <t>1730-1U Accum. Amort. - Intangibles</t>
  </si>
  <si>
    <t>Accum. Amort. - Intangibles</t>
  </si>
  <si>
    <t>1735-1U Accum. Dep. - Leaseholds</t>
  </si>
  <si>
    <t>Accum. Dep. - Leaseholds</t>
  </si>
  <si>
    <t>2000-1U Accounts Payable</t>
  </si>
  <si>
    <t>Accounts Payable</t>
  </si>
  <si>
    <t>2210-1U Deferred Tution Revenue</t>
  </si>
  <si>
    <t>Deferred Tution Revenue</t>
  </si>
  <si>
    <t>2215-1U Deferred Deposits</t>
  </si>
  <si>
    <t>2280-1U Tuition Insurance Liability</t>
  </si>
  <si>
    <t>Tuition Insurance Liability</t>
  </si>
  <si>
    <t>2300-1U Accrued Expenses</t>
  </si>
  <si>
    <t>2320-1U Differential Wage Accrual</t>
  </si>
  <si>
    <t>2322-1U Annuity - Investors Life</t>
  </si>
  <si>
    <t>Annuity - Investors Life</t>
  </si>
  <si>
    <t>2325-1U Dental Deductions Payable</t>
  </si>
  <si>
    <t>Dental Deductions Payable</t>
  </si>
  <si>
    <t>2330-1U Health Insurance Payable</t>
  </si>
  <si>
    <t>Health Insurance Payable</t>
  </si>
  <si>
    <t>2335-1U AFLAC Deductions Payable</t>
  </si>
  <si>
    <t>AFLAC Deductions Payable</t>
  </si>
  <si>
    <t>2340-1U Vision Insurance Payable</t>
  </si>
  <si>
    <t>Vision Insurance Payable</t>
  </si>
  <si>
    <t>2345-1U Colonial Life STD</t>
  </si>
  <si>
    <t>2350-1U EE IRA W/H</t>
  </si>
  <si>
    <t>EE IRA W/H</t>
  </si>
  <si>
    <t>2480-1U Due to PTO</t>
  </si>
  <si>
    <t>Due to PTO</t>
  </si>
  <si>
    <t>2550-1U Current Portion - Pinnacle Note</t>
  </si>
  <si>
    <t>Current Portion - Pinnacle Note</t>
  </si>
  <si>
    <t>2600-1U Fed SS W/H ER</t>
  </si>
  <si>
    <t>Fed SS W/H ER</t>
  </si>
  <si>
    <t>2605-1U Fed Medi ER W/H</t>
  </si>
  <si>
    <t>Fed Medi ER W/H</t>
  </si>
  <si>
    <t>2620-1U FITW EE</t>
  </si>
  <si>
    <t>FITW EE</t>
  </si>
  <si>
    <t>2625-1U SS EE</t>
  </si>
  <si>
    <t>2630-1U Medi EE</t>
  </si>
  <si>
    <t>Medi EE</t>
  </si>
  <si>
    <t>2900-1U Suspense</t>
  </si>
  <si>
    <t>2700-1U Long Term - Pinnacle Note</t>
  </si>
  <si>
    <t>Long Term - Pinnacle Note</t>
  </si>
  <si>
    <t>3900-1U Unrestricted Net Assets</t>
  </si>
  <si>
    <t>Unrestricted Net Assets</t>
  </si>
  <si>
    <t>3905-1B Board Designated Net Assets</t>
  </si>
  <si>
    <t>Board Designated Net Assets</t>
  </si>
  <si>
    <t>3910-1T Temp Restricted Net Assets</t>
  </si>
  <si>
    <t>Temp Restricted Net Assets</t>
  </si>
  <si>
    <t>3915-1P Perm Restricted Net Assets</t>
  </si>
  <si>
    <t>Perm Restricted Net Assets</t>
  </si>
  <si>
    <t>4120-3U Annual Giving Campaign Revenue</t>
  </si>
  <si>
    <t>Annual Giving Campaign Revenue</t>
  </si>
  <si>
    <t>4125-3U Contributions - No Campaign</t>
  </si>
  <si>
    <t>Contributions - No Campaign</t>
  </si>
  <si>
    <t>4127-1U Contributions In-Kind</t>
  </si>
  <si>
    <t>4135-3T Temp Restricted Revenue</t>
  </si>
  <si>
    <t>Temp Restricted Revenue</t>
  </si>
  <si>
    <t>4200-1U Tuition &amp; Fees</t>
  </si>
  <si>
    <t>Tuition &amp; Fees</t>
  </si>
  <si>
    <t>4202-1U Counseling Fees</t>
  </si>
  <si>
    <t>4205-1U Tuition Hedge</t>
  </si>
  <si>
    <t>4211-1U Scholarships Awarded</t>
  </si>
  <si>
    <t>Scholarships Awarded</t>
  </si>
  <si>
    <t>4212-1U Tuition Discounts</t>
  </si>
  <si>
    <t>Tuition Discounts</t>
  </si>
  <si>
    <t>4215-1U Application Fee</t>
  </si>
  <si>
    <t>Application Fee</t>
  </si>
  <si>
    <t>4220-1U Tuition Insurance Revenue</t>
  </si>
  <si>
    <t>4230-1U Aftercare Revenue</t>
  </si>
  <si>
    <t>Aftercare Revenue</t>
  </si>
  <si>
    <t>4235-1U Aftercare Registration</t>
  </si>
  <si>
    <t>Aftercare Registration</t>
  </si>
  <si>
    <t>4250-1U Merchandise Sales Revenue</t>
  </si>
  <si>
    <t>Merchandise Sales Revenue</t>
  </si>
  <si>
    <t>4260-1U Uniform &amp; Clothing Revenue</t>
  </si>
  <si>
    <t>Uniform &amp; Clothing Revenue</t>
  </si>
  <si>
    <t>4270-1U Student Lunch Revenue</t>
  </si>
  <si>
    <t>Student Lunch Revenue</t>
  </si>
  <si>
    <t>4300-1U Yearbook Advertising Sales</t>
  </si>
  <si>
    <t>Yearbook Advertising Sales</t>
  </si>
  <si>
    <t>4305-1U Student Activity Revenue</t>
  </si>
  <si>
    <t>Student Activity Revenue</t>
  </si>
  <si>
    <t>4900-3U Ticket Sales - Fundraisers</t>
  </si>
  <si>
    <t>Ticket Sales - Fundraisers</t>
  </si>
  <si>
    <t>4905-3U Silent Auction - Fundraisers</t>
  </si>
  <si>
    <t>Silent Auction - Fundraisers</t>
  </si>
  <si>
    <t>4910-3U Sponsorships - Fundraisers</t>
  </si>
  <si>
    <t>Sponsorships - Fundraisers</t>
  </si>
  <si>
    <t>4915-3U Donations - Fundraisers</t>
  </si>
  <si>
    <t>Donations - Fundraisers</t>
  </si>
  <si>
    <t>4920-3U Wine Pull - Fundraisers</t>
  </si>
  <si>
    <t>Wine Pull - Fundraisers</t>
  </si>
  <si>
    <t>4950-3U Student Fundraising Event Proceeds</t>
  </si>
  <si>
    <t>Student Fundraising Event Proceeds</t>
  </si>
  <si>
    <t>4990-3U Released Unrestricted Income</t>
  </si>
  <si>
    <t>Released Unrestricted Income</t>
  </si>
  <si>
    <t>4995-3T Temporary Funds Released</t>
  </si>
  <si>
    <t>Temporary Funds Released</t>
  </si>
  <si>
    <t>Sales</t>
  </si>
  <si>
    <t>5005-3U Annual Mailing Costs</t>
  </si>
  <si>
    <t>5010-3U Fundraising Event Costs</t>
  </si>
  <si>
    <t>Fundraising Event Costs</t>
  </si>
  <si>
    <t>5015-1U Cost of Merchandise</t>
  </si>
  <si>
    <t>5020-1U Cost of Goods - Student Lunch</t>
  </si>
  <si>
    <t>Cost of Goods - Student Lunch</t>
  </si>
  <si>
    <t>6100-1U Sycamore Education</t>
  </si>
  <si>
    <t>6200-1U Substitute Teachers</t>
  </si>
  <si>
    <t>Substitute Teachers</t>
  </si>
  <si>
    <t>6205-1U Salaries - Teaching</t>
  </si>
  <si>
    <t>6220-2U Salaries - Administrative</t>
  </si>
  <si>
    <t>4Qtr</t>
  </si>
  <si>
    <t>6235-1U Salaries - Athletics</t>
  </si>
  <si>
    <t>6240-1U Salaries - Transportation</t>
  </si>
  <si>
    <t>6250-1U Wages Expense - Aftercare</t>
  </si>
  <si>
    <t>Wages Expense - Aftercare</t>
  </si>
  <si>
    <t>6255-1U Wages Expense - Teaching</t>
  </si>
  <si>
    <t>Wages Expense - Teaching</t>
  </si>
  <si>
    <t>6265-1U Wages Expense - Lunch</t>
  </si>
  <si>
    <t>Wages Expense - Lunch</t>
  </si>
  <si>
    <t>6270-1U Bonuses</t>
  </si>
  <si>
    <t>6275-1U SIMPLE IRA Program</t>
  </si>
  <si>
    <t>SIMPLE IRA Program</t>
  </si>
  <si>
    <t>6276-2U SIMPLE IRA M&amp;G</t>
  </si>
  <si>
    <t>SIMPLE IRA M&amp;G</t>
  </si>
  <si>
    <t>6280-1U Health Insurance Program</t>
  </si>
  <si>
    <t>Health Insurance Program</t>
  </si>
  <si>
    <t>6281-2U Health Insurance M&amp;G</t>
  </si>
  <si>
    <t>6285-1U Life Insurance Program</t>
  </si>
  <si>
    <t>Life Insurance Program</t>
  </si>
  <si>
    <t>6285-2U Life Insurance M&amp;G</t>
  </si>
  <si>
    <t>Life Insurance M&amp;G</t>
  </si>
  <si>
    <t>6290-1U SS Tax Expense Program</t>
  </si>
  <si>
    <t>SS Tax Expense Program</t>
  </si>
  <si>
    <t>6290-2U SS Tax Expense M&amp;G</t>
  </si>
  <si>
    <t>SS Tax Expense M&amp;G</t>
  </si>
  <si>
    <t>6295-1U Medicare Tax Expense Program</t>
  </si>
  <si>
    <t>Medicare Tax Expense Program</t>
  </si>
  <si>
    <t>6295-2U Medicare Tax Expense M&amp;G</t>
  </si>
  <si>
    <t>Medicare Tax Expense M&amp;G</t>
  </si>
  <si>
    <t>6305-1U Counseling Service Fees</t>
  </si>
  <si>
    <t>Counseling Service Fees</t>
  </si>
  <si>
    <t>6310-2U Auditing/Review Fees</t>
  </si>
  <si>
    <t>Auditing/Review Fees</t>
  </si>
  <si>
    <t>6315-2U Payroll Processing Fees</t>
  </si>
  <si>
    <t>Payroll Processing Fees</t>
  </si>
  <si>
    <t>6320-2U Contract Accounting Services</t>
  </si>
  <si>
    <t>6400-1U School Supplies</t>
  </si>
  <si>
    <t>6410-1U Office Supplies</t>
  </si>
  <si>
    <t>6410-2U Office Supplies M&amp;G</t>
  </si>
  <si>
    <t>Office Supplies M&amp;G</t>
  </si>
  <si>
    <t>6410-3U Office Supplies Fundraising</t>
  </si>
  <si>
    <t>Office Supplies Fundraising</t>
  </si>
  <si>
    <t>6415-1U Dues &amp; Subscriptions</t>
  </si>
  <si>
    <t>Dues &amp; Subscriptions</t>
  </si>
  <si>
    <t>6415-2U Dues &amp; Subscriptions M&amp;G</t>
  </si>
  <si>
    <t>Dues &amp; Subscriptions M&amp;G</t>
  </si>
  <si>
    <t>6420-1U Tax &amp; Licenses</t>
  </si>
  <si>
    <t>Tax &amp; Licenses</t>
  </si>
  <si>
    <t>6500-1U Insurance - General Liability</t>
  </si>
  <si>
    <t>Insurance - General Liability</t>
  </si>
  <si>
    <t>6500-2U Insurance - General Liability M&amp;G</t>
  </si>
  <si>
    <t>Insurance - General Liability M&amp;G</t>
  </si>
  <si>
    <t>6505-2U Insurance - Worker's Comp</t>
  </si>
  <si>
    <t>Insurance - Worker's Comp</t>
  </si>
  <si>
    <t>6600-1U Student Activities</t>
  </si>
  <si>
    <t>6610-1U Athletics - Basketball</t>
  </si>
  <si>
    <t>6615-1U Athletics - Basketball Referee</t>
  </si>
  <si>
    <t>6625-1U Athletics - Other</t>
  </si>
  <si>
    <t>Athletics - Other</t>
  </si>
  <si>
    <t>6630-1U Prom Activities</t>
  </si>
  <si>
    <t>6632-1U Test Expense</t>
  </si>
  <si>
    <t>6640-1U Student Trip</t>
  </si>
  <si>
    <t>Student Trip</t>
  </si>
  <si>
    <t>6660-1U Computer Expenses</t>
  </si>
  <si>
    <t>6700-1U Advertising Program</t>
  </si>
  <si>
    <t>Advertising Program</t>
  </si>
  <si>
    <t>6700-2U Advertising M&amp;G</t>
  </si>
  <si>
    <t>Advertising M&amp;G</t>
  </si>
  <si>
    <t>6705-2U Marketing M&amp;G</t>
  </si>
  <si>
    <t>Marketing M&amp;G</t>
  </si>
  <si>
    <t>6705-3U Marketing Fundraising</t>
  </si>
  <si>
    <t>Marketing Fundraising</t>
  </si>
  <si>
    <t>6715-1U Website &amp; Related</t>
  </si>
  <si>
    <t>Website &amp; Related</t>
  </si>
  <si>
    <t>6720-1U Meals &amp; Entertainment</t>
  </si>
  <si>
    <t>Meals &amp; Entertainment</t>
  </si>
  <si>
    <t>6720-2U Meals &amp; Entertainment M&amp;G</t>
  </si>
  <si>
    <t>Meals &amp; Entertainment M&amp;G</t>
  </si>
  <si>
    <t>6720-3U Meals &amp; Entertainment Fundraising</t>
  </si>
  <si>
    <t>Meals &amp; Entertainment Fundraising</t>
  </si>
  <si>
    <t>6800-1U FACTS Draft Charges</t>
  </si>
  <si>
    <t>6805-2U Bank Charges</t>
  </si>
  <si>
    <t>6810-1U Credit Card Processing Fees</t>
  </si>
  <si>
    <t>Credit Card Processing Fees</t>
  </si>
  <si>
    <t>6810-3U Credit Card Fees Fundraising</t>
  </si>
  <si>
    <t>Credit Card Fees Fundraising</t>
  </si>
  <si>
    <t>6900-1U Telephone</t>
  </si>
  <si>
    <t>6905-1U Internet</t>
  </si>
  <si>
    <t>6910-1U Postage &amp; Shipping</t>
  </si>
  <si>
    <t>Postage &amp; Shipping</t>
  </si>
  <si>
    <t>6910-2U Postage &amp; Shipping M&amp;G</t>
  </si>
  <si>
    <t>Postage &amp; Shipping M&amp;G</t>
  </si>
  <si>
    <t>7000-1U Occupancy</t>
  </si>
  <si>
    <t>Occupancy</t>
  </si>
  <si>
    <t>7100-1U Copier Lease</t>
  </si>
  <si>
    <t>7105-1U Repairs</t>
  </si>
  <si>
    <t>7110-1U Equipment Maintenance</t>
  </si>
  <si>
    <t>7200-1U Teacher In-Service</t>
  </si>
  <si>
    <t>7205-1U Conference Fees</t>
  </si>
  <si>
    <t>Conference Fees</t>
  </si>
  <si>
    <t>7205-2U Conference Fees M&amp;G</t>
  </si>
  <si>
    <t>Conference Fees M&amp;G</t>
  </si>
  <si>
    <t>7300-1U Travel</t>
  </si>
  <si>
    <t>7305-1U Vehicle Expense - Fuel &amp; Oil</t>
  </si>
  <si>
    <t>Vehicle Expense - Fuel &amp; Oil</t>
  </si>
  <si>
    <t>7310-1U Vehicle Expense - Rental</t>
  </si>
  <si>
    <t>Vehicle Expense - Rental</t>
  </si>
  <si>
    <t>7315-1U Vehicle Mileage Reimbursement</t>
  </si>
  <si>
    <t>Vehicle Mileage Reimbursement</t>
  </si>
  <si>
    <t>7500-1U Interest Expense</t>
  </si>
  <si>
    <t>7500-2U Interest Expense M&amp;G</t>
  </si>
  <si>
    <t>Interest Expense M&amp;G</t>
  </si>
  <si>
    <t>8605-1U Insurance Loss Expense</t>
  </si>
  <si>
    <t>4800-1U Interest Income</t>
  </si>
  <si>
    <t>Interest Income</t>
  </si>
  <si>
    <t>4802-1B Interest BR</t>
  </si>
  <si>
    <t>7600-1U Depreciation Expense</t>
  </si>
  <si>
    <t>8000-1U Other Expense</t>
  </si>
  <si>
    <t>Other Expense</t>
  </si>
  <si>
    <t>TOTAL</t>
  </si>
  <si>
    <t>8th, 9th Month</t>
  </si>
  <si>
    <t>9th Month</t>
  </si>
  <si>
    <t>Net</t>
  </si>
  <si>
    <t>Fundraiser Events Cost</t>
  </si>
  <si>
    <t>Actual Outcome</t>
  </si>
  <si>
    <t>Periods</t>
  </si>
  <si>
    <t>Pay Per</t>
  </si>
  <si>
    <t>Periods 2</t>
  </si>
  <si>
    <t>Lunch</t>
  </si>
  <si>
    <t>Coaching</t>
  </si>
  <si>
    <t>Stipend</t>
  </si>
  <si>
    <t>Cost: FFT Outsourcing</t>
  </si>
  <si>
    <t>Polatsek, S</t>
  </si>
  <si>
    <t>Change</t>
  </si>
  <si>
    <t>Statement Mapping Key</t>
  </si>
  <si>
    <t>Formula</t>
  </si>
  <si>
    <t>Unrestricted</t>
  </si>
  <si>
    <t>Board Restricted</t>
  </si>
  <si>
    <t>Temporarily Restricted</t>
  </si>
  <si>
    <t>Permanently Restricted</t>
  </si>
  <si>
    <t>Tab Link</t>
  </si>
  <si>
    <t>Monthly</t>
  </si>
  <si>
    <t>2019-02'</t>
  </si>
  <si>
    <t>2019-03'</t>
  </si>
  <si>
    <t>Statement -&gt;</t>
  </si>
  <si>
    <t>Name</t>
  </si>
  <si>
    <t>Map</t>
  </si>
  <si>
    <t>TB Prev</t>
  </si>
  <si>
    <t>TB YTD</t>
  </si>
  <si>
    <t>Budget MTD</t>
  </si>
  <si>
    <t>YTD Var</t>
  </si>
  <si>
    <t>A01 Row</t>
  </si>
  <si>
    <t>A01 Col</t>
  </si>
  <si>
    <t>A02 Row</t>
  </si>
  <si>
    <t>A02 Col</t>
  </si>
  <si>
    <t>B01 Row</t>
  </si>
  <si>
    <t>B01 Column</t>
  </si>
  <si>
    <t>B02 Row</t>
  </si>
  <si>
    <t>B02 Column</t>
  </si>
  <si>
    <t>B03 Row</t>
  </si>
  <si>
    <t>B03 Column</t>
  </si>
  <si>
    <t>Cash</t>
  </si>
  <si>
    <t>Accounts Receivable</t>
  </si>
  <si>
    <t>Fixed Assets, Net</t>
  </si>
  <si>
    <t>Deferred Tuition</t>
  </si>
  <si>
    <t>Accrued Liabilities</t>
  </si>
  <si>
    <t>Note Payable - Current</t>
  </si>
  <si>
    <t>Note Payable - Long Term</t>
  </si>
  <si>
    <t>Net Assets</t>
  </si>
  <si>
    <t>Tuition &amp; Fees - Summer</t>
  </si>
  <si>
    <t>Less: Financial Aid &amp; Discounts</t>
  </si>
  <si>
    <t>Service Fees</t>
  </si>
  <si>
    <t>Other Service Revenue</t>
  </si>
  <si>
    <t>Transportation Revenue</t>
  </si>
  <si>
    <t>Athletic Event Revenue</t>
  </si>
  <si>
    <t>4280-1U</t>
  </si>
  <si>
    <t>Yearbook Sales</t>
  </si>
  <si>
    <t>Prom Revenue</t>
  </si>
  <si>
    <t>Other Income or Loss</t>
  </si>
  <si>
    <t>4600-1U</t>
  </si>
  <si>
    <t>Special Events Revenue</t>
  </si>
  <si>
    <t>Temporary Rest Funds Released</t>
  </si>
  <si>
    <t>Net Assets Released</t>
  </si>
  <si>
    <t>Permanently Rest Funds Released</t>
  </si>
  <si>
    <t>Cost of Events/Merchandise</t>
  </si>
  <si>
    <t>Operating Expenses</t>
  </si>
  <si>
    <t>6210-1U</t>
  </si>
  <si>
    <t>6215-1U</t>
  </si>
  <si>
    <t>6230-1U</t>
  </si>
  <si>
    <t>6245-1U</t>
  </si>
  <si>
    <t>Wages Expense - Teacher Aids</t>
  </si>
  <si>
    <t>SIMPLE IRA Fundraising</t>
  </si>
  <si>
    <t>6277-3U</t>
  </si>
  <si>
    <t>Health Insurance Fundraising</t>
  </si>
  <si>
    <t>6282-3U</t>
  </si>
  <si>
    <t>SS Tax Expense Fundraising</t>
  </si>
  <si>
    <t>6290-3U</t>
  </si>
  <si>
    <t>Medicare Tax Expense Fundraising</t>
  </si>
  <si>
    <t>6296-3U</t>
  </si>
  <si>
    <t>Legal Fees</t>
  </si>
  <si>
    <t>Workbooks</t>
  </si>
  <si>
    <t>6405-1U</t>
  </si>
  <si>
    <t>Dues &amp; Subscriptions Fundraising</t>
  </si>
  <si>
    <t>Insurance - Directors &amp; Officers</t>
  </si>
  <si>
    <t>6605-1U</t>
  </si>
  <si>
    <t>6620-1U</t>
  </si>
  <si>
    <t>Computer Expenses M&amp;G</t>
  </si>
  <si>
    <t>Advertising Fundraising</t>
  </si>
  <si>
    <t>Printing</t>
  </si>
  <si>
    <t>Telephone M&amp;G</t>
  </si>
  <si>
    <t>Telephone Fundraising</t>
  </si>
  <si>
    <t>Postage &amp; Shipping Fundraising</t>
  </si>
  <si>
    <t>Occupancy M&amp;G</t>
  </si>
  <si>
    <t>Occupancy Fundraising</t>
  </si>
  <si>
    <t>Equipment Maintenance M&amp;G</t>
  </si>
  <si>
    <t>Vehicle Expense - Repairs</t>
  </si>
  <si>
    <t>Interest Expense Fundraising</t>
  </si>
  <si>
    <t>Depreciation Expense M&amp;G</t>
  </si>
  <si>
    <t>Depreciation Expense Fundraising</t>
  </si>
  <si>
    <t>Other Expense M&amp;G</t>
  </si>
  <si>
    <t>Other Expense Fundraising</t>
  </si>
  <si>
    <t>8500-2U</t>
  </si>
  <si>
    <t>Adjustments</t>
  </si>
  <si>
    <t>(Net Income)/ LOSS YTD</t>
  </si>
  <si>
    <t>Eq</t>
  </si>
  <si>
    <t>Ex</t>
  </si>
  <si>
    <t>UR</t>
  </si>
  <si>
    <t>Line Item Mapping for Error Resolution</t>
  </si>
  <si>
    <t>This is used to search for ungrouped accounts on the B0X statements</t>
  </si>
  <si>
    <t>x</t>
  </si>
  <si>
    <t>DO NOT REMOVE</t>
  </si>
  <si>
    <t>Mgmt Stmt Line Items</t>
  </si>
  <si>
    <t>50 Students, with the hopes that a stable location yield a higher average in 2016-17</t>
  </si>
  <si>
    <t>2% COLA for salaries, strategic reduction in admin staff, one teacher not returning, counseling service cancelled</t>
  </si>
  <si>
    <t>4% Increase in Health Ins Premiums, IRA 3% Matching temporarily stopped, Health Ins premiums paid at 50% by BHA</t>
  </si>
  <si>
    <t>4% Increase in Tuition Fees</t>
  </si>
  <si>
    <t>A full year lease at the 6 month lease cost, plus a 10K donation for the 2nd 6 month extension ($88,000)</t>
  </si>
  <si>
    <t>Pod storage rent for movable furniture &amp; dividers ($6,000)</t>
  </si>
  <si>
    <t>$8,000 moving costs</t>
  </si>
  <si>
    <t>Increased depreciation costs for furniture &amp; divider purchases</t>
  </si>
  <si>
    <t>Active?</t>
  </si>
  <si>
    <t>MAP</t>
  </si>
  <si>
    <t>101120-1U</t>
  </si>
  <si>
    <t>Petty cash</t>
  </si>
  <si>
    <t>Yes</t>
  </si>
  <si>
    <t>101265-1U</t>
  </si>
  <si>
    <t>Cash - Raymond James</t>
  </si>
  <si>
    <t>101270-1U</t>
  </si>
  <si>
    <t>Cash - Old Checking Account</t>
  </si>
  <si>
    <t>No</t>
  </si>
  <si>
    <t>101280-1U</t>
  </si>
  <si>
    <t>Cash - Old Account</t>
  </si>
  <si>
    <t>101290-1U</t>
  </si>
  <si>
    <t>PayPal Cash Account</t>
  </si>
  <si>
    <t>12th Month</t>
  </si>
  <si>
    <t>101320-1T</t>
  </si>
  <si>
    <t>Savings - Bank of America</t>
  </si>
  <si>
    <t>101340-1T</t>
  </si>
  <si>
    <t>Cash Restricted Murphy Sch.Fnd</t>
  </si>
  <si>
    <t>101360-1T</t>
  </si>
  <si>
    <t>Special account</t>
  </si>
  <si>
    <t>11000</t>
  </si>
  <si>
    <t>Accounts receivable, net</t>
  </si>
  <si>
    <t>110200-1U</t>
  </si>
  <si>
    <t>Other accounts receivable</t>
  </si>
  <si>
    <t>110300-1U</t>
  </si>
  <si>
    <t>Pledges receivable</t>
  </si>
  <si>
    <t>110400-1U</t>
  </si>
  <si>
    <t>Credit card receivables</t>
  </si>
  <si>
    <t>110500-1U</t>
  </si>
  <si>
    <t>Grants receivable</t>
  </si>
  <si>
    <t>110600</t>
  </si>
  <si>
    <t>Note Rec-Grace Center</t>
  </si>
  <si>
    <t>121100-1U</t>
  </si>
  <si>
    <t>121102-1U</t>
  </si>
  <si>
    <t>Inventory - Smartcard</t>
  </si>
  <si>
    <t>121103-1U</t>
  </si>
  <si>
    <t>Inventory - Baseball Cap</t>
  </si>
  <si>
    <t>121104-1U</t>
  </si>
  <si>
    <t>Inventory - Cookbooks</t>
  </si>
  <si>
    <t>121105-1U</t>
  </si>
  <si>
    <t>Inventory - License Plate Fram</t>
  </si>
  <si>
    <t>121106-1U</t>
  </si>
  <si>
    <t>Inventory - Notecards</t>
  </si>
  <si>
    <t>121107-1U</t>
  </si>
  <si>
    <t>Travel Mug inventory</t>
  </si>
  <si>
    <t>121108-1U</t>
  </si>
  <si>
    <t>Inventory - Tote Bags</t>
  </si>
  <si>
    <t>121109-1U</t>
  </si>
  <si>
    <t>Inventory - TH Tee-shirt</t>
  </si>
  <si>
    <t>121110-1U</t>
  </si>
  <si>
    <t>Inv-BHA Glasses</t>
  </si>
  <si>
    <t>121111-1U</t>
  </si>
  <si>
    <t>Inventory - Blue T-Shirt LS</t>
  </si>
  <si>
    <t>121125-1U</t>
  </si>
  <si>
    <t>Silent Auction Items</t>
  </si>
  <si>
    <t>121126-1U</t>
  </si>
  <si>
    <t>Inv - 1/4 Zip Fleece</t>
  </si>
  <si>
    <t>12901</t>
  </si>
  <si>
    <t>Benton Hall PTO Account</t>
  </si>
  <si>
    <t>Other Current Assets</t>
  </si>
  <si>
    <t>141000-1U</t>
  </si>
  <si>
    <t>Employee advances</t>
  </si>
  <si>
    <t>142000-1U</t>
  </si>
  <si>
    <t>Notes receivable - current</t>
  </si>
  <si>
    <t>145000-1U</t>
  </si>
  <si>
    <t>Unamortized student aid</t>
  </si>
  <si>
    <t>145500-1U</t>
  </si>
  <si>
    <t>Unamortized discounts</t>
  </si>
  <si>
    <t>Unamortized Insurance Loss</t>
  </si>
  <si>
    <t>147000-1U</t>
  </si>
  <si>
    <t>Other current assets</t>
  </si>
  <si>
    <t>150000-1U</t>
  </si>
  <si>
    <t>Property and equipment</t>
  </si>
  <si>
    <t>Fixed Assets</t>
  </si>
  <si>
    <t>151400-1U</t>
  </si>
  <si>
    <t>Office equipment</t>
  </si>
  <si>
    <t>157100-1U</t>
  </si>
  <si>
    <t>Buildings</t>
  </si>
  <si>
    <t>157500-1U</t>
  </si>
  <si>
    <t>Building improvements</t>
  </si>
  <si>
    <t>169000-1U</t>
  </si>
  <si>
    <t>Land</t>
  </si>
  <si>
    <t>170000-1U</t>
  </si>
  <si>
    <t>Less: accumulated depreciation</t>
  </si>
  <si>
    <t>Accumulated Depreciation</t>
  </si>
  <si>
    <t>171400-1U</t>
  </si>
  <si>
    <t>Accum. dep. - Office equip.</t>
  </si>
  <si>
    <t>177100-1U</t>
  </si>
  <si>
    <t>Accum. dep. - Building</t>
  </si>
  <si>
    <t>177500-1U</t>
  </si>
  <si>
    <t>Accum. dep. - Bldg. improvemen</t>
  </si>
  <si>
    <t>189000-1U</t>
  </si>
  <si>
    <t>Investments</t>
  </si>
  <si>
    <t>189110-1U</t>
  </si>
  <si>
    <t>Exxon Mobil Corp Common Stock</t>
  </si>
  <si>
    <t>189120-1U</t>
  </si>
  <si>
    <t>United Parcel Svc Common Stock</t>
  </si>
  <si>
    <t>189130-1U</t>
  </si>
  <si>
    <t>Pepco Common Stock</t>
  </si>
  <si>
    <t>189999-1U</t>
  </si>
  <si>
    <t>Stock Valuation Allowance</t>
  </si>
  <si>
    <t>190000-1U</t>
  </si>
  <si>
    <t>Other Assets</t>
  </si>
  <si>
    <t>191000-1U</t>
  </si>
  <si>
    <t>Organization costs</t>
  </si>
  <si>
    <t>191500-1U</t>
  </si>
  <si>
    <t>Accum. amortiz. - Org. costs</t>
  </si>
  <si>
    <t>192000-1U</t>
  </si>
  <si>
    <t>Note receivable - Noncurrent</t>
  </si>
  <si>
    <t>199000-1U</t>
  </si>
  <si>
    <t>Other noncurrent assets</t>
  </si>
  <si>
    <t>221000-1U</t>
  </si>
  <si>
    <t>Deferred revenue</t>
  </si>
  <si>
    <t>Other Current Liabilities</t>
  </si>
  <si>
    <t>221200-1U</t>
  </si>
  <si>
    <t>Deferred counseling revenue</t>
  </si>
  <si>
    <t>221300-1U</t>
  </si>
  <si>
    <t>Student Account Overpayments</t>
  </si>
  <si>
    <t>221500-1U</t>
  </si>
  <si>
    <t>Deferred leases</t>
  </si>
  <si>
    <t>221600</t>
  </si>
  <si>
    <t>Deferred Tuition Income FY08</t>
  </si>
  <si>
    <t>221601</t>
  </si>
  <si>
    <t>Deferred Tuition InsuranceFY08</t>
  </si>
  <si>
    <t>22202</t>
  </si>
  <si>
    <t>Grace Center FY07 Bldg Occupan</t>
  </si>
  <si>
    <t>230000-1U</t>
  </si>
  <si>
    <t>Accrued expenses</t>
  </si>
  <si>
    <t>230050-1U</t>
  </si>
  <si>
    <t>Accrued Interest</t>
  </si>
  <si>
    <t>231000-1U</t>
  </si>
  <si>
    <t>Sales tax payable</t>
  </si>
  <si>
    <t>232000-1U</t>
  </si>
  <si>
    <t>Wages payable</t>
  </si>
  <si>
    <t>2% Raise</t>
  </si>
  <si>
    <t>233000</t>
  </si>
  <si>
    <t>Deductions payable</t>
  </si>
  <si>
    <t>233010-1U</t>
  </si>
  <si>
    <t>SIMPLE IRA payable - EE</t>
  </si>
  <si>
    <t>3% Raise</t>
  </si>
  <si>
    <t>233020-1U</t>
  </si>
  <si>
    <t>SIMPLE IRA payable - ER</t>
  </si>
  <si>
    <t>Difference</t>
  </si>
  <si>
    <t>233040-1U</t>
  </si>
  <si>
    <t>TIAA-CREF Annuity</t>
  </si>
  <si>
    <t>233060-1U</t>
  </si>
  <si>
    <t>233300-1U</t>
  </si>
  <si>
    <t>FSA deductions payable</t>
  </si>
  <si>
    <t>233320-1U</t>
  </si>
  <si>
    <t>HSA deductions payable</t>
  </si>
  <si>
    <t>233400-1U</t>
  </si>
  <si>
    <t>Life ins. deductions payable</t>
  </si>
  <si>
    <t>233500-1U</t>
  </si>
  <si>
    <t>Long-term disability payable</t>
  </si>
  <si>
    <t>233600-1U</t>
  </si>
  <si>
    <t>Short-term disability payable</t>
  </si>
  <si>
    <t>233820</t>
  </si>
  <si>
    <t>Annuity - Amy</t>
  </si>
  <si>
    <t>233840</t>
  </si>
  <si>
    <t>Unused</t>
  </si>
  <si>
    <t>233860</t>
  </si>
  <si>
    <t>233940</t>
  </si>
  <si>
    <t>HSA contributions payable</t>
  </si>
  <si>
    <t>234000-1U</t>
  </si>
  <si>
    <t>Payroll taxes payable</t>
  </si>
  <si>
    <t>234100-1U</t>
  </si>
  <si>
    <t>Federal payroll taxes payable</t>
  </si>
  <si>
    <t>234103-1U</t>
  </si>
  <si>
    <t>Federal income tax withheld</t>
  </si>
  <si>
    <t>234104-1U</t>
  </si>
  <si>
    <t>FICA tax withheld</t>
  </si>
  <si>
    <t>234106-1U</t>
  </si>
  <si>
    <t>Medicare tax withheld</t>
  </si>
  <si>
    <t>234108-1U</t>
  </si>
  <si>
    <t>FUTA payable</t>
  </si>
  <si>
    <t>234204-1U</t>
  </si>
  <si>
    <t>State payroll taxes payable</t>
  </si>
  <si>
    <t>234206-1U</t>
  </si>
  <si>
    <t>Local payroll taxes payable</t>
  </si>
  <si>
    <t>234208-1U</t>
  </si>
  <si>
    <t>SUTA payable</t>
  </si>
  <si>
    <t>239000-1U</t>
  </si>
  <si>
    <t>Income taxes payable</t>
  </si>
  <si>
    <t>240000-1U</t>
  </si>
  <si>
    <t>Other taxes payable</t>
  </si>
  <si>
    <t>241000-1U</t>
  </si>
  <si>
    <t>Employee benefits payable</t>
  </si>
  <si>
    <t>244000-1U</t>
  </si>
  <si>
    <t>Fund deposits</t>
  </si>
  <si>
    <t>245000-1U</t>
  </si>
  <si>
    <t>Resaerch grants payable</t>
  </si>
  <si>
    <t>248000-1U</t>
  </si>
  <si>
    <t>Other current libilities</t>
  </si>
  <si>
    <t>249000-1U</t>
  </si>
  <si>
    <t>250000-1U</t>
  </si>
  <si>
    <t>Due to JFP Vending</t>
  </si>
  <si>
    <t>251000-1U</t>
  </si>
  <si>
    <t>Bankruptcy Withholding</t>
  </si>
  <si>
    <t>255000-1U</t>
  </si>
  <si>
    <t>Current portion - Long-term de</t>
  </si>
  <si>
    <t>271000</t>
  </si>
  <si>
    <t>Notes payable - Non-current</t>
  </si>
  <si>
    <t>Long Term Liabilities</t>
  </si>
  <si>
    <t>271000-1U</t>
  </si>
  <si>
    <t>Bank of Nashville Credit Line</t>
  </si>
  <si>
    <t>271200-1U</t>
  </si>
  <si>
    <t>Grace Center-FY06 Balance Due</t>
  </si>
  <si>
    <t>271400-1U</t>
  </si>
  <si>
    <t>Loan payable - Walt Murphy</t>
  </si>
  <si>
    <t>272000-1U</t>
  </si>
  <si>
    <t>Contracts payable - noncurrent</t>
  </si>
  <si>
    <t>274000-1U</t>
  </si>
  <si>
    <t>Other long-term liabilites</t>
  </si>
  <si>
    <t>Equity-doesn't close</t>
  </si>
  <si>
    <t>Equity-Retained Earnings</t>
  </si>
  <si>
    <t>390007-1T</t>
  </si>
  <si>
    <t>Time restricted net assets</t>
  </si>
  <si>
    <t>390050-1U</t>
  </si>
  <si>
    <t>Unrealized Gains on Investment</t>
  </si>
  <si>
    <t>Removed by JP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</si>
</sst>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* #,##0.0000_);_(* \(#,##0.0000\);_(* &quot;-&quot;??_);_(@_)"/>
    <numFmt numFmtId="168" formatCode="#,##0.00\ _€"/>
    <numFmt numFmtId="169" formatCode="&quot;$&quot;* #,##0.00\ _€"/>
  </numFmts>
  <fonts count="32">
    <font>
      <sz val="11.0"/>
      <color theme="1"/>
      <name val="Arial"/>
    </font>
    <font>
      <sz val="10.0"/>
      <color rgb="FF000000"/>
      <name val="Times New Roman"/>
    </font>
    <font>
      <b/>
      <sz val="11.0"/>
      <color theme="1"/>
      <name val="Calibri"/>
    </font>
    <font>
      <b/>
      <sz val="8.0"/>
      <color rgb="FF000000"/>
      <name val="Times New Roman"/>
    </font>
    <font>
      <color theme="1"/>
      <name val="Calibri"/>
    </font>
    <font>
      <sz val="11.0"/>
      <color rgb="FF0070C0"/>
      <name val="Calibri"/>
    </font>
    <font>
      <sz val="14.0"/>
      <color rgb="FF000000"/>
      <name val="Times New Roman"/>
    </font>
    <font>
      <sz val="8.0"/>
      <color rgb="FF000000"/>
      <name val="Times New Roman"/>
    </font>
    <font>
      <b/>
      <sz val="10.0"/>
      <color rgb="FF000000"/>
      <name val="Times New Roman"/>
    </font>
    <font>
      <sz val="10.0"/>
      <color rgb="FF0070C0"/>
      <name val="Times New Roman"/>
    </font>
    <font>
      <sz val="11.0"/>
      <color rgb="FF00B050"/>
      <name val="Calibri"/>
    </font>
    <font>
      <sz val="8.0"/>
      <color rgb="FF0070C0"/>
      <name val="Times New Roman"/>
    </font>
    <font>
      <sz val="11.0"/>
      <color theme="1"/>
      <name val="Calibri"/>
    </font>
    <font>
      <b/>
      <sz val="12.0"/>
      <color rgb="FF000000"/>
      <name val="Times New Roman"/>
    </font>
    <font>
      <b/>
      <sz val="11.0"/>
      <color rgb="FF000000"/>
      <name val="Calibri"/>
    </font>
    <font>
      <sz val="8.0"/>
      <color rgb="FF222222"/>
      <name val="Arial"/>
    </font>
    <font>
      <sz val="11.0"/>
      <color rgb="FF000000"/>
      <name val="Calibri"/>
    </font>
    <font>
      <b/>
      <sz val="8.0"/>
      <color theme="1"/>
      <name val="Times New Roman"/>
    </font>
    <font>
      <sz val="11.0"/>
      <color rgb="FF000000"/>
    </font>
    <font>
      <b/>
      <sz val="16.0"/>
      <color rgb="FF000000"/>
      <name val="Calibri"/>
    </font>
    <font>
      <sz val="8.0"/>
      <color theme="1"/>
      <name val="Times New Roman"/>
    </font>
    <font>
      <sz val="8.0"/>
      <color rgb="FF000000"/>
      <name val="Calibri"/>
    </font>
    <font>
      <sz val="8.0"/>
      <color rgb="FF0070C0"/>
      <name val="Calibri"/>
    </font>
    <font>
      <sz val="8.0"/>
      <color theme="1"/>
      <name val="Calibri"/>
    </font>
    <font>
      <sz val="8.0"/>
      <color rgb="FF00B050"/>
      <name val="Times New Roman"/>
    </font>
    <font>
      <b/>
      <sz val="14.0"/>
      <color rgb="FF000000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10.0"/>
      <color rgb="FF000000"/>
      <name val="Calibri"/>
    </font>
    <font>
      <sz val="10.0"/>
      <color rgb="FF0070C0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FBD4B4"/>
        <bgColor rgb="FFFBD4B4"/>
      </patternFill>
    </fill>
    <fill>
      <patternFill patternType="solid">
        <fgColor theme="1"/>
        <bgColor theme="1"/>
      </patternFill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FFFFD1"/>
        <bgColor rgb="FFFFFFD1"/>
      </patternFill>
    </fill>
  </fills>
  <borders count="2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double">
        <color rgb="FF000000"/>
      </bottom>
    </border>
    <border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1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/>
    </xf>
    <xf borderId="0" fillId="0" fontId="2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2" numFmtId="0" xfId="0" applyAlignment="1" applyFont="1">
      <alignment horizontal="right"/>
    </xf>
    <xf borderId="1" fillId="0" fontId="3" numFmtId="49" xfId="0" applyAlignment="1" applyBorder="1" applyFont="1" applyNumberFormat="1">
      <alignment horizontal="left"/>
    </xf>
    <xf borderId="0" fillId="0" fontId="1" numFmtId="0" xfId="0" applyFont="1"/>
    <xf borderId="1" fillId="0" fontId="3" numFmtId="49" xfId="0" applyAlignment="1" applyBorder="1" applyFont="1" applyNumberFormat="1">
      <alignment horizontal="right"/>
    </xf>
    <xf borderId="0" fillId="0" fontId="4" numFmtId="0" xfId="0" applyFont="1"/>
    <xf borderId="1" fillId="0" fontId="3" numFmtId="0" xfId="0" applyBorder="1" applyFont="1"/>
    <xf borderId="1" fillId="0" fontId="3" numFmtId="14" xfId="0" applyBorder="1" applyFont="1" applyNumberFormat="1"/>
    <xf borderId="0" fillId="0" fontId="5" numFmtId="10" xfId="0" applyFont="1" applyNumberFormat="1"/>
    <xf borderId="0" fillId="0" fontId="6" numFmtId="49" xfId="0" applyAlignment="1" applyFont="1" applyNumberFormat="1">
      <alignment horizontal="left"/>
    </xf>
    <xf borderId="0" fillId="0" fontId="1" numFmtId="164" xfId="0" applyAlignment="1" applyFont="1" applyNumberFormat="1">
      <alignment horizontal="right"/>
    </xf>
    <xf borderId="0" fillId="0" fontId="7" numFmtId="0" xfId="0" applyFont="1"/>
    <xf borderId="0" fillId="0" fontId="7" numFmtId="49" xfId="0" applyAlignment="1" applyFont="1" applyNumberFormat="1">
      <alignment horizontal="left"/>
    </xf>
    <xf borderId="0" fillId="0" fontId="8" numFmtId="49" xfId="0" applyAlignment="1" applyFont="1" applyNumberFormat="1">
      <alignment horizontal="left"/>
    </xf>
    <xf borderId="0" fillId="0" fontId="7" numFmtId="164" xfId="0" applyAlignment="1" applyFont="1" applyNumberFormat="1">
      <alignment horizontal="right"/>
    </xf>
    <xf borderId="0" fillId="0" fontId="9" numFmtId="164" xfId="0" applyFont="1" applyNumberFormat="1"/>
    <xf borderId="0" fillId="0" fontId="10" numFmtId="165" xfId="0" applyFont="1" applyNumberFormat="1"/>
    <xf borderId="0" fillId="0" fontId="11" numFmtId="164" xfId="0" applyFont="1" applyNumberFormat="1"/>
    <xf borderId="2" fillId="0" fontId="1" numFmtId="49" xfId="0" applyAlignment="1" applyBorder="1" applyFont="1" applyNumberFormat="1">
      <alignment horizontal="left"/>
    </xf>
    <xf borderId="2" fillId="0" fontId="7" numFmtId="0" xfId="0" applyBorder="1" applyFont="1"/>
    <xf borderId="2" fillId="0" fontId="10" numFmtId="165" xfId="0" applyBorder="1" applyFont="1" applyNumberFormat="1"/>
    <xf borderId="0" fillId="0" fontId="12" numFmtId="49" xfId="0" applyAlignment="1" applyFont="1" applyNumberFormat="1">
      <alignment horizontal="left"/>
    </xf>
    <xf borderId="3" fillId="0" fontId="12" numFmtId="0" xfId="0" applyBorder="1" applyFont="1"/>
    <xf borderId="0" fillId="0" fontId="5" numFmtId="165" xfId="0" applyFont="1" applyNumberFormat="1"/>
    <xf borderId="0" fillId="0" fontId="12" numFmtId="164" xfId="0" applyFont="1" applyNumberFormat="1"/>
    <xf borderId="0" fillId="0" fontId="13" numFmtId="49" xfId="0" applyAlignment="1" applyFont="1" applyNumberFormat="1">
      <alignment horizontal="left"/>
    </xf>
    <xf borderId="3" fillId="0" fontId="12" numFmtId="164" xfId="0" applyAlignment="1" applyBorder="1" applyFont="1" applyNumberFormat="1">
      <alignment horizontal="right"/>
    </xf>
    <xf borderId="0" fillId="0" fontId="1" numFmtId="164" xfId="0" applyFont="1" applyNumberFormat="1"/>
    <xf borderId="4" fillId="2" fontId="14" numFmtId="0" xfId="0" applyBorder="1" applyFill="1" applyFont="1"/>
    <xf borderId="4" fillId="2" fontId="15" numFmtId="0" xfId="0" applyBorder="1" applyFont="1"/>
    <xf borderId="5" fillId="2" fontId="14" numFmtId="0" xfId="0" applyBorder="1" applyFont="1"/>
    <xf borderId="6" fillId="2" fontId="16" numFmtId="0" xfId="0" applyBorder="1" applyFont="1"/>
    <xf borderId="7" fillId="2" fontId="16" numFmtId="0" xfId="0" applyBorder="1" applyFont="1"/>
    <xf borderId="8" fillId="2" fontId="16" numFmtId="0" xfId="0" applyBorder="1" applyFont="1"/>
    <xf borderId="4" fillId="2" fontId="16" numFmtId="164" xfId="0" applyBorder="1" applyFont="1" applyNumberFormat="1"/>
    <xf borderId="4" fillId="2" fontId="16" numFmtId="0" xfId="0" applyBorder="1" applyFont="1"/>
    <xf borderId="9" fillId="2" fontId="16" numFmtId="0" xfId="0" applyBorder="1" applyFont="1"/>
    <xf borderId="4" fillId="2" fontId="15" numFmtId="164" xfId="0" applyBorder="1" applyFont="1" applyNumberFormat="1"/>
    <xf borderId="10" fillId="2" fontId="16" numFmtId="0" xfId="0" applyBorder="1" applyFont="1"/>
    <xf borderId="11" fillId="2" fontId="16" numFmtId="164" xfId="0" applyBorder="1" applyFont="1" applyNumberFormat="1"/>
    <xf borderId="11" fillId="2" fontId="16" numFmtId="0" xfId="0" applyBorder="1" applyFont="1"/>
    <xf borderId="12" fillId="2" fontId="16" numFmtId="0" xfId="0" applyBorder="1" applyFont="1"/>
    <xf borderId="4" fillId="2" fontId="16" numFmtId="166" xfId="0" applyBorder="1" applyFont="1" applyNumberFormat="1"/>
    <xf borderId="13" fillId="2" fontId="16" numFmtId="166" xfId="0" applyBorder="1" applyFont="1" applyNumberFormat="1"/>
    <xf borderId="4" fillId="2" fontId="15" numFmtId="166" xfId="0" applyBorder="1" applyFont="1" applyNumberFormat="1"/>
    <xf borderId="11" fillId="2" fontId="16" numFmtId="166" xfId="0" applyBorder="1" applyFont="1" applyNumberFormat="1"/>
    <xf borderId="14" fillId="0" fontId="12" numFmtId="0" xfId="0" applyBorder="1" applyFont="1"/>
    <xf borderId="0" fillId="0" fontId="2" numFmtId="0" xfId="0" applyFont="1"/>
    <xf borderId="4" fillId="3" fontId="12" numFmtId="164" xfId="0" applyBorder="1" applyFill="1" applyFont="1" applyNumberFormat="1"/>
    <xf borderId="0" fillId="0" fontId="12" numFmtId="166" xfId="0" applyFont="1" applyNumberFormat="1"/>
    <xf borderId="1" fillId="0" fontId="3" numFmtId="0" xfId="0" applyAlignment="1" applyBorder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17" numFmtId="164" xfId="0" applyAlignment="1" applyFont="1" applyNumberFormat="1">
      <alignment horizontal="center"/>
    </xf>
    <xf borderId="0" fillId="0" fontId="11" numFmtId="164" xfId="0" applyAlignment="1" applyFont="1" applyNumberFormat="1">
      <alignment horizontal="right"/>
    </xf>
    <xf borderId="0" fillId="0" fontId="5" numFmtId="164" xfId="0" applyFont="1" applyNumberFormat="1"/>
    <xf borderId="4" fillId="4" fontId="12" numFmtId="164" xfId="0" applyBorder="1" applyFill="1" applyFont="1" applyNumberFormat="1"/>
    <xf borderId="14" fillId="0" fontId="12" numFmtId="49" xfId="0" applyAlignment="1" applyBorder="1" applyFont="1" applyNumberFormat="1">
      <alignment horizontal="left"/>
    </xf>
    <xf borderId="15" fillId="0" fontId="5" numFmtId="164" xfId="0" applyAlignment="1" applyBorder="1" applyFont="1" applyNumberFormat="1">
      <alignment horizontal="right"/>
    </xf>
    <xf borderId="15" fillId="0" fontId="12" numFmtId="164" xfId="0" applyAlignment="1" applyBorder="1" applyFont="1" applyNumberFormat="1">
      <alignment horizontal="right"/>
    </xf>
    <xf borderId="3" fillId="0" fontId="12" numFmtId="164" xfId="0" applyBorder="1" applyFont="1" applyNumberFormat="1"/>
    <xf borderId="15" fillId="0" fontId="12" numFmtId="0" xfId="0" applyBorder="1" applyFont="1"/>
    <xf borderId="0" fillId="0" fontId="7" numFmtId="4" xfId="0" applyAlignment="1" applyFont="1" applyNumberFormat="1">
      <alignment horizontal="right"/>
    </xf>
    <xf borderId="4" fillId="5" fontId="12" numFmtId="0" xfId="0" applyBorder="1" applyFill="1" applyFont="1"/>
    <xf borderId="4" fillId="4" fontId="2" numFmtId="0" xfId="0" applyAlignment="1" applyBorder="1" applyFont="1">
      <alignment horizontal="center"/>
    </xf>
    <xf borderId="4" fillId="6" fontId="2" numFmtId="0" xfId="0" applyAlignment="1" applyBorder="1" applyFill="1" applyFont="1">
      <alignment horizontal="center"/>
    </xf>
    <xf borderId="4" fillId="7" fontId="2" numFmtId="0" xfId="0" applyAlignment="1" applyBorder="1" applyFill="1" applyFont="1">
      <alignment horizontal="center"/>
    </xf>
    <xf borderId="4" fillId="8" fontId="2" numFmtId="0" xfId="0" applyAlignment="1" applyBorder="1" applyFill="1" applyFont="1">
      <alignment horizontal="center"/>
    </xf>
    <xf borderId="4" fillId="9" fontId="2" numFmtId="0" xfId="0" applyAlignment="1" applyBorder="1" applyFill="1" applyFont="1">
      <alignment horizontal="center"/>
    </xf>
    <xf borderId="4" fillId="10" fontId="2" numFmtId="0" xfId="0" applyAlignment="1" applyBorder="1" applyFill="1" applyFont="1">
      <alignment horizontal="center"/>
    </xf>
    <xf borderId="4" fillId="11" fontId="2" numFmtId="0" xfId="0" applyAlignment="1" applyBorder="1" applyFill="1" applyFont="1">
      <alignment horizontal="center"/>
    </xf>
    <xf borderId="4" fillId="5" fontId="2" numFmtId="0" xfId="0" applyAlignment="1" applyBorder="1" applyFont="1">
      <alignment horizontal="center"/>
    </xf>
    <xf borderId="4" fillId="5" fontId="2" numFmtId="0" xfId="0" applyAlignment="1" applyBorder="1" applyFont="1">
      <alignment horizontal="right"/>
    </xf>
    <xf borderId="4" fillId="4" fontId="18" numFmtId="0" xfId="0" applyAlignment="1" applyBorder="1" applyFont="1">
      <alignment readingOrder="0"/>
    </xf>
    <xf borderId="4" fillId="6" fontId="12" numFmtId="0" xfId="0" applyBorder="1" applyFont="1"/>
    <xf borderId="4" fillId="7" fontId="12" numFmtId="0" xfId="0" applyBorder="1" applyFont="1"/>
    <xf borderId="4" fillId="8" fontId="12" numFmtId="0" xfId="0" applyBorder="1" applyFont="1"/>
    <xf borderId="4" fillId="9" fontId="12" numFmtId="0" xfId="0" applyBorder="1" applyFont="1"/>
    <xf borderId="4" fillId="10" fontId="12" numFmtId="164" xfId="0" applyBorder="1" applyFont="1" applyNumberFormat="1"/>
    <xf borderId="4" fillId="11" fontId="12" numFmtId="0" xfId="0" applyBorder="1" applyFont="1"/>
    <xf borderId="4" fillId="5" fontId="6" numFmtId="49" xfId="0" applyAlignment="1" applyBorder="1" applyFont="1" applyNumberFormat="1">
      <alignment horizontal="left"/>
    </xf>
    <xf borderId="4" fillId="4" fontId="6" numFmtId="49" xfId="0" applyAlignment="1" applyBorder="1" applyFont="1" applyNumberFormat="1">
      <alignment horizontal="left"/>
    </xf>
    <xf borderId="4" fillId="6" fontId="6" numFmtId="49" xfId="0" applyAlignment="1" applyBorder="1" applyFont="1" applyNumberFormat="1">
      <alignment horizontal="left"/>
    </xf>
    <xf borderId="4" fillId="7" fontId="6" numFmtId="49" xfId="0" applyAlignment="1" applyBorder="1" applyFont="1" applyNumberFormat="1">
      <alignment horizontal="left"/>
    </xf>
    <xf borderId="4" fillId="8" fontId="6" numFmtId="49" xfId="0" applyAlignment="1" applyBorder="1" applyFont="1" applyNumberFormat="1">
      <alignment horizontal="left"/>
    </xf>
    <xf borderId="4" fillId="9" fontId="6" numFmtId="49" xfId="0" applyAlignment="1" applyBorder="1" applyFont="1" applyNumberFormat="1">
      <alignment horizontal="left"/>
    </xf>
    <xf borderId="4" fillId="10" fontId="12" numFmtId="0" xfId="0" applyBorder="1" applyFont="1"/>
    <xf borderId="4" fillId="5" fontId="8" numFmtId="49" xfId="0" applyAlignment="1" applyBorder="1" applyFont="1" applyNumberFormat="1">
      <alignment horizontal="left"/>
    </xf>
    <xf borderId="4" fillId="4" fontId="8" numFmtId="49" xfId="0" applyAlignment="1" applyBorder="1" applyFont="1" applyNumberFormat="1">
      <alignment horizontal="left"/>
    </xf>
    <xf borderId="4" fillId="6" fontId="8" numFmtId="49" xfId="0" applyAlignment="1" applyBorder="1" applyFont="1" applyNumberFormat="1">
      <alignment horizontal="left"/>
    </xf>
    <xf borderId="4" fillId="7" fontId="8" numFmtId="49" xfId="0" applyAlignment="1" applyBorder="1" applyFont="1" applyNumberFormat="1">
      <alignment horizontal="left"/>
    </xf>
    <xf borderId="4" fillId="8" fontId="8" numFmtId="49" xfId="0" applyAlignment="1" applyBorder="1" applyFont="1" applyNumberFormat="1">
      <alignment horizontal="left"/>
    </xf>
    <xf borderId="4" fillId="9" fontId="8" numFmtId="49" xfId="0" applyAlignment="1" applyBorder="1" applyFont="1" applyNumberFormat="1">
      <alignment horizontal="left"/>
    </xf>
    <xf borderId="4" fillId="5" fontId="1" numFmtId="49" xfId="0" applyAlignment="1" applyBorder="1" applyFont="1" applyNumberFormat="1">
      <alignment horizontal="left"/>
    </xf>
    <xf borderId="4" fillId="4" fontId="10" numFmtId="165" xfId="0" applyBorder="1" applyFont="1" applyNumberFormat="1"/>
    <xf borderId="4" fillId="6" fontId="10" numFmtId="165" xfId="0" applyBorder="1" applyFont="1" applyNumberFormat="1"/>
    <xf borderId="4" fillId="7" fontId="5" numFmtId="165" xfId="0" applyBorder="1" applyFont="1" applyNumberFormat="1"/>
    <xf borderId="4" fillId="7" fontId="5" numFmtId="10" xfId="0" applyBorder="1" applyFont="1" applyNumberFormat="1"/>
    <xf borderId="4" fillId="8" fontId="10" numFmtId="165" xfId="0" applyBorder="1" applyFont="1" applyNumberFormat="1"/>
    <xf borderId="4" fillId="9" fontId="10" numFmtId="165" xfId="0" applyBorder="1" applyFont="1" applyNumberFormat="1"/>
    <xf borderId="4" fillId="10" fontId="10" numFmtId="165" xfId="0" applyBorder="1" applyFont="1" applyNumberFormat="1"/>
    <xf borderId="4" fillId="11" fontId="10" numFmtId="165" xfId="0" applyBorder="1" applyFont="1" applyNumberFormat="1"/>
    <xf borderId="4" fillId="5" fontId="10" numFmtId="165" xfId="0" applyBorder="1" applyFont="1" applyNumberFormat="1"/>
    <xf borderId="4" fillId="5" fontId="5" numFmtId="165" xfId="0" applyBorder="1" applyFont="1" applyNumberFormat="1"/>
    <xf borderId="13" fillId="5" fontId="1" numFmtId="49" xfId="0" applyAlignment="1" applyBorder="1" applyFont="1" applyNumberFormat="1">
      <alignment horizontal="left"/>
    </xf>
    <xf borderId="13" fillId="10" fontId="10" numFmtId="165" xfId="0" applyBorder="1" applyFont="1" applyNumberFormat="1"/>
    <xf borderId="13" fillId="11" fontId="10" numFmtId="165" xfId="0" applyBorder="1" applyFont="1" applyNumberFormat="1"/>
    <xf borderId="13" fillId="5" fontId="10" numFmtId="165" xfId="0" applyBorder="1" applyFont="1" applyNumberFormat="1"/>
    <xf borderId="13" fillId="5" fontId="5" numFmtId="165" xfId="0" applyBorder="1" applyFont="1" applyNumberFormat="1"/>
    <xf borderId="4" fillId="5" fontId="12" numFmtId="49" xfId="0" applyAlignment="1" applyBorder="1" applyFont="1" applyNumberFormat="1">
      <alignment horizontal="left"/>
    </xf>
    <xf borderId="16" fillId="4" fontId="12" numFmtId="49" xfId="0" applyAlignment="1" applyBorder="1" applyFont="1" applyNumberFormat="1">
      <alignment horizontal="left"/>
    </xf>
    <xf borderId="16" fillId="6" fontId="12" numFmtId="49" xfId="0" applyAlignment="1" applyBorder="1" applyFont="1" applyNumberFormat="1">
      <alignment horizontal="left"/>
    </xf>
    <xf borderId="16" fillId="7" fontId="12" numFmtId="49" xfId="0" applyAlignment="1" applyBorder="1" applyFont="1" applyNumberFormat="1">
      <alignment horizontal="left"/>
    </xf>
    <xf borderId="16" fillId="8" fontId="12" numFmtId="49" xfId="0" applyAlignment="1" applyBorder="1" applyFont="1" applyNumberFormat="1">
      <alignment horizontal="left"/>
    </xf>
    <xf borderId="16" fillId="9" fontId="12" numFmtId="49" xfId="0" applyAlignment="1" applyBorder="1" applyFont="1" applyNumberFormat="1">
      <alignment horizontal="left"/>
    </xf>
    <xf borderId="4" fillId="4" fontId="5" numFmtId="165" xfId="0" applyBorder="1" applyFont="1" applyNumberFormat="1"/>
    <xf borderId="4" fillId="6" fontId="5" numFmtId="165" xfId="0" applyBorder="1" applyFont="1" applyNumberFormat="1"/>
    <xf borderId="4" fillId="8" fontId="5" numFmtId="165" xfId="0" applyBorder="1" applyFont="1" applyNumberFormat="1"/>
    <xf borderId="4" fillId="9" fontId="5" numFmtId="165" xfId="0" applyBorder="1" applyFont="1" applyNumberFormat="1"/>
    <xf borderId="4" fillId="10" fontId="5" numFmtId="165" xfId="0" applyBorder="1" applyFont="1" applyNumberFormat="1"/>
    <xf borderId="4" fillId="11" fontId="5" numFmtId="165" xfId="0" applyBorder="1" applyFont="1" applyNumberFormat="1"/>
    <xf borderId="4" fillId="5" fontId="1" numFmtId="49" xfId="0" applyAlignment="1" applyBorder="1" applyFont="1" applyNumberFormat="1">
      <alignment horizontal="center"/>
    </xf>
    <xf borderId="4" fillId="4" fontId="1" numFmtId="49" xfId="0" applyAlignment="1" applyBorder="1" applyFont="1" applyNumberFormat="1">
      <alignment horizontal="center"/>
    </xf>
    <xf borderId="4" fillId="6" fontId="1" numFmtId="49" xfId="0" applyAlignment="1" applyBorder="1" applyFont="1" applyNumberFormat="1">
      <alignment horizontal="center"/>
    </xf>
    <xf borderId="4" fillId="7" fontId="1" numFmtId="49" xfId="0" applyAlignment="1" applyBorder="1" applyFont="1" applyNumberFormat="1">
      <alignment horizontal="center"/>
    </xf>
    <xf borderId="4" fillId="8" fontId="1" numFmtId="49" xfId="0" applyAlignment="1" applyBorder="1" applyFont="1" applyNumberFormat="1">
      <alignment horizontal="center"/>
    </xf>
    <xf borderId="4" fillId="9" fontId="1" numFmtId="49" xfId="0" applyAlignment="1" applyBorder="1" applyFont="1" applyNumberFormat="1">
      <alignment horizontal="center"/>
    </xf>
    <xf borderId="4" fillId="7" fontId="10" numFmtId="165" xfId="0" applyBorder="1" applyFont="1" applyNumberFormat="1"/>
    <xf borderId="4" fillId="4" fontId="12" numFmtId="49" xfId="0" applyAlignment="1" applyBorder="1" applyFont="1" applyNumberFormat="1">
      <alignment horizontal="left"/>
    </xf>
    <xf borderId="4" fillId="6" fontId="12" numFmtId="49" xfId="0" applyAlignment="1" applyBorder="1" applyFont="1" applyNumberFormat="1">
      <alignment horizontal="left"/>
    </xf>
    <xf borderId="4" fillId="7" fontId="12" numFmtId="49" xfId="0" applyAlignment="1" applyBorder="1" applyFont="1" applyNumberFormat="1">
      <alignment horizontal="left"/>
    </xf>
    <xf borderId="4" fillId="8" fontId="12" numFmtId="49" xfId="0" applyAlignment="1" applyBorder="1" applyFont="1" applyNumberFormat="1">
      <alignment horizontal="left"/>
    </xf>
    <xf borderId="4" fillId="9" fontId="12" numFmtId="49" xfId="0" applyAlignment="1" applyBorder="1" applyFont="1" applyNumberFormat="1">
      <alignment horizontal="left"/>
    </xf>
    <xf borderId="0" fillId="0" fontId="12" numFmtId="0" xfId="0" applyFont="1"/>
    <xf borderId="2" fillId="0" fontId="12" numFmtId="0" xfId="0" applyBorder="1" applyFont="1"/>
    <xf borderId="2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0" fillId="0" fontId="12" numFmtId="9" xfId="0" applyAlignment="1" applyFont="1" applyNumberFormat="1">
      <alignment horizontal="center"/>
    </xf>
    <xf borderId="0" fillId="0" fontId="12" numFmtId="164" xfId="0" applyAlignment="1" applyFont="1" applyNumberFormat="1">
      <alignment horizontal="center"/>
    </xf>
    <xf borderId="16" fillId="11" fontId="12" numFmtId="0" xfId="0" applyBorder="1" applyFont="1"/>
    <xf borderId="16" fillId="4" fontId="12" numFmtId="0" xfId="0" applyBorder="1" applyFont="1"/>
    <xf borderId="16" fillId="6" fontId="12" numFmtId="0" xfId="0" applyBorder="1" applyFont="1"/>
    <xf borderId="16" fillId="7" fontId="12" numFmtId="0" xfId="0" applyBorder="1" applyFont="1"/>
    <xf borderId="16" fillId="8" fontId="12" numFmtId="0" xfId="0" applyBorder="1" applyFont="1"/>
    <xf borderId="16" fillId="9" fontId="12" numFmtId="0" xfId="0" applyBorder="1" applyFont="1"/>
    <xf borderId="16" fillId="10" fontId="12" numFmtId="0" xfId="0" applyBorder="1" applyFont="1"/>
    <xf borderId="4" fillId="5" fontId="12" numFmtId="164" xfId="0" applyBorder="1" applyFont="1" applyNumberFormat="1"/>
    <xf borderId="13" fillId="5" fontId="13" numFmtId="49" xfId="0" applyAlignment="1" applyBorder="1" applyFont="1" applyNumberFormat="1">
      <alignment horizontal="left"/>
    </xf>
    <xf borderId="13" fillId="4" fontId="5" numFmtId="165" xfId="0" applyBorder="1" applyFont="1" applyNumberFormat="1"/>
    <xf borderId="13" fillId="6" fontId="5" numFmtId="165" xfId="0" applyBorder="1" applyFont="1" applyNumberFormat="1"/>
    <xf borderId="13" fillId="7" fontId="5" numFmtId="165" xfId="0" applyBorder="1" applyFont="1" applyNumberFormat="1"/>
    <xf borderId="13" fillId="7" fontId="5" numFmtId="10" xfId="0" applyBorder="1" applyFont="1" applyNumberFormat="1"/>
    <xf borderId="13" fillId="8" fontId="5" numFmtId="165" xfId="0" applyBorder="1" applyFont="1" applyNumberFormat="1"/>
    <xf borderId="13" fillId="9" fontId="5" numFmtId="165" xfId="0" applyBorder="1" applyFont="1" applyNumberFormat="1"/>
    <xf borderId="13" fillId="10" fontId="5" numFmtId="165" xfId="0" applyBorder="1" applyFont="1" applyNumberFormat="1"/>
    <xf borderId="13" fillId="11" fontId="5" numFmtId="165" xfId="0" applyBorder="1" applyFont="1" applyNumberFormat="1"/>
    <xf borderId="17" fillId="5" fontId="1" numFmtId="49" xfId="0" applyAlignment="1" applyBorder="1" applyFont="1" applyNumberFormat="1">
      <alignment horizontal="left"/>
    </xf>
    <xf borderId="17" fillId="4" fontId="5" numFmtId="165" xfId="0" applyBorder="1" applyFont="1" applyNumberFormat="1"/>
    <xf borderId="17" fillId="6" fontId="5" numFmtId="165" xfId="0" applyBorder="1" applyFont="1" applyNumberFormat="1"/>
    <xf borderId="17" fillId="7" fontId="5" numFmtId="165" xfId="0" applyBorder="1" applyFont="1" applyNumberFormat="1"/>
    <xf borderId="17" fillId="7" fontId="5" numFmtId="10" xfId="0" applyBorder="1" applyFont="1" applyNumberFormat="1"/>
    <xf borderId="17" fillId="8" fontId="5" numFmtId="165" xfId="0" applyBorder="1" applyFont="1" applyNumberFormat="1"/>
    <xf borderId="17" fillId="9" fontId="5" numFmtId="165" xfId="0" applyBorder="1" applyFont="1" applyNumberFormat="1"/>
    <xf borderId="17" fillId="10" fontId="5" numFmtId="165" xfId="0" applyBorder="1" applyFont="1" applyNumberFormat="1"/>
    <xf borderId="17" fillId="11" fontId="5" numFmtId="165" xfId="0" applyBorder="1" applyFont="1" applyNumberFormat="1"/>
    <xf borderId="17" fillId="5" fontId="5" numFmtId="165" xfId="0" applyBorder="1" applyFont="1" applyNumberFormat="1"/>
    <xf borderId="4" fillId="5" fontId="7" numFmtId="0" xfId="0" applyBorder="1" applyFont="1"/>
    <xf borderId="4" fillId="4" fontId="7" numFmtId="0" xfId="0" applyBorder="1" applyFont="1"/>
    <xf borderId="4" fillId="6" fontId="7" numFmtId="0" xfId="0" applyBorder="1" applyFont="1"/>
    <xf borderId="4" fillId="7" fontId="7" numFmtId="0" xfId="0" applyBorder="1" applyFont="1"/>
    <xf borderId="4" fillId="8" fontId="7" numFmtId="0" xfId="0" applyBorder="1" applyFont="1"/>
    <xf borderId="4" fillId="9" fontId="7" numFmtId="0" xfId="0" applyBorder="1" applyFont="1"/>
    <xf borderId="4" fillId="5" fontId="12" numFmtId="165" xfId="0" applyBorder="1" applyFont="1" applyNumberFormat="1"/>
    <xf borderId="4" fillId="4" fontId="12" numFmtId="0" xfId="0" applyBorder="1" applyFont="1"/>
    <xf borderId="0" fillId="0" fontId="19" numFmtId="0" xfId="0" applyFont="1"/>
    <xf borderId="0" fillId="0" fontId="15" numFmtId="0" xfId="0" applyFont="1"/>
    <xf borderId="4" fillId="2" fontId="16" numFmtId="0" xfId="0" applyAlignment="1" applyBorder="1" applyFont="1">
      <alignment horizontal="center"/>
    </xf>
    <xf borderId="7" fillId="3" fontId="16" numFmtId="10" xfId="0" applyBorder="1" applyFont="1" applyNumberFormat="1"/>
    <xf borderId="18" fillId="0" fontId="12" numFmtId="0" xfId="0" applyBorder="1" applyFont="1"/>
    <xf borderId="11" fillId="2" fontId="15" numFmtId="0" xfId="0" applyBorder="1" applyFont="1"/>
    <xf borderId="4" fillId="3" fontId="12" numFmtId="0" xfId="0" applyBorder="1" applyFont="1"/>
    <xf borderId="3" fillId="0" fontId="5" numFmtId="164" xfId="0" applyBorder="1" applyFont="1" applyNumberFormat="1"/>
    <xf borderId="19" fillId="0" fontId="2" numFmtId="0" xfId="0" applyAlignment="1" applyBorder="1" applyFont="1">
      <alignment shrinkToFit="0" wrapText="1"/>
    </xf>
    <xf borderId="20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0" fontId="12" numFmtId="165" xfId="0" applyAlignment="1" applyBorder="1" applyFont="1" applyNumberFormat="1">
      <alignment shrinkToFit="0" wrapText="1"/>
    </xf>
    <xf borderId="21" fillId="0" fontId="12" numFmtId="165" xfId="0" applyAlignment="1" applyBorder="1" applyFont="1" applyNumberFormat="1">
      <alignment shrinkToFit="0" wrapText="1"/>
    </xf>
    <xf borderId="22" fillId="0" fontId="1" numFmtId="49" xfId="0" applyAlignment="1" applyBorder="1" applyFont="1" applyNumberFormat="1">
      <alignment horizontal="left"/>
    </xf>
    <xf borderId="0" fillId="0" fontId="12" numFmtId="165" xfId="0" applyFont="1" applyNumberFormat="1"/>
    <xf borderId="19" fillId="0" fontId="12" numFmtId="0" xfId="0" applyBorder="1" applyFont="1"/>
    <xf borderId="1" fillId="0" fontId="12" numFmtId="0" xfId="0" applyBorder="1" applyFont="1"/>
    <xf borderId="1" fillId="0" fontId="5" numFmtId="165" xfId="0" applyBorder="1" applyFont="1" applyNumberFormat="1"/>
    <xf borderId="21" fillId="0" fontId="5" numFmtId="165" xfId="0" applyBorder="1" applyFont="1" applyNumberFormat="1"/>
    <xf borderId="0" fillId="0" fontId="5" numFmtId="167" xfId="0" applyFont="1" applyNumberFormat="1"/>
    <xf borderId="0" fillId="0" fontId="12" numFmtId="167" xfId="0" applyFont="1" applyNumberFormat="1"/>
    <xf borderId="2" fillId="0" fontId="5" numFmtId="165" xfId="0" applyBorder="1" applyFont="1" applyNumberFormat="1"/>
    <xf borderId="4" fillId="3" fontId="5" numFmtId="165" xfId="0" applyBorder="1" applyFont="1" applyNumberFormat="1"/>
    <xf borderId="0" fillId="0" fontId="12" numFmtId="0" xfId="0" applyAlignment="1" applyFont="1">
      <alignment horizontal="right"/>
    </xf>
    <xf borderId="4" fillId="12" fontId="5" numFmtId="165" xfId="0" applyBorder="1" applyFill="1" applyFont="1" applyNumberFormat="1"/>
    <xf quotePrefix="1" borderId="0" fillId="0" fontId="12" numFmtId="0" xfId="0" applyFont="1"/>
    <xf borderId="20" fillId="0" fontId="8" numFmtId="49" xfId="0" applyAlignment="1" applyBorder="1" applyFont="1" applyNumberFormat="1">
      <alignment horizontal="left"/>
    </xf>
    <xf borderId="20" fillId="3" fontId="12" numFmtId="10" xfId="0" applyBorder="1" applyFont="1" applyNumberFormat="1"/>
    <xf borderId="20" fillId="0" fontId="12" numFmtId="10" xfId="0" applyBorder="1" applyFont="1" applyNumberFormat="1"/>
    <xf borderId="20" fillId="0" fontId="12" numFmtId="0" xfId="0" applyBorder="1" applyFont="1"/>
    <xf borderId="20" fillId="0" fontId="2" numFmtId="0" xfId="0" applyBorder="1" applyFont="1"/>
    <xf borderId="20" fillId="0" fontId="1" numFmtId="49" xfId="0" applyAlignment="1" applyBorder="1" applyFont="1" applyNumberFormat="1">
      <alignment horizontal="left"/>
    </xf>
    <xf borderId="20" fillId="0" fontId="12" numFmtId="0" xfId="0" applyAlignment="1" applyBorder="1" applyFont="1">
      <alignment horizontal="center"/>
    </xf>
    <xf borderId="20" fillId="0" fontId="2" numFmtId="0" xfId="0" applyAlignment="1" applyBorder="1" applyFont="1">
      <alignment horizontal="center" shrinkToFit="0" wrapText="1"/>
    </xf>
    <xf borderId="20" fillId="0" fontId="12" numFmtId="165" xfId="0" applyAlignment="1" applyBorder="1" applyFont="1" applyNumberFormat="1">
      <alignment shrinkToFit="0" wrapText="1"/>
    </xf>
    <xf borderId="20" fillId="0" fontId="12" numFmtId="164" xfId="0" applyAlignment="1" applyBorder="1" applyFont="1" applyNumberFormat="1">
      <alignment shrinkToFit="0" wrapText="1"/>
    </xf>
    <xf borderId="20" fillId="3" fontId="12" numFmtId="164" xfId="0" applyAlignment="1" applyBorder="1" applyFont="1" applyNumberFormat="1">
      <alignment shrinkToFit="0" wrapText="1"/>
    </xf>
    <xf borderId="20" fillId="0" fontId="5" numFmtId="165" xfId="0" applyBorder="1" applyFont="1" applyNumberFormat="1"/>
    <xf borderId="20" fillId="12" fontId="5" numFmtId="165" xfId="0" applyBorder="1" applyFont="1" applyNumberFormat="1"/>
    <xf borderId="20" fillId="3" fontId="12" numFmtId="166" xfId="0" applyBorder="1" applyFont="1" applyNumberFormat="1"/>
    <xf borderId="20" fillId="3" fontId="12" numFmtId="9" xfId="0" applyBorder="1" applyFont="1" applyNumberFormat="1"/>
    <xf borderId="20" fillId="0" fontId="5" numFmtId="164" xfId="0" applyBorder="1" applyFont="1" applyNumberFormat="1"/>
    <xf borderId="20" fillId="0" fontId="5" numFmtId="164" xfId="0" applyAlignment="1" applyBorder="1" applyFont="1" applyNumberFormat="1">
      <alignment shrinkToFit="0" wrapText="1"/>
    </xf>
    <xf borderId="20" fillId="0" fontId="12" numFmtId="165" xfId="0" applyBorder="1" applyFont="1" applyNumberFormat="1"/>
    <xf borderId="20" fillId="0" fontId="12" numFmtId="164" xfId="0" applyBorder="1" applyFont="1" applyNumberFormat="1"/>
    <xf borderId="20" fillId="3" fontId="5" numFmtId="165" xfId="0" applyBorder="1" applyFont="1" applyNumberFormat="1"/>
    <xf borderId="0" fillId="0" fontId="3" numFmtId="14" xfId="0" applyAlignment="1" applyFont="1" applyNumberFormat="1">
      <alignment horizontal="center"/>
    </xf>
    <xf borderId="0" fillId="0" fontId="17" numFmtId="14" xfId="0" applyAlignment="1" applyFont="1" applyNumberFormat="1">
      <alignment horizontal="center"/>
    </xf>
    <xf borderId="0" fillId="0" fontId="17" numFmtId="9" xfId="0" applyAlignment="1" applyFont="1" applyNumberFormat="1">
      <alignment horizontal="center"/>
    </xf>
    <xf borderId="4" fillId="8" fontId="7" numFmtId="49" xfId="0" applyAlignment="1" applyBorder="1" applyFont="1" applyNumberFormat="1">
      <alignment horizontal="left"/>
    </xf>
    <xf borderId="4" fillId="8" fontId="7" numFmtId="164" xfId="0" applyAlignment="1" applyBorder="1" applyFont="1" applyNumberFormat="1">
      <alignment horizontal="left"/>
    </xf>
    <xf borderId="4" fillId="8" fontId="11" numFmtId="164" xfId="0" applyAlignment="1" applyBorder="1" applyFont="1" applyNumberFormat="1">
      <alignment horizontal="left"/>
    </xf>
    <xf borderId="4" fillId="8" fontId="20" numFmtId="164" xfId="0" applyAlignment="1" applyBorder="1" applyFont="1" applyNumberFormat="1">
      <alignment horizontal="left"/>
    </xf>
    <xf borderId="4" fillId="8" fontId="20" numFmtId="9" xfId="0" applyBorder="1" applyFont="1" applyNumberFormat="1"/>
    <xf borderId="4" fillId="8" fontId="20" numFmtId="9" xfId="0" applyAlignment="1" applyBorder="1" applyFont="1" applyNumberFormat="1">
      <alignment horizontal="left"/>
    </xf>
    <xf borderId="4" fillId="8" fontId="21" numFmtId="49" xfId="0" applyAlignment="1" applyBorder="1" applyFont="1" applyNumberFormat="1">
      <alignment horizontal="left"/>
    </xf>
    <xf borderId="4" fillId="8" fontId="21" numFmtId="164" xfId="0" applyAlignment="1" applyBorder="1" applyFont="1" applyNumberFormat="1">
      <alignment horizontal="left"/>
    </xf>
    <xf borderId="4" fillId="8" fontId="22" numFmtId="164" xfId="0" applyAlignment="1" applyBorder="1" applyFont="1" applyNumberFormat="1">
      <alignment horizontal="left"/>
    </xf>
    <xf borderId="4" fillId="8" fontId="23" numFmtId="164" xfId="0" applyAlignment="1" applyBorder="1" applyFont="1" applyNumberFormat="1">
      <alignment horizontal="left"/>
    </xf>
    <xf borderId="4" fillId="8" fontId="23" numFmtId="9" xfId="0" applyBorder="1" applyFont="1" applyNumberFormat="1"/>
    <xf borderId="4" fillId="8" fontId="23" numFmtId="9" xfId="0" applyAlignment="1" applyBorder="1" applyFont="1" applyNumberFormat="1">
      <alignment horizontal="left"/>
    </xf>
    <xf borderId="4" fillId="13" fontId="7" numFmtId="0" xfId="0" applyBorder="1" applyFill="1" applyFont="1"/>
    <xf borderId="4" fillId="13" fontId="7" numFmtId="49" xfId="0" applyAlignment="1" applyBorder="1" applyFont="1" applyNumberFormat="1">
      <alignment horizontal="left"/>
    </xf>
    <xf borderId="4" fillId="13" fontId="7" numFmtId="164" xfId="0" applyAlignment="1" applyBorder="1" applyFont="1" applyNumberFormat="1">
      <alignment horizontal="left"/>
    </xf>
    <xf borderId="4" fillId="13" fontId="11" numFmtId="164" xfId="0" applyAlignment="1" applyBorder="1" applyFont="1" applyNumberFormat="1">
      <alignment horizontal="left"/>
    </xf>
    <xf borderId="4" fillId="13" fontId="20" numFmtId="164" xfId="0" applyAlignment="1" applyBorder="1" applyFont="1" applyNumberFormat="1">
      <alignment horizontal="left"/>
    </xf>
    <xf borderId="4" fillId="13" fontId="20" numFmtId="9" xfId="0" applyBorder="1" applyFont="1" applyNumberFormat="1"/>
    <xf borderId="4" fillId="13" fontId="20" numFmtId="9" xfId="0" applyAlignment="1" applyBorder="1" applyFont="1" applyNumberFormat="1">
      <alignment horizontal="left"/>
    </xf>
    <xf borderId="4" fillId="5" fontId="7" numFmtId="49" xfId="0" applyAlignment="1" applyBorder="1" applyFont="1" applyNumberFormat="1">
      <alignment horizontal="left"/>
    </xf>
    <xf borderId="4" fillId="5" fontId="7" numFmtId="164" xfId="0" applyAlignment="1" applyBorder="1" applyFont="1" applyNumberFormat="1">
      <alignment horizontal="left"/>
    </xf>
    <xf borderId="4" fillId="5" fontId="11" numFmtId="164" xfId="0" applyAlignment="1" applyBorder="1" applyFont="1" applyNumberFormat="1">
      <alignment horizontal="left"/>
    </xf>
    <xf borderId="4" fillId="5" fontId="20" numFmtId="164" xfId="0" applyAlignment="1" applyBorder="1" applyFont="1" applyNumberFormat="1">
      <alignment horizontal="left"/>
    </xf>
    <xf borderId="4" fillId="5" fontId="20" numFmtId="9" xfId="0" applyBorder="1" applyFont="1" applyNumberFormat="1"/>
    <xf borderId="4" fillId="5" fontId="20" numFmtId="9" xfId="0" applyAlignment="1" applyBorder="1" applyFont="1" applyNumberFormat="1">
      <alignment horizontal="left"/>
    </xf>
    <xf borderId="4" fillId="6" fontId="7" numFmtId="49" xfId="0" applyAlignment="1" applyBorder="1" applyFont="1" applyNumberFormat="1">
      <alignment horizontal="left"/>
    </xf>
    <xf borderId="4" fillId="6" fontId="24" numFmtId="164" xfId="0" applyAlignment="1" applyBorder="1" applyFont="1" applyNumberFormat="1">
      <alignment horizontal="left"/>
    </xf>
    <xf borderId="4" fillId="6" fontId="11" numFmtId="164" xfId="0" applyAlignment="1" applyBorder="1" applyFont="1" applyNumberFormat="1">
      <alignment horizontal="left"/>
    </xf>
    <xf borderId="4" fillId="6" fontId="11" numFmtId="9" xfId="0" applyBorder="1" applyFont="1" applyNumberFormat="1"/>
    <xf borderId="4" fillId="6" fontId="20" numFmtId="164" xfId="0" applyAlignment="1" applyBorder="1" applyFont="1" applyNumberFormat="1">
      <alignment horizontal="left"/>
    </xf>
    <xf borderId="1" fillId="0" fontId="3" numFmtId="14" xfId="0" applyAlignment="1" applyBorder="1" applyFont="1" applyNumberFormat="1">
      <alignment horizontal="right"/>
    </xf>
    <xf borderId="0" fillId="0" fontId="25" numFmtId="0" xfId="0" applyAlignment="1" applyFont="1">
      <alignment horizontal="center"/>
    </xf>
    <xf borderId="0" fillId="0" fontId="16" numFmtId="0" xfId="0" applyFont="1"/>
    <xf borderId="0" fillId="0" fontId="16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2" fillId="0" fontId="27" numFmtId="0" xfId="0" applyAlignment="1" applyBorder="1" applyFont="1">
      <alignment horizontal="center" shrinkToFit="0" wrapText="1"/>
    </xf>
    <xf borderId="0" fillId="0" fontId="28" numFmtId="0" xfId="0" applyAlignment="1" applyFont="1">
      <alignment horizontal="left" shrinkToFit="0" wrapText="1"/>
    </xf>
    <xf borderId="0" fillId="0" fontId="29" numFmtId="168" xfId="0" applyAlignment="1" applyFont="1" applyNumberFormat="1">
      <alignment horizontal="right" shrinkToFit="0" wrapText="1"/>
    </xf>
    <xf borderId="0" fillId="0" fontId="29" numFmtId="168" xfId="0" applyAlignment="1" applyFont="1" applyNumberFormat="1">
      <alignment shrinkToFit="0" wrapText="1"/>
    </xf>
    <xf borderId="0" fillId="0" fontId="16" numFmtId="4" xfId="0" applyFont="1" applyNumberFormat="1"/>
    <xf borderId="0" fillId="0" fontId="29" numFmtId="0" xfId="0" applyAlignment="1" applyFont="1">
      <alignment horizontal="left"/>
    </xf>
    <xf borderId="3" fillId="0" fontId="28" numFmtId="169" xfId="0" applyAlignment="1" applyBorder="1" applyFont="1" applyNumberFormat="1">
      <alignment horizontal="right" shrinkToFit="0" wrapText="1"/>
    </xf>
    <xf borderId="0" fillId="0" fontId="16" numFmtId="164" xfId="0" applyFont="1" applyNumberFormat="1"/>
    <xf borderId="0" fillId="0" fontId="29" numFmtId="0" xfId="0" applyFont="1"/>
    <xf borderId="4" fillId="5" fontId="24" numFmtId="164" xfId="0" applyAlignment="1" applyBorder="1" applyFont="1" applyNumberFormat="1">
      <alignment horizontal="left"/>
    </xf>
    <xf borderId="4" fillId="14" fontId="11" numFmtId="164" xfId="0" applyAlignment="1" applyBorder="1" applyFill="1" applyFont="1" applyNumberFormat="1">
      <alignment horizontal="left"/>
    </xf>
    <xf borderId="4" fillId="14" fontId="20" numFmtId="164" xfId="0" applyAlignment="1" applyBorder="1" applyFont="1" applyNumberFormat="1">
      <alignment horizontal="left"/>
    </xf>
    <xf borderId="4" fillId="15" fontId="20" numFmtId="164" xfId="0" applyAlignment="1" applyBorder="1" applyFill="1" applyFont="1" applyNumberFormat="1">
      <alignment horizontal="left"/>
    </xf>
    <xf borderId="4" fillId="5" fontId="11" numFmtId="9" xfId="0" applyBorder="1" applyFont="1" applyNumberFormat="1"/>
    <xf borderId="4" fillId="16" fontId="7" numFmtId="0" xfId="0" applyBorder="1" applyFill="1" applyFont="1"/>
    <xf borderId="4" fillId="16" fontId="7" numFmtId="49" xfId="0" applyAlignment="1" applyBorder="1" applyFont="1" applyNumberFormat="1">
      <alignment horizontal="left"/>
    </xf>
    <xf borderId="4" fillId="16" fontId="24" numFmtId="164" xfId="0" applyAlignment="1" applyBorder="1" applyFont="1" applyNumberFormat="1">
      <alignment horizontal="left"/>
    </xf>
    <xf borderId="4" fillId="16" fontId="11" numFmtId="164" xfId="0" applyAlignment="1" applyBorder="1" applyFont="1" applyNumberFormat="1">
      <alignment horizontal="left"/>
    </xf>
    <xf borderId="4" fillId="16" fontId="11" numFmtId="9" xfId="0" applyBorder="1" applyFont="1" applyNumberFormat="1"/>
    <xf borderId="4" fillId="16" fontId="20" numFmtId="164" xfId="0" applyAlignment="1" applyBorder="1" applyFont="1" applyNumberFormat="1">
      <alignment horizontal="left"/>
    </xf>
    <xf borderId="4" fillId="15" fontId="11" numFmtId="164" xfId="0" applyAlignment="1" applyBorder="1" applyFont="1" applyNumberFormat="1">
      <alignment horizontal="left"/>
    </xf>
    <xf borderId="0" fillId="0" fontId="2" numFmtId="164" xfId="0" applyAlignment="1" applyFont="1" applyNumberFormat="1">
      <alignment horizontal="center"/>
    </xf>
    <xf borderId="4" fillId="3" fontId="2" numFmtId="0" xfId="0" applyAlignment="1" applyBorder="1" applyFont="1">
      <alignment horizontal="center"/>
    </xf>
    <xf borderId="0" fillId="0" fontId="30" numFmtId="164" xfId="0" applyAlignment="1" applyFont="1" applyNumberFormat="1">
      <alignment horizontal="center" shrinkToFit="0" wrapText="1"/>
    </xf>
    <xf quotePrefix="1" borderId="4" fillId="3" fontId="2" numFmtId="0" xfId="0" applyAlignment="1" applyBorder="1" applyFont="1">
      <alignment horizontal="center"/>
    </xf>
    <xf borderId="0" fillId="0" fontId="14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4" fillId="8" fontId="31" numFmtId="164" xfId="0" applyAlignment="1" applyBorder="1" applyFont="1" applyNumberFormat="1">
      <alignment horizontal="left" shrinkToFit="0" wrapText="1"/>
    </xf>
    <xf borderId="4" fillId="12" fontId="31" numFmtId="164" xfId="0" applyAlignment="1" applyBorder="1" applyFont="1" applyNumberFormat="1">
      <alignment horizontal="left" shrinkToFit="0" wrapText="1"/>
    </xf>
    <xf borderId="0" fillId="0" fontId="30" numFmtId="164" xfId="0" applyAlignment="1" applyFont="1" applyNumberFormat="1">
      <alignment horizontal="center"/>
    </xf>
    <xf borderId="4" fillId="12" fontId="12" numFmtId="0" xfId="0" applyBorder="1" applyFont="1"/>
    <xf borderId="4" fillId="15" fontId="31" numFmtId="164" xfId="0" applyAlignment="1" applyBorder="1" applyFont="1" applyNumberFormat="1">
      <alignment horizontal="left" shrinkToFit="0" wrapText="1"/>
    </xf>
    <xf borderId="4" fillId="13" fontId="31" numFmtId="164" xfId="0" applyAlignment="1" applyBorder="1" applyFont="1" applyNumberFormat="1">
      <alignment horizontal="left" shrinkToFit="0" wrapText="1"/>
    </xf>
    <xf borderId="4" fillId="4" fontId="31" numFmtId="164" xfId="0" applyAlignment="1" applyBorder="1" applyFont="1" applyNumberFormat="1">
      <alignment horizontal="left" shrinkToFit="0" wrapText="1"/>
    </xf>
    <xf borderId="0" fillId="0" fontId="30" numFmtId="49" xfId="0" applyAlignment="1" applyFont="1" applyNumberFormat="1">
      <alignment horizontal="left"/>
    </xf>
    <xf borderId="4" fillId="5" fontId="31" numFmtId="164" xfId="0" applyAlignment="1" applyBorder="1" applyFont="1" applyNumberFormat="1">
      <alignment horizontal="left" shrinkToFit="0" wrapText="1"/>
    </xf>
    <xf borderId="4" fillId="6" fontId="21" numFmtId="0" xfId="0" applyAlignment="1" applyBorder="1" applyFont="1">
      <alignment horizontal="left" shrinkToFit="0" wrapText="1"/>
    </xf>
    <xf borderId="4" fillId="6" fontId="30" numFmtId="164" xfId="0" applyAlignment="1" applyBorder="1" applyFont="1" applyNumberFormat="1">
      <alignment horizontal="center"/>
    </xf>
    <xf borderId="4" fillId="6" fontId="30" numFmtId="164" xfId="0" applyAlignment="1" applyBorder="1" applyFont="1" applyNumberFormat="1">
      <alignment horizontal="center" shrinkToFit="0" wrapText="1"/>
    </xf>
    <xf borderId="4" fillId="6" fontId="12" numFmtId="164" xfId="0" applyBorder="1" applyFont="1" applyNumberFormat="1"/>
    <xf borderId="4" fillId="13" fontId="21" numFmtId="0" xfId="0" applyAlignment="1" applyBorder="1" applyFont="1">
      <alignment horizontal="left" shrinkToFit="0" wrapText="1"/>
    </xf>
    <xf borderId="4" fillId="13" fontId="12" numFmtId="0" xfId="0" applyBorder="1" applyFont="1"/>
    <xf borderId="4" fillId="13" fontId="30" numFmtId="164" xfId="0" applyAlignment="1" applyBorder="1" applyFont="1" applyNumberFormat="1">
      <alignment horizontal="center"/>
    </xf>
    <xf borderId="4" fillId="13" fontId="30" numFmtId="164" xfId="0" applyAlignment="1" applyBorder="1" applyFont="1" applyNumberFormat="1">
      <alignment horizontal="center" shrinkToFit="0" wrapText="1"/>
    </xf>
    <xf borderId="4" fillId="13" fontId="12" numFmtId="164" xfId="0" applyBorder="1" applyFont="1" applyNumberFormat="1"/>
    <xf borderId="4" fillId="8" fontId="5" numFmtId="164" xfId="0" applyBorder="1" applyFont="1" applyNumberFormat="1"/>
    <xf borderId="4" fillId="15" fontId="5" numFmtId="164" xfId="0" applyBorder="1" applyFont="1" applyNumberFormat="1"/>
    <xf borderId="4" fillId="13" fontId="5" numFmtId="164" xfId="0" applyBorder="1" applyFont="1" applyNumberFormat="1"/>
    <xf borderId="4" fillId="4" fontId="5" numFmtId="164" xfId="0" applyBorder="1" applyFont="1" applyNumberFormat="1"/>
    <xf borderId="4" fillId="5" fontId="5" numFmtId="164" xfId="0" applyBorder="1" applyFont="1" applyNumberFormat="1"/>
    <xf borderId="0" fillId="0" fontId="12" numFmtId="9" xfId="0" applyFont="1" applyNumberFormat="1"/>
    <xf borderId="0" fillId="0" fontId="5" numFmtId="9" xfId="0" applyFont="1" applyNumberFormat="1"/>
    <xf borderId="14" fillId="0" fontId="7" numFmtId="49" xfId="0" applyAlignment="1" applyBorder="1" applyFont="1" applyNumberFormat="1">
      <alignment horizontal="left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3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4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/>
  <cols>
    <col customWidth="1" min="1" max="1" width="10.25"/>
    <col customWidth="1" min="2" max="2" width="19.88"/>
    <col customWidth="1" min="3" max="3" width="9.5"/>
    <col customWidth="1" min="4" max="15" width="10.25" outlineLevel="1"/>
    <col customWidth="1" min="16" max="16" width="10.25"/>
    <col customWidth="1" min="17" max="17" width="13.63"/>
    <col customWidth="1" min="18" max="29" width="8.0" outlineLevel="1"/>
    <col customWidth="1" min="30" max="30" width="8.0"/>
  </cols>
  <sheetData>
    <row r="1" ht="11.25" customHeight="1">
      <c r="A1" s="5" t="s">
        <v>0</v>
      </c>
      <c r="B1" s="5" t="s">
        <v>17</v>
      </c>
      <c r="C1" s="5" t="s">
        <v>18</v>
      </c>
      <c r="D1" s="7" t="s">
        <v>19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7" t="s">
        <v>29</v>
      </c>
      <c r="N1" s="7" t="s">
        <v>30</v>
      </c>
      <c r="O1" s="7" t="s">
        <v>31</v>
      </c>
      <c r="P1" s="7" t="s">
        <v>32</v>
      </c>
      <c r="Q1" s="9" t="s">
        <v>33</v>
      </c>
      <c r="R1" s="10">
        <v>42582.0</v>
      </c>
      <c r="S1" s="10">
        <v>42613.0</v>
      </c>
      <c r="T1" s="10">
        <v>42643.0</v>
      </c>
      <c r="U1" s="10">
        <v>42674.0</v>
      </c>
      <c r="V1" s="10">
        <v>42704.0</v>
      </c>
      <c r="W1" s="10">
        <v>42735.0</v>
      </c>
      <c r="X1" s="10">
        <v>42766.0</v>
      </c>
      <c r="Y1" s="10">
        <v>42794.0</v>
      </c>
      <c r="Z1" s="10">
        <v>42825.0</v>
      </c>
      <c r="AA1" s="10">
        <v>42855.0</v>
      </c>
      <c r="AB1" s="10">
        <v>42886.0</v>
      </c>
      <c r="AC1" s="10">
        <v>42916.0</v>
      </c>
      <c r="AD1" s="9" t="s">
        <v>38</v>
      </c>
    </row>
    <row r="2" ht="11.25" customHeight="1">
      <c r="A2" s="15" t="s">
        <v>36</v>
      </c>
      <c r="B2" s="15" t="s">
        <v>37</v>
      </c>
      <c r="C2" s="15" t="s">
        <v>41</v>
      </c>
      <c r="D2" s="17">
        <v>0.0</v>
      </c>
      <c r="E2" s="17">
        <v>0.0</v>
      </c>
      <c r="F2" s="17">
        <v>3125.0</v>
      </c>
      <c r="G2" s="17">
        <v>3125.0</v>
      </c>
      <c r="H2" s="17">
        <v>3125.0</v>
      </c>
      <c r="I2" s="17">
        <v>3125.0</v>
      </c>
      <c r="J2" s="17">
        <v>0.0</v>
      </c>
      <c r="K2" s="17">
        <v>0.0</v>
      </c>
      <c r="L2" s="17">
        <v>0.0</v>
      </c>
      <c r="M2" s="17">
        <v>0.0</v>
      </c>
      <c r="N2" s="17">
        <v>0.0</v>
      </c>
      <c r="O2" s="17">
        <v>0.0</v>
      </c>
      <c r="P2" s="17">
        <f t="shared" ref="P2:P276" si="1">((((((((((D2+E2)+F2)+G2)+H2)+I2)+J2)+K2)+L2)+M2)+N2)+O2</f>
        <v>12500</v>
      </c>
      <c r="Q2" s="14" t="str">
        <f>+VLOOKUP(A2,Mapping!$A$1:$E$443,5,FALSE)</f>
        <v>Contributions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20">
        <f t="shared" ref="AD2:AD276" si="2">+SUM(R2:AC2)</f>
        <v>0</v>
      </c>
    </row>
    <row r="3" ht="11.25" customHeight="1">
      <c r="A3" s="15" t="s">
        <v>44</v>
      </c>
      <c r="B3" s="15" t="s">
        <v>45</v>
      </c>
      <c r="C3" s="15" t="s">
        <v>41</v>
      </c>
      <c r="D3" s="17">
        <v>0.0</v>
      </c>
      <c r="E3" s="17">
        <v>0.0</v>
      </c>
      <c r="F3" s="17">
        <v>0.0</v>
      </c>
      <c r="G3" s="17">
        <v>0.0</v>
      </c>
      <c r="H3" s="17">
        <v>0.0</v>
      </c>
      <c r="I3" s="17">
        <v>0.0</v>
      </c>
      <c r="J3" s="17">
        <v>5875.0</v>
      </c>
      <c r="K3" s="17">
        <v>5875.0</v>
      </c>
      <c r="L3" s="17">
        <v>5875.0</v>
      </c>
      <c r="M3" s="17">
        <v>5875.0</v>
      </c>
      <c r="N3" s="17">
        <v>0.0</v>
      </c>
      <c r="O3" s="17">
        <v>0.0</v>
      </c>
      <c r="P3" s="17">
        <f t="shared" si="1"/>
        <v>23500</v>
      </c>
      <c r="Q3" s="14" t="str">
        <f>+VLOOKUP(A3,Mapping!$A$1:$E$443,5,FALSE)</f>
        <v>Contributions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20">
        <f t="shared" si="2"/>
        <v>0</v>
      </c>
    </row>
    <row r="4" ht="11.25" customHeight="1">
      <c r="A4" s="15" t="s">
        <v>48</v>
      </c>
      <c r="B4" s="15" t="s">
        <v>49</v>
      </c>
      <c r="C4" s="15" t="s">
        <v>41</v>
      </c>
      <c r="D4" s="17">
        <v>0.0</v>
      </c>
      <c r="E4" s="17">
        <v>0.0</v>
      </c>
      <c r="F4" s="17">
        <v>0.0</v>
      </c>
      <c r="G4" s="17">
        <v>0.0</v>
      </c>
      <c r="H4" s="17">
        <v>0.0</v>
      </c>
      <c r="I4" s="17">
        <v>0.0</v>
      </c>
      <c r="J4" s="17">
        <v>0.0</v>
      </c>
      <c r="K4" s="17">
        <v>0.0</v>
      </c>
      <c r="L4" s="17">
        <v>0.0</v>
      </c>
      <c r="M4" s="17">
        <v>0.0</v>
      </c>
      <c r="N4" s="17">
        <v>0.0</v>
      </c>
      <c r="O4" s="17">
        <v>0.0</v>
      </c>
      <c r="P4" s="17">
        <f t="shared" si="1"/>
        <v>0</v>
      </c>
      <c r="Q4" s="14" t="str">
        <f>+VLOOKUP(A4,Mapping!$A$1:$E$443,5,FALSE)</f>
        <v>Contributions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20">
        <f t="shared" si="2"/>
        <v>0</v>
      </c>
    </row>
    <row r="5" ht="11.25" customHeight="1">
      <c r="A5" s="15" t="s">
        <v>51</v>
      </c>
      <c r="B5" s="15" t="s">
        <v>52</v>
      </c>
      <c r="C5" s="15" t="s">
        <v>41</v>
      </c>
      <c r="D5" s="17">
        <v>0.0</v>
      </c>
      <c r="E5" s="17">
        <v>0.0</v>
      </c>
      <c r="F5" s="17">
        <v>0.0</v>
      </c>
      <c r="G5" s="17">
        <v>0.0</v>
      </c>
      <c r="H5" s="17">
        <v>0.0</v>
      </c>
      <c r="I5" s="17">
        <v>0.0</v>
      </c>
      <c r="J5" s="17">
        <v>0.0</v>
      </c>
      <c r="K5" s="17">
        <v>0.0</v>
      </c>
      <c r="L5" s="17">
        <v>0.0</v>
      </c>
      <c r="M5" s="17">
        <v>0.0</v>
      </c>
      <c r="N5" s="17">
        <v>0.0</v>
      </c>
      <c r="O5" s="17">
        <v>0.0</v>
      </c>
      <c r="P5" s="17">
        <f t="shared" si="1"/>
        <v>0</v>
      </c>
      <c r="Q5" s="14" t="str">
        <f>+VLOOKUP(A5,Mapping!$A$1:$E$443,5,FALSE)</f>
        <v>Contributions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0">
        <f t="shared" si="2"/>
        <v>0</v>
      </c>
    </row>
    <row r="6" ht="11.25" customHeight="1">
      <c r="A6" s="15" t="s">
        <v>53</v>
      </c>
      <c r="B6" s="15" t="s">
        <v>54</v>
      </c>
      <c r="C6" s="15" t="s">
        <v>41</v>
      </c>
      <c r="D6" s="17">
        <v>0.0</v>
      </c>
      <c r="E6" s="17">
        <v>0.0</v>
      </c>
      <c r="F6" s="17">
        <v>0.0</v>
      </c>
      <c r="G6" s="17">
        <v>0.0</v>
      </c>
      <c r="H6" s="17">
        <v>0.0</v>
      </c>
      <c r="I6" s="17">
        <v>0.0</v>
      </c>
      <c r="J6" s="17">
        <v>0.0</v>
      </c>
      <c r="K6" s="17">
        <v>0.0</v>
      </c>
      <c r="L6" s="17">
        <v>0.0</v>
      </c>
      <c r="M6" s="17">
        <v>0.0</v>
      </c>
      <c r="N6" s="17">
        <v>0.0</v>
      </c>
      <c r="O6" s="17">
        <v>0.0</v>
      </c>
      <c r="P6" s="17">
        <f t="shared" si="1"/>
        <v>0</v>
      </c>
      <c r="Q6" s="14" t="str">
        <f>+VLOOKUP(A6,Mapping!$A$1:$E$443,5,FALSE)</f>
        <v>Contributions In Kind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0">
        <f t="shared" si="2"/>
        <v>0</v>
      </c>
    </row>
    <row r="7" ht="11.25" customHeight="1">
      <c r="A7" s="15" t="s">
        <v>57</v>
      </c>
      <c r="B7" s="15" t="s">
        <v>58</v>
      </c>
      <c r="C7" s="15" t="s">
        <v>41</v>
      </c>
      <c r="D7" s="17">
        <v>0.0</v>
      </c>
      <c r="E7" s="17">
        <v>0.0</v>
      </c>
      <c r="F7" s="17">
        <v>0.0</v>
      </c>
      <c r="G7" s="17">
        <v>0.0</v>
      </c>
      <c r="H7" s="17">
        <v>0.0</v>
      </c>
      <c r="I7" s="17">
        <v>0.0</v>
      </c>
      <c r="J7" s="17">
        <v>0.0</v>
      </c>
      <c r="K7" s="17">
        <v>0.0</v>
      </c>
      <c r="L7" s="17">
        <v>0.0</v>
      </c>
      <c r="M7" s="17">
        <v>0.0</v>
      </c>
      <c r="N7" s="17">
        <v>0.0</v>
      </c>
      <c r="O7" s="17">
        <v>0.0</v>
      </c>
      <c r="P7" s="17">
        <f t="shared" si="1"/>
        <v>0</v>
      </c>
      <c r="Q7" s="14" t="str">
        <f>+VLOOKUP(A7,Mapping!$A$1:$E$443,5,FALSE)</f>
        <v>Contributions In Kind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0">
        <f t="shared" si="2"/>
        <v>0</v>
      </c>
    </row>
    <row r="8" ht="11.25" customHeight="1">
      <c r="A8" s="15" t="s">
        <v>62</v>
      </c>
      <c r="B8" s="15" t="s">
        <v>63</v>
      </c>
      <c r="C8" s="15" t="s">
        <v>41</v>
      </c>
      <c r="D8" s="17">
        <v>0.0</v>
      </c>
      <c r="E8" s="17">
        <v>0.0</v>
      </c>
      <c r="F8" s="17">
        <v>0.0</v>
      </c>
      <c r="G8" s="17">
        <v>0.0</v>
      </c>
      <c r="H8" s="17">
        <v>0.0</v>
      </c>
      <c r="I8" s="17">
        <v>0.0</v>
      </c>
      <c r="J8" s="17">
        <v>0.0</v>
      </c>
      <c r="K8" s="17">
        <v>0.0</v>
      </c>
      <c r="L8" s="17">
        <v>0.0</v>
      </c>
      <c r="M8" s="17">
        <v>0.0</v>
      </c>
      <c r="N8" s="17">
        <v>0.0</v>
      </c>
      <c r="O8" s="17">
        <v>0.0</v>
      </c>
      <c r="P8" s="17">
        <f t="shared" si="1"/>
        <v>0</v>
      </c>
      <c r="Q8" s="14" t="str">
        <f>+VLOOKUP(A8,Mapping!$A$1:$E$443,5,FALSE)</f>
        <v>Contributions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0">
        <f t="shared" si="2"/>
        <v>0</v>
      </c>
    </row>
    <row r="9" ht="11.25" customHeight="1">
      <c r="A9" s="15" t="s">
        <v>65</v>
      </c>
      <c r="B9" s="15" t="s">
        <v>66</v>
      </c>
      <c r="C9" s="15" t="s">
        <v>41</v>
      </c>
      <c r="D9" s="17">
        <v>0.0</v>
      </c>
      <c r="E9" s="17">
        <v>0.0</v>
      </c>
      <c r="F9" s="17">
        <v>0.0</v>
      </c>
      <c r="G9" s="17">
        <v>0.0</v>
      </c>
      <c r="H9" s="17">
        <v>0.0</v>
      </c>
      <c r="I9" s="17">
        <v>0.0</v>
      </c>
      <c r="J9" s="17">
        <v>0.0</v>
      </c>
      <c r="K9" s="17">
        <v>0.0</v>
      </c>
      <c r="L9" s="17">
        <v>0.0</v>
      </c>
      <c r="M9" s="17">
        <v>0.0</v>
      </c>
      <c r="N9" s="17">
        <v>0.0</v>
      </c>
      <c r="O9" s="17">
        <v>0.0</v>
      </c>
      <c r="P9" s="17">
        <f t="shared" si="1"/>
        <v>0</v>
      </c>
      <c r="Q9" s="14" t="str">
        <f>+VLOOKUP(A9,Mapping!$A$1:$E$443,5,FALSE)</f>
        <v>Contributions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20">
        <f t="shared" si="2"/>
        <v>0</v>
      </c>
    </row>
    <row r="10" ht="11.25" customHeight="1">
      <c r="A10" s="15" t="s">
        <v>68</v>
      </c>
      <c r="B10" s="15" t="s">
        <v>69</v>
      </c>
      <c r="C10" s="15" t="s">
        <v>41</v>
      </c>
      <c r="D10" s="17">
        <v>0.0</v>
      </c>
      <c r="E10" s="17">
        <v>0.0</v>
      </c>
      <c r="F10" s="17">
        <v>0.0</v>
      </c>
      <c r="G10" s="17">
        <v>0.0</v>
      </c>
      <c r="H10" s="17">
        <v>0.0</v>
      </c>
      <c r="I10" s="17">
        <v>0.0</v>
      </c>
      <c r="J10" s="17">
        <v>0.0</v>
      </c>
      <c r="K10" s="17">
        <v>0.0</v>
      </c>
      <c r="L10" s="17">
        <v>0.0</v>
      </c>
      <c r="M10" s="17">
        <v>0.0</v>
      </c>
      <c r="N10" s="17">
        <v>0.0</v>
      </c>
      <c r="O10" s="17">
        <v>0.0</v>
      </c>
      <c r="P10" s="17">
        <f t="shared" si="1"/>
        <v>0</v>
      </c>
      <c r="Q10" s="14" t="str">
        <f>+VLOOKUP(A10,Mapping!$A$1:$E$443,5,FALSE)</f>
        <v>Contributions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20">
        <f t="shared" si="2"/>
        <v>0</v>
      </c>
    </row>
    <row r="11" ht="11.25" customHeight="1">
      <c r="A11" s="15" t="s">
        <v>70</v>
      </c>
      <c r="B11" s="15" t="s">
        <v>71</v>
      </c>
      <c r="C11" s="15" t="s">
        <v>41</v>
      </c>
      <c r="D11" s="17">
        <v>0.0</v>
      </c>
      <c r="E11" s="17">
        <v>49587.79</v>
      </c>
      <c r="F11" s="17">
        <v>99175.58</v>
      </c>
      <c r="G11" s="17">
        <v>99175.58</v>
      </c>
      <c r="H11" s="17">
        <v>99175.58</v>
      </c>
      <c r="I11" s="17">
        <v>99175.58</v>
      </c>
      <c r="J11" s="17">
        <v>99175.58</v>
      </c>
      <c r="K11" s="17">
        <v>99175.58</v>
      </c>
      <c r="L11" s="17">
        <v>99175.58</v>
      </c>
      <c r="M11" s="17">
        <v>99175.58</v>
      </c>
      <c r="N11" s="17">
        <v>99175.58</v>
      </c>
      <c r="O11" s="17">
        <v>0.0</v>
      </c>
      <c r="P11" s="17">
        <f t="shared" si="1"/>
        <v>942168.01</v>
      </c>
      <c r="Q11" s="14" t="str">
        <f>+VLOOKUP(A11,Mapping!$A$1:$E$443,5,FALSE)</f>
        <v>Tuition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20">
        <f t="shared" si="2"/>
        <v>0</v>
      </c>
    </row>
    <row r="12" ht="11.25" customHeight="1">
      <c r="A12" s="15" t="s">
        <v>73</v>
      </c>
      <c r="B12" s="15" t="s">
        <v>74</v>
      </c>
      <c r="C12" s="15" t="s">
        <v>41</v>
      </c>
      <c r="D12" s="17">
        <v>0.0</v>
      </c>
      <c r="E12" s="17">
        <v>21420.0</v>
      </c>
      <c r="F12" s="17">
        <v>680.0</v>
      </c>
      <c r="G12" s="17">
        <v>340.0</v>
      </c>
      <c r="H12" s="17">
        <v>340.0</v>
      </c>
      <c r="I12" s="17">
        <v>340.0</v>
      </c>
      <c r="J12" s="17">
        <v>680.0</v>
      </c>
      <c r="K12" s="17">
        <v>680.0</v>
      </c>
      <c r="L12" s="17">
        <v>680.0</v>
      </c>
      <c r="M12" s="17">
        <v>170.0</v>
      </c>
      <c r="N12" s="17">
        <v>170.0</v>
      </c>
      <c r="O12" s="17">
        <v>0.0</v>
      </c>
      <c r="P12" s="17">
        <f t="shared" si="1"/>
        <v>25500</v>
      </c>
      <c r="Q12" s="14" t="str">
        <f>+VLOOKUP(A12,Mapping!$A$1:$E$443,5,FALSE)</f>
        <v>Tuition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20">
        <f t="shared" si="2"/>
        <v>0</v>
      </c>
    </row>
    <row r="13" ht="11.25" customHeight="1">
      <c r="A13" s="15" t="s">
        <v>75</v>
      </c>
      <c r="B13" s="15" t="s">
        <v>76</v>
      </c>
      <c r="C13" s="15" t="s">
        <v>41</v>
      </c>
      <c r="D13" s="17">
        <v>0.0</v>
      </c>
      <c r="E13" s="17">
        <v>0.0</v>
      </c>
      <c r="F13" s="17">
        <v>0.0</v>
      </c>
      <c r="G13" s="17">
        <v>0.0</v>
      </c>
      <c r="H13" s="17">
        <v>0.0</v>
      </c>
      <c r="I13" s="17">
        <v>0.0</v>
      </c>
      <c r="J13" s="17">
        <v>0.0</v>
      </c>
      <c r="K13" s="17">
        <v>0.0</v>
      </c>
      <c r="L13" s="17">
        <v>0.0</v>
      </c>
      <c r="M13" s="17">
        <v>0.0</v>
      </c>
      <c r="N13" s="17">
        <v>0.0</v>
      </c>
      <c r="O13" s="17">
        <v>2000.0</v>
      </c>
      <c r="P13" s="17">
        <f t="shared" si="1"/>
        <v>2000</v>
      </c>
      <c r="Q13" s="14" t="str">
        <f>+VLOOKUP(A13,Mapping!$A$1:$E$443,5,FALSE)</f>
        <v>Tuition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20">
        <f t="shared" si="2"/>
        <v>0</v>
      </c>
    </row>
    <row r="14" ht="11.25" customHeight="1">
      <c r="A14" s="15" t="s">
        <v>79</v>
      </c>
      <c r="B14" s="15" t="s">
        <v>80</v>
      </c>
      <c r="C14" s="15" t="s">
        <v>41</v>
      </c>
      <c r="D14" s="17">
        <v>166.67</v>
      </c>
      <c r="E14" s="17">
        <v>166.67</v>
      </c>
      <c r="F14" s="17">
        <v>166.67</v>
      </c>
      <c r="G14" s="17">
        <v>0.0</v>
      </c>
      <c r="H14" s="17">
        <v>0.0</v>
      </c>
      <c r="I14" s="17">
        <v>0.0</v>
      </c>
      <c r="J14" s="17">
        <v>0.0</v>
      </c>
      <c r="K14" s="17">
        <v>0.0</v>
      </c>
      <c r="L14" s="17">
        <v>0.0</v>
      </c>
      <c r="M14" s="17">
        <v>166.67</v>
      </c>
      <c r="N14" s="17">
        <v>166.67</v>
      </c>
      <c r="O14" s="17">
        <v>166.67</v>
      </c>
      <c r="P14" s="17">
        <f t="shared" si="1"/>
        <v>1000.02</v>
      </c>
      <c r="Q14" s="14" t="str">
        <f>+VLOOKUP(A14,Mapping!$A$1:$E$443,5,FALSE)</f>
        <v>Tuition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20">
        <f t="shared" si="2"/>
        <v>0</v>
      </c>
    </row>
    <row r="15" ht="11.25" customHeight="1">
      <c r="A15" s="15" t="s">
        <v>82</v>
      </c>
      <c r="B15" s="15" t="s">
        <v>83</v>
      </c>
      <c r="C15" s="15" t="s">
        <v>41</v>
      </c>
      <c r="D15" s="17">
        <v>0.0</v>
      </c>
      <c r="E15" s="17">
        <v>0.0</v>
      </c>
      <c r="F15" s="17">
        <v>0.0</v>
      </c>
      <c r="G15" s="17">
        <v>0.0</v>
      </c>
      <c r="H15" s="17">
        <v>0.0</v>
      </c>
      <c r="I15" s="17">
        <v>0.0</v>
      </c>
      <c r="J15" s="17">
        <v>0.0</v>
      </c>
      <c r="K15" s="17">
        <v>0.0</v>
      </c>
      <c r="L15" s="17">
        <v>0.0</v>
      </c>
      <c r="M15" s="17">
        <v>0.0</v>
      </c>
      <c r="N15" s="17">
        <v>0.0</v>
      </c>
      <c r="O15" s="17">
        <v>0.0</v>
      </c>
      <c r="P15" s="17">
        <f t="shared" si="1"/>
        <v>0</v>
      </c>
      <c r="Q15" s="14" t="str">
        <f>+VLOOKUP(A15,Mapping!$A$1:$E$443,5,FALSE)</f>
        <v>Tuition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20">
        <f t="shared" si="2"/>
        <v>0</v>
      </c>
    </row>
    <row r="16" ht="11.25" customHeight="1">
      <c r="A16" s="15" t="s">
        <v>85</v>
      </c>
      <c r="B16" s="15" t="s">
        <v>86</v>
      </c>
      <c r="C16" s="15" t="s">
        <v>41</v>
      </c>
      <c r="D16" s="17">
        <v>0.0</v>
      </c>
      <c r="E16" s="17">
        <v>263.16</v>
      </c>
      <c r="F16" s="17">
        <v>526.32</v>
      </c>
      <c r="G16" s="17">
        <v>526.32</v>
      </c>
      <c r="H16" s="17">
        <v>526.32</v>
      </c>
      <c r="I16" s="17">
        <v>526.32</v>
      </c>
      <c r="J16" s="17">
        <v>526.32</v>
      </c>
      <c r="K16" s="17">
        <v>526.32</v>
      </c>
      <c r="L16" s="17">
        <v>526.32</v>
      </c>
      <c r="M16" s="17">
        <v>526.32</v>
      </c>
      <c r="N16" s="17">
        <v>526.28</v>
      </c>
      <c r="O16" s="17">
        <v>0.0</v>
      </c>
      <c r="P16" s="17">
        <f t="shared" si="1"/>
        <v>5000</v>
      </c>
      <c r="Q16" s="14" t="str">
        <f>+VLOOKUP(A16,Mapping!$A$1:$E$443,5,FALSE)</f>
        <v>Counseling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20">
        <f t="shared" si="2"/>
        <v>0</v>
      </c>
    </row>
    <row r="17" ht="11.25" customHeight="1">
      <c r="A17" s="15" t="s">
        <v>88</v>
      </c>
      <c r="B17" s="15" t="s">
        <v>89</v>
      </c>
      <c r="C17" s="15" t="s">
        <v>41</v>
      </c>
      <c r="D17" s="17">
        <v>0.0</v>
      </c>
      <c r="E17" s="17">
        <v>0.0</v>
      </c>
      <c r="F17" s="17">
        <v>0.0</v>
      </c>
      <c r="G17" s="17">
        <v>0.0</v>
      </c>
      <c r="H17" s="17">
        <v>0.0</v>
      </c>
      <c r="I17" s="17">
        <v>0.0</v>
      </c>
      <c r="J17" s="17">
        <v>0.0</v>
      </c>
      <c r="K17" s="17">
        <v>0.0</v>
      </c>
      <c r="L17" s="17">
        <v>0.0</v>
      </c>
      <c r="M17" s="17">
        <v>0.0</v>
      </c>
      <c r="N17" s="17">
        <v>0.0</v>
      </c>
      <c r="O17" s="17">
        <v>0.0</v>
      </c>
      <c r="P17" s="17">
        <f t="shared" si="1"/>
        <v>0</v>
      </c>
      <c r="Q17" s="14" t="str">
        <f>+VLOOKUP(A17,Mapping!$A$1:$E$443,5,FALSE)</f>
        <v>Counseling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20">
        <f t="shared" si="2"/>
        <v>0</v>
      </c>
    </row>
    <row r="18" ht="11.25" customHeight="1">
      <c r="A18" s="15" t="s">
        <v>92</v>
      </c>
      <c r="B18" s="15" t="s">
        <v>93</v>
      </c>
      <c r="C18" s="15" t="s">
        <v>41</v>
      </c>
      <c r="D18" s="17">
        <v>0.0</v>
      </c>
      <c r="E18" s="17">
        <v>394.74</v>
      </c>
      <c r="F18" s="17">
        <v>789.47</v>
      </c>
      <c r="G18" s="17">
        <v>789.47</v>
      </c>
      <c r="H18" s="17">
        <v>789.47</v>
      </c>
      <c r="I18" s="17">
        <v>789.47</v>
      </c>
      <c r="J18" s="17">
        <v>789.47</v>
      </c>
      <c r="K18" s="17">
        <v>789.47</v>
      </c>
      <c r="L18" s="17">
        <v>789.47</v>
      </c>
      <c r="M18" s="17">
        <v>789.47</v>
      </c>
      <c r="N18" s="17">
        <v>789.5</v>
      </c>
      <c r="O18" s="17">
        <v>0.0</v>
      </c>
      <c r="P18" s="17">
        <f t="shared" si="1"/>
        <v>7500</v>
      </c>
      <c r="Q18" s="14" t="str">
        <f>+VLOOKUP(A18,Mapping!$A$1:$E$443,5,FALSE)</f>
        <v>Aftercare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20">
        <f t="shared" si="2"/>
        <v>0</v>
      </c>
    </row>
    <row r="19" ht="11.25" customHeight="1">
      <c r="A19" s="15" t="s">
        <v>95</v>
      </c>
      <c r="B19" s="15" t="s">
        <v>96</v>
      </c>
      <c r="C19" s="15" t="s">
        <v>41</v>
      </c>
      <c r="D19" s="17">
        <v>0.0</v>
      </c>
      <c r="E19" s="17">
        <v>50.0</v>
      </c>
      <c r="F19" s="17">
        <v>50.0</v>
      </c>
      <c r="G19" s="17">
        <v>0.0</v>
      </c>
      <c r="H19" s="17">
        <v>0.0</v>
      </c>
      <c r="I19" s="17">
        <v>0.0</v>
      </c>
      <c r="J19" s="17">
        <v>0.0</v>
      </c>
      <c r="K19" s="17">
        <v>0.0</v>
      </c>
      <c r="L19" s="17">
        <v>0.0</v>
      </c>
      <c r="M19" s="17">
        <v>0.0</v>
      </c>
      <c r="N19" s="17">
        <v>0.0</v>
      </c>
      <c r="O19" s="17">
        <v>0.0</v>
      </c>
      <c r="P19" s="17">
        <f t="shared" si="1"/>
        <v>100</v>
      </c>
      <c r="Q19" s="14" t="str">
        <f>+VLOOKUP(A19,Mapping!$A$1:$E$443,5,FALSE)</f>
        <v>Aftercare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0">
        <f t="shared" si="2"/>
        <v>0</v>
      </c>
    </row>
    <row r="20" ht="11.25" customHeight="1">
      <c r="A20" s="15" t="s">
        <v>100</v>
      </c>
      <c r="B20" s="15" t="s">
        <v>101</v>
      </c>
      <c r="C20" s="15" t="s">
        <v>41</v>
      </c>
      <c r="D20" s="17">
        <v>0.0</v>
      </c>
      <c r="E20" s="17">
        <v>710.55</v>
      </c>
      <c r="F20" s="17">
        <v>1421.1</v>
      </c>
      <c r="G20" s="17">
        <v>1421.1</v>
      </c>
      <c r="H20" s="17">
        <v>1421.1</v>
      </c>
      <c r="I20" s="17">
        <v>1421.1</v>
      </c>
      <c r="J20" s="17">
        <v>1421.1</v>
      </c>
      <c r="K20" s="17">
        <v>1421.1</v>
      </c>
      <c r="L20" s="17">
        <v>1421.1</v>
      </c>
      <c r="M20" s="17">
        <v>1420.88</v>
      </c>
      <c r="N20" s="17">
        <v>1420.88</v>
      </c>
      <c r="O20" s="17">
        <v>0.0</v>
      </c>
      <c r="P20" s="17">
        <f t="shared" si="1"/>
        <v>13500.01</v>
      </c>
      <c r="Q20" s="14" t="str">
        <f>+VLOOKUP(A20,Mapping!$A$1:$E$443,5,FALSE)</f>
        <v>Transportation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20">
        <f t="shared" si="2"/>
        <v>0</v>
      </c>
    </row>
    <row r="21" ht="11.25" customHeight="1">
      <c r="A21" s="15" t="s">
        <v>105</v>
      </c>
      <c r="B21" s="15" t="s">
        <v>106</v>
      </c>
      <c r="C21" s="15" t="s">
        <v>41</v>
      </c>
      <c r="D21" s="17">
        <v>0.0</v>
      </c>
      <c r="E21" s="17">
        <v>125.0</v>
      </c>
      <c r="F21" s="17">
        <v>0.0</v>
      </c>
      <c r="G21" s="17">
        <v>0.0</v>
      </c>
      <c r="H21" s="17">
        <v>0.0</v>
      </c>
      <c r="I21" s="17">
        <v>0.0</v>
      </c>
      <c r="J21" s="17">
        <v>125.0</v>
      </c>
      <c r="K21" s="17">
        <v>0.0</v>
      </c>
      <c r="L21" s="17">
        <v>0.0</v>
      </c>
      <c r="M21" s="17">
        <v>0.0</v>
      </c>
      <c r="N21" s="17">
        <v>0.0</v>
      </c>
      <c r="O21" s="17">
        <v>0.0</v>
      </c>
      <c r="P21" s="17">
        <f t="shared" si="1"/>
        <v>250</v>
      </c>
      <c r="Q21" s="14" t="str">
        <f>+VLOOKUP(A21,Mapping!$A$1:$E$443,5,FALSE)</f>
        <v>Merchandise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20">
        <f t="shared" si="2"/>
        <v>0</v>
      </c>
    </row>
    <row r="22" ht="11.25" customHeight="1">
      <c r="A22" s="15" t="s">
        <v>109</v>
      </c>
      <c r="B22" s="15" t="s">
        <v>110</v>
      </c>
      <c r="C22" s="15" t="s">
        <v>41</v>
      </c>
      <c r="D22" s="17">
        <v>0.0</v>
      </c>
      <c r="E22" s="17">
        <v>0.0</v>
      </c>
      <c r="F22" s="17">
        <v>0.0</v>
      </c>
      <c r="G22" s="17">
        <v>0.0</v>
      </c>
      <c r="H22" s="17">
        <v>0.0</v>
      </c>
      <c r="I22" s="17">
        <v>0.0</v>
      </c>
      <c r="J22" s="17">
        <v>0.0</v>
      </c>
      <c r="K22" s="17">
        <v>0.0</v>
      </c>
      <c r="L22" s="17">
        <v>0.0</v>
      </c>
      <c r="M22" s="17">
        <v>0.0</v>
      </c>
      <c r="N22" s="17">
        <v>0.0</v>
      </c>
      <c r="O22" s="17">
        <v>0.0</v>
      </c>
      <c r="P22" s="17">
        <f t="shared" si="1"/>
        <v>0</v>
      </c>
      <c r="Q22" s="14" t="str">
        <f>+VLOOKUP(A22,Mapping!$A$1:$E$443,5,FALSE)</f>
        <v>Merchandise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20">
        <f t="shared" si="2"/>
        <v>0</v>
      </c>
    </row>
    <row r="23" ht="11.25" customHeight="1">
      <c r="A23" s="15" t="s">
        <v>111</v>
      </c>
      <c r="B23" s="15" t="s">
        <v>112</v>
      </c>
      <c r="C23" s="15" t="s">
        <v>41</v>
      </c>
      <c r="D23" s="17">
        <v>0.0</v>
      </c>
      <c r="E23" s="17">
        <v>0.0</v>
      </c>
      <c r="F23" s="17">
        <v>0.0</v>
      </c>
      <c r="G23" s="17">
        <v>0.0</v>
      </c>
      <c r="H23" s="17">
        <v>0.0</v>
      </c>
      <c r="I23" s="17">
        <v>0.0</v>
      </c>
      <c r="J23" s="17">
        <v>0.0</v>
      </c>
      <c r="K23" s="17">
        <v>0.0</v>
      </c>
      <c r="L23" s="17">
        <v>0.0</v>
      </c>
      <c r="M23" s="17">
        <v>0.0</v>
      </c>
      <c r="N23" s="17">
        <v>0.0</v>
      </c>
      <c r="O23" s="17">
        <v>0.0</v>
      </c>
      <c r="P23" s="17">
        <f t="shared" si="1"/>
        <v>0</v>
      </c>
      <c r="Q23" s="14" t="str">
        <f>+VLOOKUP(A23,Mapping!$A$1:$E$443,5,FALSE)</f>
        <v>Merchandise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20">
        <f t="shared" si="2"/>
        <v>0</v>
      </c>
    </row>
    <row r="24" ht="11.25" customHeight="1">
      <c r="A24" s="15" t="s">
        <v>114</v>
      </c>
      <c r="B24" s="15" t="s">
        <v>116</v>
      </c>
      <c r="C24" s="15" t="s">
        <v>41</v>
      </c>
      <c r="D24" s="17">
        <v>0.0</v>
      </c>
      <c r="E24" s="17">
        <v>0.0</v>
      </c>
      <c r="F24" s="17">
        <v>0.0</v>
      </c>
      <c r="G24" s="17">
        <v>0.0</v>
      </c>
      <c r="H24" s="17">
        <v>0.0</v>
      </c>
      <c r="I24" s="17">
        <v>0.0</v>
      </c>
      <c r="J24" s="17">
        <v>0.0</v>
      </c>
      <c r="K24" s="17">
        <v>0.0</v>
      </c>
      <c r="L24" s="17">
        <v>0.0</v>
      </c>
      <c r="M24" s="17">
        <v>0.0</v>
      </c>
      <c r="N24" s="17">
        <v>0.0</v>
      </c>
      <c r="O24" s="17">
        <v>0.0</v>
      </c>
      <c r="P24" s="17">
        <f t="shared" si="1"/>
        <v>0</v>
      </c>
      <c r="Q24" s="14" t="str">
        <f>+VLOOKUP(A24,Mapping!$A$1:$E$443,5,FALSE)</f>
        <v>Merchandise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20">
        <f t="shared" si="2"/>
        <v>0</v>
      </c>
    </row>
    <row r="25" ht="11.25" customHeight="1">
      <c r="A25" s="15" t="s">
        <v>117</v>
      </c>
      <c r="B25" s="15" t="s">
        <v>118</v>
      </c>
      <c r="C25" s="15" t="s">
        <v>41</v>
      </c>
      <c r="D25" s="17">
        <v>0.0</v>
      </c>
      <c r="E25" s="17">
        <v>0.0</v>
      </c>
      <c r="F25" s="17">
        <v>0.0</v>
      </c>
      <c r="G25" s="17">
        <v>0.0</v>
      </c>
      <c r="H25" s="17">
        <v>0.0</v>
      </c>
      <c r="I25" s="17">
        <v>0.0</v>
      </c>
      <c r="J25" s="17">
        <v>0.0</v>
      </c>
      <c r="K25" s="17">
        <v>0.0</v>
      </c>
      <c r="L25" s="17">
        <v>0.0</v>
      </c>
      <c r="M25" s="17">
        <v>0.0</v>
      </c>
      <c r="N25" s="17">
        <v>0.0</v>
      </c>
      <c r="O25" s="17">
        <v>0.0</v>
      </c>
      <c r="P25" s="17">
        <f t="shared" si="1"/>
        <v>0</v>
      </c>
      <c r="Q25" s="14" t="str">
        <f>+VLOOKUP(A25,Mapping!$A$1:$E$443,5,FALSE)</f>
        <v>Merchandise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20">
        <f t="shared" si="2"/>
        <v>0</v>
      </c>
    </row>
    <row r="26" ht="11.25" customHeight="1">
      <c r="A26" s="15" t="s">
        <v>123</v>
      </c>
      <c r="B26" s="15" t="s">
        <v>124</v>
      </c>
      <c r="C26" s="15" t="s">
        <v>41</v>
      </c>
      <c r="D26" s="17">
        <v>0.0</v>
      </c>
      <c r="E26" s="17">
        <v>0.0</v>
      </c>
      <c r="F26" s="17">
        <v>0.0</v>
      </c>
      <c r="G26" s="17">
        <v>0.0</v>
      </c>
      <c r="H26" s="17">
        <v>0.0</v>
      </c>
      <c r="I26" s="17">
        <v>0.0</v>
      </c>
      <c r="J26" s="17">
        <v>0.0</v>
      </c>
      <c r="K26" s="17">
        <v>0.0</v>
      </c>
      <c r="L26" s="17">
        <v>0.0</v>
      </c>
      <c r="M26" s="17">
        <v>0.0</v>
      </c>
      <c r="N26" s="17">
        <v>0.0</v>
      </c>
      <c r="O26" s="17">
        <v>0.0</v>
      </c>
      <c r="P26" s="17">
        <f t="shared" si="1"/>
        <v>0</v>
      </c>
      <c r="Q26" s="14" t="str">
        <f>+VLOOKUP(A26,Mapping!$A$1:$E$443,5,FALSE)</f>
        <v>Merchandise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20">
        <f t="shared" si="2"/>
        <v>0</v>
      </c>
    </row>
    <row r="27" ht="11.25" customHeight="1">
      <c r="A27" s="15" t="s">
        <v>127</v>
      </c>
      <c r="B27" s="15" t="s">
        <v>128</v>
      </c>
      <c r="C27" s="15" t="s">
        <v>41</v>
      </c>
      <c r="D27" s="17">
        <v>0.0</v>
      </c>
      <c r="E27" s="17">
        <v>0.0</v>
      </c>
      <c r="F27" s="17">
        <v>0.0</v>
      </c>
      <c r="G27" s="17">
        <v>0.0</v>
      </c>
      <c r="H27" s="17">
        <v>0.0</v>
      </c>
      <c r="I27" s="17">
        <v>0.0</v>
      </c>
      <c r="J27" s="17">
        <v>0.0</v>
      </c>
      <c r="K27" s="17">
        <v>0.0</v>
      </c>
      <c r="L27" s="17">
        <v>0.0</v>
      </c>
      <c r="M27" s="17">
        <v>0.0</v>
      </c>
      <c r="N27" s="17">
        <v>0.0</v>
      </c>
      <c r="O27" s="17">
        <v>0.0</v>
      </c>
      <c r="P27" s="17">
        <f t="shared" si="1"/>
        <v>0</v>
      </c>
      <c r="Q27" s="14" t="str">
        <f>+VLOOKUP(A27,Mapping!$A$1:$E$443,5,FALSE)</f>
        <v>Merchandise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20">
        <f t="shared" si="2"/>
        <v>0</v>
      </c>
    </row>
    <row r="28" ht="11.25" customHeight="1">
      <c r="A28" s="15" t="s">
        <v>129</v>
      </c>
      <c r="B28" s="15" t="s">
        <v>130</v>
      </c>
      <c r="C28" s="15" t="s">
        <v>41</v>
      </c>
      <c r="D28" s="17">
        <v>0.0</v>
      </c>
      <c r="E28" s="17">
        <v>0.0</v>
      </c>
      <c r="F28" s="17">
        <v>0.0</v>
      </c>
      <c r="G28" s="17">
        <v>0.0</v>
      </c>
      <c r="H28" s="17">
        <v>0.0</v>
      </c>
      <c r="I28" s="17">
        <v>0.0</v>
      </c>
      <c r="J28" s="17">
        <v>0.0</v>
      </c>
      <c r="K28" s="17">
        <v>0.0</v>
      </c>
      <c r="L28" s="17">
        <v>0.0</v>
      </c>
      <c r="M28" s="17">
        <v>0.0</v>
      </c>
      <c r="N28" s="17">
        <v>0.0</v>
      </c>
      <c r="O28" s="17">
        <v>0.0</v>
      </c>
      <c r="P28" s="17">
        <f t="shared" si="1"/>
        <v>0</v>
      </c>
      <c r="Q28" s="14" t="str">
        <f>+VLOOKUP(A28,Mapping!$A$1:$E$443,5,FALSE)</f>
        <v>Merchandise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20">
        <f t="shared" si="2"/>
        <v>0</v>
      </c>
    </row>
    <row r="29" ht="11.25" customHeight="1">
      <c r="A29" s="15" t="s">
        <v>134</v>
      </c>
      <c r="B29" s="15" t="s">
        <v>135</v>
      </c>
      <c r="C29" s="15" t="s">
        <v>41</v>
      </c>
      <c r="D29" s="17">
        <v>0.0</v>
      </c>
      <c r="E29" s="17">
        <v>26.32</v>
      </c>
      <c r="F29" s="17">
        <v>52.63</v>
      </c>
      <c r="G29" s="17">
        <v>52.63</v>
      </c>
      <c r="H29" s="17">
        <v>52.63</v>
      </c>
      <c r="I29" s="17">
        <v>52.63</v>
      </c>
      <c r="J29" s="17">
        <v>52.63</v>
      </c>
      <c r="K29" s="17">
        <v>52.63</v>
      </c>
      <c r="L29" s="17">
        <v>52.63</v>
      </c>
      <c r="M29" s="17">
        <v>52.63</v>
      </c>
      <c r="N29" s="17">
        <v>52.63</v>
      </c>
      <c r="O29" s="17">
        <v>0.0</v>
      </c>
      <c r="P29" s="17">
        <f t="shared" si="1"/>
        <v>499.99</v>
      </c>
      <c r="Q29" s="14" t="str">
        <f>+VLOOKUP(A29,Mapping!$A$1:$E$443,5,FALSE)</f>
        <v>Merchandise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20">
        <f t="shared" si="2"/>
        <v>0</v>
      </c>
    </row>
    <row r="30" ht="11.25" customHeight="1">
      <c r="A30" s="15" t="s">
        <v>137</v>
      </c>
      <c r="B30" s="15" t="s">
        <v>138</v>
      </c>
      <c r="C30" s="15" t="s">
        <v>41</v>
      </c>
      <c r="D30" s="17">
        <v>0.0</v>
      </c>
      <c r="E30" s="17">
        <v>250.0</v>
      </c>
      <c r="F30" s="17">
        <v>0.0</v>
      </c>
      <c r="G30" s="17">
        <v>0.0</v>
      </c>
      <c r="H30" s="17">
        <v>0.0</v>
      </c>
      <c r="I30" s="17">
        <v>0.0</v>
      </c>
      <c r="J30" s="17">
        <v>250.0</v>
      </c>
      <c r="K30" s="17">
        <v>0.0</v>
      </c>
      <c r="L30" s="17">
        <v>0.0</v>
      </c>
      <c r="M30" s="17">
        <v>0.0</v>
      </c>
      <c r="N30" s="17">
        <v>0.0</v>
      </c>
      <c r="O30" s="17">
        <v>0.0</v>
      </c>
      <c r="P30" s="17">
        <f t="shared" si="1"/>
        <v>500</v>
      </c>
      <c r="Q30" s="14" t="str">
        <f>+VLOOKUP(A30,Mapping!$A$1:$E$443,5,FALSE)</f>
        <v>Merchandise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20">
        <f t="shared" si="2"/>
        <v>0</v>
      </c>
    </row>
    <row r="31" ht="11.25" customHeight="1">
      <c r="A31" s="15" t="s">
        <v>140</v>
      </c>
      <c r="B31" s="15" t="s">
        <v>141</v>
      </c>
      <c r="C31" s="15" t="s">
        <v>41</v>
      </c>
      <c r="D31" s="17">
        <v>0.0</v>
      </c>
      <c r="E31" s="17">
        <v>52.63</v>
      </c>
      <c r="F31" s="17">
        <v>105.27</v>
      </c>
      <c r="G31" s="17">
        <v>105.27</v>
      </c>
      <c r="H31" s="17">
        <v>105.27</v>
      </c>
      <c r="I31" s="17">
        <v>105.27</v>
      </c>
      <c r="J31" s="17">
        <v>105.27</v>
      </c>
      <c r="K31" s="17">
        <v>105.27</v>
      </c>
      <c r="L31" s="17">
        <v>105.27</v>
      </c>
      <c r="M31" s="17">
        <v>105.25</v>
      </c>
      <c r="N31" s="17">
        <v>105.25</v>
      </c>
      <c r="O31" s="17">
        <v>0.0</v>
      </c>
      <c r="P31" s="17">
        <f t="shared" si="1"/>
        <v>1000.02</v>
      </c>
      <c r="Q31" s="14" t="str">
        <f>+VLOOKUP(A31,Mapping!$A$1:$E$443,5,FALSE)</f>
        <v>Merchandise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0">
        <f t="shared" si="2"/>
        <v>0</v>
      </c>
    </row>
    <row r="32" ht="11.25" customHeight="1">
      <c r="A32" s="15" t="s">
        <v>144</v>
      </c>
      <c r="B32" s="15" t="s">
        <v>145</v>
      </c>
      <c r="C32" s="15" t="s">
        <v>41</v>
      </c>
      <c r="D32" s="17">
        <v>0.0</v>
      </c>
      <c r="E32" s="17">
        <v>0.0</v>
      </c>
      <c r="F32" s="17">
        <v>0.0</v>
      </c>
      <c r="G32" s="17">
        <v>0.0</v>
      </c>
      <c r="H32" s="17">
        <v>0.0</v>
      </c>
      <c r="I32" s="17">
        <v>0.0</v>
      </c>
      <c r="J32" s="17">
        <v>0.0</v>
      </c>
      <c r="K32" s="17">
        <v>0.0</v>
      </c>
      <c r="L32" s="17">
        <v>0.0</v>
      </c>
      <c r="M32" s="17">
        <v>0.0</v>
      </c>
      <c r="N32" s="17">
        <v>0.0</v>
      </c>
      <c r="O32" s="17">
        <v>0.0</v>
      </c>
      <c r="P32" s="17">
        <f t="shared" si="1"/>
        <v>0</v>
      </c>
      <c r="Q32" s="14" t="str">
        <f>+VLOOKUP(A32,Mapping!$A$1:$E$443,5,FALSE)</f>
        <v>Merchandise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0">
        <f t="shared" si="2"/>
        <v>0</v>
      </c>
    </row>
    <row r="33" ht="11.25" customHeight="1">
      <c r="A33" s="15" t="s">
        <v>147</v>
      </c>
      <c r="B33" s="15" t="s">
        <v>148</v>
      </c>
      <c r="C33" s="15" t="s">
        <v>41</v>
      </c>
      <c r="D33" s="17">
        <v>0.0</v>
      </c>
      <c r="E33" s="17">
        <v>0.0</v>
      </c>
      <c r="F33" s="17">
        <v>0.0</v>
      </c>
      <c r="G33" s="17">
        <v>0.0</v>
      </c>
      <c r="H33" s="17">
        <v>0.0</v>
      </c>
      <c r="I33" s="17">
        <v>0.0</v>
      </c>
      <c r="J33" s="17">
        <v>0.0</v>
      </c>
      <c r="K33" s="17">
        <v>0.0</v>
      </c>
      <c r="L33" s="17">
        <v>0.0</v>
      </c>
      <c r="M33" s="17">
        <v>0.0</v>
      </c>
      <c r="N33" s="17">
        <v>0.0</v>
      </c>
      <c r="O33" s="17">
        <v>0.0</v>
      </c>
      <c r="P33" s="17">
        <f t="shared" si="1"/>
        <v>0</v>
      </c>
      <c r="Q33" s="14" t="str">
        <f>+VLOOKUP(A33,Mapping!$A$1:$E$443,5,FALSE)</f>
        <v>Merchandise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20">
        <f t="shared" si="2"/>
        <v>0</v>
      </c>
    </row>
    <row r="34" ht="11.25" customHeight="1">
      <c r="A34" s="15" t="s">
        <v>149</v>
      </c>
      <c r="B34" s="15" t="s">
        <v>150</v>
      </c>
      <c r="C34" s="15" t="s">
        <v>41</v>
      </c>
      <c r="D34" s="17">
        <v>0.0</v>
      </c>
      <c r="E34" s="17">
        <v>0.0</v>
      </c>
      <c r="F34" s="17">
        <v>0.0</v>
      </c>
      <c r="G34" s="17">
        <v>0.0</v>
      </c>
      <c r="H34" s="17">
        <v>0.0</v>
      </c>
      <c r="I34" s="17">
        <v>0.0</v>
      </c>
      <c r="J34" s="17">
        <v>0.0</v>
      </c>
      <c r="K34" s="17">
        <v>0.0</v>
      </c>
      <c r="L34" s="17">
        <v>0.0</v>
      </c>
      <c r="M34" s="17">
        <v>0.0</v>
      </c>
      <c r="N34" s="17">
        <v>0.0</v>
      </c>
      <c r="O34" s="17">
        <v>0.0</v>
      </c>
      <c r="P34" s="17">
        <f t="shared" si="1"/>
        <v>0</v>
      </c>
      <c r="Q34" s="14" t="str">
        <f>+VLOOKUP(A34,Mapping!$A$1:$E$443,5,FALSE)</f>
        <v>Student Activities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20">
        <f t="shared" si="2"/>
        <v>0</v>
      </c>
    </row>
    <row r="35" ht="11.25" customHeight="1">
      <c r="A35" s="15" t="s">
        <v>152</v>
      </c>
      <c r="B35" s="15" t="s">
        <v>153</v>
      </c>
      <c r="C35" s="15" t="s">
        <v>41</v>
      </c>
      <c r="D35" s="17">
        <v>5.0</v>
      </c>
      <c r="E35" s="17">
        <v>5.0</v>
      </c>
      <c r="F35" s="17">
        <v>5.0</v>
      </c>
      <c r="G35" s="17">
        <v>10.52</v>
      </c>
      <c r="H35" s="17">
        <v>10.52</v>
      </c>
      <c r="I35" s="17">
        <v>10.52</v>
      </c>
      <c r="J35" s="17">
        <v>10.52</v>
      </c>
      <c r="K35" s="17">
        <v>10.52</v>
      </c>
      <c r="L35" s="17">
        <v>10.52</v>
      </c>
      <c r="M35" s="17">
        <v>10.52</v>
      </c>
      <c r="N35" s="17">
        <v>10.52</v>
      </c>
      <c r="O35" s="17">
        <v>0.83</v>
      </c>
      <c r="P35" s="17">
        <f t="shared" si="1"/>
        <v>99.99</v>
      </c>
      <c r="Q35" s="14" t="str">
        <f>+VLOOKUP(A35,Mapping!$A$1:$E$443,5,FALSE)</f>
        <v>Student Activities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20">
        <f t="shared" si="2"/>
        <v>0</v>
      </c>
    </row>
    <row r="36" ht="11.25" customHeight="1">
      <c r="A36" s="15" t="s">
        <v>155</v>
      </c>
      <c r="B36" s="15" t="s">
        <v>156</v>
      </c>
      <c r="C36" s="15" t="s">
        <v>41</v>
      </c>
      <c r="D36" s="17">
        <v>0.0</v>
      </c>
      <c r="E36" s="17">
        <v>0.0</v>
      </c>
      <c r="F36" s="17">
        <v>0.0</v>
      </c>
      <c r="G36" s="17">
        <v>0.0</v>
      </c>
      <c r="H36" s="17">
        <v>0.0</v>
      </c>
      <c r="I36" s="17">
        <v>0.0</v>
      </c>
      <c r="J36" s="17">
        <v>0.0</v>
      </c>
      <c r="K36" s="17">
        <v>0.0</v>
      </c>
      <c r="L36" s="17">
        <v>0.0</v>
      </c>
      <c r="M36" s="17">
        <v>0.0</v>
      </c>
      <c r="N36" s="17">
        <v>0.0</v>
      </c>
      <c r="O36" s="17">
        <v>0.0</v>
      </c>
      <c r="P36" s="17">
        <f t="shared" si="1"/>
        <v>0</v>
      </c>
      <c r="Q36" s="14" t="str">
        <f>+VLOOKUP(A36,Mapping!$A$1:$E$443,5,FALSE)</f>
        <v>Student Activities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20">
        <f t="shared" si="2"/>
        <v>0</v>
      </c>
    </row>
    <row r="37" ht="11.25" customHeight="1">
      <c r="A37" s="15" t="s">
        <v>159</v>
      </c>
      <c r="B37" s="15" t="s">
        <v>160</v>
      </c>
      <c r="C37" s="15" t="s">
        <v>41</v>
      </c>
      <c r="D37" s="17">
        <v>0.0</v>
      </c>
      <c r="E37" s="17">
        <v>0.0</v>
      </c>
      <c r="F37" s="17">
        <v>0.0</v>
      </c>
      <c r="G37" s="17">
        <v>0.0</v>
      </c>
      <c r="H37" s="17">
        <v>0.0</v>
      </c>
      <c r="I37" s="17">
        <v>0.0</v>
      </c>
      <c r="J37" s="17">
        <v>0.0</v>
      </c>
      <c r="K37" s="17">
        <v>0.0</v>
      </c>
      <c r="L37" s="17">
        <v>0.0</v>
      </c>
      <c r="M37" s="17">
        <v>0.0</v>
      </c>
      <c r="N37" s="17">
        <v>0.0</v>
      </c>
      <c r="O37" s="17">
        <v>0.0</v>
      </c>
      <c r="P37" s="17">
        <f t="shared" si="1"/>
        <v>0</v>
      </c>
      <c r="Q37" s="14" t="str">
        <f>+VLOOKUP(A37,Mapping!$A$1:$E$443,5,FALSE)</f>
        <v>Student Activities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20">
        <f t="shared" si="2"/>
        <v>0</v>
      </c>
    </row>
    <row r="38" ht="11.25" customHeight="1">
      <c r="A38" s="15" t="s">
        <v>163</v>
      </c>
      <c r="B38" s="15" t="s">
        <v>164</v>
      </c>
      <c r="C38" s="15" t="s">
        <v>41</v>
      </c>
      <c r="D38" s="17">
        <v>0.0</v>
      </c>
      <c r="E38" s="17">
        <v>0.0</v>
      </c>
      <c r="F38" s="17">
        <v>0.0</v>
      </c>
      <c r="G38" s="17">
        <v>0.0</v>
      </c>
      <c r="H38" s="17">
        <v>0.0</v>
      </c>
      <c r="I38" s="17">
        <v>0.0</v>
      </c>
      <c r="J38" s="17">
        <v>200.0</v>
      </c>
      <c r="K38" s="17">
        <v>400.0</v>
      </c>
      <c r="L38" s="17">
        <v>400.0</v>
      </c>
      <c r="M38" s="17">
        <v>500.0</v>
      </c>
      <c r="N38" s="17">
        <v>500.0</v>
      </c>
      <c r="O38" s="17">
        <v>0.0</v>
      </c>
      <c r="P38" s="17">
        <f t="shared" si="1"/>
        <v>2000</v>
      </c>
      <c r="Q38" s="14" t="str">
        <f>+VLOOKUP(A38,Mapping!$A$1:$E$443,5,FALSE)</f>
        <v>Student Activities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20">
        <f t="shared" si="2"/>
        <v>0</v>
      </c>
    </row>
    <row r="39" ht="11.25" customHeight="1">
      <c r="A39" s="15" t="s">
        <v>167</v>
      </c>
      <c r="B39" s="15" t="s">
        <v>168</v>
      </c>
      <c r="C39" s="15" t="s">
        <v>41</v>
      </c>
      <c r="D39" s="17">
        <v>0.0</v>
      </c>
      <c r="E39" s="17">
        <v>0.0</v>
      </c>
      <c r="F39" s="17">
        <v>0.0</v>
      </c>
      <c r="G39" s="17">
        <v>0.0</v>
      </c>
      <c r="H39" s="17">
        <v>0.0</v>
      </c>
      <c r="I39" s="17">
        <v>0.0</v>
      </c>
      <c r="J39" s="17">
        <v>0.0</v>
      </c>
      <c r="K39" s="17">
        <v>0.0</v>
      </c>
      <c r="L39" s="17">
        <v>250.0</v>
      </c>
      <c r="M39" s="17">
        <v>250.0</v>
      </c>
      <c r="N39" s="17">
        <v>250.0</v>
      </c>
      <c r="O39" s="17">
        <v>0.0</v>
      </c>
      <c r="P39" s="17">
        <f t="shared" si="1"/>
        <v>750</v>
      </c>
      <c r="Q39" s="14" t="str">
        <f>+VLOOKUP(A39,Mapping!$A$1:$E$443,5,FALSE)</f>
        <v>Student Activities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20">
        <f t="shared" si="2"/>
        <v>0</v>
      </c>
    </row>
    <row r="40" ht="11.25" customHeight="1">
      <c r="A40" s="15" t="s">
        <v>171</v>
      </c>
      <c r="B40" s="15" t="s">
        <v>172</v>
      </c>
      <c r="C40" s="15" t="s">
        <v>41</v>
      </c>
      <c r="D40" s="17">
        <v>100.0</v>
      </c>
      <c r="E40" s="17">
        <v>0.0</v>
      </c>
      <c r="F40" s="17">
        <v>100.0</v>
      </c>
      <c r="G40" s="17">
        <v>100.0</v>
      </c>
      <c r="H40" s="17">
        <v>100.0</v>
      </c>
      <c r="I40" s="17">
        <v>100.0</v>
      </c>
      <c r="J40" s="17">
        <v>100.0</v>
      </c>
      <c r="K40" s="17">
        <v>100.0</v>
      </c>
      <c r="L40" s="17">
        <v>100.0</v>
      </c>
      <c r="M40" s="17">
        <v>100.0</v>
      </c>
      <c r="N40" s="17">
        <v>100.0</v>
      </c>
      <c r="O40" s="17">
        <v>0.0</v>
      </c>
      <c r="P40" s="17">
        <f t="shared" si="1"/>
        <v>1000</v>
      </c>
      <c r="Q40" s="14" t="str">
        <f>+VLOOKUP(A40,Mapping!$A$1:$E$443,5,FALSE)</f>
        <v>Student Activities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20">
        <f t="shared" si="2"/>
        <v>0</v>
      </c>
    </row>
    <row r="41" ht="11.25" customHeight="1">
      <c r="A41" s="15" t="s">
        <v>175</v>
      </c>
      <c r="B41" s="15" t="s">
        <v>176</v>
      </c>
      <c r="C41" s="15" t="s">
        <v>41</v>
      </c>
      <c r="D41" s="17">
        <v>3000.0</v>
      </c>
      <c r="E41" s="17">
        <v>0.0</v>
      </c>
      <c r="F41" s="17">
        <v>0.0</v>
      </c>
      <c r="G41" s="17">
        <v>0.0</v>
      </c>
      <c r="H41" s="17">
        <v>0.0</v>
      </c>
      <c r="I41" s="17">
        <v>0.0</v>
      </c>
      <c r="J41" s="17">
        <v>0.0</v>
      </c>
      <c r="K41" s="17">
        <v>0.0</v>
      </c>
      <c r="L41" s="17">
        <v>0.0</v>
      </c>
      <c r="M41" s="17">
        <v>0.0</v>
      </c>
      <c r="N41" s="17">
        <v>0.0</v>
      </c>
      <c r="O41" s="17">
        <v>5000.0</v>
      </c>
      <c r="P41" s="17">
        <f t="shared" si="1"/>
        <v>8000</v>
      </c>
      <c r="Q41" s="14" t="str">
        <f>+VLOOKUP(A41,Mapping!$A$1:$E$443,5,FALSE)</f>
        <v>Student Activities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20">
        <f t="shared" si="2"/>
        <v>0</v>
      </c>
    </row>
    <row r="42" ht="11.25" customHeight="1">
      <c r="A42" s="15" t="s">
        <v>178</v>
      </c>
      <c r="B42" s="15" t="s">
        <v>179</v>
      </c>
      <c r="C42" s="15" t="s">
        <v>41</v>
      </c>
      <c r="D42" s="17">
        <v>0.0</v>
      </c>
      <c r="E42" s="17">
        <v>0.0</v>
      </c>
      <c r="F42" s="17">
        <v>0.0</v>
      </c>
      <c r="G42" s="17">
        <v>0.0</v>
      </c>
      <c r="H42" s="17">
        <v>0.0</v>
      </c>
      <c r="I42" s="17">
        <v>0.0</v>
      </c>
      <c r="J42" s="17">
        <v>0.0</v>
      </c>
      <c r="K42" s="17">
        <v>0.0</v>
      </c>
      <c r="L42" s="17">
        <v>0.0</v>
      </c>
      <c r="M42" s="17">
        <v>400.0</v>
      </c>
      <c r="N42" s="17">
        <v>400.0</v>
      </c>
      <c r="O42" s="17">
        <v>0.0</v>
      </c>
      <c r="P42" s="17">
        <f t="shared" si="1"/>
        <v>800</v>
      </c>
      <c r="Q42" s="14" t="str">
        <f>+VLOOKUP(A42,Mapping!$A$1:$E$443,5,FALSE)</f>
        <v>Student Activities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20">
        <f t="shared" si="2"/>
        <v>0</v>
      </c>
    </row>
    <row r="43" ht="11.25" customHeight="1">
      <c r="A43" s="15" t="s">
        <v>181</v>
      </c>
      <c r="B43" s="15" t="s">
        <v>182</v>
      </c>
      <c r="C43" s="15" t="s">
        <v>41</v>
      </c>
      <c r="D43" s="17">
        <v>0.0</v>
      </c>
      <c r="E43" s="17">
        <v>0.0</v>
      </c>
      <c r="F43" s="17">
        <v>0.0</v>
      </c>
      <c r="G43" s="17">
        <v>0.0</v>
      </c>
      <c r="H43" s="17">
        <v>0.0</v>
      </c>
      <c r="I43" s="17">
        <v>0.0</v>
      </c>
      <c r="J43" s="17">
        <v>0.0</v>
      </c>
      <c r="K43" s="17">
        <v>0.0</v>
      </c>
      <c r="L43" s="17">
        <v>0.0</v>
      </c>
      <c r="M43" s="17">
        <v>0.0</v>
      </c>
      <c r="N43" s="17">
        <v>0.0</v>
      </c>
      <c r="O43" s="17">
        <v>0.0</v>
      </c>
      <c r="P43" s="17">
        <f t="shared" si="1"/>
        <v>0</v>
      </c>
      <c r="Q43" s="14" t="str">
        <f>+VLOOKUP(A43,Mapping!$A$1:$E$443,5,FALSE)</f>
        <v>Student Activities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20">
        <f t="shared" si="2"/>
        <v>0</v>
      </c>
    </row>
    <row r="44" ht="11.25" customHeight="1">
      <c r="A44" s="15" t="s">
        <v>184</v>
      </c>
      <c r="B44" s="15" t="s">
        <v>185</v>
      </c>
      <c r="C44" s="15" t="s">
        <v>41</v>
      </c>
      <c r="D44" s="17">
        <v>0.0</v>
      </c>
      <c r="E44" s="17">
        <v>0.0</v>
      </c>
      <c r="F44" s="17">
        <v>0.0</v>
      </c>
      <c r="G44" s="17">
        <v>0.0</v>
      </c>
      <c r="H44" s="17">
        <v>0.0</v>
      </c>
      <c r="I44" s="17">
        <v>0.0</v>
      </c>
      <c r="J44" s="17">
        <v>0.0</v>
      </c>
      <c r="K44" s="17">
        <v>0.0</v>
      </c>
      <c r="L44" s="17">
        <v>0.0</v>
      </c>
      <c r="M44" s="17">
        <v>0.0</v>
      </c>
      <c r="N44" s="17">
        <v>0.0</v>
      </c>
      <c r="O44" s="17">
        <v>0.0</v>
      </c>
      <c r="P44" s="17">
        <f t="shared" si="1"/>
        <v>0</v>
      </c>
      <c r="Q44" s="14" t="str">
        <f>+VLOOKUP(A44,Mapping!$A$1:$E$443,5,FALSE)</f>
        <v>Student Activities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20">
        <f t="shared" si="2"/>
        <v>0</v>
      </c>
    </row>
    <row r="45" ht="11.25" customHeight="1">
      <c r="A45" s="15" t="s">
        <v>188</v>
      </c>
      <c r="B45" s="15" t="s">
        <v>189</v>
      </c>
      <c r="C45" s="15" t="s">
        <v>41</v>
      </c>
      <c r="D45" s="17">
        <v>0.0</v>
      </c>
      <c r="E45" s="17">
        <v>0.0</v>
      </c>
      <c r="F45" s="17">
        <v>0.0</v>
      </c>
      <c r="G45" s="17">
        <v>0.0</v>
      </c>
      <c r="H45" s="17">
        <v>0.0</v>
      </c>
      <c r="I45" s="17">
        <v>0.0</v>
      </c>
      <c r="J45" s="17">
        <v>0.0</v>
      </c>
      <c r="K45" s="17">
        <v>0.0</v>
      </c>
      <c r="L45" s="17">
        <v>0.0</v>
      </c>
      <c r="M45" s="17">
        <v>0.0</v>
      </c>
      <c r="N45" s="17">
        <v>0.0</v>
      </c>
      <c r="O45" s="17">
        <v>0.0</v>
      </c>
      <c r="P45" s="17">
        <f t="shared" si="1"/>
        <v>0</v>
      </c>
      <c r="Q45" s="14" t="str">
        <f>+VLOOKUP(A45,Mapping!$A$1:$E$443,5,FALSE)</f>
        <v>PTO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20">
        <f t="shared" si="2"/>
        <v>0</v>
      </c>
    </row>
    <row r="46" ht="11.25" customHeight="1">
      <c r="A46" s="15" t="s">
        <v>190</v>
      </c>
      <c r="B46" s="15" t="s">
        <v>192</v>
      </c>
      <c r="C46" s="15" t="s">
        <v>41</v>
      </c>
      <c r="D46" s="17">
        <v>0.0</v>
      </c>
      <c r="E46" s="17">
        <v>0.0</v>
      </c>
      <c r="F46" s="17">
        <v>0.0</v>
      </c>
      <c r="G46" s="17">
        <v>0.0</v>
      </c>
      <c r="H46" s="17">
        <v>0.0</v>
      </c>
      <c r="I46" s="17">
        <v>0.0</v>
      </c>
      <c r="J46" s="17">
        <v>0.0</v>
      </c>
      <c r="K46" s="17">
        <v>0.0</v>
      </c>
      <c r="L46" s="17">
        <v>0.0</v>
      </c>
      <c r="M46" s="17">
        <v>0.0</v>
      </c>
      <c r="N46" s="17">
        <v>0.0</v>
      </c>
      <c r="O46" s="17">
        <v>0.0</v>
      </c>
      <c r="P46" s="17">
        <f t="shared" si="1"/>
        <v>0</v>
      </c>
      <c r="Q46" s="14" t="str">
        <f>+VLOOKUP(A46,Mapping!$A$1:$E$443,5,FALSE)</f>
        <v>PTO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0">
        <f t="shared" si="2"/>
        <v>0</v>
      </c>
    </row>
    <row r="47" ht="11.25" customHeight="1">
      <c r="A47" s="15" t="s">
        <v>197</v>
      </c>
      <c r="B47" s="15" t="s">
        <v>198</v>
      </c>
      <c r="C47" s="15" t="s">
        <v>41</v>
      </c>
      <c r="D47" s="17">
        <v>0.0</v>
      </c>
      <c r="E47" s="17">
        <v>0.0</v>
      </c>
      <c r="F47" s="17">
        <v>0.0</v>
      </c>
      <c r="G47" s="17">
        <v>0.0</v>
      </c>
      <c r="H47" s="17">
        <v>0.0</v>
      </c>
      <c r="I47" s="17">
        <v>0.0</v>
      </c>
      <c r="J47" s="17">
        <v>0.0</v>
      </c>
      <c r="K47" s="17">
        <v>0.0</v>
      </c>
      <c r="L47" s="17">
        <v>0.0</v>
      </c>
      <c r="M47" s="17">
        <v>0.0</v>
      </c>
      <c r="N47" s="17">
        <v>0.0</v>
      </c>
      <c r="O47" s="17">
        <v>0.0</v>
      </c>
      <c r="P47" s="17">
        <f t="shared" si="1"/>
        <v>0</v>
      </c>
      <c r="Q47" s="14" t="str">
        <f>+VLOOKUP(A47,Mapping!$A$1:$E$443,5,FALSE)</f>
        <v>Misc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20">
        <f t="shared" si="2"/>
        <v>0</v>
      </c>
    </row>
    <row r="48" ht="11.25" customHeight="1">
      <c r="A48" s="15" t="s">
        <v>200</v>
      </c>
      <c r="B48" s="15" t="s">
        <v>201</v>
      </c>
      <c r="C48" s="15" t="s">
        <v>41</v>
      </c>
      <c r="D48" s="17">
        <v>0.0</v>
      </c>
      <c r="E48" s="17">
        <v>0.0</v>
      </c>
      <c r="F48" s="17">
        <v>0.0</v>
      </c>
      <c r="G48" s="17">
        <v>0.0</v>
      </c>
      <c r="H48" s="17">
        <v>0.0</v>
      </c>
      <c r="I48" s="17">
        <v>0.0</v>
      </c>
      <c r="J48" s="17">
        <v>0.0</v>
      </c>
      <c r="K48" s="17">
        <v>0.0</v>
      </c>
      <c r="L48" s="17">
        <v>0.0</v>
      </c>
      <c r="M48" s="17">
        <v>0.0</v>
      </c>
      <c r="N48" s="17">
        <v>0.0</v>
      </c>
      <c r="O48" s="17">
        <v>0.0</v>
      </c>
      <c r="P48" s="17">
        <f t="shared" si="1"/>
        <v>0</v>
      </c>
      <c r="Q48" s="14" t="str">
        <f>+VLOOKUP(A48,Mapping!$A$1:$E$443,5,FALSE)</f>
        <v>Misc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20">
        <f t="shared" si="2"/>
        <v>0</v>
      </c>
    </row>
    <row r="49" ht="11.25" customHeight="1">
      <c r="A49" s="15" t="s">
        <v>206</v>
      </c>
      <c r="B49" s="15" t="s">
        <v>207</v>
      </c>
      <c r="C49" s="15" t="s">
        <v>41</v>
      </c>
      <c r="D49" s="17">
        <v>0.0</v>
      </c>
      <c r="E49" s="17">
        <v>0.0</v>
      </c>
      <c r="F49" s="17">
        <v>0.0</v>
      </c>
      <c r="G49" s="17">
        <v>0.0</v>
      </c>
      <c r="H49" s="17">
        <v>0.0</v>
      </c>
      <c r="I49" s="17">
        <v>0.0</v>
      </c>
      <c r="J49" s="17">
        <v>0.0</v>
      </c>
      <c r="K49" s="17">
        <v>0.0</v>
      </c>
      <c r="L49" s="17">
        <v>0.0</v>
      </c>
      <c r="M49" s="17">
        <v>0.0</v>
      </c>
      <c r="N49" s="17">
        <v>0.0</v>
      </c>
      <c r="O49" s="17">
        <v>0.0</v>
      </c>
      <c r="P49" s="17">
        <f t="shared" si="1"/>
        <v>0</v>
      </c>
      <c r="Q49" s="14" t="str">
        <f>+VLOOKUP(A49,Mapping!$A$1:$E$443,5,FALSE)</f>
        <v>Misc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20">
        <f t="shared" si="2"/>
        <v>0</v>
      </c>
    </row>
    <row r="50" ht="11.25" customHeight="1">
      <c r="A50" s="15" t="s">
        <v>210</v>
      </c>
      <c r="B50" s="15" t="s">
        <v>211</v>
      </c>
      <c r="C50" s="15" t="s">
        <v>41</v>
      </c>
      <c r="D50" s="17">
        <v>0.0</v>
      </c>
      <c r="E50" s="17">
        <v>0.0</v>
      </c>
      <c r="F50" s="17">
        <v>0.0</v>
      </c>
      <c r="G50" s="17">
        <v>0.0</v>
      </c>
      <c r="H50" s="17">
        <v>0.0</v>
      </c>
      <c r="I50" s="17">
        <v>0.0</v>
      </c>
      <c r="J50" s="17">
        <v>0.0</v>
      </c>
      <c r="K50" s="17">
        <v>0.0</v>
      </c>
      <c r="L50" s="17">
        <v>0.0</v>
      </c>
      <c r="M50" s="17">
        <v>0.0</v>
      </c>
      <c r="N50" s="17">
        <v>0.0</v>
      </c>
      <c r="O50" s="17">
        <v>0.0</v>
      </c>
      <c r="P50" s="17">
        <f t="shared" si="1"/>
        <v>0</v>
      </c>
      <c r="Q50" s="14" t="str">
        <f>+VLOOKUP(A50,Mapping!$A$1:$E$443,5,FALSE)</f>
        <v>Misc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20">
        <f t="shared" si="2"/>
        <v>0</v>
      </c>
    </row>
    <row r="51" ht="11.25" customHeight="1">
      <c r="A51" s="15" t="s">
        <v>213</v>
      </c>
      <c r="B51" s="15" t="s">
        <v>214</v>
      </c>
      <c r="C51" s="15" t="s">
        <v>41</v>
      </c>
      <c r="D51" s="17">
        <v>0.0</v>
      </c>
      <c r="E51" s="17">
        <v>0.0</v>
      </c>
      <c r="F51" s="17">
        <v>0.0</v>
      </c>
      <c r="G51" s="17">
        <v>0.0</v>
      </c>
      <c r="H51" s="17">
        <v>0.0</v>
      </c>
      <c r="I51" s="17">
        <v>0.0</v>
      </c>
      <c r="J51" s="17">
        <v>0.0</v>
      </c>
      <c r="K51" s="17">
        <v>0.0</v>
      </c>
      <c r="L51" s="17">
        <v>0.0</v>
      </c>
      <c r="M51" s="17">
        <v>0.0</v>
      </c>
      <c r="N51" s="17">
        <v>0.0</v>
      </c>
      <c r="O51" s="17">
        <v>0.0</v>
      </c>
      <c r="P51" s="17">
        <f t="shared" si="1"/>
        <v>0</v>
      </c>
      <c r="Q51" s="14" t="str">
        <f>+VLOOKUP(A51,Mapping!$A$1:$E$443,5,FALSE)</f>
        <v>Misc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20">
        <f t="shared" si="2"/>
        <v>0</v>
      </c>
    </row>
    <row r="52" ht="11.25" customHeight="1">
      <c r="A52" s="15" t="s">
        <v>215</v>
      </c>
      <c r="B52" s="15" t="s">
        <v>216</v>
      </c>
      <c r="C52" s="15" t="s">
        <v>41</v>
      </c>
      <c r="D52" s="17">
        <v>20.83</v>
      </c>
      <c r="E52" s="17">
        <v>20.83</v>
      </c>
      <c r="F52" s="17">
        <v>20.83</v>
      </c>
      <c r="G52" s="17">
        <v>20.83</v>
      </c>
      <c r="H52" s="17">
        <v>20.83</v>
      </c>
      <c r="I52" s="17">
        <v>20.83</v>
      </c>
      <c r="J52" s="17">
        <v>20.83</v>
      </c>
      <c r="K52" s="17">
        <v>20.83</v>
      </c>
      <c r="L52" s="17">
        <v>20.83</v>
      </c>
      <c r="M52" s="17">
        <v>20.83</v>
      </c>
      <c r="N52" s="17">
        <v>20.83</v>
      </c>
      <c r="O52" s="17">
        <v>20.83</v>
      </c>
      <c r="P52" s="17">
        <f t="shared" si="1"/>
        <v>249.96</v>
      </c>
      <c r="Q52" s="14" t="str">
        <f>+VLOOKUP(A52,Mapping!$A$1:$E$443,5,FALSE)</f>
        <v>Investment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20">
        <f t="shared" si="2"/>
        <v>0</v>
      </c>
    </row>
    <row r="53" ht="11.25" customHeight="1">
      <c r="A53" s="15" t="s">
        <v>219</v>
      </c>
      <c r="B53" s="15" t="s">
        <v>220</v>
      </c>
      <c r="C53" s="15" t="s">
        <v>41</v>
      </c>
      <c r="D53" s="17">
        <v>0.0</v>
      </c>
      <c r="E53" s="17">
        <v>0.0</v>
      </c>
      <c r="F53" s="17">
        <v>0.0</v>
      </c>
      <c r="G53" s="17">
        <v>0.0</v>
      </c>
      <c r="H53" s="17">
        <v>0.0</v>
      </c>
      <c r="I53" s="17">
        <v>0.0</v>
      </c>
      <c r="J53" s="17">
        <v>0.0</v>
      </c>
      <c r="K53" s="17">
        <v>0.0</v>
      </c>
      <c r="L53" s="17">
        <v>0.0</v>
      </c>
      <c r="M53" s="17">
        <v>0.0</v>
      </c>
      <c r="N53" s="17">
        <v>0.0</v>
      </c>
      <c r="O53" s="17">
        <v>0.0</v>
      </c>
      <c r="P53" s="17">
        <f t="shared" si="1"/>
        <v>0</v>
      </c>
      <c r="Q53" s="14" t="str">
        <f>+VLOOKUP(A53,Mapping!$A$1:$E$443,5,FALSE)</f>
        <v>Investment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20">
        <f t="shared" si="2"/>
        <v>0</v>
      </c>
    </row>
    <row r="54" ht="11.25" customHeight="1">
      <c r="A54" s="15" t="s">
        <v>221</v>
      </c>
      <c r="B54" s="15" t="s">
        <v>222</v>
      </c>
      <c r="C54" s="15" t="s">
        <v>41</v>
      </c>
      <c r="D54" s="17">
        <v>0.0</v>
      </c>
      <c r="E54" s="17">
        <v>0.0</v>
      </c>
      <c r="F54" s="17">
        <v>0.0</v>
      </c>
      <c r="G54" s="17">
        <v>0.0</v>
      </c>
      <c r="H54" s="17">
        <v>0.0</v>
      </c>
      <c r="I54" s="17">
        <v>0.0</v>
      </c>
      <c r="J54" s="17">
        <v>0.0</v>
      </c>
      <c r="K54" s="17">
        <v>0.0</v>
      </c>
      <c r="L54" s="17">
        <v>0.0</v>
      </c>
      <c r="M54" s="17">
        <v>0.0</v>
      </c>
      <c r="N54" s="17">
        <v>0.0</v>
      </c>
      <c r="O54" s="17">
        <v>0.0</v>
      </c>
      <c r="P54" s="17">
        <f t="shared" si="1"/>
        <v>0</v>
      </c>
      <c r="Q54" s="14" t="str">
        <f>+VLOOKUP(A54,Mapping!$A$1:$E$443,5,FALSE)</f>
        <v>Investment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20">
        <f t="shared" si="2"/>
        <v>0</v>
      </c>
    </row>
    <row r="55" ht="11.25" customHeight="1">
      <c r="A55" s="15" t="s">
        <v>224</v>
      </c>
      <c r="B55" s="15" t="s">
        <v>225</v>
      </c>
      <c r="C55" s="15" t="s">
        <v>41</v>
      </c>
      <c r="D55" s="17">
        <v>0.0</v>
      </c>
      <c r="E55" s="17">
        <v>0.0</v>
      </c>
      <c r="F55" s="17">
        <v>0.0</v>
      </c>
      <c r="G55" s="17">
        <v>0.0</v>
      </c>
      <c r="H55" s="17">
        <v>0.0</v>
      </c>
      <c r="I55" s="17">
        <v>0.0</v>
      </c>
      <c r="J55" s="17">
        <v>0.0</v>
      </c>
      <c r="K55" s="17">
        <v>0.0</v>
      </c>
      <c r="L55" s="17">
        <v>0.0</v>
      </c>
      <c r="M55" s="17">
        <v>0.0</v>
      </c>
      <c r="N55" s="17">
        <v>0.0</v>
      </c>
      <c r="O55" s="17">
        <v>0.0</v>
      </c>
      <c r="P55" s="17">
        <f t="shared" si="1"/>
        <v>0</v>
      </c>
      <c r="Q55" s="14" t="str">
        <f>+VLOOKUP(A55,Mapping!$A$1:$E$443,5,FALSE)</f>
        <v>Investment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20">
        <f t="shared" si="2"/>
        <v>0</v>
      </c>
    </row>
    <row r="56" ht="11.25" customHeight="1">
      <c r="A56" s="15" t="s">
        <v>229</v>
      </c>
      <c r="B56" s="15" t="s">
        <v>230</v>
      </c>
      <c r="C56" s="15" t="s">
        <v>41</v>
      </c>
      <c r="D56" s="17">
        <v>0.0</v>
      </c>
      <c r="E56" s="17">
        <v>0.0</v>
      </c>
      <c r="F56" s="17">
        <v>0.0</v>
      </c>
      <c r="G56" s="17">
        <v>0.0</v>
      </c>
      <c r="H56" s="17">
        <v>0.0</v>
      </c>
      <c r="I56" s="17">
        <v>0.0</v>
      </c>
      <c r="J56" s="17">
        <v>0.0</v>
      </c>
      <c r="K56" s="17">
        <v>0.0</v>
      </c>
      <c r="L56" s="17">
        <v>0.0</v>
      </c>
      <c r="M56" s="17">
        <v>0.0</v>
      </c>
      <c r="N56" s="17">
        <v>0.0</v>
      </c>
      <c r="O56" s="17">
        <v>0.0</v>
      </c>
      <c r="P56" s="17">
        <f t="shared" si="1"/>
        <v>0</v>
      </c>
      <c r="Q56" s="14" t="str">
        <f>+VLOOKUP(A56,Mapping!$A$1:$E$443,5,FALSE)</f>
        <v>Investment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20">
        <f t="shared" si="2"/>
        <v>0</v>
      </c>
    </row>
    <row r="57" ht="11.25" customHeight="1">
      <c r="A57" s="15" t="s">
        <v>231</v>
      </c>
      <c r="B57" s="15" t="s">
        <v>233</v>
      </c>
      <c r="C57" s="15" t="s">
        <v>41</v>
      </c>
      <c r="D57" s="17">
        <v>0.0</v>
      </c>
      <c r="E57" s="17">
        <v>0.0</v>
      </c>
      <c r="F57" s="17">
        <v>0.0</v>
      </c>
      <c r="G57" s="17">
        <v>0.0</v>
      </c>
      <c r="H57" s="17">
        <v>0.0</v>
      </c>
      <c r="I57" s="17">
        <v>0.0</v>
      </c>
      <c r="J57" s="17">
        <v>0.0</v>
      </c>
      <c r="K57" s="17">
        <v>0.0</v>
      </c>
      <c r="L57" s="17">
        <v>0.0</v>
      </c>
      <c r="M57" s="17">
        <v>0.0</v>
      </c>
      <c r="N57" s="17">
        <v>0.0</v>
      </c>
      <c r="O57" s="17">
        <v>0.0</v>
      </c>
      <c r="P57" s="17">
        <f t="shared" si="1"/>
        <v>0</v>
      </c>
      <c r="Q57" s="14" t="str">
        <f>+VLOOKUP(A57,Mapping!$A$1:$E$443,5,FALSE)</f>
        <v>Investment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20">
        <f t="shared" si="2"/>
        <v>0</v>
      </c>
    </row>
    <row r="58" ht="11.25" customHeight="1">
      <c r="A58" s="15" t="s">
        <v>235</v>
      </c>
      <c r="B58" s="15" t="s">
        <v>236</v>
      </c>
      <c r="C58" s="15" t="s">
        <v>41</v>
      </c>
      <c r="D58" s="17">
        <v>0.0</v>
      </c>
      <c r="E58" s="17">
        <v>0.0</v>
      </c>
      <c r="F58" s="17">
        <v>0.0</v>
      </c>
      <c r="G58" s="17">
        <v>0.0</v>
      </c>
      <c r="H58" s="17">
        <v>0.0</v>
      </c>
      <c r="I58" s="17">
        <v>0.0</v>
      </c>
      <c r="J58" s="17">
        <v>0.0</v>
      </c>
      <c r="K58" s="17">
        <v>0.0</v>
      </c>
      <c r="L58" s="17">
        <v>0.0</v>
      </c>
      <c r="M58" s="17">
        <v>0.0</v>
      </c>
      <c r="N58" s="17">
        <v>0.0</v>
      </c>
      <c r="O58" s="17">
        <v>0.0</v>
      </c>
      <c r="P58" s="17">
        <f t="shared" si="1"/>
        <v>0</v>
      </c>
      <c r="Q58" s="14" t="str">
        <f>+VLOOKUP(A58,Mapping!$A$1:$E$443,5,FALSE)</f>
        <v>Investment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20">
        <f t="shared" si="2"/>
        <v>0</v>
      </c>
    </row>
    <row r="59" ht="11.25" customHeight="1">
      <c r="A59" s="15" t="s">
        <v>238</v>
      </c>
      <c r="B59" s="15" t="s">
        <v>239</v>
      </c>
      <c r="C59" s="15" t="s">
        <v>41</v>
      </c>
      <c r="D59" s="17">
        <v>0.0</v>
      </c>
      <c r="E59" s="17">
        <v>0.0</v>
      </c>
      <c r="F59" s="17">
        <v>0.0</v>
      </c>
      <c r="G59" s="17">
        <v>0.0</v>
      </c>
      <c r="H59" s="17">
        <v>0.0</v>
      </c>
      <c r="I59" s="17">
        <v>0.0</v>
      </c>
      <c r="J59" s="17">
        <v>0.0</v>
      </c>
      <c r="K59" s="17">
        <v>5000.0</v>
      </c>
      <c r="L59" s="17">
        <v>10000.0</v>
      </c>
      <c r="M59" s="17">
        <v>0.0</v>
      </c>
      <c r="N59" s="17">
        <v>0.0</v>
      </c>
      <c r="O59" s="17">
        <v>0.0</v>
      </c>
      <c r="P59" s="17">
        <f t="shared" si="1"/>
        <v>15000</v>
      </c>
      <c r="Q59" s="14" t="str">
        <f>+VLOOKUP(A59,Mapping!$A$1:$E$443,5,FALSE)</f>
        <v>Fundraising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20">
        <f t="shared" si="2"/>
        <v>0</v>
      </c>
    </row>
    <row r="60" ht="11.25" customHeight="1">
      <c r="A60" s="15" t="s">
        <v>240</v>
      </c>
      <c r="B60" s="15" t="s">
        <v>241</v>
      </c>
      <c r="C60" s="15" t="s">
        <v>41</v>
      </c>
      <c r="D60" s="17">
        <v>0.0</v>
      </c>
      <c r="E60" s="17">
        <v>0.0</v>
      </c>
      <c r="F60" s="17">
        <v>0.0</v>
      </c>
      <c r="G60" s="17">
        <v>0.0</v>
      </c>
      <c r="H60" s="17">
        <v>0.0</v>
      </c>
      <c r="I60" s="17">
        <v>0.0</v>
      </c>
      <c r="J60" s="17">
        <v>0.0</v>
      </c>
      <c r="K60" s="17">
        <v>0.0</v>
      </c>
      <c r="L60" s="17">
        <v>0.0</v>
      </c>
      <c r="M60" s="17">
        <v>0.0</v>
      </c>
      <c r="N60" s="17">
        <v>0.0</v>
      </c>
      <c r="O60" s="17">
        <v>0.0</v>
      </c>
      <c r="P60" s="17">
        <f t="shared" si="1"/>
        <v>0</v>
      </c>
      <c r="Q60" s="14" t="str">
        <f>+VLOOKUP(A60,Mapping!$A$1:$E$443,5,FALSE)</f>
        <v>Fundraising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20">
        <f t="shared" si="2"/>
        <v>0</v>
      </c>
    </row>
    <row r="61" ht="11.25" customHeight="1">
      <c r="A61" s="15" t="s">
        <v>243</v>
      </c>
      <c r="B61" s="15" t="s">
        <v>244</v>
      </c>
      <c r="C61" s="15" t="s">
        <v>41</v>
      </c>
      <c r="D61" s="17">
        <v>0.0</v>
      </c>
      <c r="E61" s="17">
        <v>0.0</v>
      </c>
      <c r="F61" s="17">
        <v>0.0</v>
      </c>
      <c r="G61" s="17">
        <v>0.0</v>
      </c>
      <c r="H61" s="17">
        <v>0.0</v>
      </c>
      <c r="I61" s="17">
        <v>0.0</v>
      </c>
      <c r="J61" s="17">
        <v>0.0</v>
      </c>
      <c r="K61" s="17">
        <v>0.0</v>
      </c>
      <c r="L61" s="17">
        <v>0.0</v>
      </c>
      <c r="M61" s="17">
        <v>0.0</v>
      </c>
      <c r="N61" s="17">
        <v>0.0</v>
      </c>
      <c r="O61" s="17">
        <v>0.0</v>
      </c>
      <c r="P61" s="17">
        <f t="shared" si="1"/>
        <v>0</v>
      </c>
      <c r="Q61" s="14" t="str">
        <f>+VLOOKUP(A61,Mapping!$A$1:$E$443,5,FALSE)</f>
        <v>Fundraising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20">
        <f t="shared" si="2"/>
        <v>0</v>
      </c>
    </row>
    <row r="62" ht="11.25" customHeight="1">
      <c r="A62" s="15" t="s">
        <v>247</v>
      </c>
      <c r="B62" s="15" t="s">
        <v>248</v>
      </c>
      <c r="C62" s="15" t="s">
        <v>41</v>
      </c>
      <c r="D62" s="17">
        <v>0.0</v>
      </c>
      <c r="E62" s="17">
        <v>0.0</v>
      </c>
      <c r="F62" s="17">
        <v>0.0</v>
      </c>
      <c r="G62" s="17">
        <v>0.0</v>
      </c>
      <c r="H62" s="17">
        <v>0.0</v>
      </c>
      <c r="I62" s="17">
        <v>0.0</v>
      </c>
      <c r="J62" s="17">
        <v>0.0</v>
      </c>
      <c r="K62" s="17">
        <v>2000.0</v>
      </c>
      <c r="L62" s="17">
        <v>8000.0</v>
      </c>
      <c r="M62" s="17">
        <v>0.0</v>
      </c>
      <c r="N62" s="17">
        <v>0.0</v>
      </c>
      <c r="O62" s="17">
        <v>0.0</v>
      </c>
      <c r="P62" s="17">
        <f t="shared" si="1"/>
        <v>10000</v>
      </c>
      <c r="Q62" s="14" t="str">
        <f>+VLOOKUP(A62,Mapping!$A$1:$E$443,5,FALSE)</f>
        <v>Fundraising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20">
        <f t="shared" si="2"/>
        <v>0</v>
      </c>
    </row>
    <row r="63" ht="11.25" customHeight="1">
      <c r="A63" s="15" t="s">
        <v>251</v>
      </c>
      <c r="B63" s="15" t="s">
        <v>252</v>
      </c>
      <c r="C63" s="15" t="s">
        <v>41</v>
      </c>
      <c r="D63" s="17">
        <v>0.0</v>
      </c>
      <c r="E63" s="17">
        <v>0.0</v>
      </c>
      <c r="F63" s="17">
        <v>0.0</v>
      </c>
      <c r="G63" s="17">
        <v>0.0</v>
      </c>
      <c r="H63" s="17">
        <v>0.0</v>
      </c>
      <c r="I63" s="17">
        <v>0.0</v>
      </c>
      <c r="J63" s="17">
        <v>0.0</v>
      </c>
      <c r="K63" s="17">
        <v>0.0</v>
      </c>
      <c r="L63" s="17">
        <v>10000.0</v>
      </c>
      <c r="M63" s="17">
        <v>0.0</v>
      </c>
      <c r="N63" s="17">
        <v>0.0</v>
      </c>
      <c r="O63" s="17">
        <v>0.0</v>
      </c>
      <c r="P63" s="17">
        <f t="shared" si="1"/>
        <v>10000</v>
      </c>
      <c r="Q63" s="14" t="str">
        <f>+VLOOKUP(A63,Mapping!$A$1:$E$443,5,FALSE)</f>
        <v>Fundraising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20">
        <f t="shared" si="2"/>
        <v>0</v>
      </c>
    </row>
    <row r="64" ht="11.25" customHeight="1">
      <c r="A64" s="15" t="s">
        <v>253</v>
      </c>
      <c r="B64" s="15" t="s">
        <v>254</v>
      </c>
      <c r="C64" s="15" t="s">
        <v>41</v>
      </c>
      <c r="D64" s="17">
        <v>0.0</v>
      </c>
      <c r="E64" s="17">
        <v>0.0</v>
      </c>
      <c r="F64" s="17">
        <v>0.0</v>
      </c>
      <c r="G64" s="17">
        <v>0.0</v>
      </c>
      <c r="H64" s="17">
        <v>0.0</v>
      </c>
      <c r="I64" s="17">
        <v>0.0</v>
      </c>
      <c r="J64" s="17">
        <v>0.0</v>
      </c>
      <c r="K64" s="17">
        <v>0.0</v>
      </c>
      <c r="L64" s="17">
        <v>0.0</v>
      </c>
      <c r="M64" s="17">
        <v>0.0</v>
      </c>
      <c r="N64" s="17">
        <v>0.0</v>
      </c>
      <c r="O64" s="17">
        <v>0.0</v>
      </c>
      <c r="P64" s="17">
        <f t="shared" si="1"/>
        <v>0</v>
      </c>
      <c r="Q64" s="14" t="str">
        <f>+VLOOKUP(A64,Mapping!$A$1:$E$443,5,FALSE)</f>
        <v>Fundraising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20">
        <f t="shared" si="2"/>
        <v>0</v>
      </c>
    </row>
    <row r="65" ht="11.25" customHeight="1">
      <c r="A65" s="15" t="s">
        <v>257</v>
      </c>
      <c r="B65" s="15" t="s">
        <v>258</v>
      </c>
      <c r="C65" s="15" t="s">
        <v>41</v>
      </c>
      <c r="D65" s="17">
        <v>0.0</v>
      </c>
      <c r="E65" s="17">
        <v>0.0</v>
      </c>
      <c r="F65" s="17">
        <v>0.0</v>
      </c>
      <c r="G65" s="17">
        <v>0.0</v>
      </c>
      <c r="H65" s="17">
        <v>0.0</v>
      </c>
      <c r="I65" s="17">
        <v>0.0</v>
      </c>
      <c r="J65" s="17">
        <v>0.0</v>
      </c>
      <c r="K65" s="17">
        <v>0.0</v>
      </c>
      <c r="L65" s="17">
        <v>0.0</v>
      </c>
      <c r="M65" s="17">
        <v>0.0</v>
      </c>
      <c r="N65" s="17">
        <v>0.0</v>
      </c>
      <c r="O65" s="17">
        <v>0.0</v>
      </c>
      <c r="P65" s="17">
        <f t="shared" si="1"/>
        <v>0</v>
      </c>
      <c r="Q65" s="14" t="str">
        <f>+VLOOKUP(A65,Mapping!$A$1:$E$443,5,FALSE)</f>
        <v>Fundraising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20">
        <f t="shared" si="2"/>
        <v>0</v>
      </c>
    </row>
    <row r="66" ht="11.25" customHeight="1">
      <c r="A66" s="15" t="s">
        <v>260</v>
      </c>
      <c r="B66" s="15" t="s">
        <v>261</v>
      </c>
      <c r="C66" s="15" t="s">
        <v>41</v>
      </c>
      <c r="D66" s="17">
        <v>0.0</v>
      </c>
      <c r="E66" s="17">
        <v>0.0</v>
      </c>
      <c r="F66" s="17">
        <v>0.0</v>
      </c>
      <c r="G66" s="17">
        <v>0.0</v>
      </c>
      <c r="H66" s="17">
        <v>0.0</v>
      </c>
      <c r="I66" s="17">
        <v>0.0</v>
      </c>
      <c r="J66" s="17">
        <v>0.0</v>
      </c>
      <c r="K66" s="17">
        <v>0.0</v>
      </c>
      <c r="L66" s="17">
        <v>0.0</v>
      </c>
      <c r="M66" s="17">
        <v>0.0</v>
      </c>
      <c r="N66" s="17">
        <v>0.0</v>
      </c>
      <c r="O66" s="17">
        <v>0.0</v>
      </c>
      <c r="P66" s="17">
        <f t="shared" si="1"/>
        <v>0</v>
      </c>
      <c r="Q66" s="14" t="str">
        <f>+VLOOKUP(A66,Mapping!$A$1:$E$443,5,FALSE)</f>
        <v>Fundraising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20">
        <f t="shared" si="2"/>
        <v>0</v>
      </c>
    </row>
    <row r="67" ht="11.25" customHeight="1">
      <c r="A67" s="15" t="s">
        <v>262</v>
      </c>
      <c r="B67" s="15" t="s">
        <v>264</v>
      </c>
      <c r="C67" s="15" t="s">
        <v>41</v>
      </c>
      <c r="D67" s="17">
        <v>0.0</v>
      </c>
      <c r="E67" s="17">
        <v>0.0</v>
      </c>
      <c r="F67" s="17">
        <v>0.0</v>
      </c>
      <c r="G67" s="17">
        <v>0.0</v>
      </c>
      <c r="H67" s="17">
        <v>0.0</v>
      </c>
      <c r="I67" s="17">
        <v>0.0</v>
      </c>
      <c r="J67" s="17">
        <v>0.0</v>
      </c>
      <c r="K67" s="17">
        <v>0.0</v>
      </c>
      <c r="L67" s="17">
        <v>0.0</v>
      </c>
      <c r="M67" s="17">
        <v>0.0</v>
      </c>
      <c r="N67" s="17">
        <v>0.0</v>
      </c>
      <c r="O67" s="17">
        <v>0.0</v>
      </c>
      <c r="P67" s="17">
        <f t="shared" si="1"/>
        <v>0</v>
      </c>
      <c r="Q67" s="14" t="str">
        <f>+VLOOKUP(A67,Mapping!$A$1:$E$443,5,FALSE)</f>
        <v>Fundraising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20">
        <f t="shared" si="2"/>
        <v>0</v>
      </c>
    </row>
    <row r="68" ht="11.25" customHeight="1">
      <c r="A68" s="15" t="s">
        <v>265</v>
      </c>
      <c r="B68" s="15" t="s">
        <v>266</v>
      </c>
      <c r="C68" s="15" t="s">
        <v>41</v>
      </c>
      <c r="D68" s="17">
        <v>0.0</v>
      </c>
      <c r="E68" s="17">
        <v>0.0</v>
      </c>
      <c r="F68" s="17">
        <v>0.0</v>
      </c>
      <c r="G68" s="17">
        <v>0.0</v>
      </c>
      <c r="H68" s="17">
        <v>0.0</v>
      </c>
      <c r="I68" s="17">
        <v>0.0</v>
      </c>
      <c r="J68" s="17">
        <v>0.0</v>
      </c>
      <c r="K68" s="17">
        <v>0.0</v>
      </c>
      <c r="L68" s="17">
        <v>0.0</v>
      </c>
      <c r="M68" s="17">
        <v>0.0</v>
      </c>
      <c r="N68" s="17">
        <v>0.0</v>
      </c>
      <c r="O68" s="17">
        <v>0.0</v>
      </c>
      <c r="P68" s="17">
        <f t="shared" si="1"/>
        <v>0</v>
      </c>
      <c r="Q68" s="14" t="str">
        <f>+VLOOKUP(A68,Mapping!$A$1:$E$443,5,FALSE)</f>
        <v>Fundraising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20">
        <f t="shared" si="2"/>
        <v>0</v>
      </c>
    </row>
    <row r="69" ht="11.25" customHeight="1">
      <c r="A69" s="15" t="s">
        <v>268</v>
      </c>
      <c r="B69" s="15" t="s">
        <v>269</v>
      </c>
      <c r="C69" s="15" t="s">
        <v>41</v>
      </c>
      <c r="D69" s="17">
        <v>0.0</v>
      </c>
      <c r="E69" s="17">
        <v>0.0</v>
      </c>
      <c r="F69" s="17">
        <v>0.0</v>
      </c>
      <c r="G69" s="17">
        <v>0.0</v>
      </c>
      <c r="H69" s="17">
        <v>0.0</v>
      </c>
      <c r="I69" s="17">
        <v>0.0</v>
      </c>
      <c r="J69" s="17">
        <v>0.0</v>
      </c>
      <c r="K69" s="17">
        <v>0.0</v>
      </c>
      <c r="L69" s="17">
        <v>0.0</v>
      </c>
      <c r="M69" s="17">
        <v>0.0</v>
      </c>
      <c r="N69" s="17">
        <v>0.0</v>
      </c>
      <c r="O69" s="17">
        <v>0.0</v>
      </c>
      <c r="P69" s="17">
        <f t="shared" si="1"/>
        <v>0</v>
      </c>
      <c r="Q69" s="14" t="str">
        <f>+VLOOKUP(A69,Mapping!$A$1:$E$443,5,FALSE)</f>
        <v>Fundraising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20">
        <f t="shared" si="2"/>
        <v>0</v>
      </c>
    </row>
    <row r="70" ht="11.25" customHeight="1">
      <c r="A70" s="15" t="s">
        <v>270</v>
      </c>
      <c r="B70" s="15" t="s">
        <v>271</v>
      </c>
      <c r="C70" s="15" t="s">
        <v>41</v>
      </c>
      <c r="D70" s="17">
        <v>0.0</v>
      </c>
      <c r="E70" s="17">
        <v>0.0</v>
      </c>
      <c r="F70" s="17">
        <v>0.0</v>
      </c>
      <c r="G70" s="17">
        <v>0.0</v>
      </c>
      <c r="H70" s="17">
        <v>0.0</v>
      </c>
      <c r="I70" s="17">
        <v>0.0</v>
      </c>
      <c r="J70" s="17">
        <v>0.0</v>
      </c>
      <c r="K70" s="17">
        <v>0.0</v>
      </c>
      <c r="L70" s="17">
        <v>0.0</v>
      </c>
      <c r="M70" s="17">
        <v>0.0</v>
      </c>
      <c r="N70" s="17">
        <v>0.0</v>
      </c>
      <c r="O70" s="17">
        <v>0.0</v>
      </c>
      <c r="P70" s="17">
        <f t="shared" si="1"/>
        <v>0</v>
      </c>
      <c r="Q70" s="14" t="str">
        <f>+VLOOKUP(A70,Mapping!$A$1:$E$443,5,FALSE)</f>
        <v>Fundraising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20">
        <f t="shared" si="2"/>
        <v>0</v>
      </c>
    </row>
    <row r="71" ht="11.25" customHeight="1">
      <c r="A71" s="15" t="s">
        <v>272</v>
      </c>
      <c r="B71" s="15" t="s">
        <v>273</v>
      </c>
      <c r="C71" s="15" t="s">
        <v>41</v>
      </c>
      <c r="D71" s="17">
        <v>0.0</v>
      </c>
      <c r="E71" s="17">
        <v>0.0</v>
      </c>
      <c r="F71" s="17">
        <v>0.0</v>
      </c>
      <c r="G71" s="17">
        <v>0.0</v>
      </c>
      <c r="H71" s="17">
        <v>0.0</v>
      </c>
      <c r="I71" s="17">
        <v>0.0</v>
      </c>
      <c r="J71" s="17">
        <v>0.0</v>
      </c>
      <c r="K71" s="17">
        <v>0.0</v>
      </c>
      <c r="L71" s="17">
        <v>0.0</v>
      </c>
      <c r="M71" s="17">
        <v>0.0</v>
      </c>
      <c r="N71" s="17">
        <v>0.0</v>
      </c>
      <c r="O71" s="17">
        <v>0.0</v>
      </c>
      <c r="P71" s="17">
        <f t="shared" si="1"/>
        <v>0</v>
      </c>
      <c r="Q71" s="14" t="str">
        <f>+VLOOKUP(A71,Mapping!$A$1:$E$443,5,FALSE)</f>
        <v>Fundraising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20">
        <f t="shared" si="2"/>
        <v>0</v>
      </c>
    </row>
    <row r="72" ht="11.25" customHeight="1">
      <c r="A72" s="15" t="s">
        <v>274</v>
      </c>
      <c r="B72" s="15" t="s">
        <v>275</v>
      </c>
      <c r="C72" s="15" t="s">
        <v>41</v>
      </c>
      <c r="D72" s="17">
        <v>0.0</v>
      </c>
      <c r="E72" s="17">
        <v>0.0</v>
      </c>
      <c r="F72" s="17">
        <v>0.0</v>
      </c>
      <c r="G72" s="17">
        <v>0.0</v>
      </c>
      <c r="H72" s="17">
        <v>0.0</v>
      </c>
      <c r="I72" s="17">
        <v>0.0</v>
      </c>
      <c r="J72" s="17">
        <v>0.0</v>
      </c>
      <c r="K72" s="17">
        <v>0.0</v>
      </c>
      <c r="L72" s="17">
        <v>0.0</v>
      </c>
      <c r="M72" s="17">
        <v>0.0</v>
      </c>
      <c r="N72" s="17">
        <v>0.0</v>
      </c>
      <c r="O72" s="17">
        <v>0.0</v>
      </c>
      <c r="P72" s="17">
        <f t="shared" si="1"/>
        <v>0</v>
      </c>
      <c r="Q72" s="14" t="str">
        <f>+VLOOKUP(A72,Mapping!$A$1:$E$443,5,FALSE)</f>
        <v>Fundraising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20">
        <f t="shared" si="2"/>
        <v>0</v>
      </c>
    </row>
    <row r="73" ht="11.25" customHeight="1">
      <c r="A73" s="15" t="s">
        <v>276</v>
      </c>
      <c r="B73" s="15" t="s">
        <v>277</v>
      </c>
      <c r="C73" s="15" t="s">
        <v>41</v>
      </c>
      <c r="D73" s="17">
        <v>833.33</v>
      </c>
      <c r="E73" s="17">
        <v>833.33</v>
      </c>
      <c r="F73" s="17">
        <v>833.33</v>
      </c>
      <c r="G73" s="17">
        <v>833.33</v>
      </c>
      <c r="H73" s="17">
        <v>833.33</v>
      </c>
      <c r="I73" s="17">
        <v>833.33</v>
      </c>
      <c r="J73" s="17">
        <v>833.33</v>
      </c>
      <c r="K73" s="17">
        <v>833.33</v>
      </c>
      <c r="L73" s="17">
        <v>833.33</v>
      </c>
      <c r="M73" s="17">
        <v>833.33</v>
      </c>
      <c r="N73" s="17">
        <v>833.33</v>
      </c>
      <c r="O73" s="17">
        <v>833.37</v>
      </c>
      <c r="P73" s="17">
        <f t="shared" si="1"/>
        <v>10000</v>
      </c>
      <c r="Q73" s="14" t="str">
        <f>+VLOOKUP(A73,Mapping!$A$1:$E$443,5,FALSE)</f>
        <v>Restricted Released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20">
        <f t="shared" si="2"/>
        <v>0</v>
      </c>
    </row>
    <row r="74" ht="11.25" customHeight="1">
      <c r="A74" s="15" t="s">
        <v>352</v>
      </c>
      <c r="B74" s="15" t="s">
        <v>353</v>
      </c>
      <c r="C74" s="15" t="s">
        <v>119</v>
      </c>
      <c r="D74" s="17">
        <v>0.0</v>
      </c>
      <c r="E74" s="17">
        <v>0.0</v>
      </c>
      <c r="F74" s="17">
        <v>0.0</v>
      </c>
      <c r="G74" s="17">
        <v>0.0</v>
      </c>
      <c r="H74" s="17">
        <v>0.0</v>
      </c>
      <c r="I74" s="17">
        <v>0.0</v>
      </c>
      <c r="J74" s="17">
        <v>0.0</v>
      </c>
      <c r="K74" s="17">
        <v>0.0</v>
      </c>
      <c r="L74" s="17">
        <v>0.0</v>
      </c>
      <c r="M74" s="17">
        <v>0.0</v>
      </c>
      <c r="N74" s="17">
        <v>0.0</v>
      </c>
      <c r="O74" s="17">
        <v>0.0</v>
      </c>
      <c r="P74" s="17">
        <f t="shared" si="1"/>
        <v>0</v>
      </c>
      <c r="Q74" s="14" t="str">
        <f>+VLOOKUP(A74,Mapping!$A$1:$E$443,5,FALSE)</f>
        <v/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20">
        <f t="shared" si="2"/>
        <v>0</v>
      </c>
    </row>
    <row r="75" ht="11.25" customHeight="1">
      <c r="A75" s="15" t="s">
        <v>355</v>
      </c>
      <c r="B75" s="15" t="s">
        <v>356</v>
      </c>
      <c r="C75" s="15" t="s">
        <v>119</v>
      </c>
      <c r="D75" s="17">
        <v>0.0</v>
      </c>
      <c r="E75" s="17">
        <v>0.0</v>
      </c>
      <c r="F75" s="17">
        <v>0.0</v>
      </c>
      <c r="G75" s="17">
        <v>0.0</v>
      </c>
      <c r="H75" s="17">
        <v>0.0</v>
      </c>
      <c r="I75" s="17">
        <v>0.0</v>
      </c>
      <c r="J75" s="17">
        <v>0.0</v>
      </c>
      <c r="K75" s="17">
        <v>0.0</v>
      </c>
      <c r="L75" s="17">
        <v>0.0</v>
      </c>
      <c r="M75" s="17">
        <v>0.0</v>
      </c>
      <c r="N75" s="17">
        <v>0.0</v>
      </c>
      <c r="O75" s="17">
        <v>0.0</v>
      </c>
      <c r="P75" s="17">
        <f t="shared" si="1"/>
        <v>0</v>
      </c>
      <c r="Q75" s="14" t="str">
        <f>+VLOOKUP(A75,Mapping!$A$1:$E$443,5,FALSE)</f>
        <v/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20">
        <f t="shared" si="2"/>
        <v>0</v>
      </c>
    </row>
    <row r="76" ht="11.25" customHeight="1">
      <c r="A76" s="15" t="s">
        <v>286</v>
      </c>
      <c r="B76" s="15" t="s">
        <v>287</v>
      </c>
      <c r="C76" s="15" t="s">
        <v>283</v>
      </c>
      <c r="D76" s="17">
        <v>0.0</v>
      </c>
      <c r="E76" s="17">
        <v>0.0</v>
      </c>
      <c r="F76" s="17">
        <v>0.0</v>
      </c>
      <c r="G76" s="17">
        <v>0.0</v>
      </c>
      <c r="H76" s="17">
        <v>0.0</v>
      </c>
      <c r="I76" s="17">
        <v>0.0</v>
      </c>
      <c r="J76" s="17">
        <v>0.0</v>
      </c>
      <c r="K76" s="17">
        <v>0.0</v>
      </c>
      <c r="L76" s="17">
        <v>0.0</v>
      </c>
      <c r="M76" s="17">
        <v>0.0</v>
      </c>
      <c r="N76" s="17">
        <v>0.0</v>
      </c>
      <c r="O76" s="17">
        <v>0.0</v>
      </c>
      <c r="P76" s="17">
        <f t="shared" si="1"/>
        <v>0</v>
      </c>
      <c r="Q76" s="14" t="str">
        <f>+VLOOKUP(A76,Mapping!$A$1:$E$443,5,FALSE)</f>
        <v>Cost of Fundraising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20">
        <f t="shared" si="2"/>
        <v>0</v>
      </c>
    </row>
    <row r="77" ht="11.25" customHeight="1">
      <c r="A77" s="15" t="s">
        <v>288</v>
      </c>
      <c r="B77" s="15" t="s">
        <v>289</v>
      </c>
      <c r="C77" s="15" t="s">
        <v>283</v>
      </c>
      <c r="D77" s="17">
        <v>0.0</v>
      </c>
      <c r="E77" s="17">
        <v>0.0</v>
      </c>
      <c r="F77" s="17">
        <v>0.0</v>
      </c>
      <c r="G77" s="17">
        <v>0.0</v>
      </c>
      <c r="H77" s="17">
        <v>0.0</v>
      </c>
      <c r="I77" s="17">
        <v>0.0</v>
      </c>
      <c r="J77" s="17">
        <v>0.0</v>
      </c>
      <c r="K77" s="17">
        <v>0.0</v>
      </c>
      <c r="L77" s="17">
        <v>0.0</v>
      </c>
      <c r="M77" s="17">
        <v>0.0</v>
      </c>
      <c r="N77" s="17">
        <v>0.0</v>
      </c>
      <c r="O77" s="17">
        <v>0.0</v>
      </c>
      <c r="P77" s="17">
        <f t="shared" si="1"/>
        <v>0</v>
      </c>
      <c r="Q77" s="14" t="str">
        <f>+VLOOKUP(A77,Mapping!$A$1:$E$443,5,FALSE)</f>
        <v>Cost of Fundraising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20">
        <f t="shared" si="2"/>
        <v>0</v>
      </c>
    </row>
    <row r="78" ht="11.25" customHeight="1">
      <c r="A78" s="15" t="s">
        <v>290</v>
      </c>
      <c r="B78" s="15" t="s">
        <v>291</v>
      </c>
      <c r="C78" s="15" t="s">
        <v>283</v>
      </c>
      <c r="D78" s="17">
        <v>0.0</v>
      </c>
      <c r="E78" s="17">
        <v>0.0</v>
      </c>
      <c r="F78" s="17">
        <v>0.0</v>
      </c>
      <c r="G78" s="17">
        <v>0.0</v>
      </c>
      <c r="H78" s="17">
        <v>0.0</v>
      </c>
      <c r="I78" s="17">
        <v>0.0</v>
      </c>
      <c r="J78" s="17">
        <v>0.0</v>
      </c>
      <c r="K78" s="17">
        <v>0.0</v>
      </c>
      <c r="L78" s="17">
        <v>0.0</v>
      </c>
      <c r="M78" s="17">
        <v>0.0</v>
      </c>
      <c r="N78" s="17">
        <v>0.0</v>
      </c>
      <c r="O78" s="17">
        <v>0.0</v>
      </c>
      <c r="P78" s="17">
        <f t="shared" si="1"/>
        <v>0</v>
      </c>
      <c r="Q78" s="14" t="str">
        <f>+VLOOKUP(A78,Mapping!$A$1:$E$443,5,FALSE)</f>
        <v>Cost of Fundraising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20">
        <f t="shared" si="2"/>
        <v>0</v>
      </c>
    </row>
    <row r="79" ht="11.25" customHeight="1">
      <c r="A79" s="15" t="s">
        <v>292</v>
      </c>
      <c r="B79" s="15" t="s">
        <v>293</v>
      </c>
      <c r="C79" s="15" t="s">
        <v>283</v>
      </c>
      <c r="D79" s="17">
        <v>208.33</v>
      </c>
      <c r="E79" s="17">
        <v>208.33</v>
      </c>
      <c r="F79" s="17">
        <v>208.33</v>
      </c>
      <c r="G79" s="17">
        <v>625.0</v>
      </c>
      <c r="H79" s="17">
        <v>625.0</v>
      </c>
      <c r="I79" s="17">
        <v>625.0</v>
      </c>
      <c r="J79" s="17">
        <v>0.0</v>
      </c>
      <c r="K79" s="17">
        <v>0.0</v>
      </c>
      <c r="L79" s="17">
        <v>0.0</v>
      </c>
      <c r="M79" s="17">
        <v>0.0</v>
      </c>
      <c r="N79" s="17">
        <v>0.0</v>
      </c>
      <c r="O79" s="17">
        <v>0.0</v>
      </c>
      <c r="P79" s="17">
        <f t="shared" si="1"/>
        <v>2499.99</v>
      </c>
      <c r="Q79" s="14" t="str">
        <f>+VLOOKUP(A79,Mapping!$A$1:$E$443,5,FALSE)</f>
        <v>Cost of Fundraising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20">
        <f t="shared" si="2"/>
        <v>0</v>
      </c>
    </row>
    <row r="80" ht="11.25" customHeight="1">
      <c r="A80" s="15" t="s">
        <v>294</v>
      </c>
      <c r="B80" s="15" t="s">
        <v>295</v>
      </c>
      <c r="C80" s="15" t="s">
        <v>283</v>
      </c>
      <c r="D80" s="17">
        <v>0.0</v>
      </c>
      <c r="E80" s="17">
        <v>0.0</v>
      </c>
      <c r="F80" s="17">
        <v>0.0</v>
      </c>
      <c r="G80" s="17">
        <v>0.0</v>
      </c>
      <c r="H80" s="17">
        <v>0.0</v>
      </c>
      <c r="I80" s="17">
        <v>0.0</v>
      </c>
      <c r="J80" s="17">
        <v>0.0</v>
      </c>
      <c r="K80" s="17">
        <v>0.0</v>
      </c>
      <c r="L80" s="17">
        <v>0.0</v>
      </c>
      <c r="M80" s="17">
        <v>0.0</v>
      </c>
      <c r="N80" s="17">
        <v>0.0</v>
      </c>
      <c r="O80" s="17">
        <v>0.0</v>
      </c>
      <c r="P80" s="17">
        <f t="shared" si="1"/>
        <v>0</v>
      </c>
      <c r="Q80" s="14" t="str">
        <f>+VLOOKUP(A80,Mapping!$A$1:$E$443,5,FALSE)</f>
        <v>Cost of Fundraising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20">
        <f t="shared" si="2"/>
        <v>0</v>
      </c>
    </row>
    <row r="81" ht="11.25" customHeight="1">
      <c r="A81" s="15" t="s">
        <v>298</v>
      </c>
      <c r="B81" s="15" t="s">
        <v>299</v>
      </c>
      <c r="C81" s="15" t="s">
        <v>283</v>
      </c>
      <c r="D81" s="17">
        <v>0.0</v>
      </c>
      <c r="E81" s="17">
        <v>0.0</v>
      </c>
      <c r="F81" s="17">
        <v>0.0</v>
      </c>
      <c r="G81" s="17">
        <v>0.0</v>
      </c>
      <c r="H81" s="17">
        <v>0.0</v>
      </c>
      <c r="I81" s="17">
        <v>0.0</v>
      </c>
      <c r="J81" s="17">
        <v>0.0</v>
      </c>
      <c r="K81" s="17">
        <v>0.0</v>
      </c>
      <c r="L81" s="17">
        <v>0.0</v>
      </c>
      <c r="M81" s="17">
        <v>0.0</v>
      </c>
      <c r="N81" s="17">
        <v>0.0</v>
      </c>
      <c r="O81" s="17">
        <v>0.0</v>
      </c>
      <c r="P81" s="17">
        <f t="shared" si="1"/>
        <v>0</v>
      </c>
      <c r="Q81" s="14" t="str">
        <f>+VLOOKUP(A81,Mapping!$A$1:$E$443,5,FALSE)</f>
        <v>Cost of Fundraising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20">
        <f t="shared" si="2"/>
        <v>0</v>
      </c>
    </row>
    <row r="82" ht="11.25" customHeight="1">
      <c r="A82" s="15" t="s">
        <v>300</v>
      </c>
      <c r="B82" s="15" t="s">
        <v>301</v>
      </c>
      <c r="C82" s="15" t="s">
        <v>283</v>
      </c>
      <c r="D82" s="17">
        <v>0.0</v>
      </c>
      <c r="E82" s="17">
        <v>0.0</v>
      </c>
      <c r="F82" s="17">
        <v>0.0</v>
      </c>
      <c r="G82" s="17">
        <v>0.0</v>
      </c>
      <c r="H82" s="17">
        <v>0.0</v>
      </c>
      <c r="I82" s="17">
        <v>0.0</v>
      </c>
      <c r="J82" s="17">
        <v>0.0</v>
      </c>
      <c r="K82" s="17">
        <v>0.0</v>
      </c>
      <c r="L82" s="17">
        <v>0.0</v>
      </c>
      <c r="M82" s="17">
        <v>0.0</v>
      </c>
      <c r="N82" s="17">
        <v>0.0</v>
      </c>
      <c r="O82" s="17">
        <v>0.0</v>
      </c>
      <c r="P82" s="17">
        <f t="shared" si="1"/>
        <v>0</v>
      </c>
      <c r="Q82" s="14" t="str">
        <f>+VLOOKUP(A82,Mapping!$A$1:$E$443,5,FALSE)</f>
        <v>Cost of Fundraising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20">
        <f t="shared" si="2"/>
        <v>0</v>
      </c>
    </row>
    <row r="83" ht="11.25" customHeight="1">
      <c r="A83" s="15" t="s">
        <v>302</v>
      </c>
      <c r="B83" s="15" t="s">
        <v>303</v>
      </c>
      <c r="C83" s="15" t="s">
        <v>283</v>
      </c>
      <c r="D83" s="17">
        <v>0.0</v>
      </c>
      <c r="E83" s="17">
        <v>0.0</v>
      </c>
      <c r="F83" s="17">
        <v>0.0</v>
      </c>
      <c r="G83" s="17">
        <v>0.0</v>
      </c>
      <c r="H83" s="17">
        <v>0.0</v>
      </c>
      <c r="I83" s="17">
        <v>0.0</v>
      </c>
      <c r="J83" s="17">
        <v>0.0</v>
      </c>
      <c r="K83" s="17">
        <v>0.0</v>
      </c>
      <c r="L83" s="17">
        <v>0.0</v>
      </c>
      <c r="M83" s="17">
        <v>0.0</v>
      </c>
      <c r="N83" s="17">
        <v>0.0</v>
      </c>
      <c r="O83" s="17">
        <v>0.0</v>
      </c>
      <c r="P83" s="17">
        <f t="shared" si="1"/>
        <v>0</v>
      </c>
      <c r="Q83" s="14" t="str">
        <f>+VLOOKUP(A83,Mapping!$A$1:$E$443,5,FALSE)</f>
        <v>Cost of Fundraising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20">
        <f t="shared" si="2"/>
        <v>0</v>
      </c>
    </row>
    <row r="84" ht="11.25" customHeight="1">
      <c r="A84" s="15" t="s">
        <v>304</v>
      </c>
      <c r="B84" s="15" t="s">
        <v>305</v>
      </c>
      <c r="C84" s="15" t="s">
        <v>283</v>
      </c>
      <c r="D84" s="17">
        <v>0.0</v>
      </c>
      <c r="E84" s="17">
        <v>0.0</v>
      </c>
      <c r="F84" s="17">
        <v>0.0</v>
      </c>
      <c r="G84" s="17">
        <v>0.0</v>
      </c>
      <c r="H84" s="17">
        <v>0.0</v>
      </c>
      <c r="I84" s="17">
        <v>0.0</v>
      </c>
      <c r="J84" s="17">
        <v>0.0</v>
      </c>
      <c r="K84" s="17">
        <v>0.0</v>
      </c>
      <c r="L84" s="17">
        <v>0.0</v>
      </c>
      <c r="M84" s="17">
        <v>0.0</v>
      </c>
      <c r="N84" s="17">
        <v>0.0</v>
      </c>
      <c r="O84" s="17">
        <v>0.0</v>
      </c>
      <c r="P84" s="17">
        <f t="shared" si="1"/>
        <v>0</v>
      </c>
      <c r="Q84" s="14" t="str">
        <f>+VLOOKUP(A84,Mapping!$A$1:$E$443,5,FALSE)</f>
        <v>Cost of Fundraising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20">
        <f t="shared" si="2"/>
        <v>0</v>
      </c>
    </row>
    <row r="85" ht="11.25" customHeight="1">
      <c r="A85" s="15" t="s">
        <v>306</v>
      </c>
      <c r="B85" s="15" t="s">
        <v>307</v>
      </c>
      <c r="C85" s="15" t="s">
        <v>283</v>
      </c>
      <c r="D85" s="17">
        <v>0.0</v>
      </c>
      <c r="E85" s="17">
        <v>0.0</v>
      </c>
      <c r="F85" s="17">
        <v>0.0</v>
      </c>
      <c r="G85" s="17">
        <v>0.0</v>
      </c>
      <c r="H85" s="17">
        <v>0.0</v>
      </c>
      <c r="I85" s="17">
        <v>0.0</v>
      </c>
      <c r="J85" s="17">
        <v>0.0</v>
      </c>
      <c r="K85" s="17">
        <v>2500.0</v>
      </c>
      <c r="L85" s="17">
        <v>5000.0</v>
      </c>
      <c r="M85" s="17">
        <v>0.0</v>
      </c>
      <c r="N85" s="17">
        <v>0.0</v>
      </c>
      <c r="O85" s="17">
        <v>0.0</v>
      </c>
      <c r="P85" s="17">
        <f t="shared" si="1"/>
        <v>7500</v>
      </c>
      <c r="Q85" s="14" t="str">
        <f>+VLOOKUP(A85,Mapping!$A$1:$E$443,5,FALSE)</f>
        <v>Cost of Fundraising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20">
        <f t="shared" si="2"/>
        <v>0</v>
      </c>
    </row>
    <row r="86" ht="11.25" customHeight="1">
      <c r="A86" s="15" t="s">
        <v>308</v>
      </c>
      <c r="B86" s="15" t="s">
        <v>309</v>
      </c>
      <c r="C86" s="15" t="s">
        <v>283</v>
      </c>
      <c r="D86" s="17">
        <v>0.0</v>
      </c>
      <c r="E86" s="17">
        <v>0.0</v>
      </c>
      <c r="F86" s="17">
        <v>0.0</v>
      </c>
      <c r="G86" s="17">
        <v>0.0</v>
      </c>
      <c r="H86" s="17">
        <v>0.0</v>
      </c>
      <c r="I86" s="17">
        <v>0.0</v>
      </c>
      <c r="J86" s="17">
        <v>0.0</v>
      </c>
      <c r="K86" s="17">
        <v>0.0</v>
      </c>
      <c r="L86" s="17">
        <v>0.0</v>
      </c>
      <c r="M86" s="17">
        <v>0.0</v>
      </c>
      <c r="N86" s="17">
        <v>0.0</v>
      </c>
      <c r="O86" s="17">
        <v>0.0</v>
      </c>
      <c r="P86" s="17">
        <f t="shared" si="1"/>
        <v>0</v>
      </c>
      <c r="Q86" s="14" t="str">
        <f>+VLOOKUP(A86,Mapping!$A$1:$E$443,5,FALSE)</f>
        <v>Cost of Goods Sold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20">
        <f t="shared" si="2"/>
        <v>0</v>
      </c>
    </row>
    <row r="87" ht="11.25" customHeight="1">
      <c r="A87" s="15" t="s">
        <v>310</v>
      </c>
      <c r="B87" s="15" t="s">
        <v>311</v>
      </c>
      <c r="C87" s="15" t="s">
        <v>283</v>
      </c>
      <c r="D87" s="17">
        <v>0.0</v>
      </c>
      <c r="E87" s="17">
        <v>0.0</v>
      </c>
      <c r="F87" s="17">
        <v>0.0</v>
      </c>
      <c r="G87" s="17">
        <v>0.0</v>
      </c>
      <c r="H87" s="17">
        <v>0.0</v>
      </c>
      <c r="I87" s="17">
        <v>0.0</v>
      </c>
      <c r="J87" s="17">
        <v>0.0</v>
      </c>
      <c r="K87" s="17">
        <v>0.0</v>
      </c>
      <c r="L87" s="17">
        <v>0.0</v>
      </c>
      <c r="M87" s="17">
        <v>0.0</v>
      </c>
      <c r="N87" s="17">
        <v>0.0</v>
      </c>
      <c r="O87" s="17">
        <v>0.0</v>
      </c>
      <c r="P87" s="17">
        <f t="shared" si="1"/>
        <v>0</v>
      </c>
      <c r="Q87" s="14" t="str">
        <f>+VLOOKUP(A87,Mapping!$A$1:$E$443,5,FALSE)</f>
        <v>Cost of Goods Sold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20">
        <f t="shared" si="2"/>
        <v>0</v>
      </c>
    </row>
    <row r="88" ht="11.25" customHeight="1">
      <c r="A88" s="15" t="s">
        <v>313</v>
      </c>
      <c r="B88" s="15" t="s">
        <v>314</v>
      </c>
      <c r="C88" s="15" t="s">
        <v>283</v>
      </c>
      <c r="D88" s="17">
        <v>0.0</v>
      </c>
      <c r="E88" s="17">
        <v>0.0</v>
      </c>
      <c r="F88" s="17">
        <v>0.0</v>
      </c>
      <c r="G88" s="17">
        <v>0.0</v>
      </c>
      <c r="H88" s="17">
        <v>0.0</v>
      </c>
      <c r="I88" s="17">
        <v>0.0</v>
      </c>
      <c r="J88" s="17">
        <v>0.0</v>
      </c>
      <c r="K88" s="17">
        <v>0.0</v>
      </c>
      <c r="L88" s="17">
        <v>0.0</v>
      </c>
      <c r="M88" s="17">
        <v>0.0</v>
      </c>
      <c r="N88" s="17">
        <v>0.0</v>
      </c>
      <c r="O88" s="17">
        <v>0.0</v>
      </c>
      <c r="P88" s="17">
        <f t="shared" si="1"/>
        <v>0</v>
      </c>
      <c r="Q88" s="14" t="str">
        <f>+VLOOKUP(A88,Mapping!$A$1:$E$443,5,FALSE)</f>
        <v>Cost of Goods Sold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20">
        <f t="shared" si="2"/>
        <v>0</v>
      </c>
    </row>
    <row r="89" ht="11.25" customHeight="1">
      <c r="A89" s="15" t="s">
        <v>315</v>
      </c>
      <c r="B89" s="15" t="s">
        <v>316</v>
      </c>
      <c r="C89" s="15" t="s">
        <v>283</v>
      </c>
      <c r="D89" s="17">
        <v>0.0</v>
      </c>
      <c r="E89" s="17">
        <v>0.0</v>
      </c>
      <c r="F89" s="17">
        <v>0.0</v>
      </c>
      <c r="G89" s="17">
        <v>0.0</v>
      </c>
      <c r="H89" s="17">
        <v>0.0</v>
      </c>
      <c r="I89" s="17">
        <v>0.0</v>
      </c>
      <c r="J89" s="17">
        <v>0.0</v>
      </c>
      <c r="K89" s="17">
        <v>0.0</v>
      </c>
      <c r="L89" s="17">
        <v>0.0</v>
      </c>
      <c r="M89" s="17">
        <v>0.0</v>
      </c>
      <c r="N89" s="17">
        <v>0.0</v>
      </c>
      <c r="O89" s="17">
        <v>0.0</v>
      </c>
      <c r="P89" s="17">
        <f t="shared" si="1"/>
        <v>0</v>
      </c>
      <c r="Q89" s="14" t="str">
        <f>+VLOOKUP(A89,Mapping!$A$1:$E$443,5,FALSE)</f>
        <v>Cost of Goods Sold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20">
        <f t="shared" si="2"/>
        <v>0</v>
      </c>
    </row>
    <row r="90" ht="11.25" customHeight="1">
      <c r="A90" s="15" t="s">
        <v>317</v>
      </c>
      <c r="B90" s="15" t="s">
        <v>318</v>
      </c>
      <c r="C90" s="15" t="s">
        <v>283</v>
      </c>
      <c r="D90" s="17">
        <v>0.0</v>
      </c>
      <c r="E90" s="17">
        <v>0.0</v>
      </c>
      <c r="F90" s="17">
        <v>0.0</v>
      </c>
      <c r="G90" s="17">
        <v>0.0</v>
      </c>
      <c r="H90" s="17">
        <v>0.0</v>
      </c>
      <c r="I90" s="17">
        <v>0.0</v>
      </c>
      <c r="J90" s="17">
        <v>0.0</v>
      </c>
      <c r="K90" s="17">
        <v>0.0</v>
      </c>
      <c r="L90" s="17">
        <v>0.0</v>
      </c>
      <c r="M90" s="17">
        <v>0.0</v>
      </c>
      <c r="N90" s="17">
        <v>0.0</v>
      </c>
      <c r="O90" s="17">
        <v>0.0</v>
      </c>
      <c r="P90" s="17">
        <f t="shared" si="1"/>
        <v>0</v>
      </c>
      <c r="Q90" s="14" t="str">
        <f>+VLOOKUP(A90,Mapping!$A$1:$E$443,5,FALSE)</f>
        <v>Cost of Goods Sold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20">
        <f t="shared" si="2"/>
        <v>0</v>
      </c>
    </row>
    <row r="91" ht="11.25" customHeight="1">
      <c r="A91" s="15" t="s">
        <v>320</v>
      </c>
      <c r="B91" s="15" t="s">
        <v>321</v>
      </c>
      <c r="C91" s="15" t="s">
        <v>283</v>
      </c>
      <c r="D91" s="17">
        <v>0.0</v>
      </c>
      <c r="E91" s="17">
        <v>0.0</v>
      </c>
      <c r="F91" s="17">
        <v>0.0</v>
      </c>
      <c r="G91" s="17">
        <v>0.0</v>
      </c>
      <c r="H91" s="17">
        <v>0.0</v>
      </c>
      <c r="I91" s="17">
        <v>0.0</v>
      </c>
      <c r="J91" s="17">
        <v>0.0</v>
      </c>
      <c r="K91" s="17">
        <v>0.0</v>
      </c>
      <c r="L91" s="17">
        <v>0.0</v>
      </c>
      <c r="M91" s="17">
        <v>0.0</v>
      </c>
      <c r="N91" s="17">
        <v>0.0</v>
      </c>
      <c r="O91" s="17">
        <v>0.0</v>
      </c>
      <c r="P91" s="17">
        <f t="shared" si="1"/>
        <v>0</v>
      </c>
      <c r="Q91" s="14" t="str">
        <f>+VLOOKUP(A91,Mapping!$A$1:$E$443,5,FALSE)</f>
        <v>Cost of Goods Sold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20">
        <f t="shared" si="2"/>
        <v>0</v>
      </c>
    </row>
    <row r="92" ht="11.25" customHeight="1">
      <c r="A92" s="15" t="s">
        <v>323</v>
      </c>
      <c r="B92" s="15" t="s">
        <v>324</v>
      </c>
      <c r="C92" s="15" t="s">
        <v>283</v>
      </c>
      <c r="D92" s="17">
        <v>0.0</v>
      </c>
      <c r="E92" s="17">
        <v>0.0</v>
      </c>
      <c r="F92" s="17">
        <v>0.0</v>
      </c>
      <c r="G92" s="17">
        <v>0.0</v>
      </c>
      <c r="H92" s="17">
        <v>0.0</v>
      </c>
      <c r="I92" s="17">
        <v>0.0</v>
      </c>
      <c r="J92" s="17">
        <v>0.0</v>
      </c>
      <c r="K92" s="17">
        <v>0.0</v>
      </c>
      <c r="L92" s="17">
        <v>0.0</v>
      </c>
      <c r="M92" s="17">
        <v>0.0</v>
      </c>
      <c r="N92" s="17">
        <v>0.0</v>
      </c>
      <c r="O92" s="17">
        <v>0.0</v>
      </c>
      <c r="P92" s="17">
        <f t="shared" si="1"/>
        <v>0</v>
      </c>
      <c r="Q92" s="14" t="str">
        <f>+VLOOKUP(A92,Mapping!$A$1:$E$443,5,FALSE)</f>
        <v>Cost of Goods Sold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20">
        <f t="shared" si="2"/>
        <v>0</v>
      </c>
    </row>
    <row r="93" ht="11.25" customHeight="1">
      <c r="A93" s="15" t="s">
        <v>325</v>
      </c>
      <c r="B93" s="15" t="s">
        <v>326</v>
      </c>
      <c r="C93" s="15" t="s">
        <v>283</v>
      </c>
      <c r="D93" s="17">
        <v>0.0</v>
      </c>
      <c r="E93" s="17">
        <v>0.0</v>
      </c>
      <c r="F93" s="17">
        <v>0.0</v>
      </c>
      <c r="G93" s="17">
        <v>0.0</v>
      </c>
      <c r="H93" s="17">
        <v>0.0</v>
      </c>
      <c r="I93" s="17">
        <v>0.0</v>
      </c>
      <c r="J93" s="17">
        <v>0.0</v>
      </c>
      <c r="K93" s="17">
        <v>0.0</v>
      </c>
      <c r="L93" s="17">
        <v>0.0</v>
      </c>
      <c r="M93" s="17">
        <v>0.0</v>
      </c>
      <c r="N93" s="17">
        <v>0.0</v>
      </c>
      <c r="O93" s="17">
        <v>0.0</v>
      </c>
      <c r="P93" s="17">
        <f t="shared" si="1"/>
        <v>0</v>
      </c>
      <c r="Q93" s="14" t="str">
        <f>+VLOOKUP(A93,Mapping!$A$1:$E$443,5,FALSE)</f>
        <v>Cost of Goods Sold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20">
        <f t="shared" si="2"/>
        <v>0</v>
      </c>
    </row>
    <row r="94" ht="11.25" customHeight="1">
      <c r="A94" s="15" t="s">
        <v>327</v>
      </c>
      <c r="B94" s="15" t="s">
        <v>328</v>
      </c>
      <c r="C94" s="15" t="s">
        <v>283</v>
      </c>
      <c r="D94" s="17">
        <v>0.0</v>
      </c>
      <c r="E94" s="17">
        <v>26.32</v>
      </c>
      <c r="F94" s="17">
        <v>52.63</v>
      </c>
      <c r="G94" s="17">
        <v>52.63</v>
      </c>
      <c r="H94" s="17">
        <v>52.63</v>
      </c>
      <c r="I94" s="17">
        <v>52.63</v>
      </c>
      <c r="J94" s="17">
        <v>52.63</v>
      </c>
      <c r="K94" s="17">
        <v>52.63</v>
      </c>
      <c r="L94" s="17">
        <v>52.63</v>
      </c>
      <c r="M94" s="17">
        <v>52.63</v>
      </c>
      <c r="N94" s="17">
        <v>52.63</v>
      </c>
      <c r="O94" s="17">
        <v>0.0</v>
      </c>
      <c r="P94" s="17">
        <f t="shared" si="1"/>
        <v>499.99</v>
      </c>
      <c r="Q94" s="14" t="str">
        <f>+VLOOKUP(A94,Mapping!$A$1:$E$443,5,FALSE)</f>
        <v>Cost of Goods Sold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20">
        <f t="shared" si="2"/>
        <v>0</v>
      </c>
    </row>
    <row r="95" ht="11.25" customHeight="1">
      <c r="A95" s="15" t="s">
        <v>330</v>
      </c>
      <c r="B95" s="15" t="s">
        <v>331</v>
      </c>
      <c r="C95" s="15" t="s">
        <v>283</v>
      </c>
      <c r="D95" s="17">
        <v>0.0</v>
      </c>
      <c r="E95" s="17">
        <v>52.63</v>
      </c>
      <c r="F95" s="17">
        <v>105.27</v>
      </c>
      <c r="G95" s="17">
        <v>105.27</v>
      </c>
      <c r="H95" s="17">
        <v>105.27</v>
      </c>
      <c r="I95" s="17">
        <v>105.27</v>
      </c>
      <c r="J95" s="17">
        <v>105.27</v>
      </c>
      <c r="K95" s="17">
        <v>105.27</v>
      </c>
      <c r="L95" s="17">
        <v>105.27</v>
      </c>
      <c r="M95" s="17">
        <v>105.25</v>
      </c>
      <c r="N95" s="17">
        <v>105.25</v>
      </c>
      <c r="O95" s="17">
        <v>0.0</v>
      </c>
      <c r="P95" s="17">
        <f t="shared" si="1"/>
        <v>1000.02</v>
      </c>
      <c r="Q95" s="14" t="str">
        <f>+VLOOKUP(A95,Mapping!$A$1:$E$443,5,FALSE)</f>
        <v>Cost of Goods Sold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20">
        <f t="shared" si="2"/>
        <v>0</v>
      </c>
    </row>
    <row r="96" ht="11.25" customHeight="1">
      <c r="A96" s="15" t="s">
        <v>333</v>
      </c>
      <c r="B96" s="15" t="s">
        <v>334</v>
      </c>
      <c r="C96" s="15" t="s">
        <v>283</v>
      </c>
      <c r="D96" s="17">
        <v>0.0</v>
      </c>
      <c r="E96" s="17">
        <v>0.0</v>
      </c>
      <c r="F96" s="17">
        <v>0.0</v>
      </c>
      <c r="G96" s="17">
        <v>0.0</v>
      </c>
      <c r="H96" s="17">
        <v>0.0</v>
      </c>
      <c r="I96" s="17">
        <v>0.0</v>
      </c>
      <c r="J96" s="17">
        <v>0.0</v>
      </c>
      <c r="K96" s="17">
        <v>0.0</v>
      </c>
      <c r="L96" s="17">
        <v>0.0</v>
      </c>
      <c r="M96" s="17">
        <v>0.0</v>
      </c>
      <c r="N96" s="17">
        <v>0.0</v>
      </c>
      <c r="O96" s="17">
        <v>0.0</v>
      </c>
      <c r="P96" s="17">
        <f t="shared" si="1"/>
        <v>0</v>
      </c>
      <c r="Q96" s="14" t="str">
        <f>+VLOOKUP(A96,Mapping!$A$1:$E$443,5,FALSE)</f>
        <v>Cost of Goods Sold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20">
        <f t="shared" si="2"/>
        <v>0</v>
      </c>
    </row>
    <row r="97" ht="11.25" customHeight="1">
      <c r="A97" s="15" t="s">
        <v>339</v>
      </c>
      <c r="B97" s="15" t="s">
        <v>340</v>
      </c>
      <c r="C97" s="15" t="s">
        <v>283</v>
      </c>
      <c r="D97" s="17">
        <v>0.0</v>
      </c>
      <c r="E97" s="17">
        <v>0.0</v>
      </c>
      <c r="F97" s="17">
        <v>0.0</v>
      </c>
      <c r="G97" s="17">
        <v>0.0</v>
      </c>
      <c r="H97" s="17">
        <v>0.0</v>
      </c>
      <c r="I97" s="17">
        <v>0.0</v>
      </c>
      <c r="J97" s="17">
        <v>0.0</v>
      </c>
      <c r="K97" s="17">
        <v>0.0</v>
      </c>
      <c r="L97" s="17">
        <v>0.0</v>
      </c>
      <c r="M97" s="17">
        <v>0.0</v>
      </c>
      <c r="N97" s="17">
        <v>0.0</v>
      </c>
      <c r="O97" s="17">
        <v>0.0</v>
      </c>
      <c r="P97" s="17">
        <f t="shared" si="1"/>
        <v>0</v>
      </c>
      <c r="Q97" s="14" t="str">
        <f>+VLOOKUP(A97,Mapping!$A$1:$E$443,5,FALSE)</f>
        <v>Cost of Goods Sold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20">
        <f t="shared" si="2"/>
        <v>0</v>
      </c>
    </row>
    <row r="98" ht="11.25" customHeight="1">
      <c r="A98" s="15" t="s">
        <v>342</v>
      </c>
      <c r="B98" s="15" t="s">
        <v>343</v>
      </c>
      <c r="C98" s="15" t="s">
        <v>283</v>
      </c>
      <c r="D98" s="17">
        <v>0.0</v>
      </c>
      <c r="E98" s="17">
        <v>0.0</v>
      </c>
      <c r="F98" s="17">
        <v>0.0</v>
      </c>
      <c r="G98" s="17">
        <v>0.0</v>
      </c>
      <c r="H98" s="17">
        <v>0.0</v>
      </c>
      <c r="I98" s="17">
        <v>0.0</v>
      </c>
      <c r="J98" s="17">
        <v>0.0</v>
      </c>
      <c r="K98" s="17">
        <v>0.0</v>
      </c>
      <c r="L98" s="17">
        <v>0.0</v>
      </c>
      <c r="M98" s="17">
        <v>0.0</v>
      </c>
      <c r="N98" s="17">
        <v>0.0</v>
      </c>
      <c r="O98" s="17">
        <v>0.0</v>
      </c>
      <c r="P98" s="17">
        <f t="shared" si="1"/>
        <v>0</v>
      </c>
      <c r="Q98" s="14" t="str">
        <f>+VLOOKUP(A98,Mapping!$A$1:$E$443,5,FALSE)</f>
        <v>Cost of Goods Sold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20">
        <f t="shared" si="2"/>
        <v>0</v>
      </c>
    </row>
    <row r="99" ht="11.25" customHeight="1">
      <c r="A99" s="15" t="s">
        <v>345</v>
      </c>
      <c r="B99" s="15" t="s">
        <v>346</v>
      </c>
      <c r="C99" s="15" t="s">
        <v>283</v>
      </c>
      <c r="D99" s="17">
        <v>0.0</v>
      </c>
      <c r="E99" s="17">
        <v>0.0</v>
      </c>
      <c r="F99" s="17">
        <v>0.0</v>
      </c>
      <c r="G99" s="17">
        <v>0.0</v>
      </c>
      <c r="H99" s="17">
        <v>0.0</v>
      </c>
      <c r="I99" s="17">
        <v>0.0</v>
      </c>
      <c r="J99" s="17">
        <v>0.0</v>
      </c>
      <c r="K99" s="17">
        <v>0.0</v>
      </c>
      <c r="L99" s="17">
        <v>0.0</v>
      </c>
      <c r="M99" s="17">
        <v>0.0</v>
      </c>
      <c r="N99" s="17">
        <v>0.0</v>
      </c>
      <c r="O99" s="17">
        <v>0.0</v>
      </c>
      <c r="P99" s="17">
        <f t="shared" si="1"/>
        <v>0</v>
      </c>
      <c r="Q99" s="14" t="str">
        <f>+VLOOKUP(A99,Mapping!$A$1:$E$443,5,FALSE)</f>
        <v/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20">
        <f t="shared" si="2"/>
        <v>0</v>
      </c>
    </row>
    <row r="100" ht="11.25" customHeight="1">
      <c r="A100" s="15" t="s">
        <v>358</v>
      </c>
      <c r="B100" s="15" t="s">
        <v>359</v>
      </c>
      <c r="C100" s="15" t="s">
        <v>119</v>
      </c>
      <c r="D100" s="17">
        <v>0.0</v>
      </c>
      <c r="E100" s="17">
        <v>0.0</v>
      </c>
      <c r="F100" s="17">
        <v>0.0</v>
      </c>
      <c r="G100" s="17">
        <v>0.0</v>
      </c>
      <c r="H100" s="17">
        <v>0.0</v>
      </c>
      <c r="I100" s="17">
        <v>0.0</v>
      </c>
      <c r="J100" s="17">
        <v>0.0</v>
      </c>
      <c r="K100" s="17">
        <v>0.0</v>
      </c>
      <c r="L100" s="17">
        <v>0.0</v>
      </c>
      <c r="M100" s="17">
        <v>0.0</v>
      </c>
      <c r="N100" s="17">
        <v>0.0</v>
      </c>
      <c r="O100" s="17">
        <v>0.0</v>
      </c>
      <c r="P100" s="17">
        <f t="shared" si="1"/>
        <v>0</v>
      </c>
      <c r="Q100" s="14" t="str">
        <f>+VLOOKUP(A100,Mapping!$A$1:$E$443,5,FALSE)</f>
        <v>Scholarships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20">
        <f t="shared" si="2"/>
        <v>0</v>
      </c>
    </row>
    <row r="101" ht="11.25" customHeight="1">
      <c r="A101" s="15" t="s">
        <v>362</v>
      </c>
      <c r="B101" s="15" t="s">
        <v>363</v>
      </c>
      <c r="C101" s="15" t="s">
        <v>119</v>
      </c>
      <c r="D101" s="17">
        <v>0.0</v>
      </c>
      <c r="E101" s="17">
        <v>1394.78</v>
      </c>
      <c r="F101" s="17">
        <v>2789.57</v>
      </c>
      <c r="G101" s="17">
        <v>2789.57</v>
      </c>
      <c r="H101" s="17">
        <v>2789.57</v>
      </c>
      <c r="I101" s="17">
        <v>2789.57</v>
      </c>
      <c r="J101" s="17">
        <v>2789.57</v>
      </c>
      <c r="K101" s="17">
        <v>2789.57</v>
      </c>
      <c r="L101" s="17">
        <v>2789.57</v>
      </c>
      <c r="M101" s="17">
        <v>2789.13</v>
      </c>
      <c r="N101" s="17">
        <v>2789.13</v>
      </c>
      <c r="O101" s="17">
        <v>0.0</v>
      </c>
      <c r="P101" s="17">
        <f t="shared" si="1"/>
        <v>26500.03</v>
      </c>
      <c r="Q101" s="14" t="str">
        <f>+VLOOKUP(A101,Mapping!$A$1:$E$443,5,FALSE)</f>
        <v>Scholarships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20">
        <f t="shared" si="2"/>
        <v>0</v>
      </c>
    </row>
    <row r="102" ht="11.25" customHeight="1">
      <c r="A102" s="15" t="s">
        <v>368</v>
      </c>
      <c r="B102" s="15" t="s">
        <v>369</v>
      </c>
      <c r="C102" s="15" t="s">
        <v>119</v>
      </c>
      <c r="D102" s="17">
        <v>0.0</v>
      </c>
      <c r="E102" s="17">
        <v>526.32</v>
      </c>
      <c r="F102" s="17">
        <v>1052.63</v>
      </c>
      <c r="G102" s="17">
        <v>1052.63</v>
      </c>
      <c r="H102" s="17">
        <v>1052.63</v>
      </c>
      <c r="I102" s="17">
        <v>1052.63</v>
      </c>
      <c r="J102" s="17">
        <v>1052.63</v>
      </c>
      <c r="K102" s="17">
        <v>1052.63</v>
      </c>
      <c r="L102" s="17">
        <v>1052.63</v>
      </c>
      <c r="M102" s="17">
        <v>1052.63</v>
      </c>
      <c r="N102" s="17">
        <v>1052.64</v>
      </c>
      <c r="O102" s="17">
        <v>0.0</v>
      </c>
      <c r="P102" s="17">
        <f t="shared" si="1"/>
        <v>10000</v>
      </c>
      <c r="Q102" s="14" t="str">
        <f>+VLOOKUP(A102,Mapping!$A$1:$E$443,5,FALSE)</f>
        <v>Scholarships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20">
        <f t="shared" si="2"/>
        <v>0</v>
      </c>
    </row>
    <row r="103" ht="11.25" customHeight="1">
      <c r="A103" s="15" t="s">
        <v>371</v>
      </c>
      <c r="B103" s="15" t="s">
        <v>187</v>
      </c>
      <c r="C103" s="15" t="s">
        <v>119</v>
      </c>
      <c r="D103" s="17">
        <v>375.0</v>
      </c>
      <c r="E103" s="17">
        <v>375.0</v>
      </c>
      <c r="F103" s="17">
        <v>375.0</v>
      </c>
      <c r="G103" s="17">
        <v>375.0</v>
      </c>
      <c r="H103" s="17">
        <v>375.0</v>
      </c>
      <c r="I103" s="17">
        <v>375.0</v>
      </c>
      <c r="J103" s="17">
        <v>375.0</v>
      </c>
      <c r="K103" s="17">
        <v>375.0</v>
      </c>
      <c r="L103" s="17">
        <v>375.0</v>
      </c>
      <c r="M103" s="17">
        <v>375.0</v>
      </c>
      <c r="N103" s="17">
        <v>375.0</v>
      </c>
      <c r="O103" s="17">
        <v>375.0</v>
      </c>
      <c r="P103" s="17">
        <f t="shared" si="1"/>
        <v>4500</v>
      </c>
      <c r="Q103" s="14" t="str">
        <f>+VLOOKUP(A103,Mapping!$A$1:$E$443,5,FALSE)</f>
        <v>RenWeb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20">
        <f t="shared" si="2"/>
        <v>0</v>
      </c>
    </row>
    <row r="104" ht="11.25" customHeight="1">
      <c r="A104" s="15" t="s">
        <v>373</v>
      </c>
      <c r="B104" s="15" t="s">
        <v>374</v>
      </c>
      <c r="C104" s="15" t="s">
        <v>119</v>
      </c>
      <c r="D104" s="17">
        <v>0.0</v>
      </c>
      <c r="E104" s="17">
        <v>0.0</v>
      </c>
      <c r="F104" s="17">
        <v>0.0</v>
      </c>
      <c r="G104" s="17">
        <v>0.0</v>
      </c>
      <c r="H104" s="17">
        <v>0.0</v>
      </c>
      <c r="I104" s="17">
        <v>0.0</v>
      </c>
      <c r="J104" s="17">
        <v>0.0</v>
      </c>
      <c r="K104" s="17">
        <v>0.0</v>
      </c>
      <c r="L104" s="17">
        <v>0.0</v>
      </c>
      <c r="M104" s="17">
        <v>0.0</v>
      </c>
      <c r="N104" s="17">
        <v>0.0</v>
      </c>
      <c r="O104" s="17">
        <v>0.0</v>
      </c>
      <c r="P104" s="17">
        <f t="shared" si="1"/>
        <v>0</v>
      </c>
      <c r="Q104" s="14" t="str">
        <f>+VLOOKUP(A104,Mapping!$A$1:$E$443,5,FALSE)</f>
        <v>RenWeb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20">
        <f t="shared" si="2"/>
        <v>0</v>
      </c>
    </row>
    <row r="105" ht="11.25" customHeight="1">
      <c r="A105" s="15" t="s">
        <v>375</v>
      </c>
      <c r="B105" s="15" t="s">
        <v>376</v>
      </c>
      <c r="C105" s="15" t="s">
        <v>119</v>
      </c>
      <c r="D105" s="17">
        <v>0.0</v>
      </c>
      <c r="E105" s="17">
        <v>322.11</v>
      </c>
      <c r="F105" s="17">
        <v>644.21</v>
      </c>
      <c r="G105" s="17">
        <v>644.21</v>
      </c>
      <c r="H105" s="17">
        <v>644.21</v>
      </c>
      <c r="I105" s="17">
        <v>644.21</v>
      </c>
      <c r="J105" s="17">
        <v>644.21</v>
      </c>
      <c r="K105" s="17">
        <v>644.21</v>
      </c>
      <c r="L105" s="17">
        <v>644.21</v>
      </c>
      <c r="M105" s="17">
        <v>644.21</v>
      </c>
      <c r="N105" s="17">
        <v>644.21</v>
      </c>
      <c r="O105" s="17">
        <v>0.0</v>
      </c>
      <c r="P105" s="17">
        <f t="shared" si="1"/>
        <v>6120</v>
      </c>
      <c r="Q105" s="14" t="str">
        <f>+VLOOKUP(A105,Mapping!$A$1:$E$443,5,FALSE)</f>
        <v>Salaries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20">
        <f t="shared" si="2"/>
        <v>0</v>
      </c>
    </row>
    <row r="106" ht="11.25" customHeight="1">
      <c r="A106" s="15" t="s">
        <v>377</v>
      </c>
      <c r="B106" s="15" t="s">
        <v>378</v>
      </c>
      <c r="C106" s="15" t="s">
        <v>119</v>
      </c>
      <c r="D106" s="17">
        <v>0.0</v>
      </c>
      <c r="E106" s="17">
        <v>644.21</v>
      </c>
      <c r="F106" s="17">
        <v>1288.42</v>
      </c>
      <c r="G106" s="17">
        <v>1288.42</v>
      </c>
      <c r="H106" s="17">
        <v>1288.42</v>
      </c>
      <c r="I106" s="17">
        <v>1288.42</v>
      </c>
      <c r="J106" s="17">
        <v>1288.42</v>
      </c>
      <c r="K106" s="17">
        <v>1288.42</v>
      </c>
      <c r="L106" s="17">
        <v>1288.42</v>
      </c>
      <c r="M106" s="17">
        <v>1288.42</v>
      </c>
      <c r="N106" s="17">
        <v>1288.43</v>
      </c>
      <c r="O106" s="17">
        <v>0.0</v>
      </c>
      <c r="P106" s="17">
        <f t="shared" si="1"/>
        <v>12240</v>
      </c>
      <c r="Q106" s="14" t="str">
        <f>+VLOOKUP(A106,Mapping!$A$1:$E$443,5,FALSE)</f>
        <v>Salaries</v>
      </c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20">
        <f t="shared" si="2"/>
        <v>0</v>
      </c>
    </row>
    <row r="107" ht="11.25" customHeight="1">
      <c r="A107" s="15" t="s">
        <v>379</v>
      </c>
      <c r="B107" s="15" t="s">
        <v>380</v>
      </c>
      <c r="C107" s="15" t="s">
        <v>119</v>
      </c>
      <c r="D107" s="17">
        <v>0.0</v>
      </c>
      <c r="E107" s="17">
        <v>0.0</v>
      </c>
      <c r="F107" s="17">
        <v>0.0</v>
      </c>
      <c r="G107" s="17">
        <v>0.0</v>
      </c>
      <c r="H107" s="17">
        <v>0.0</v>
      </c>
      <c r="I107" s="17">
        <v>0.0</v>
      </c>
      <c r="J107" s="17">
        <v>0.0</v>
      </c>
      <c r="K107" s="17">
        <v>0.0</v>
      </c>
      <c r="L107" s="17">
        <v>0.0</v>
      </c>
      <c r="M107" s="17">
        <v>0.0</v>
      </c>
      <c r="N107" s="17">
        <v>0.0</v>
      </c>
      <c r="O107" s="17">
        <v>0.0</v>
      </c>
      <c r="P107" s="17">
        <f t="shared" si="1"/>
        <v>0</v>
      </c>
      <c r="Q107" s="14" t="str">
        <f>+VLOOKUP(A107,Mapping!$A$1:$E$443,5,FALSE)</f>
        <v>Salaries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20">
        <f t="shared" si="2"/>
        <v>0</v>
      </c>
    </row>
    <row r="108" ht="11.25" customHeight="1">
      <c r="A108" s="15" t="s">
        <v>383</v>
      </c>
      <c r="B108" s="15" t="s">
        <v>384</v>
      </c>
      <c r="C108" s="15" t="s">
        <v>119</v>
      </c>
      <c r="D108" s="17">
        <v>0.0</v>
      </c>
      <c r="E108" s="17">
        <v>16987.1</v>
      </c>
      <c r="F108" s="17">
        <v>33974.19</v>
      </c>
      <c r="G108" s="17">
        <v>33974.19</v>
      </c>
      <c r="H108" s="17">
        <v>33974.19</v>
      </c>
      <c r="I108" s="17">
        <v>33974.19</v>
      </c>
      <c r="J108" s="17">
        <v>33974.19</v>
      </c>
      <c r="K108" s="17">
        <v>33974.19</v>
      </c>
      <c r="L108" s="17">
        <v>33974.19</v>
      </c>
      <c r="M108" s="17">
        <v>33974.19</v>
      </c>
      <c r="N108" s="17">
        <v>33974.14</v>
      </c>
      <c r="O108" s="17">
        <v>0.0</v>
      </c>
      <c r="P108" s="17">
        <f t="shared" si="1"/>
        <v>322754.76</v>
      </c>
      <c r="Q108" s="14" t="str">
        <f>+VLOOKUP(A108,Mapping!$A$1:$E$443,5,FALSE)</f>
        <v>Salaries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20">
        <f t="shared" si="2"/>
        <v>0</v>
      </c>
    </row>
    <row r="109" ht="11.25" customHeight="1">
      <c r="A109" s="15" t="s">
        <v>385</v>
      </c>
      <c r="B109" s="15" t="s">
        <v>386</v>
      </c>
      <c r="C109" s="15" t="s">
        <v>119</v>
      </c>
      <c r="D109" s="17">
        <v>0.0</v>
      </c>
      <c r="E109" s="17">
        <v>1514.52</v>
      </c>
      <c r="F109" s="17">
        <v>3029.04</v>
      </c>
      <c r="G109" s="17">
        <v>3029.04</v>
      </c>
      <c r="H109" s="17">
        <v>3029.04</v>
      </c>
      <c r="I109" s="17">
        <v>3029.04</v>
      </c>
      <c r="J109" s="17">
        <v>3029.04</v>
      </c>
      <c r="K109" s="17">
        <v>3029.04</v>
      </c>
      <c r="L109" s="17">
        <v>3029.04</v>
      </c>
      <c r="M109" s="17">
        <v>3029.04</v>
      </c>
      <c r="N109" s="17">
        <v>3029.08</v>
      </c>
      <c r="O109" s="17">
        <v>0.0</v>
      </c>
      <c r="P109" s="17">
        <f t="shared" si="1"/>
        <v>28775.92</v>
      </c>
      <c r="Q109" s="14" t="str">
        <f>+VLOOKUP(A109,Mapping!$A$1:$E$443,5,FALSE)</f>
        <v>Salaries</v>
      </c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20">
        <f t="shared" si="2"/>
        <v>0</v>
      </c>
    </row>
    <row r="110" ht="11.25" customHeight="1">
      <c r="A110" s="15" t="s">
        <v>387</v>
      </c>
      <c r="B110" s="15" t="s">
        <v>388</v>
      </c>
      <c r="C110" s="15" t="s">
        <v>119</v>
      </c>
      <c r="D110" s="17">
        <v>2040.0</v>
      </c>
      <c r="E110" s="17">
        <v>0.0</v>
      </c>
      <c r="F110" s="17">
        <v>0.0</v>
      </c>
      <c r="G110" s="17">
        <v>0.0</v>
      </c>
      <c r="H110" s="17">
        <v>0.0</v>
      </c>
      <c r="I110" s="17">
        <v>0.0</v>
      </c>
      <c r="J110" s="17">
        <v>0.0</v>
      </c>
      <c r="K110" s="17">
        <v>0.0</v>
      </c>
      <c r="L110" s="17">
        <v>0.0</v>
      </c>
      <c r="M110" s="17">
        <v>0.0</v>
      </c>
      <c r="N110" s="17">
        <v>0.0</v>
      </c>
      <c r="O110" s="17">
        <v>2040.0</v>
      </c>
      <c r="P110" s="17">
        <f t="shared" si="1"/>
        <v>4080</v>
      </c>
      <c r="Q110" s="14" t="str">
        <f>+VLOOKUP(A110,Mapping!$A$1:$E$443,5,FALSE)</f>
        <v>Salaries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20">
        <f t="shared" si="2"/>
        <v>0</v>
      </c>
    </row>
    <row r="111" ht="11.25" customHeight="1">
      <c r="A111" s="15" t="s">
        <v>389</v>
      </c>
      <c r="B111" s="15" t="s">
        <v>390</v>
      </c>
      <c r="C111" s="15" t="s">
        <v>119</v>
      </c>
      <c r="D111" s="17">
        <v>17990.19</v>
      </c>
      <c r="E111" s="17">
        <v>17990.19</v>
      </c>
      <c r="F111" s="17">
        <v>17990.19</v>
      </c>
      <c r="G111" s="17">
        <v>17990.19</v>
      </c>
      <c r="H111" s="17">
        <v>17990.19</v>
      </c>
      <c r="I111" s="17">
        <v>17990.19</v>
      </c>
      <c r="J111" s="17">
        <v>17990.19</v>
      </c>
      <c r="K111" s="17">
        <v>17990.19</v>
      </c>
      <c r="L111" s="17">
        <v>17990.19</v>
      </c>
      <c r="M111" s="17">
        <v>17990.19</v>
      </c>
      <c r="N111" s="17">
        <v>17990.19</v>
      </c>
      <c r="O111" s="17">
        <v>17990.19</v>
      </c>
      <c r="P111" s="17">
        <f t="shared" si="1"/>
        <v>215882.28</v>
      </c>
      <c r="Q111" s="14" t="str">
        <f>+VLOOKUP(A111,Mapping!$A$1:$E$443,5,FALSE)</f>
        <v>Salaries</v>
      </c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20">
        <f t="shared" si="2"/>
        <v>0</v>
      </c>
    </row>
    <row r="112" ht="11.25" customHeight="1">
      <c r="A112" s="15" t="s">
        <v>391</v>
      </c>
      <c r="B112" s="15" t="s">
        <v>392</v>
      </c>
      <c r="C112" s="15" t="s">
        <v>119</v>
      </c>
      <c r="D112" s="17">
        <v>0.0</v>
      </c>
      <c r="E112" s="17">
        <v>0.0</v>
      </c>
      <c r="F112" s="17">
        <v>0.0</v>
      </c>
      <c r="G112" s="17">
        <v>0.0</v>
      </c>
      <c r="H112" s="17">
        <v>0.0</v>
      </c>
      <c r="I112" s="17">
        <v>0.0</v>
      </c>
      <c r="J112" s="17">
        <v>0.0</v>
      </c>
      <c r="K112" s="17">
        <v>0.0</v>
      </c>
      <c r="L112" s="17">
        <v>0.0</v>
      </c>
      <c r="M112" s="17">
        <v>0.0</v>
      </c>
      <c r="N112" s="17">
        <v>0.0</v>
      </c>
      <c r="O112" s="17">
        <v>0.0</v>
      </c>
      <c r="P112" s="17">
        <f t="shared" si="1"/>
        <v>0</v>
      </c>
      <c r="Q112" s="14" t="str">
        <f>+VLOOKUP(A112,Mapping!$A$1:$E$443,5,FALSE)</f>
        <v>Salaries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20">
        <f t="shared" si="2"/>
        <v>0</v>
      </c>
    </row>
    <row r="113" ht="11.25" customHeight="1">
      <c r="A113" s="15" t="s">
        <v>393</v>
      </c>
      <c r="B113" s="15" t="s">
        <v>394</v>
      </c>
      <c r="C113" s="15" t="s">
        <v>119</v>
      </c>
      <c r="D113" s="17">
        <v>3901.5</v>
      </c>
      <c r="E113" s="17">
        <v>3901.5</v>
      </c>
      <c r="F113" s="17">
        <v>3901.5</v>
      </c>
      <c r="G113" s="17">
        <v>3901.5</v>
      </c>
      <c r="H113" s="17">
        <v>3901.5</v>
      </c>
      <c r="I113" s="17">
        <v>3901.5</v>
      </c>
      <c r="J113" s="17">
        <v>3901.5</v>
      </c>
      <c r="K113" s="17">
        <v>3901.5</v>
      </c>
      <c r="L113" s="17">
        <v>3901.5</v>
      </c>
      <c r="M113" s="17">
        <v>3901.5</v>
      </c>
      <c r="N113" s="17">
        <v>3901.5</v>
      </c>
      <c r="O113" s="17">
        <v>3901.5</v>
      </c>
      <c r="P113" s="17">
        <f t="shared" si="1"/>
        <v>46818</v>
      </c>
      <c r="Q113" s="14" t="str">
        <f>+VLOOKUP(A113,Mapping!$A$1:$E$443,5,FALSE)</f>
        <v>Salaries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20">
        <f t="shared" si="2"/>
        <v>0</v>
      </c>
    </row>
    <row r="114" ht="11.25" customHeight="1">
      <c r="A114" s="15" t="s">
        <v>395</v>
      </c>
      <c r="B114" s="15" t="s">
        <v>396</v>
      </c>
      <c r="C114" s="15" t="s">
        <v>119</v>
      </c>
      <c r="D114" s="17">
        <v>510.0</v>
      </c>
      <c r="E114" s="17">
        <v>510.0</v>
      </c>
      <c r="F114" s="17">
        <v>510.0</v>
      </c>
      <c r="G114" s="17">
        <v>510.0</v>
      </c>
      <c r="H114" s="17">
        <v>510.0</v>
      </c>
      <c r="I114" s="17">
        <v>510.0</v>
      </c>
      <c r="J114" s="17">
        <v>510.0</v>
      </c>
      <c r="K114" s="17">
        <v>510.0</v>
      </c>
      <c r="L114" s="17">
        <v>510.0</v>
      </c>
      <c r="M114" s="17">
        <v>510.0</v>
      </c>
      <c r="N114" s="17">
        <v>510.0</v>
      </c>
      <c r="O114" s="17">
        <v>510.0</v>
      </c>
      <c r="P114" s="17">
        <f t="shared" si="1"/>
        <v>6120</v>
      </c>
      <c r="Q114" s="14" t="str">
        <f>+VLOOKUP(A114,Mapping!$A$1:$E$443,5,FALSE)</f>
        <v>Salaries</v>
      </c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20">
        <f t="shared" si="2"/>
        <v>0</v>
      </c>
    </row>
    <row r="115" ht="11.25" customHeight="1">
      <c r="A115" s="15" t="s">
        <v>397</v>
      </c>
      <c r="B115" s="15" t="s">
        <v>398</v>
      </c>
      <c r="C115" s="15" t="s">
        <v>119</v>
      </c>
      <c r="D115" s="17">
        <v>0.0</v>
      </c>
      <c r="E115" s="17">
        <v>268.42</v>
      </c>
      <c r="F115" s="17">
        <v>536.83</v>
      </c>
      <c r="G115" s="17">
        <v>536.83</v>
      </c>
      <c r="H115" s="17">
        <v>536.83</v>
      </c>
      <c r="I115" s="17">
        <v>536.83</v>
      </c>
      <c r="J115" s="17">
        <v>536.83</v>
      </c>
      <c r="K115" s="17">
        <v>536.83</v>
      </c>
      <c r="L115" s="17">
        <v>536.83</v>
      </c>
      <c r="M115" s="17">
        <v>536.83</v>
      </c>
      <c r="N115" s="17">
        <v>536.86</v>
      </c>
      <c r="O115" s="17">
        <v>0.0</v>
      </c>
      <c r="P115" s="17">
        <f t="shared" si="1"/>
        <v>5099.92</v>
      </c>
      <c r="Q115" s="14" t="str">
        <f>+VLOOKUP(A115,Mapping!$A$1:$E$443,5,FALSE)</f>
        <v>Salaries</v>
      </c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20">
        <f t="shared" si="2"/>
        <v>0</v>
      </c>
    </row>
    <row r="116" ht="11.25" customHeight="1">
      <c r="A116" s="15" t="s">
        <v>399</v>
      </c>
      <c r="B116" s="15" t="s">
        <v>400</v>
      </c>
      <c r="C116" s="15" t="s">
        <v>119</v>
      </c>
      <c r="D116" s="17">
        <v>0.0</v>
      </c>
      <c r="E116" s="17">
        <v>0.0</v>
      </c>
      <c r="F116" s="17">
        <v>0.0</v>
      </c>
      <c r="G116" s="17">
        <v>0.0</v>
      </c>
      <c r="H116" s="17">
        <v>0.0</v>
      </c>
      <c r="I116" s="17">
        <v>0.0</v>
      </c>
      <c r="J116" s="17">
        <v>0.0</v>
      </c>
      <c r="K116" s="17">
        <v>0.0</v>
      </c>
      <c r="L116" s="17">
        <v>0.0</v>
      </c>
      <c r="M116" s="17">
        <v>0.0</v>
      </c>
      <c r="N116" s="17">
        <v>0.0</v>
      </c>
      <c r="O116" s="17">
        <v>0.0</v>
      </c>
      <c r="P116" s="17">
        <f t="shared" si="1"/>
        <v>0</v>
      </c>
      <c r="Q116" s="14" t="str">
        <f>+VLOOKUP(A116,Mapping!$A$1:$E$443,5,FALSE)</f>
        <v>Salaries</v>
      </c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20">
        <f t="shared" si="2"/>
        <v>0</v>
      </c>
    </row>
    <row r="117" ht="11.25" customHeight="1">
      <c r="A117" s="15" t="s">
        <v>401</v>
      </c>
      <c r="B117" s="15" t="s">
        <v>402</v>
      </c>
      <c r="C117" s="15" t="s">
        <v>119</v>
      </c>
      <c r="D117" s="17">
        <v>0.0</v>
      </c>
      <c r="E117" s="17">
        <v>429.51</v>
      </c>
      <c r="F117" s="17">
        <v>859.02</v>
      </c>
      <c r="G117" s="17">
        <v>859.02</v>
      </c>
      <c r="H117" s="17">
        <v>859.02</v>
      </c>
      <c r="I117" s="17">
        <v>859.02</v>
      </c>
      <c r="J117" s="17">
        <v>859.02</v>
      </c>
      <c r="K117" s="17">
        <v>859.02</v>
      </c>
      <c r="L117" s="17">
        <v>859.02</v>
      </c>
      <c r="M117" s="17">
        <v>859.02</v>
      </c>
      <c r="N117" s="17">
        <v>859.01</v>
      </c>
      <c r="O117" s="17">
        <v>0.0</v>
      </c>
      <c r="P117" s="17">
        <f t="shared" si="1"/>
        <v>8160.68</v>
      </c>
      <c r="Q117" s="14" t="str">
        <f>+VLOOKUP(A117,Mapping!$A$1:$E$443,5,FALSE)</f>
        <v>Salaries</v>
      </c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20">
        <f t="shared" si="2"/>
        <v>0</v>
      </c>
    </row>
    <row r="118" ht="11.25" customHeight="1">
      <c r="A118" s="15" t="s">
        <v>404</v>
      </c>
      <c r="B118" s="15" t="s">
        <v>405</v>
      </c>
      <c r="C118" s="15" t="s">
        <v>119</v>
      </c>
      <c r="D118" s="17">
        <v>0.0</v>
      </c>
      <c r="E118" s="17">
        <v>0.0</v>
      </c>
      <c r="F118" s="17">
        <v>0.0</v>
      </c>
      <c r="G118" s="17">
        <v>0.0</v>
      </c>
      <c r="H118" s="17">
        <v>0.0</v>
      </c>
      <c r="I118" s="17">
        <v>0.0</v>
      </c>
      <c r="J118" s="17">
        <v>0.0</v>
      </c>
      <c r="K118" s="17">
        <v>0.0</v>
      </c>
      <c r="L118" s="17">
        <v>0.0</v>
      </c>
      <c r="M118" s="17">
        <v>0.0</v>
      </c>
      <c r="N118" s="17">
        <v>0.0</v>
      </c>
      <c r="O118" s="17">
        <v>0.0</v>
      </c>
      <c r="P118" s="17">
        <f t="shared" si="1"/>
        <v>0</v>
      </c>
      <c r="Q118" s="14" t="str">
        <f>+VLOOKUP(A118,Mapping!$A$1:$E$443,5,FALSE)</f>
        <v>Salaries</v>
      </c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20">
        <f t="shared" si="2"/>
        <v>0</v>
      </c>
    </row>
    <row r="119" ht="11.25" customHeight="1">
      <c r="A119" s="15" t="s">
        <v>407</v>
      </c>
      <c r="B119" s="15" t="s">
        <v>408</v>
      </c>
      <c r="C119" s="15" t="s">
        <v>119</v>
      </c>
      <c r="D119" s="17">
        <v>0.0</v>
      </c>
      <c r="E119" s="17">
        <v>0.0</v>
      </c>
      <c r="F119" s="17">
        <v>0.0</v>
      </c>
      <c r="G119" s="17">
        <v>0.0</v>
      </c>
      <c r="H119" s="17">
        <v>0.0</v>
      </c>
      <c r="I119" s="17">
        <v>0.0</v>
      </c>
      <c r="J119" s="17">
        <v>0.0</v>
      </c>
      <c r="K119" s="17">
        <v>0.0</v>
      </c>
      <c r="L119" s="17">
        <v>0.0</v>
      </c>
      <c r="M119" s="17">
        <v>0.0</v>
      </c>
      <c r="N119" s="17">
        <v>0.0</v>
      </c>
      <c r="O119" s="17">
        <v>0.0</v>
      </c>
      <c r="P119" s="17">
        <f t="shared" si="1"/>
        <v>0</v>
      </c>
      <c r="Q119" s="14" t="str">
        <f>+VLOOKUP(A119,Mapping!$A$1:$E$443,5,FALSE)</f>
        <v>Salaries</v>
      </c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20">
        <f t="shared" si="2"/>
        <v>0</v>
      </c>
    </row>
    <row r="120" ht="11.25" customHeight="1">
      <c r="A120" s="15" t="s">
        <v>410</v>
      </c>
      <c r="B120" s="15" t="s">
        <v>412</v>
      </c>
      <c r="C120" s="15" t="s">
        <v>119</v>
      </c>
      <c r="D120" s="17">
        <v>0.0</v>
      </c>
      <c r="E120" s="17">
        <v>446.62</v>
      </c>
      <c r="F120" s="17">
        <v>446.62</v>
      </c>
      <c r="G120" s="17">
        <v>743.24</v>
      </c>
      <c r="H120" s="17">
        <v>693.24</v>
      </c>
      <c r="I120" s="17">
        <v>693.24</v>
      </c>
      <c r="J120" s="17">
        <v>743.24</v>
      </c>
      <c r="K120" s="17">
        <v>693.24</v>
      </c>
      <c r="L120" s="17">
        <v>693.24</v>
      </c>
      <c r="M120" s="17">
        <v>743.24</v>
      </c>
      <c r="N120" s="17">
        <v>689.0</v>
      </c>
      <c r="O120" s="17">
        <v>0.0</v>
      </c>
      <c r="P120" s="17">
        <f t="shared" si="1"/>
        <v>6584.92</v>
      </c>
      <c r="Q120" s="14" t="str">
        <f>+VLOOKUP(A120,Mapping!$A$1:$E$443,5,FALSE)</f>
        <v>Salaries</v>
      </c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20">
        <f t="shared" si="2"/>
        <v>0</v>
      </c>
    </row>
    <row r="121" ht="11.25" customHeight="1">
      <c r="A121" s="15" t="s">
        <v>420</v>
      </c>
      <c r="B121" s="15" t="s">
        <v>421</v>
      </c>
      <c r="C121" s="15" t="s">
        <v>119</v>
      </c>
      <c r="D121" s="17">
        <v>0.0</v>
      </c>
      <c r="E121" s="17">
        <v>0.0</v>
      </c>
      <c r="F121" s="17">
        <v>0.0</v>
      </c>
      <c r="G121" s="17">
        <v>0.0</v>
      </c>
      <c r="H121" s="17">
        <v>0.0</v>
      </c>
      <c r="I121" s="17">
        <v>0.0</v>
      </c>
      <c r="J121" s="17">
        <v>0.0</v>
      </c>
      <c r="K121" s="17">
        <v>0.0</v>
      </c>
      <c r="L121" s="17">
        <v>0.0</v>
      </c>
      <c r="M121" s="17">
        <v>0.0</v>
      </c>
      <c r="N121" s="17">
        <v>0.0</v>
      </c>
      <c r="O121" s="17">
        <v>0.0</v>
      </c>
      <c r="P121" s="17">
        <f t="shared" si="1"/>
        <v>0</v>
      </c>
      <c r="Q121" s="14" t="str">
        <f>+VLOOKUP(A121,Mapping!$A$1:$E$443,5,FALSE)</f>
        <v>Salaries</v>
      </c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20">
        <f t="shared" si="2"/>
        <v>0</v>
      </c>
    </row>
    <row r="122" ht="11.25" customHeight="1">
      <c r="A122" s="15" t="s">
        <v>433</v>
      </c>
      <c r="B122" s="15" t="s">
        <v>434</v>
      </c>
      <c r="C122" s="15" t="s">
        <v>119</v>
      </c>
      <c r="D122" s="17">
        <v>0.0</v>
      </c>
      <c r="E122" s="17">
        <v>0.0</v>
      </c>
      <c r="F122" s="17">
        <v>0.0</v>
      </c>
      <c r="G122" s="17">
        <v>0.0</v>
      </c>
      <c r="H122" s="17">
        <v>0.0</v>
      </c>
      <c r="I122" s="17">
        <v>3085.5</v>
      </c>
      <c r="J122" s="17">
        <v>0.0</v>
      </c>
      <c r="K122" s="17">
        <v>0.0</v>
      </c>
      <c r="L122" s="17">
        <v>0.0</v>
      </c>
      <c r="M122" s="17">
        <v>0.0</v>
      </c>
      <c r="N122" s="17">
        <v>0.0</v>
      </c>
      <c r="O122" s="17">
        <v>0.0</v>
      </c>
      <c r="P122" s="17">
        <f t="shared" si="1"/>
        <v>3085.5</v>
      </c>
      <c r="Q122" s="14" t="str">
        <f>+VLOOKUP(A122,Mapping!$A$1:$E$443,5,FALSE)</f>
        <v>Salaries</v>
      </c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20">
        <f t="shared" si="2"/>
        <v>0</v>
      </c>
    </row>
    <row r="123" ht="11.25" customHeight="1">
      <c r="A123" s="15" t="s">
        <v>435</v>
      </c>
      <c r="B123" s="15" t="s">
        <v>434</v>
      </c>
      <c r="C123" s="15" t="s">
        <v>119</v>
      </c>
      <c r="D123" s="17">
        <v>0.0</v>
      </c>
      <c r="E123" s="17">
        <v>0.0</v>
      </c>
      <c r="F123" s="17">
        <v>0.0</v>
      </c>
      <c r="G123" s="17">
        <v>0.0</v>
      </c>
      <c r="H123" s="17">
        <v>0.0</v>
      </c>
      <c r="I123" s="17">
        <v>1122.0</v>
      </c>
      <c r="J123" s="17">
        <v>0.0</v>
      </c>
      <c r="K123" s="17">
        <v>0.0</v>
      </c>
      <c r="L123" s="17">
        <v>0.0</v>
      </c>
      <c r="M123" s="17">
        <v>0.0</v>
      </c>
      <c r="N123" s="17">
        <v>0.0</v>
      </c>
      <c r="O123" s="17">
        <v>0.0</v>
      </c>
      <c r="P123" s="17">
        <f t="shared" si="1"/>
        <v>1122</v>
      </c>
      <c r="Q123" s="14" t="str">
        <f>+VLOOKUP(A123,Mapping!$A$1:$E$443,5,FALSE)</f>
        <v>Salaries</v>
      </c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20">
        <f t="shared" si="2"/>
        <v>0</v>
      </c>
    </row>
    <row r="124" ht="11.25" customHeight="1">
      <c r="A124" s="15" t="s">
        <v>436</v>
      </c>
      <c r="B124" s="15" t="s">
        <v>434</v>
      </c>
      <c r="C124" s="15" t="s">
        <v>119</v>
      </c>
      <c r="D124" s="17">
        <v>0.0</v>
      </c>
      <c r="E124" s="17">
        <v>0.0</v>
      </c>
      <c r="F124" s="17">
        <v>0.0</v>
      </c>
      <c r="G124" s="17">
        <v>0.0</v>
      </c>
      <c r="H124" s="17">
        <v>0.0</v>
      </c>
      <c r="I124" s="17">
        <v>0.0</v>
      </c>
      <c r="J124" s="17">
        <v>0.0</v>
      </c>
      <c r="K124" s="17">
        <v>0.0</v>
      </c>
      <c r="L124" s="17">
        <v>0.0</v>
      </c>
      <c r="M124" s="17">
        <v>0.0</v>
      </c>
      <c r="N124" s="17">
        <v>0.0</v>
      </c>
      <c r="O124" s="17">
        <v>0.0</v>
      </c>
      <c r="P124" s="17">
        <f t="shared" si="1"/>
        <v>0</v>
      </c>
      <c r="Q124" s="14" t="str">
        <f>+VLOOKUP(A124,Mapping!$A$1:$E$443,5,FALSE)</f>
        <v>Salaries</v>
      </c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20">
        <f t="shared" si="2"/>
        <v>0</v>
      </c>
    </row>
    <row r="125" ht="11.25" customHeight="1">
      <c r="A125" s="15" t="s">
        <v>439</v>
      </c>
      <c r="B125" s="15" t="s">
        <v>440</v>
      </c>
      <c r="C125" s="15" t="s">
        <v>119</v>
      </c>
      <c r="D125" s="17">
        <v>0.0</v>
      </c>
      <c r="E125" s="17">
        <v>348.55</v>
      </c>
      <c r="F125" s="17">
        <v>697.1</v>
      </c>
      <c r="G125" s="17">
        <v>697.1</v>
      </c>
      <c r="H125" s="17">
        <v>697.1</v>
      </c>
      <c r="I125" s="17">
        <v>697.1</v>
      </c>
      <c r="J125" s="17">
        <v>697.1</v>
      </c>
      <c r="K125" s="17">
        <v>697.1</v>
      </c>
      <c r="L125" s="17">
        <v>697.1</v>
      </c>
      <c r="M125" s="17">
        <v>697.1</v>
      </c>
      <c r="N125" s="17">
        <v>697.1</v>
      </c>
      <c r="O125" s="17">
        <v>0.0</v>
      </c>
      <c r="P125" s="17">
        <f t="shared" si="1"/>
        <v>6622.45</v>
      </c>
      <c r="Q125" s="14" t="str">
        <f>+VLOOKUP(A125,Mapping!$A$1:$E$443,5,FALSE)</f>
        <v>Benefits</v>
      </c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20">
        <f t="shared" si="2"/>
        <v>0</v>
      </c>
    </row>
    <row r="126" ht="11.25" customHeight="1">
      <c r="A126" s="15" t="s">
        <v>441</v>
      </c>
      <c r="B126" s="15" t="s">
        <v>440</v>
      </c>
      <c r="C126" s="15" t="s">
        <v>119</v>
      </c>
      <c r="D126" s="17">
        <v>414.67</v>
      </c>
      <c r="E126" s="17">
        <v>414.67</v>
      </c>
      <c r="F126" s="17">
        <v>414.67</v>
      </c>
      <c r="G126" s="17">
        <v>414.67</v>
      </c>
      <c r="H126" s="17">
        <v>414.67</v>
      </c>
      <c r="I126" s="17">
        <v>414.67</v>
      </c>
      <c r="J126" s="17">
        <v>414.67</v>
      </c>
      <c r="K126" s="17">
        <v>414.67</v>
      </c>
      <c r="L126" s="17">
        <v>414.67</v>
      </c>
      <c r="M126" s="17">
        <v>414.67</v>
      </c>
      <c r="N126" s="17">
        <v>414.67</v>
      </c>
      <c r="O126" s="17">
        <v>414.67</v>
      </c>
      <c r="P126" s="17">
        <f t="shared" si="1"/>
        <v>4976.04</v>
      </c>
      <c r="Q126" s="14" t="str">
        <f>+VLOOKUP(A126,Mapping!$A$1:$E$443,5,FALSE)</f>
        <v>Benefits</v>
      </c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20">
        <f t="shared" si="2"/>
        <v>0</v>
      </c>
    </row>
    <row r="127" ht="11.25" customHeight="1">
      <c r="A127" s="15" t="s">
        <v>442</v>
      </c>
      <c r="B127" s="15" t="s">
        <v>440</v>
      </c>
      <c r="C127" s="15" t="s">
        <v>119</v>
      </c>
      <c r="D127" s="17">
        <v>0.0</v>
      </c>
      <c r="E127" s="17">
        <v>0.0</v>
      </c>
      <c r="F127" s="17">
        <v>0.0</v>
      </c>
      <c r="G127" s="17">
        <v>0.0</v>
      </c>
      <c r="H127" s="17">
        <v>0.0</v>
      </c>
      <c r="I127" s="17">
        <v>0.0</v>
      </c>
      <c r="J127" s="17">
        <v>0.0</v>
      </c>
      <c r="K127" s="17">
        <v>0.0</v>
      </c>
      <c r="L127" s="17">
        <v>0.0</v>
      </c>
      <c r="M127" s="17">
        <v>0.0</v>
      </c>
      <c r="N127" s="17">
        <v>0.0</v>
      </c>
      <c r="O127" s="17">
        <v>0.0</v>
      </c>
      <c r="P127" s="17">
        <f t="shared" si="1"/>
        <v>0</v>
      </c>
      <c r="Q127" s="14" t="str">
        <f>+VLOOKUP(A127,Mapping!$A$1:$E$443,5,FALSE)</f>
        <v>Benefits</v>
      </c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20">
        <f t="shared" si="2"/>
        <v>0</v>
      </c>
    </row>
    <row r="128" ht="11.25" customHeight="1">
      <c r="A128" s="15" t="s">
        <v>443</v>
      </c>
      <c r="B128" s="15" t="s">
        <v>444</v>
      </c>
      <c r="C128" s="15" t="s">
        <v>119</v>
      </c>
      <c r="D128" s="17">
        <v>0.0</v>
      </c>
      <c r="E128" s="17">
        <v>3157.9</v>
      </c>
      <c r="F128" s="17">
        <v>6315.79</v>
      </c>
      <c r="G128" s="17">
        <v>6315.79</v>
      </c>
      <c r="H128" s="17">
        <v>6315.79</v>
      </c>
      <c r="I128" s="17">
        <v>6315.79</v>
      </c>
      <c r="J128" s="17">
        <v>6315.79</v>
      </c>
      <c r="K128" s="17">
        <v>6315.79</v>
      </c>
      <c r="L128" s="17">
        <v>6315.79</v>
      </c>
      <c r="M128" s="17">
        <v>6315.79</v>
      </c>
      <c r="N128" s="17">
        <v>6315.78</v>
      </c>
      <c r="O128" s="17">
        <v>0.0</v>
      </c>
      <c r="P128" s="17">
        <f t="shared" si="1"/>
        <v>60000</v>
      </c>
      <c r="Q128" s="14" t="str">
        <f>+VLOOKUP(A128,Mapping!$A$1:$E$443,5,FALSE)</f>
        <v>Benefits</v>
      </c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20">
        <f t="shared" si="2"/>
        <v>0</v>
      </c>
    </row>
    <row r="129" ht="11.25" customHeight="1">
      <c r="A129" s="15" t="s">
        <v>445</v>
      </c>
      <c r="B129" s="15" t="s">
        <v>444</v>
      </c>
      <c r="C129" s="15" t="s">
        <v>119</v>
      </c>
      <c r="D129" s="17">
        <v>0.0</v>
      </c>
      <c r="E129" s="17">
        <v>0.0</v>
      </c>
      <c r="F129" s="17">
        <v>0.0</v>
      </c>
      <c r="G129" s="17">
        <v>0.0</v>
      </c>
      <c r="H129" s="17">
        <v>0.0</v>
      </c>
      <c r="I129" s="17">
        <v>0.0</v>
      </c>
      <c r="J129" s="17">
        <v>0.0</v>
      </c>
      <c r="K129" s="17">
        <v>0.0</v>
      </c>
      <c r="L129" s="17">
        <v>0.0</v>
      </c>
      <c r="M129" s="17">
        <v>0.0</v>
      </c>
      <c r="N129" s="17">
        <v>0.0</v>
      </c>
      <c r="O129" s="17">
        <v>0.0</v>
      </c>
      <c r="P129" s="17">
        <f t="shared" si="1"/>
        <v>0</v>
      </c>
      <c r="Q129" s="14" t="str">
        <f>+VLOOKUP(A129,Mapping!$A$1:$E$443,5,FALSE)</f>
        <v>Benefits</v>
      </c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20">
        <f t="shared" si="2"/>
        <v>0</v>
      </c>
    </row>
    <row r="130" ht="11.25" customHeight="1">
      <c r="A130" s="15" t="s">
        <v>446</v>
      </c>
      <c r="B130" s="15" t="s">
        <v>444</v>
      </c>
      <c r="C130" s="15" t="s">
        <v>119</v>
      </c>
      <c r="D130" s="17">
        <v>0.0</v>
      </c>
      <c r="E130" s="17">
        <v>0.0</v>
      </c>
      <c r="F130" s="17">
        <v>0.0</v>
      </c>
      <c r="G130" s="17">
        <v>0.0</v>
      </c>
      <c r="H130" s="17">
        <v>0.0</v>
      </c>
      <c r="I130" s="17">
        <v>0.0</v>
      </c>
      <c r="J130" s="17">
        <v>0.0</v>
      </c>
      <c r="K130" s="17">
        <v>0.0</v>
      </c>
      <c r="L130" s="17">
        <v>0.0</v>
      </c>
      <c r="M130" s="17">
        <v>0.0</v>
      </c>
      <c r="N130" s="17">
        <v>0.0</v>
      </c>
      <c r="O130" s="17">
        <v>0.0</v>
      </c>
      <c r="P130" s="17">
        <f t="shared" si="1"/>
        <v>0</v>
      </c>
      <c r="Q130" s="14" t="str">
        <f>+VLOOKUP(A130,Mapping!$A$1:$E$443,5,FALSE)</f>
        <v>Benefits</v>
      </c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20">
        <f t="shared" si="2"/>
        <v>0</v>
      </c>
    </row>
    <row r="131" ht="11.25" customHeight="1">
      <c r="A131" s="15" t="s">
        <v>447</v>
      </c>
      <c r="B131" s="15" t="s">
        <v>448</v>
      </c>
      <c r="C131" s="15" t="s">
        <v>119</v>
      </c>
      <c r="D131" s="17">
        <v>0.0</v>
      </c>
      <c r="E131" s="17">
        <v>0.0</v>
      </c>
      <c r="F131" s="17">
        <v>0.0</v>
      </c>
      <c r="G131" s="17">
        <v>0.0</v>
      </c>
      <c r="H131" s="17">
        <v>0.0</v>
      </c>
      <c r="I131" s="17">
        <v>0.0</v>
      </c>
      <c r="J131" s="17">
        <v>0.0</v>
      </c>
      <c r="K131" s="17">
        <v>0.0</v>
      </c>
      <c r="L131" s="17">
        <v>0.0</v>
      </c>
      <c r="M131" s="17">
        <v>0.0</v>
      </c>
      <c r="N131" s="17">
        <v>0.0</v>
      </c>
      <c r="O131" s="17">
        <v>0.0</v>
      </c>
      <c r="P131" s="17">
        <f t="shared" si="1"/>
        <v>0</v>
      </c>
      <c r="Q131" s="14" t="str">
        <f>+VLOOKUP(A131,Mapping!$A$1:$E$443,5,FALSE)</f>
        <v>Benefits</v>
      </c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20">
        <f t="shared" si="2"/>
        <v>0</v>
      </c>
    </row>
    <row r="132" ht="11.25" customHeight="1">
      <c r="A132" s="15" t="s">
        <v>449</v>
      </c>
      <c r="B132" s="15" t="s">
        <v>448</v>
      </c>
      <c r="C132" s="15" t="s">
        <v>119</v>
      </c>
      <c r="D132" s="17">
        <v>0.0</v>
      </c>
      <c r="E132" s="17">
        <v>0.0</v>
      </c>
      <c r="F132" s="17">
        <v>0.0</v>
      </c>
      <c r="G132" s="17">
        <v>0.0</v>
      </c>
      <c r="H132" s="17">
        <v>0.0</v>
      </c>
      <c r="I132" s="17">
        <v>0.0</v>
      </c>
      <c r="J132" s="17">
        <v>0.0</v>
      </c>
      <c r="K132" s="17">
        <v>0.0</v>
      </c>
      <c r="L132" s="17">
        <v>0.0</v>
      </c>
      <c r="M132" s="17">
        <v>0.0</v>
      </c>
      <c r="N132" s="17">
        <v>0.0</v>
      </c>
      <c r="O132" s="17">
        <v>0.0</v>
      </c>
      <c r="P132" s="17">
        <f t="shared" si="1"/>
        <v>0</v>
      </c>
      <c r="Q132" s="14" t="str">
        <f>+VLOOKUP(A132,Mapping!$A$1:$E$443,5,FALSE)</f>
        <v>Benefits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20">
        <f t="shared" si="2"/>
        <v>0</v>
      </c>
    </row>
    <row r="133" ht="11.25" customHeight="1">
      <c r="A133" s="15" t="s">
        <v>450</v>
      </c>
      <c r="B133" s="15" t="s">
        <v>452</v>
      </c>
      <c r="C133" s="15" t="s">
        <v>119</v>
      </c>
      <c r="D133" s="17">
        <v>0.0</v>
      </c>
      <c r="E133" s="17">
        <v>0.0</v>
      </c>
      <c r="F133" s="17">
        <v>0.0</v>
      </c>
      <c r="G133" s="17">
        <v>0.0</v>
      </c>
      <c r="H133" s="17">
        <v>0.0</v>
      </c>
      <c r="I133" s="17">
        <v>0.0</v>
      </c>
      <c r="J133" s="17">
        <v>0.0</v>
      </c>
      <c r="K133" s="17">
        <v>0.0</v>
      </c>
      <c r="L133" s="17">
        <v>0.0</v>
      </c>
      <c r="M133" s="17">
        <v>0.0</v>
      </c>
      <c r="N133" s="17">
        <v>0.0</v>
      </c>
      <c r="O133" s="17">
        <v>0.0</v>
      </c>
      <c r="P133" s="17">
        <f t="shared" si="1"/>
        <v>0</v>
      </c>
      <c r="Q133" s="14" t="str">
        <f>+VLOOKUP(A133,Mapping!$A$1:$E$443,5,FALSE)</f>
        <v>Benefits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20">
        <f t="shared" si="2"/>
        <v>0</v>
      </c>
    </row>
    <row r="134" ht="11.25" customHeight="1">
      <c r="A134" s="15" t="s">
        <v>453</v>
      </c>
      <c r="B134" s="15" t="s">
        <v>454</v>
      </c>
      <c r="C134" s="15" t="s">
        <v>119</v>
      </c>
      <c r="D134" s="17">
        <v>62.5</v>
      </c>
      <c r="E134" s="17">
        <v>62.5</v>
      </c>
      <c r="F134" s="17">
        <v>62.5</v>
      </c>
      <c r="G134" s="17">
        <v>62.5</v>
      </c>
      <c r="H134" s="17">
        <v>62.5</v>
      </c>
      <c r="I134" s="17">
        <v>62.5</v>
      </c>
      <c r="J134" s="17">
        <v>62.5</v>
      </c>
      <c r="K134" s="17">
        <v>62.5</v>
      </c>
      <c r="L134" s="17">
        <v>62.5</v>
      </c>
      <c r="M134" s="17">
        <v>62.5</v>
      </c>
      <c r="N134" s="17">
        <v>62.5</v>
      </c>
      <c r="O134" s="17">
        <v>62.5</v>
      </c>
      <c r="P134" s="17">
        <f t="shared" si="1"/>
        <v>750</v>
      </c>
      <c r="Q134" s="14" t="str">
        <f>+VLOOKUP(A134,Mapping!$A$1:$E$443,5,FALSE)</f>
        <v>Benefits</v>
      </c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20">
        <f t="shared" si="2"/>
        <v>0</v>
      </c>
    </row>
    <row r="135" ht="11.25" customHeight="1">
      <c r="A135" s="15" t="s">
        <v>455</v>
      </c>
      <c r="B135" s="15" t="s">
        <v>454</v>
      </c>
      <c r="C135" s="15" t="s">
        <v>119</v>
      </c>
      <c r="D135" s="17">
        <v>0.0</v>
      </c>
      <c r="E135" s="17">
        <v>0.0</v>
      </c>
      <c r="F135" s="17">
        <v>0.0</v>
      </c>
      <c r="G135" s="17">
        <v>0.0</v>
      </c>
      <c r="H135" s="17">
        <v>0.0</v>
      </c>
      <c r="I135" s="17">
        <v>0.0</v>
      </c>
      <c r="J135" s="17">
        <v>0.0</v>
      </c>
      <c r="K135" s="17">
        <v>0.0</v>
      </c>
      <c r="L135" s="17">
        <v>0.0</v>
      </c>
      <c r="M135" s="17">
        <v>0.0</v>
      </c>
      <c r="N135" s="17">
        <v>0.0</v>
      </c>
      <c r="O135" s="17">
        <v>0.0</v>
      </c>
      <c r="P135" s="17">
        <f t="shared" si="1"/>
        <v>0</v>
      </c>
      <c r="Q135" s="14" t="str">
        <f>+VLOOKUP(A135,Mapping!$A$1:$E$443,5,FALSE)</f>
        <v>Benefits</v>
      </c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20">
        <f t="shared" si="2"/>
        <v>0</v>
      </c>
    </row>
    <row r="136" ht="11.25" customHeight="1">
      <c r="A136" s="15" t="s">
        <v>456</v>
      </c>
      <c r="B136" s="15" t="s">
        <v>454</v>
      </c>
      <c r="C136" s="15" t="s">
        <v>119</v>
      </c>
      <c r="D136" s="17">
        <v>0.0</v>
      </c>
      <c r="E136" s="17">
        <v>0.0</v>
      </c>
      <c r="F136" s="17">
        <v>0.0</v>
      </c>
      <c r="G136" s="17">
        <v>0.0</v>
      </c>
      <c r="H136" s="17">
        <v>0.0</v>
      </c>
      <c r="I136" s="17">
        <v>0.0</v>
      </c>
      <c r="J136" s="17">
        <v>0.0</v>
      </c>
      <c r="K136" s="17">
        <v>0.0</v>
      </c>
      <c r="L136" s="17">
        <v>0.0</v>
      </c>
      <c r="M136" s="17">
        <v>0.0</v>
      </c>
      <c r="N136" s="17">
        <v>0.0</v>
      </c>
      <c r="O136" s="17">
        <v>0.0</v>
      </c>
      <c r="P136" s="17">
        <f t="shared" si="1"/>
        <v>0</v>
      </c>
      <c r="Q136" s="14" t="str">
        <f>+VLOOKUP(A136,Mapping!$A$1:$E$443,5,FALSE)</f>
        <v>Benefits</v>
      </c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20">
        <f t="shared" si="2"/>
        <v>0</v>
      </c>
    </row>
    <row r="137" ht="11.25" customHeight="1">
      <c r="A137" s="15" t="s">
        <v>459</v>
      </c>
      <c r="B137" s="15" t="s">
        <v>460</v>
      </c>
      <c r="C137" s="15" t="s">
        <v>119</v>
      </c>
      <c r="D137" s="17">
        <v>0.0</v>
      </c>
      <c r="E137" s="17">
        <v>1415.54</v>
      </c>
      <c r="F137" s="17">
        <v>2831.09</v>
      </c>
      <c r="G137" s="17">
        <v>2831.09</v>
      </c>
      <c r="H137" s="17">
        <v>2831.09</v>
      </c>
      <c r="I137" s="17">
        <v>2831.09</v>
      </c>
      <c r="J137" s="17">
        <v>2831.09</v>
      </c>
      <c r="K137" s="17">
        <v>2831.09</v>
      </c>
      <c r="L137" s="17">
        <v>2831.09</v>
      </c>
      <c r="M137" s="17">
        <v>2831.09</v>
      </c>
      <c r="N137" s="17">
        <v>2831.09</v>
      </c>
      <c r="O137" s="17">
        <v>0.0</v>
      </c>
      <c r="P137" s="17">
        <f t="shared" si="1"/>
        <v>26895.35</v>
      </c>
      <c r="Q137" s="14" t="str">
        <f>+VLOOKUP(A137,Mapping!$A$1:$E$443,5,FALSE)</f>
        <v>Payroll Taxes</v>
      </c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20">
        <f t="shared" si="2"/>
        <v>0</v>
      </c>
    </row>
    <row r="138" ht="11.25" customHeight="1">
      <c r="A138" s="15" t="s">
        <v>461</v>
      </c>
      <c r="B138" s="15" t="s">
        <v>460</v>
      </c>
      <c r="C138" s="15" t="s">
        <v>119</v>
      </c>
      <c r="D138" s="17">
        <v>1130.23</v>
      </c>
      <c r="E138" s="17">
        <v>1130.23</v>
      </c>
      <c r="F138" s="17">
        <v>1130.23</v>
      </c>
      <c r="G138" s="17">
        <v>1130.23</v>
      </c>
      <c r="H138" s="17">
        <v>1130.23</v>
      </c>
      <c r="I138" s="17">
        <v>1130.23</v>
      </c>
      <c r="J138" s="17">
        <v>1130.23</v>
      </c>
      <c r="K138" s="17">
        <v>1130.23</v>
      </c>
      <c r="L138" s="17">
        <v>1130.23</v>
      </c>
      <c r="M138" s="17">
        <v>1130.23</v>
      </c>
      <c r="N138" s="17">
        <v>1130.23</v>
      </c>
      <c r="O138" s="17">
        <v>1130.23</v>
      </c>
      <c r="P138" s="17">
        <f t="shared" si="1"/>
        <v>13562.76</v>
      </c>
      <c r="Q138" s="14" t="str">
        <f>+VLOOKUP(A138,Mapping!$A$1:$E$443,5,FALSE)</f>
        <v>Payroll Taxes</v>
      </c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20">
        <f t="shared" si="2"/>
        <v>0</v>
      </c>
    </row>
    <row r="139" ht="11.25" customHeight="1">
      <c r="A139" s="15" t="s">
        <v>462</v>
      </c>
      <c r="B139" s="15" t="s">
        <v>460</v>
      </c>
      <c r="C139" s="15" t="s">
        <v>119</v>
      </c>
      <c r="D139" s="17">
        <v>0.0</v>
      </c>
      <c r="E139" s="17">
        <v>0.0</v>
      </c>
      <c r="F139" s="17">
        <v>0.0</v>
      </c>
      <c r="G139" s="17">
        <v>0.0</v>
      </c>
      <c r="H139" s="17">
        <v>0.0</v>
      </c>
      <c r="I139" s="17">
        <v>0.0</v>
      </c>
      <c r="J139" s="17">
        <v>0.0</v>
      </c>
      <c r="K139" s="17">
        <v>0.0</v>
      </c>
      <c r="L139" s="17">
        <v>0.0</v>
      </c>
      <c r="M139" s="17">
        <v>0.0</v>
      </c>
      <c r="N139" s="17">
        <v>0.0</v>
      </c>
      <c r="O139" s="17">
        <v>0.0</v>
      </c>
      <c r="P139" s="17">
        <f t="shared" si="1"/>
        <v>0</v>
      </c>
      <c r="Q139" s="14" t="str">
        <f>+VLOOKUP(A139,Mapping!$A$1:$E$443,5,FALSE)</f>
        <v>Payroll Taxes</v>
      </c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20">
        <f t="shared" si="2"/>
        <v>0</v>
      </c>
    </row>
    <row r="140" ht="11.25" customHeight="1">
      <c r="A140" s="15" t="s">
        <v>463</v>
      </c>
      <c r="B140" s="15" t="s">
        <v>464</v>
      </c>
      <c r="C140" s="15" t="s">
        <v>119</v>
      </c>
      <c r="D140" s="17">
        <v>0.0</v>
      </c>
      <c r="E140" s="17">
        <v>328.93</v>
      </c>
      <c r="F140" s="17">
        <v>657.86</v>
      </c>
      <c r="G140" s="17">
        <v>657.86</v>
      </c>
      <c r="H140" s="17">
        <v>657.86</v>
      </c>
      <c r="I140" s="17">
        <v>657.86</v>
      </c>
      <c r="J140" s="17">
        <v>657.86</v>
      </c>
      <c r="K140" s="17">
        <v>657.86</v>
      </c>
      <c r="L140" s="17">
        <v>657.86</v>
      </c>
      <c r="M140" s="17">
        <v>657.86</v>
      </c>
      <c r="N140" s="17">
        <v>657.86</v>
      </c>
      <c r="O140" s="17">
        <v>0.0</v>
      </c>
      <c r="P140" s="17">
        <f t="shared" si="1"/>
        <v>6249.67</v>
      </c>
      <c r="Q140" s="14" t="str">
        <f>+VLOOKUP(A140,Mapping!$A$1:$E$443,5,FALSE)</f>
        <v>Payroll Taxes</v>
      </c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20">
        <f t="shared" si="2"/>
        <v>0</v>
      </c>
    </row>
    <row r="141" ht="11.25" customHeight="1">
      <c r="A141" s="15" t="s">
        <v>465</v>
      </c>
      <c r="B141" s="15" t="s">
        <v>464</v>
      </c>
      <c r="C141" s="15" t="s">
        <v>119</v>
      </c>
      <c r="D141" s="17">
        <v>262.21</v>
      </c>
      <c r="E141" s="17">
        <v>262.21</v>
      </c>
      <c r="F141" s="17">
        <v>262.21</v>
      </c>
      <c r="G141" s="17">
        <v>262.21</v>
      </c>
      <c r="H141" s="17">
        <v>262.21</v>
      </c>
      <c r="I141" s="17">
        <v>262.21</v>
      </c>
      <c r="J141" s="17">
        <v>262.21</v>
      </c>
      <c r="K141" s="17">
        <v>262.21</v>
      </c>
      <c r="L141" s="17">
        <v>262.21</v>
      </c>
      <c r="M141" s="17">
        <v>262.21</v>
      </c>
      <c r="N141" s="17">
        <v>262.21</v>
      </c>
      <c r="O141" s="17">
        <v>262.21</v>
      </c>
      <c r="P141" s="17">
        <f t="shared" si="1"/>
        <v>3146.52</v>
      </c>
      <c r="Q141" s="14" t="str">
        <f>+VLOOKUP(A141,Mapping!$A$1:$E$443,5,FALSE)</f>
        <v>Payroll Taxes</v>
      </c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20">
        <f t="shared" si="2"/>
        <v>0</v>
      </c>
    </row>
    <row r="142" ht="11.25" customHeight="1">
      <c r="A142" s="15" t="s">
        <v>466</v>
      </c>
      <c r="B142" s="15" t="s">
        <v>464</v>
      </c>
      <c r="C142" s="15" t="s">
        <v>119</v>
      </c>
      <c r="D142" s="17">
        <v>0.0</v>
      </c>
      <c r="E142" s="17">
        <v>0.0</v>
      </c>
      <c r="F142" s="17">
        <v>0.0</v>
      </c>
      <c r="G142" s="17">
        <v>0.0</v>
      </c>
      <c r="H142" s="17">
        <v>0.0</v>
      </c>
      <c r="I142" s="17">
        <v>0.0</v>
      </c>
      <c r="J142" s="17">
        <v>0.0</v>
      </c>
      <c r="K142" s="17">
        <v>0.0</v>
      </c>
      <c r="L142" s="17">
        <v>0.0</v>
      </c>
      <c r="M142" s="17">
        <v>0.0</v>
      </c>
      <c r="N142" s="17">
        <v>0.0</v>
      </c>
      <c r="O142" s="17">
        <v>0.0</v>
      </c>
      <c r="P142" s="17">
        <f t="shared" si="1"/>
        <v>0</v>
      </c>
      <c r="Q142" s="14" t="str">
        <f>+VLOOKUP(A142,Mapping!$A$1:$E$443,5,FALSE)</f>
        <v>Payroll Taxes</v>
      </c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20">
        <f t="shared" si="2"/>
        <v>0</v>
      </c>
    </row>
    <row r="143" ht="11.25" customHeight="1">
      <c r="A143" s="15" t="s">
        <v>467</v>
      </c>
      <c r="B143" s="15" t="s">
        <v>468</v>
      </c>
      <c r="C143" s="15" t="s">
        <v>119</v>
      </c>
      <c r="D143" s="17">
        <v>0.0</v>
      </c>
      <c r="E143" s="17">
        <v>0.0</v>
      </c>
      <c r="F143" s="17">
        <v>0.0</v>
      </c>
      <c r="G143" s="17">
        <v>0.0</v>
      </c>
      <c r="H143" s="17">
        <v>0.0</v>
      </c>
      <c r="I143" s="17">
        <v>0.0</v>
      </c>
      <c r="J143" s="17">
        <v>0.0</v>
      </c>
      <c r="K143" s="17">
        <v>0.0</v>
      </c>
      <c r="L143" s="17">
        <v>0.0</v>
      </c>
      <c r="M143" s="17">
        <v>0.0</v>
      </c>
      <c r="N143" s="17">
        <v>0.0</v>
      </c>
      <c r="O143" s="17">
        <v>0.0</v>
      </c>
      <c r="P143" s="17">
        <f t="shared" si="1"/>
        <v>0</v>
      </c>
      <c r="Q143" s="14" t="str">
        <f>+VLOOKUP(A143,Mapping!$A$1:$E$443,5,FALSE)</f>
        <v>Payroll Taxes</v>
      </c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20">
        <f t="shared" si="2"/>
        <v>0</v>
      </c>
    </row>
    <row r="144" ht="11.25" customHeight="1">
      <c r="A144" s="15" t="s">
        <v>469</v>
      </c>
      <c r="B144" s="15" t="s">
        <v>470</v>
      </c>
      <c r="C144" s="15" t="s">
        <v>119</v>
      </c>
      <c r="D144" s="17">
        <v>0.0</v>
      </c>
      <c r="E144" s="17">
        <v>0.0</v>
      </c>
      <c r="F144" s="17">
        <v>0.0</v>
      </c>
      <c r="G144" s="17">
        <v>0.0</v>
      </c>
      <c r="H144" s="17">
        <v>0.0</v>
      </c>
      <c r="I144" s="17">
        <v>0.0</v>
      </c>
      <c r="J144" s="17">
        <v>0.0</v>
      </c>
      <c r="K144" s="17">
        <v>0.0</v>
      </c>
      <c r="L144" s="17">
        <v>0.0</v>
      </c>
      <c r="M144" s="17">
        <v>0.0</v>
      </c>
      <c r="N144" s="17">
        <v>0.0</v>
      </c>
      <c r="O144" s="17">
        <v>0.0</v>
      </c>
      <c r="P144" s="17">
        <f t="shared" si="1"/>
        <v>0</v>
      </c>
      <c r="Q144" s="14" t="str">
        <f>+VLOOKUP(A144,Mapping!$A$1:$E$443,5,FALSE)</f>
        <v>Legal &amp; Actg</v>
      </c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20">
        <f t="shared" si="2"/>
        <v>0</v>
      </c>
    </row>
    <row r="145" ht="11.25" customHeight="1">
      <c r="A145" s="15" t="s">
        <v>471</v>
      </c>
      <c r="B145" s="15" t="s">
        <v>472</v>
      </c>
      <c r="C145" s="15" t="s">
        <v>119</v>
      </c>
      <c r="D145" s="17">
        <v>6000.0</v>
      </c>
      <c r="E145" s="17">
        <v>1000.0</v>
      </c>
      <c r="F145" s="17">
        <v>1000.0</v>
      </c>
      <c r="G145" s="17">
        <v>0.0</v>
      </c>
      <c r="H145" s="17">
        <v>0.0</v>
      </c>
      <c r="I145" s="17">
        <v>0.0</v>
      </c>
      <c r="J145" s="17">
        <v>0.0</v>
      </c>
      <c r="K145" s="17">
        <v>0.0</v>
      </c>
      <c r="L145" s="17">
        <v>0.0</v>
      </c>
      <c r="M145" s="17">
        <v>0.0</v>
      </c>
      <c r="N145" s="17">
        <v>0.0</v>
      </c>
      <c r="O145" s="17">
        <v>0.0</v>
      </c>
      <c r="P145" s="17">
        <f t="shared" si="1"/>
        <v>8000</v>
      </c>
      <c r="Q145" s="14" t="str">
        <f>+VLOOKUP(A145,Mapping!$A$1:$E$443,5,FALSE)</f>
        <v>Legal &amp; Actg</v>
      </c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20">
        <f t="shared" si="2"/>
        <v>0</v>
      </c>
    </row>
    <row r="146" ht="11.25" customHeight="1">
      <c r="A146" s="15" t="s">
        <v>473</v>
      </c>
      <c r="B146" s="15" t="s">
        <v>474</v>
      </c>
      <c r="C146" s="15" t="s">
        <v>119</v>
      </c>
      <c r="D146" s="17">
        <v>0.0</v>
      </c>
      <c r="E146" s="17">
        <v>0.0</v>
      </c>
      <c r="F146" s="17">
        <v>0.0</v>
      </c>
      <c r="G146" s="17">
        <v>0.0</v>
      </c>
      <c r="H146" s="17">
        <v>2000.0</v>
      </c>
      <c r="I146" s="17">
        <v>0.0</v>
      </c>
      <c r="J146" s="17">
        <v>0.0</v>
      </c>
      <c r="K146" s="17">
        <v>0.0</v>
      </c>
      <c r="L146" s="17">
        <v>0.0</v>
      </c>
      <c r="M146" s="17">
        <v>0.0</v>
      </c>
      <c r="N146" s="17">
        <v>0.0</v>
      </c>
      <c r="O146" s="17">
        <v>0.0</v>
      </c>
      <c r="P146" s="17">
        <f t="shared" si="1"/>
        <v>2000</v>
      </c>
      <c r="Q146" s="14" t="str">
        <f>+VLOOKUP(A146,Mapping!$A$1:$E$443,5,FALSE)</f>
        <v>Legal &amp; Actg</v>
      </c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20">
        <f t="shared" si="2"/>
        <v>0</v>
      </c>
    </row>
    <row r="147" ht="11.25" customHeight="1">
      <c r="A147" s="15" t="s">
        <v>479</v>
      </c>
      <c r="B147" s="15" t="s">
        <v>480</v>
      </c>
      <c r="C147" s="15" t="s">
        <v>119</v>
      </c>
      <c r="D147" s="17">
        <v>191.67</v>
      </c>
      <c r="E147" s="17">
        <v>191.67</v>
      </c>
      <c r="F147" s="17">
        <v>191.67</v>
      </c>
      <c r="G147" s="17">
        <v>191.67</v>
      </c>
      <c r="H147" s="17">
        <v>191.67</v>
      </c>
      <c r="I147" s="17">
        <v>191.67</v>
      </c>
      <c r="J147" s="17">
        <v>191.67</v>
      </c>
      <c r="K147" s="17">
        <v>191.67</v>
      </c>
      <c r="L147" s="17">
        <v>191.67</v>
      </c>
      <c r="M147" s="17">
        <v>191.67</v>
      </c>
      <c r="N147" s="17">
        <v>191.67</v>
      </c>
      <c r="O147" s="17">
        <v>191.67</v>
      </c>
      <c r="P147" s="17">
        <f t="shared" si="1"/>
        <v>2300.04</v>
      </c>
      <c r="Q147" s="14" t="str">
        <f>+VLOOKUP(A147,Mapping!$A$1:$E$443,5,FALSE)</f>
        <v>Legal &amp; Actg</v>
      </c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20">
        <f t="shared" si="2"/>
        <v>0</v>
      </c>
    </row>
    <row r="148" ht="11.25" customHeight="1">
      <c r="A148" s="15" t="s">
        <v>481</v>
      </c>
      <c r="B148" s="15" t="s">
        <v>482</v>
      </c>
      <c r="C148" s="15" t="s">
        <v>119</v>
      </c>
      <c r="D148" s="17">
        <v>1000.0</v>
      </c>
      <c r="E148" s="17">
        <v>1000.0</v>
      </c>
      <c r="F148" s="17">
        <v>1000.0</v>
      </c>
      <c r="G148" s="17">
        <v>1000.0</v>
      </c>
      <c r="H148" s="17">
        <v>1000.0</v>
      </c>
      <c r="I148" s="17">
        <v>1000.0</v>
      </c>
      <c r="J148" s="17">
        <v>1000.0</v>
      </c>
      <c r="K148" s="17">
        <v>1000.0</v>
      </c>
      <c r="L148" s="17">
        <v>1000.0</v>
      </c>
      <c r="M148" s="17">
        <v>1000.0</v>
      </c>
      <c r="N148" s="17">
        <v>1000.0</v>
      </c>
      <c r="O148" s="17">
        <v>1000.0</v>
      </c>
      <c r="P148" s="17">
        <f t="shared" si="1"/>
        <v>12000</v>
      </c>
      <c r="Q148" s="14" t="str">
        <f>+VLOOKUP(A148,Mapping!$A$1:$E$443,5,FALSE)</f>
        <v>Legal &amp; Actg</v>
      </c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20">
        <f t="shared" si="2"/>
        <v>0</v>
      </c>
    </row>
    <row r="149" ht="11.25" customHeight="1">
      <c r="A149" s="15" t="s">
        <v>483</v>
      </c>
      <c r="B149" s="15" t="s">
        <v>484</v>
      </c>
      <c r="C149" s="15" t="s">
        <v>119</v>
      </c>
      <c r="D149" s="17">
        <v>291.67</v>
      </c>
      <c r="E149" s="17">
        <v>291.67</v>
      </c>
      <c r="F149" s="17">
        <v>291.67</v>
      </c>
      <c r="G149" s="17">
        <v>291.67</v>
      </c>
      <c r="H149" s="17">
        <v>291.67</v>
      </c>
      <c r="I149" s="17">
        <v>291.67</v>
      </c>
      <c r="J149" s="17">
        <v>291.67</v>
      </c>
      <c r="K149" s="17">
        <v>291.67</v>
      </c>
      <c r="L149" s="17">
        <v>291.67</v>
      </c>
      <c r="M149" s="17">
        <v>291.67</v>
      </c>
      <c r="N149" s="17">
        <v>291.67</v>
      </c>
      <c r="O149" s="17">
        <v>291.67</v>
      </c>
      <c r="P149" s="17">
        <f t="shared" si="1"/>
        <v>3500.04</v>
      </c>
      <c r="Q149" s="14" t="str">
        <f>+VLOOKUP(A149,Mapping!$A$1:$E$443,5,FALSE)</f>
        <v>Legal &amp; Actg</v>
      </c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20">
        <f t="shared" si="2"/>
        <v>0</v>
      </c>
    </row>
    <row r="150" ht="11.25" customHeight="1">
      <c r="A150" s="15" t="s">
        <v>485</v>
      </c>
      <c r="B150" s="15" t="s">
        <v>486</v>
      </c>
      <c r="C150" s="15" t="s">
        <v>119</v>
      </c>
      <c r="D150" s="17">
        <v>291.67</v>
      </c>
      <c r="E150" s="17">
        <v>291.67</v>
      </c>
      <c r="F150" s="17">
        <v>291.67</v>
      </c>
      <c r="G150" s="17">
        <v>291.67</v>
      </c>
      <c r="H150" s="17">
        <v>291.67</v>
      </c>
      <c r="I150" s="17">
        <v>291.67</v>
      </c>
      <c r="J150" s="17">
        <v>291.67</v>
      </c>
      <c r="K150" s="17">
        <v>291.67</v>
      </c>
      <c r="L150" s="17">
        <v>291.67</v>
      </c>
      <c r="M150" s="17">
        <v>291.67</v>
      </c>
      <c r="N150" s="17">
        <v>291.67</v>
      </c>
      <c r="O150" s="17">
        <v>291.67</v>
      </c>
      <c r="P150" s="17">
        <f t="shared" si="1"/>
        <v>3500.04</v>
      </c>
      <c r="Q150" s="14" t="str">
        <f>+VLOOKUP(A150,Mapping!$A$1:$E$443,5,FALSE)</f>
        <v>Legal &amp; Actg</v>
      </c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20">
        <f t="shared" si="2"/>
        <v>0</v>
      </c>
    </row>
    <row r="151" ht="11.25" customHeight="1">
      <c r="A151" s="15" t="s">
        <v>489</v>
      </c>
      <c r="B151" s="15" t="s">
        <v>177</v>
      </c>
      <c r="C151" s="15" t="s">
        <v>119</v>
      </c>
      <c r="D151" s="17">
        <v>333.33</v>
      </c>
      <c r="E151" s="17">
        <v>333.33</v>
      </c>
      <c r="F151" s="17">
        <v>333.33</v>
      </c>
      <c r="G151" s="17">
        <v>83.33</v>
      </c>
      <c r="H151" s="17">
        <v>83.33</v>
      </c>
      <c r="I151" s="17">
        <v>83.33</v>
      </c>
      <c r="J151" s="17">
        <v>166.67</v>
      </c>
      <c r="K151" s="17">
        <v>166.67</v>
      </c>
      <c r="L151" s="17">
        <v>166.67</v>
      </c>
      <c r="M151" s="17">
        <v>83.33</v>
      </c>
      <c r="N151" s="17">
        <v>83.33</v>
      </c>
      <c r="O151" s="17">
        <v>83.33</v>
      </c>
      <c r="P151" s="17">
        <f t="shared" si="1"/>
        <v>1999.98</v>
      </c>
      <c r="Q151" s="14" t="str">
        <f>+VLOOKUP(A151,Mapping!$A$1:$E$443,5,FALSE)</f>
        <v>School Supplies</v>
      </c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20">
        <f t="shared" si="2"/>
        <v>0</v>
      </c>
    </row>
    <row r="152" ht="11.25" customHeight="1">
      <c r="A152" s="15" t="s">
        <v>490</v>
      </c>
      <c r="B152" s="15" t="s">
        <v>491</v>
      </c>
      <c r="C152" s="15" t="s">
        <v>119</v>
      </c>
      <c r="D152" s="17">
        <v>0.0</v>
      </c>
      <c r="E152" s="17">
        <v>0.0</v>
      </c>
      <c r="F152" s="17">
        <v>0.0</v>
      </c>
      <c r="G152" s="17">
        <v>0.0</v>
      </c>
      <c r="H152" s="17">
        <v>0.0</v>
      </c>
      <c r="I152" s="17">
        <v>0.0</v>
      </c>
      <c r="J152" s="17">
        <v>0.0</v>
      </c>
      <c r="K152" s="17">
        <v>0.0</v>
      </c>
      <c r="L152" s="17">
        <v>0.0</v>
      </c>
      <c r="M152" s="17">
        <v>0.0</v>
      </c>
      <c r="N152" s="17">
        <v>0.0</v>
      </c>
      <c r="O152" s="17">
        <v>0.0</v>
      </c>
      <c r="P152" s="17">
        <f t="shared" si="1"/>
        <v>0</v>
      </c>
      <c r="Q152" s="14" t="str">
        <f>+VLOOKUP(A152,Mapping!$A$1:$E$443,5,FALSE)</f>
        <v>School Supplies</v>
      </c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20">
        <f t="shared" si="2"/>
        <v>0</v>
      </c>
    </row>
    <row r="153" ht="11.25" customHeight="1">
      <c r="A153" s="15" t="s">
        <v>492</v>
      </c>
      <c r="B153" s="15" t="s">
        <v>146</v>
      </c>
      <c r="C153" s="15" t="s">
        <v>119</v>
      </c>
      <c r="D153" s="17">
        <v>0.0</v>
      </c>
      <c r="E153" s="17">
        <v>131.58</v>
      </c>
      <c r="F153" s="17">
        <v>263.17</v>
      </c>
      <c r="G153" s="17">
        <v>263.17</v>
      </c>
      <c r="H153" s="17">
        <v>263.17</v>
      </c>
      <c r="I153" s="17">
        <v>263.17</v>
      </c>
      <c r="J153" s="17">
        <v>263.17</v>
      </c>
      <c r="K153" s="17">
        <v>263.17</v>
      </c>
      <c r="L153" s="17">
        <v>263.17</v>
      </c>
      <c r="M153" s="17">
        <v>263.13</v>
      </c>
      <c r="N153" s="17">
        <v>263.13</v>
      </c>
      <c r="O153" s="17">
        <v>0.0</v>
      </c>
      <c r="P153" s="17">
        <f t="shared" si="1"/>
        <v>2500.03</v>
      </c>
      <c r="Q153" s="14" t="str">
        <f>+VLOOKUP(A153,Mapping!$A$1:$E$443,5,FALSE)</f>
        <v>Office Supplies</v>
      </c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20">
        <f t="shared" si="2"/>
        <v>0</v>
      </c>
    </row>
    <row r="154" ht="11.25" customHeight="1">
      <c r="A154" s="15" t="s">
        <v>493</v>
      </c>
      <c r="B154" s="15" t="s">
        <v>146</v>
      </c>
      <c r="C154" s="15" t="s">
        <v>119</v>
      </c>
      <c r="D154" s="17">
        <v>0.0</v>
      </c>
      <c r="E154" s="17">
        <v>52.64</v>
      </c>
      <c r="F154" s="17">
        <v>105.26</v>
      </c>
      <c r="G154" s="17">
        <v>105.26</v>
      </c>
      <c r="H154" s="17">
        <v>105.26</v>
      </c>
      <c r="I154" s="17">
        <v>105.26</v>
      </c>
      <c r="J154" s="17">
        <v>105.26</v>
      </c>
      <c r="K154" s="17">
        <v>105.26</v>
      </c>
      <c r="L154" s="17">
        <v>105.26</v>
      </c>
      <c r="M154" s="17">
        <v>105.26</v>
      </c>
      <c r="N154" s="17">
        <v>105.28</v>
      </c>
      <c r="O154" s="17">
        <v>0.0</v>
      </c>
      <c r="P154" s="17">
        <f t="shared" si="1"/>
        <v>1000</v>
      </c>
      <c r="Q154" s="14" t="str">
        <f>+VLOOKUP(A154,Mapping!$A$1:$E$443,5,FALSE)</f>
        <v>Office Supplies</v>
      </c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20">
        <f t="shared" si="2"/>
        <v>0</v>
      </c>
    </row>
    <row r="155" ht="11.25" customHeight="1">
      <c r="A155" s="15" t="s">
        <v>494</v>
      </c>
      <c r="B155" s="15" t="s">
        <v>146</v>
      </c>
      <c r="C155" s="15" t="s">
        <v>119</v>
      </c>
      <c r="D155" s="17">
        <v>0.0</v>
      </c>
      <c r="E155" s="17">
        <v>0.0</v>
      </c>
      <c r="F155" s="17">
        <v>0.0</v>
      </c>
      <c r="G155" s="17">
        <v>0.0</v>
      </c>
      <c r="H155" s="17">
        <v>0.0</v>
      </c>
      <c r="I155" s="17">
        <v>0.0</v>
      </c>
      <c r="J155" s="17">
        <v>0.0</v>
      </c>
      <c r="K155" s="17">
        <v>0.0</v>
      </c>
      <c r="L155" s="17">
        <v>0.0</v>
      </c>
      <c r="M155" s="17">
        <v>0.0</v>
      </c>
      <c r="N155" s="17">
        <v>0.0</v>
      </c>
      <c r="O155" s="17">
        <v>0.0</v>
      </c>
      <c r="P155" s="17">
        <f t="shared" si="1"/>
        <v>0</v>
      </c>
      <c r="Q155" s="14" t="str">
        <f>+VLOOKUP(A155,Mapping!$A$1:$E$443,5,FALSE)</f>
        <v>Office Supplies</v>
      </c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20">
        <f t="shared" si="2"/>
        <v>0</v>
      </c>
    </row>
    <row r="156" ht="11.25" customHeight="1">
      <c r="A156" s="15" t="s">
        <v>495</v>
      </c>
      <c r="B156" s="15" t="s">
        <v>496</v>
      </c>
      <c r="C156" s="15" t="s">
        <v>119</v>
      </c>
      <c r="D156" s="17">
        <v>166.67</v>
      </c>
      <c r="E156" s="17">
        <v>166.67</v>
      </c>
      <c r="F156" s="17">
        <v>166.67</v>
      </c>
      <c r="G156" s="17">
        <v>166.67</v>
      </c>
      <c r="H156" s="17">
        <v>166.67</v>
      </c>
      <c r="I156" s="17">
        <v>166.67</v>
      </c>
      <c r="J156" s="17">
        <v>166.67</v>
      </c>
      <c r="K156" s="17">
        <v>166.67</v>
      </c>
      <c r="L156" s="17">
        <v>166.67</v>
      </c>
      <c r="M156" s="17">
        <v>166.67</v>
      </c>
      <c r="N156" s="17">
        <v>166.67</v>
      </c>
      <c r="O156" s="17">
        <v>166.67</v>
      </c>
      <c r="P156" s="17">
        <f t="shared" si="1"/>
        <v>2000.04</v>
      </c>
      <c r="Q156" s="14" t="str">
        <f>+VLOOKUP(A156,Mapping!$A$1:$E$443,5,FALSE)</f>
        <v>Dues</v>
      </c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20">
        <f t="shared" si="2"/>
        <v>0</v>
      </c>
    </row>
    <row r="157" ht="11.25" customHeight="1">
      <c r="A157" s="15" t="s">
        <v>497</v>
      </c>
      <c r="B157" s="15" t="s">
        <v>496</v>
      </c>
      <c r="C157" s="15" t="s">
        <v>119</v>
      </c>
      <c r="D157" s="17">
        <v>41.67</v>
      </c>
      <c r="E157" s="17">
        <v>41.67</v>
      </c>
      <c r="F157" s="17">
        <v>41.67</v>
      </c>
      <c r="G157" s="17">
        <v>41.67</v>
      </c>
      <c r="H157" s="17">
        <v>41.67</v>
      </c>
      <c r="I157" s="17">
        <v>41.67</v>
      </c>
      <c r="J157" s="17">
        <v>41.67</v>
      </c>
      <c r="K157" s="17">
        <v>41.67</v>
      </c>
      <c r="L157" s="17">
        <v>41.67</v>
      </c>
      <c r="M157" s="17">
        <v>41.67</v>
      </c>
      <c r="N157" s="17">
        <v>41.67</v>
      </c>
      <c r="O157" s="17">
        <v>41.67</v>
      </c>
      <c r="P157" s="17">
        <f t="shared" si="1"/>
        <v>500.04</v>
      </c>
      <c r="Q157" s="14" t="str">
        <f>+VLOOKUP(A157,Mapping!$A$1:$E$443,5,FALSE)</f>
        <v>Dues</v>
      </c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20">
        <f t="shared" si="2"/>
        <v>0</v>
      </c>
    </row>
    <row r="158" ht="11.25" customHeight="1">
      <c r="A158" s="15" t="s">
        <v>498</v>
      </c>
      <c r="B158" s="15" t="s">
        <v>496</v>
      </c>
      <c r="C158" s="15" t="s">
        <v>119</v>
      </c>
      <c r="D158" s="17">
        <v>0.0</v>
      </c>
      <c r="E158" s="17">
        <v>0.0</v>
      </c>
      <c r="F158" s="17">
        <v>0.0</v>
      </c>
      <c r="G158" s="17">
        <v>0.0</v>
      </c>
      <c r="H158" s="17">
        <v>0.0</v>
      </c>
      <c r="I158" s="17">
        <v>0.0</v>
      </c>
      <c r="J158" s="17">
        <v>0.0</v>
      </c>
      <c r="K158" s="17">
        <v>0.0</v>
      </c>
      <c r="L158" s="17">
        <v>0.0</v>
      </c>
      <c r="M158" s="17">
        <v>0.0</v>
      </c>
      <c r="N158" s="17">
        <v>0.0</v>
      </c>
      <c r="O158" s="17">
        <v>0.0</v>
      </c>
      <c r="P158" s="17">
        <f t="shared" si="1"/>
        <v>0</v>
      </c>
      <c r="Q158" s="14" t="str">
        <f>+VLOOKUP(A158,Mapping!$A$1:$E$443,5,FALSE)</f>
        <v>Dues</v>
      </c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20">
        <f t="shared" si="2"/>
        <v>0</v>
      </c>
    </row>
    <row r="159" ht="11.25" customHeight="1">
      <c r="A159" s="15" t="s">
        <v>499</v>
      </c>
      <c r="B159" s="15" t="s">
        <v>500</v>
      </c>
      <c r="C159" s="15" t="s">
        <v>119</v>
      </c>
      <c r="D159" s="17">
        <v>0.0</v>
      </c>
      <c r="E159" s="17">
        <v>0.0</v>
      </c>
      <c r="F159" s="17">
        <v>0.0</v>
      </c>
      <c r="G159" s="17">
        <v>0.0</v>
      </c>
      <c r="H159" s="17">
        <v>0.0</v>
      </c>
      <c r="I159" s="17">
        <v>0.0</v>
      </c>
      <c r="J159" s="17">
        <v>33.33</v>
      </c>
      <c r="K159" s="17">
        <v>33.33</v>
      </c>
      <c r="L159" s="17">
        <v>33.33</v>
      </c>
      <c r="M159" s="17">
        <v>0.0</v>
      </c>
      <c r="N159" s="17">
        <v>0.0</v>
      </c>
      <c r="O159" s="17">
        <v>0.0</v>
      </c>
      <c r="P159" s="17">
        <f t="shared" si="1"/>
        <v>99.99</v>
      </c>
      <c r="Q159" s="14" t="str">
        <f>+VLOOKUP(A159,Mapping!$A$1:$E$443,5,FALSE)</f>
        <v>Taxes</v>
      </c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20">
        <f t="shared" si="2"/>
        <v>0</v>
      </c>
    </row>
    <row r="160" ht="11.25" customHeight="1">
      <c r="A160" s="15" t="s">
        <v>501</v>
      </c>
      <c r="B160" s="15" t="s">
        <v>196</v>
      </c>
      <c r="C160" s="15" t="s">
        <v>119</v>
      </c>
      <c r="D160" s="17">
        <v>416.67</v>
      </c>
      <c r="E160" s="17">
        <v>416.67</v>
      </c>
      <c r="F160" s="17">
        <v>416.67</v>
      </c>
      <c r="G160" s="17">
        <v>0.0</v>
      </c>
      <c r="H160" s="17">
        <v>0.0</v>
      </c>
      <c r="I160" s="17">
        <v>0.0</v>
      </c>
      <c r="J160" s="17">
        <v>416.67</v>
      </c>
      <c r="K160" s="17">
        <v>416.67</v>
      </c>
      <c r="L160" s="17">
        <v>416.67</v>
      </c>
      <c r="M160" s="17">
        <v>833.33</v>
      </c>
      <c r="N160" s="17">
        <v>833.33</v>
      </c>
      <c r="O160" s="17">
        <v>833.33</v>
      </c>
      <c r="P160" s="17">
        <f t="shared" si="1"/>
        <v>5000.01</v>
      </c>
      <c r="Q160" s="14" t="str">
        <f>+VLOOKUP(A160,Mapping!$A$1:$E$443,5,FALSE)</f>
        <v>Textbooks</v>
      </c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20">
        <f t="shared" si="2"/>
        <v>0</v>
      </c>
    </row>
    <row r="161" ht="11.25" customHeight="1">
      <c r="A161" s="15" t="s">
        <v>502</v>
      </c>
      <c r="B161" s="15" t="s">
        <v>503</v>
      </c>
      <c r="C161" s="15" t="s">
        <v>119</v>
      </c>
      <c r="D161" s="17">
        <v>1166.67</v>
      </c>
      <c r="E161" s="17">
        <v>1166.67</v>
      </c>
      <c r="F161" s="17">
        <v>1166.67</v>
      </c>
      <c r="G161" s="17">
        <v>1166.67</v>
      </c>
      <c r="H161" s="17">
        <v>1166.67</v>
      </c>
      <c r="I161" s="17">
        <v>1166.67</v>
      </c>
      <c r="J161" s="17">
        <v>1166.67</v>
      </c>
      <c r="K161" s="17">
        <v>1166.67</v>
      </c>
      <c r="L161" s="17">
        <v>1166.67</v>
      </c>
      <c r="M161" s="17">
        <v>1166.67</v>
      </c>
      <c r="N161" s="17">
        <v>1166.67</v>
      </c>
      <c r="O161" s="17">
        <v>1166.67</v>
      </c>
      <c r="P161" s="17">
        <f t="shared" si="1"/>
        <v>14000.04</v>
      </c>
      <c r="Q161" s="14" t="str">
        <f>+VLOOKUP(A161,Mapping!$A$1:$E$443,5,FALSE)</f>
        <v>Insurance</v>
      </c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20">
        <f t="shared" si="2"/>
        <v>0</v>
      </c>
    </row>
    <row r="162" ht="11.25" customHeight="1">
      <c r="A162" s="15" t="s">
        <v>504</v>
      </c>
      <c r="B162" s="15" t="s">
        <v>505</v>
      </c>
      <c r="C162" s="15" t="s">
        <v>119</v>
      </c>
      <c r="D162" s="17">
        <v>0.0</v>
      </c>
      <c r="E162" s="17">
        <v>0.0</v>
      </c>
      <c r="F162" s="17">
        <v>0.0</v>
      </c>
      <c r="G162" s="17">
        <v>0.0</v>
      </c>
      <c r="H162" s="17">
        <v>0.0</v>
      </c>
      <c r="I162" s="17">
        <v>0.0</v>
      </c>
      <c r="J162" s="17">
        <v>0.0</v>
      </c>
      <c r="K162" s="17">
        <v>0.0</v>
      </c>
      <c r="L162" s="17">
        <v>0.0</v>
      </c>
      <c r="M162" s="17">
        <v>0.0</v>
      </c>
      <c r="N162" s="17">
        <v>0.0</v>
      </c>
      <c r="O162" s="17">
        <v>0.0</v>
      </c>
      <c r="P162" s="17">
        <f t="shared" si="1"/>
        <v>0</v>
      </c>
      <c r="Q162" s="14" t="str">
        <f>+VLOOKUP(A162,Mapping!$A$1:$E$443,5,FALSE)</f>
        <v>Insurance</v>
      </c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20">
        <f t="shared" si="2"/>
        <v>0</v>
      </c>
    </row>
    <row r="163" ht="11.25" customHeight="1">
      <c r="A163" s="15" t="s">
        <v>506</v>
      </c>
      <c r="B163" s="15" t="s">
        <v>507</v>
      </c>
      <c r="C163" s="15" t="s">
        <v>119</v>
      </c>
      <c r="D163" s="17">
        <v>0.0</v>
      </c>
      <c r="E163" s="17">
        <v>0.0</v>
      </c>
      <c r="F163" s="17">
        <v>0.0</v>
      </c>
      <c r="G163" s="17">
        <v>0.0</v>
      </c>
      <c r="H163" s="17">
        <v>0.0</v>
      </c>
      <c r="I163" s="17">
        <v>0.0</v>
      </c>
      <c r="J163" s="17">
        <v>0.0</v>
      </c>
      <c r="K163" s="17">
        <v>0.0</v>
      </c>
      <c r="L163" s="17">
        <v>0.0</v>
      </c>
      <c r="M163" s="17">
        <v>0.0</v>
      </c>
      <c r="N163" s="17">
        <v>0.0</v>
      </c>
      <c r="O163" s="17">
        <v>0.0</v>
      </c>
      <c r="P163" s="17">
        <f t="shared" si="1"/>
        <v>0</v>
      </c>
      <c r="Q163" s="14" t="str">
        <f>+VLOOKUP(A163,Mapping!$A$1:$E$443,5,FALSE)</f>
        <v>Insurance</v>
      </c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20">
        <f t="shared" si="2"/>
        <v>0</v>
      </c>
    </row>
    <row r="164" ht="11.25" customHeight="1">
      <c r="A164" s="15" t="s">
        <v>508</v>
      </c>
      <c r="B164" s="15" t="s">
        <v>509</v>
      </c>
      <c r="C164" s="15" t="s">
        <v>119</v>
      </c>
      <c r="D164" s="17">
        <v>0.0</v>
      </c>
      <c r="E164" s="17">
        <v>0.0</v>
      </c>
      <c r="F164" s="17">
        <v>0.0</v>
      </c>
      <c r="G164" s="17">
        <v>0.0</v>
      </c>
      <c r="H164" s="17">
        <v>0.0</v>
      </c>
      <c r="I164" s="17">
        <v>0.0</v>
      </c>
      <c r="J164" s="17">
        <v>0.0</v>
      </c>
      <c r="K164" s="17">
        <v>0.0</v>
      </c>
      <c r="L164" s="17">
        <v>0.0</v>
      </c>
      <c r="M164" s="17">
        <v>0.0</v>
      </c>
      <c r="N164" s="17">
        <v>0.0</v>
      </c>
      <c r="O164" s="17">
        <v>0.0</v>
      </c>
      <c r="P164" s="17">
        <f t="shared" si="1"/>
        <v>0</v>
      </c>
      <c r="Q164" s="14" t="str">
        <f>+VLOOKUP(A164,Mapping!$A$1:$E$443,5,FALSE)</f>
        <v>Insurance</v>
      </c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20">
        <f t="shared" si="2"/>
        <v>0</v>
      </c>
    </row>
    <row r="165" ht="11.25" customHeight="1">
      <c r="A165" s="15" t="s">
        <v>510</v>
      </c>
      <c r="B165" s="15" t="s">
        <v>56</v>
      </c>
      <c r="C165" s="15" t="s">
        <v>119</v>
      </c>
      <c r="D165" s="17">
        <v>0.0</v>
      </c>
      <c r="E165" s="17">
        <v>131.58</v>
      </c>
      <c r="F165" s="17">
        <v>263.16</v>
      </c>
      <c r="G165" s="17">
        <v>263.16</v>
      </c>
      <c r="H165" s="17">
        <v>263.16</v>
      </c>
      <c r="I165" s="17">
        <v>263.16</v>
      </c>
      <c r="J165" s="17">
        <v>263.16</v>
      </c>
      <c r="K165" s="17">
        <v>263.16</v>
      </c>
      <c r="L165" s="17">
        <v>263.16</v>
      </c>
      <c r="M165" s="17">
        <v>263.16</v>
      </c>
      <c r="N165" s="17">
        <v>263.14</v>
      </c>
      <c r="O165" s="17">
        <v>0.0</v>
      </c>
      <c r="P165" s="17">
        <f t="shared" si="1"/>
        <v>2500</v>
      </c>
      <c r="Q165" s="14" t="str">
        <f>+VLOOKUP(A165,Mapping!$A$1:$E$443,5,FALSE)</f>
        <v>Student Act Exp</v>
      </c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20">
        <f t="shared" si="2"/>
        <v>0</v>
      </c>
    </row>
    <row r="166" ht="11.25" customHeight="1">
      <c r="A166" s="15" t="s">
        <v>511</v>
      </c>
      <c r="B166" s="15" t="s">
        <v>512</v>
      </c>
      <c r="C166" s="15" t="s">
        <v>119</v>
      </c>
      <c r="D166" s="17">
        <v>225.0</v>
      </c>
      <c r="E166" s="17">
        <v>225.0</v>
      </c>
      <c r="F166" s="17">
        <v>225.0</v>
      </c>
      <c r="G166" s="17">
        <v>450.0</v>
      </c>
      <c r="H166" s="17">
        <v>450.0</v>
      </c>
      <c r="I166" s="17">
        <v>450.0</v>
      </c>
      <c r="J166" s="17">
        <v>225.0</v>
      </c>
      <c r="K166" s="17">
        <v>225.0</v>
      </c>
      <c r="L166" s="17">
        <v>225.0</v>
      </c>
      <c r="M166" s="17">
        <v>0.0</v>
      </c>
      <c r="N166" s="17">
        <v>0.0</v>
      </c>
      <c r="O166" s="17">
        <v>0.0</v>
      </c>
      <c r="P166" s="17">
        <f t="shared" si="1"/>
        <v>2700</v>
      </c>
      <c r="Q166" s="14" t="str">
        <f>+VLOOKUP(A166,Mapping!$A$1:$E$443,5,FALSE)</f>
        <v>Student Act Exp</v>
      </c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20">
        <f t="shared" si="2"/>
        <v>0</v>
      </c>
    </row>
    <row r="167" ht="11.25" customHeight="1">
      <c r="A167" s="15" t="s">
        <v>513</v>
      </c>
      <c r="B167" s="15" t="s">
        <v>514</v>
      </c>
      <c r="C167" s="15" t="s">
        <v>119</v>
      </c>
      <c r="D167" s="17">
        <v>0.0</v>
      </c>
      <c r="E167" s="17">
        <v>0.0</v>
      </c>
      <c r="F167" s="17">
        <v>0.0</v>
      </c>
      <c r="G167" s="17">
        <v>0.0</v>
      </c>
      <c r="H167" s="17">
        <v>0.0</v>
      </c>
      <c r="I167" s="17">
        <v>0.0</v>
      </c>
      <c r="J167" s="17">
        <v>0.0</v>
      </c>
      <c r="K167" s="17">
        <v>0.0</v>
      </c>
      <c r="L167" s="17">
        <v>0.0</v>
      </c>
      <c r="M167" s="17">
        <v>0.0</v>
      </c>
      <c r="N167" s="17">
        <v>0.0</v>
      </c>
      <c r="O167" s="17">
        <v>0.0</v>
      </c>
      <c r="P167" s="17">
        <f t="shared" si="1"/>
        <v>0</v>
      </c>
      <c r="Q167" s="14" t="str">
        <f>+VLOOKUP(A167,Mapping!$A$1:$E$443,5,FALSE)</f>
        <v>Student Act Exp</v>
      </c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20">
        <f t="shared" si="2"/>
        <v>0</v>
      </c>
    </row>
    <row r="168" ht="11.25" customHeight="1">
      <c r="A168" s="15" t="s">
        <v>515</v>
      </c>
      <c r="B168" s="15" t="s">
        <v>516</v>
      </c>
      <c r="C168" s="15" t="s">
        <v>119</v>
      </c>
      <c r="D168" s="17">
        <v>0.0</v>
      </c>
      <c r="E168" s="17">
        <v>0.0</v>
      </c>
      <c r="F168" s="17">
        <v>0.0</v>
      </c>
      <c r="G168" s="17">
        <v>100.0</v>
      </c>
      <c r="H168" s="17">
        <v>100.0</v>
      </c>
      <c r="I168" s="17">
        <v>100.0</v>
      </c>
      <c r="J168" s="17">
        <v>100.0</v>
      </c>
      <c r="K168" s="17">
        <v>100.0</v>
      </c>
      <c r="L168" s="17">
        <v>100.0</v>
      </c>
      <c r="M168" s="17">
        <v>0.0</v>
      </c>
      <c r="N168" s="17">
        <v>0.0</v>
      </c>
      <c r="O168" s="17">
        <v>0.0</v>
      </c>
      <c r="P168" s="17">
        <f t="shared" si="1"/>
        <v>600</v>
      </c>
      <c r="Q168" s="14" t="str">
        <f>+VLOOKUP(A168,Mapping!$A$1:$E$443,5,FALSE)</f>
        <v>Student Act Exp</v>
      </c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20">
        <f t="shared" si="2"/>
        <v>0</v>
      </c>
    </row>
    <row r="169" ht="11.25" customHeight="1">
      <c r="A169" s="15" t="s">
        <v>517</v>
      </c>
      <c r="B169" s="15" t="s">
        <v>518</v>
      </c>
      <c r="C169" s="15" t="s">
        <v>119</v>
      </c>
      <c r="D169" s="17">
        <v>0.0</v>
      </c>
      <c r="E169" s="17">
        <v>0.0</v>
      </c>
      <c r="F169" s="17">
        <v>0.0</v>
      </c>
      <c r="G169" s="17">
        <v>0.0</v>
      </c>
      <c r="H169" s="17">
        <v>0.0</v>
      </c>
      <c r="I169" s="17">
        <v>0.0</v>
      </c>
      <c r="J169" s="17">
        <v>0.0</v>
      </c>
      <c r="K169" s="17">
        <v>0.0</v>
      </c>
      <c r="L169" s="17">
        <v>0.0</v>
      </c>
      <c r="M169" s="17">
        <v>833.33</v>
      </c>
      <c r="N169" s="17">
        <v>833.33</v>
      </c>
      <c r="O169" s="17">
        <v>833.33</v>
      </c>
      <c r="P169" s="17">
        <f t="shared" si="1"/>
        <v>2499.99</v>
      </c>
      <c r="Q169" s="14" t="str">
        <f>+VLOOKUP(A169,Mapping!$A$1:$E$443,5,FALSE)</f>
        <v>Student Act Exp</v>
      </c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20">
        <f t="shared" si="2"/>
        <v>0</v>
      </c>
    </row>
    <row r="170" ht="11.25" customHeight="1">
      <c r="A170" s="15" t="s">
        <v>519</v>
      </c>
      <c r="B170" s="15" t="s">
        <v>520</v>
      </c>
      <c r="C170" s="15" t="s">
        <v>119</v>
      </c>
      <c r="D170" s="17">
        <v>0.0</v>
      </c>
      <c r="E170" s="17">
        <v>0.0</v>
      </c>
      <c r="F170" s="17">
        <v>0.0</v>
      </c>
      <c r="G170" s="17">
        <v>0.0</v>
      </c>
      <c r="H170" s="17">
        <v>0.0</v>
      </c>
      <c r="I170" s="17">
        <v>0.0</v>
      </c>
      <c r="J170" s="17">
        <v>0.0</v>
      </c>
      <c r="K170" s="17">
        <v>0.0</v>
      </c>
      <c r="L170" s="17">
        <v>0.0</v>
      </c>
      <c r="M170" s="17">
        <v>0.0</v>
      </c>
      <c r="N170" s="17">
        <v>0.0</v>
      </c>
      <c r="O170" s="17">
        <v>0.0</v>
      </c>
      <c r="P170" s="17">
        <f t="shared" si="1"/>
        <v>0</v>
      </c>
      <c r="Q170" s="14" t="str">
        <f>+VLOOKUP(A170,Mapping!$A$1:$E$443,5,FALSE)</f>
        <v>Student Act Exp</v>
      </c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20">
        <f t="shared" si="2"/>
        <v>0</v>
      </c>
    </row>
    <row r="171" ht="11.25" customHeight="1">
      <c r="A171" s="15" t="s">
        <v>521</v>
      </c>
      <c r="B171" s="15" t="s">
        <v>522</v>
      </c>
      <c r="C171" s="15" t="s">
        <v>119</v>
      </c>
      <c r="D171" s="17">
        <v>0.0</v>
      </c>
      <c r="E171" s="17">
        <v>0.0</v>
      </c>
      <c r="F171" s="17">
        <v>0.0</v>
      </c>
      <c r="G171" s="17">
        <v>0.0</v>
      </c>
      <c r="H171" s="17">
        <v>0.0</v>
      </c>
      <c r="I171" s="17">
        <v>0.0</v>
      </c>
      <c r="J171" s="17">
        <v>0.0</v>
      </c>
      <c r="K171" s="17">
        <v>0.0</v>
      </c>
      <c r="L171" s="17">
        <v>0.0</v>
      </c>
      <c r="M171" s="17">
        <v>400.0</v>
      </c>
      <c r="N171" s="17">
        <v>400.0</v>
      </c>
      <c r="O171" s="17">
        <v>400.0</v>
      </c>
      <c r="P171" s="17">
        <f t="shared" si="1"/>
        <v>1200</v>
      </c>
      <c r="Q171" s="14" t="str">
        <f>+VLOOKUP(A171,Mapping!$A$1:$E$443,5,FALSE)</f>
        <v>Student Act Exp</v>
      </c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20">
        <f t="shared" si="2"/>
        <v>0</v>
      </c>
    </row>
    <row r="172" ht="11.25" customHeight="1">
      <c r="A172" s="15" t="s">
        <v>523</v>
      </c>
      <c r="B172" s="15" t="s">
        <v>524</v>
      </c>
      <c r="C172" s="15" t="s">
        <v>119</v>
      </c>
      <c r="D172" s="17">
        <v>0.0</v>
      </c>
      <c r="E172" s="17">
        <v>0.0</v>
      </c>
      <c r="F172" s="17">
        <v>0.0</v>
      </c>
      <c r="G172" s="17">
        <v>0.0</v>
      </c>
      <c r="H172" s="17">
        <v>0.0</v>
      </c>
      <c r="I172" s="17">
        <v>0.0</v>
      </c>
      <c r="J172" s="17">
        <v>33.33</v>
      </c>
      <c r="K172" s="17">
        <v>33.33</v>
      </c>
      <c r="L172" s="17">
        <v>33.33</v>
      </c>
      <c r="M172" s="17">
        <v>100.0</v>
      </c>
      <c r="N172" s="17">
        <v>100.0</v>
      </c>
      <c r="O172" s="17">
        <v>100.0</v>
      </c>
      <c r="P172" s="17">
        <f t="shared" si="1"/>
        <v>399.99</v>
      </c>
      <c r="Q172" s="14" t="str">
        <f>+VLOOKUP(A172,Mapping!$A$1:$E$443,5,FALSE)</f>
        <v>Student Act Exp</v>
      </c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20">
        <f t="shared" si="2"/>
        <v>0</v>
      </c>
    </row>
    <row r="173" ht="11.25" customHeight="1">
      <c r="A173" s="15" t="s">
        <v>525</v>
      </c>
      <c r="B173" s="15" t="s">
        <v>526</v>
      </c>
      <c r="C173" s="15" t="s">
        <v>119</v>
      </c>
      <c r="D173" s="17">
        <v>0.0</v>
      </c>
      <c r="E173" s="17">
        <v>0.0</v>
      </c>
      <c r="F173" s="17">
        <v>0.0</v>
      </c>
      <c r="G173" s="17">
        <v>0.0</v>
      </c>
      <c r="H173" s="17">
        <v>0.0</v>
      </c>
      <c r="I173" s="17">
        <v>0.0</v>
      </c>
      <c r="J173" s="17">
        <v>50.0</v>
      </c>
      <c r="K173" s="17">
        <v>50.0</v>
      </c>
      <c r="L173" s="17">
        <v>50.0</v>
      </c>
      <c r="M173" s="17">
        <v>150.0</v>
      </c>
      <c r="N173" s="17">
        <v>150.0</v>
      </c>
      <c r="O173" s="17">
        <v>150.0</v>
      </c>
      <c r="P173" s="17">
        <f t="shared" si="1"/>
        <v>600</v>
      </c>
      <c r="Q173" s="14" t="str">
        <f>+VLOOKUP(A173,Mapping!$A$1:$E$443,5,FALSE)</f>
        <v>Student Act Exp</v>
      </c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20">
        <f t="shared" si="2"/>
        <v>0</v>
      </c>
    </row>
    <row r="174" ht="11.25" customHeight="1">
      <c r="A174" s="15" t="s">
        <v>527</v>
      </c>
      <c r="B174" s="15" t="s">
        <v>528</v>
      </c>
      <c r="C174" s="15" t="s">
        <v>119</v>
      </c>
      <c r="D174" s="17">
        <v>0.0</v>
      </c>
      <c r="E174" s="17">
        <v>0.0</v>
      </c>
      <c r="F174" s="17">
        <v>0.0</v>
      </c>
      <c r="G174" s="17">
        <v>0.0</v>
      </c>
      <c r="H174" s="17">
        <v>0.0</v>
      </c>
      <c r="I174" s="17">
        <v>0.0</v>
      </c>
      <c r="J174" s="17">
        <v>0.0</v>
      </c>
      <c r="K174" s="17">
        <v>0.0</v>
      </c>
      <c r="L174" s="17">
        <v>0.0</v>
      </c>
      <c r="M174" s="17">
        <v>0.0</v>
      </c>
      <c r="N174" s="17">
        <v>0.0</v>
      </c>
      <c r="O174" s="17">
        <v>0.0</v>
      </c>
      <c r="P174" s="17">
        <f t="shared" si="1"/>
        <v>0</v>
      </c>
      <c r="Q174" s="14" t="str">
        <f>+VLOOKUP(A174,Mapping!$A$1:$E$443,5,FALSE)</f>
        <v>Student Act Exp</v>
      </c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20">
        <f t="shared" si="2"/>
        <v>0</v>
      </c>
    </row>
    <row r="175" ht="11.25" customHeight="1">
      <c r="A175" s="15" t="s">
        <v>529</v>
      </c>
      <c r="B175" s="15" t="s">
        <v>530</v>
      </c>
      <c r="C175" s="15" t="s">
        <v>119</v>
      </c>
      <c r="D175" s="17">
        <v>0.0</v>
      </c>
      <c r="E175" s="17">
        <v>0.0</v>
      </c>
      <c r="F175" s="17">
        <v>0.0</v>
      </c>
      <c r="G175" s="17">
        <v>0.0</v>
      </c>
      <c r="H175" s="17">
        <v>0.0</v>
      </c>
      <c r="I175" s="17">
        <v>0.0</v>
      </c>
      <c r="J175" s="17">
        <v>0.0</v>
      </c>
      <c r="K175" s="17">
        <v>0.0</v>
      </c>
      <c r="L175" s="17">
        <v>0.0</v>
      </c>
      <c r="M175" s="17">
        <v>0.0</v>
      </c>
      <c r="N175" s="17">
        <v>0.0</v>
      </c>
      <c r="O175" s="17">
        <v>0.0</v>
      </c>
      <c r="P175" s="17">
        <f t="shared" si="1"/>
        <v>0</v>
      </c>
      <c r="Q175" s="14" t="str">
        <f>+VLOOKUP(A175,Mapping!$A$1:$E$443,5,FALSE)</f>
        <v>Student Act Exp</v>
      </c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20">
        <f t="shared" si="2"/>
        <v>0</v>
      </c>
    </row>
    <row r="176" ht="11.25" customHeight="1">
      <c r="A176" s="15" t="s">
        <v>531</v>
      </c>
      <c r="B176" s="15" t="s">
        <v>532</v>
      </c>
      <c r="C176" s="15" t="s">
        <v>119</v>
      </c>
      <c r="D176" s="17">
        <v>0.0</v>
      </c>
      <c r="E176" s="17">
        <v>684.21</v>
      </c>
      <c r="F176" s="17">
        <v>1368.42</v>
      </c>
      <c r="G176" s="17">
        <v>1368.42</v>
      </c>
      <c r="H176" s="17">
        <v>1368.42</v>
      </c>
      <c r="I176" s="17">
        <v>1368.42</v>
      </c>
      <c r="J176" s="17">
        <v>1368.42</v>
      </c>
      <c r="K176" s="17">
        <v>1368.42</v>
      </c>
      <c r="L176" s="17">
        <v>1368.42</v>
      </c>
      <c r="M176" s="17">
        <v>1368.42</v>
      </c>
      <c r="N176" s="17">
        <v>1368.42</v>
      </c>
      <c r="O176" s="17">
        <v>0.0</v>
      </c>
      <c r="P176" s="17">
        <f t="shared" si="1"/>
        <v>12999.99</v>
      </c>
      <c r="Q176" s="14" t="str">
        <f>+VLOOKUP(A176,Mapping!$A$1:$E$443,5,FALSE)</f>
        <v>Student Act Exp</v>
      </c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20">
        <f t="shared" si="2"/>
        <v>0</v>
      </c>
    </row>
    <row r="177" ht="11.25" customHeight="1">
      <c r="A177" s="15" t="s">
        <v>533</v>
      </c>
      <c r="B177" s="15" t="s">
        <v>534</v>
      </c>
      <c r="C177" s="15" t="s">
        <v>119</v>
      </c>
      <c r="D177" s="17">
        <v>0.0</v>
      </c>
      <c r="E177" s="17">
        <v>0.0</v>
      </c>
      <c r="F177" s="17">
        <v>0.0</v>
      </c>
      <c r="G177" s="17">
        <v>0.0</v>
      </c>
      <c r="H177" s="17">
        <v>0.0</v>
      </c>
      <c r="I177" s="17">
        <v>0.0</v>
      </c>
      <c r="J177" s="17">
        <v>0.0</v>
      </c>
      <c r="K177" s="17">
        <v>0.0</v>
      </c>
      <c r="L177" s="17">
        <v>0.0</v>
      </c>
      <c r="M177" s="17">
        <v>0.0</v>
      </c>
      <c r="N177" s="17">
        <v>0.0</v>
      </c>
      <c r="O177" s="17">
        <v>0.0</v>
      </c>
      <c r="P177" s="17">
        <f t="shared" si="1"/>
        <v>0</v>
      </c>
      <c r="Q177" s="14" t="str">
        <f>+VLOOKUP(A177,Mapping!$A$1:$E$443,5,FALSE)</f>
        <v>Student Act Exp</v>
      </c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20">
        <f t="shared" si="2"/>
        <v>0</v>
      </c>
    </row>
    <row r="178" ht="11.25" customHeight="1">
      <c r="A178" s="15" t="s">
        <v>535</v>
      </c>
      <c r="B178" s="15" t="s">
        <v>536</v>
      </c>
      <c r="C178" s="15" t="s">
        <v>119</v>
      </c>
      <c r="D178" s="17">
        <v>0.0</v>
      </c>
      <c r="E178" s="17">
        <v>0.0</v>
      </c>
      <c r="F178" s="17">
        <v>0.0</v>
      </c>
      <c r="G178" s="17">
        <v>0.0</v>
      </c>
      <c r="H178" s="17">
        <v>0.0</v>
      </c>
      <c r="I178" s="17">
        <v>0.0</v>
      </c>
      <c r="J178" s="17">
        <v>0.0</v>
      </c>
      <c r="K178" s="17">
        <v>0.0</v>
      </c>
      <c r="L178" s="17">
        <v>0.0</v>
      </c>
      <c r="M178" s="17">
        <v>0.0</v>
      </c>
      <c r="N178" s="17">
        <v>0.0</v>
      </c>
      <c r="O178" s="17">
        <v>0.0</v>
      </c>
      <c r="P178" s="17">
        <f t="shared" si="1"/>
        <v>0</v>
      </c>
      <c r="Q178" s="14" t="str">
        <f>+VLOOKUP(A178,Mapping!$A$1:$E$443,5,FALSE)</f>
        <v>Student Act Exp</v>
      </c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20">
        <f t="shared" si="2"/>
        <v>0</v>
      </c>
    </row>
    <row r="179" ht="11.25" customHeight="1">
      <c r="A179" s="15" t="s">
        <v>537</v>
      </c>
      <c r="B179" s="15" t="s">
        <v>538</v>
      </c>
      <c r="C179" s="15" t="s">
        <v>119</v>
      </c>
      <c r="D179" s="17">
        <v>0.0</v>
      </c>
      <c r="E179" s="17">
        <v>0.0</v>
      </c>
      <c r="F179" s="17">
        <v>0.0</v>
      </c>
      <c r="G179" s="17">
        <v>8.33</v>
      </c>
      <c r="H179" s="17">
        <v>8.33</v>
      </c>
      <c r="I179" s="17">
        <v>8.33</v>
      </c>
      <c r="J179" s="17">
        <v>8.33</v>
      </c>
      <c r="K179" s="17">
        <v>8.33</v>
      </c>
      <c r="L179" s="17">
        <v>8.33</v>
      </c>
      <c r="M179" s="17">
        <v>0.0</v>
      </c>
      <c r="N179" s="17">
        <v>0.0</v>
      </c>
      <c r="O179" s="17">
        <v>0.0</v>
      </c>
      <c r="P179" s="17">
        <f t="shared" si="1"/>
        <v>49.98</v>
      </c>
      <c r="Q179" s="14" t="str">
        <f>+VLOOKUP(A179,Mapping!$A$1:$E$443,5,FALSE)</f>
        <v>Student Act Exp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20">
        <f t="shared" si="2"/>
        <v>0</v>
      </c>
    </row>
    <row r="180" ht="11.25" customHeight="1">
      <c r="A180" s="15" t="s">
        <v>539</v>
      </c>
      <c r="B180" s="15" t="s">
        <v>540</v>
      </c>
      <c r="C180" s="15" t="s">
        <v>119</v>
      </c>
      <c r="D180" s="17">
        <v>0.0</v>
      </c>
      <c r="E180" s="17">
        <v>0.0</v>
      </c>
      <c r="F180" s="17">
        <v>0.0</v>
      </c>
      <c r="G180" s="17">
        <v>0.0</v>
      </c>
      <c r="H180" s="17">
        <v>0.0</v>
      </c>
      <c r="I180" s="17">
        <v>0.0</v>
      </c>
      <c r="J180" s="17">
        <v>0.0</v>
      </c>
      <c r="K180" s="17">
        <v>0.0</v>
      </c>
      <c r="L180" s="17">
        <v>0.0</v>
      </c>
      <c r="M180" s="17">
        <v>0.0</v>
      </c>
      <c r="N180" s="17">
        <v>0.0</v>
      </c>
      <c r="O180" s="17">
        <v>0.0</v>
      </c>
      <c r="P180" s="17">
        <f t="shared" si="1"/>
        <v>0</v>
      </c>
      <c r="Q180" s="14" t="str">
        <f>+VLOOKUP(A180,Mapping!$A$1:$E$443,5,FALSE)</f>
        <v>Student Act Exp</v>
      </c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20">
        <f t="shared" si="2"/>
        <v>0</v>
      </c>
    </row>
    <row r="181" ht="11.25" customHeight="1">
      <c r="A181" s="15" t="s">
        <v>541</v>
      </c>
      <c r="B181" s="15" t="s">
        <v>542</v>
      </c>
      <c r="C181" s="15" t="s">
        <v>119</v>
      </c>
      <c r="D181" s="17">
        <v>133.33</v>
      </c>
      <c r="E181" s="17">
        <v>133.33</v>
      </c>
      <c r="F181" s="17">
        <v>133.33</v>
      </c>
      <c r="G181" s="17">
        <v>133.33</v>
      </c>
      <c r="H181" s="17">
        <v>133.33</v>
      </c>
      <c r="I181" s="17">
        <v>133.33</v>
      </c>
      <c r="J181" s="17">
        <v>133.33</v>
      </c>
      <c r="K181" s="17">
        <v>133.33</v>
      </c>
      <c r="L181" s="17">
        <v>133.33</v>
      </c>
      <c r="M181" s="17">
        <v>133.33</v>
      </c>
      <c r="N181" s="17">
        <v>133.33</v>
      </c>
      <c r="O181" s="17">
        <v>133.33</v>
      </c>
      <c r="P181" s="17">
        <f t="shared" si="1"/>
        <v>1599.96</v>
      </c>
      <c r="Q181" s="14" t="str">
        <f>+VLOOKUP(A181,Mapping!$A$1:$E$443,5,FALSE)</f>
        <v>Student Act Exp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20">
        <f t="shared" si="2"/>
        <v>0</v>
      </c>
    </row>
    <row r="182" ht="11.25" customHeight="1">
      <c r="A182" s="15" t="s">
        <v>543</v>
      </c>
      <c r="B182" s="15" t="s">
        <v>544</v>
      </c>
      <c r="C182" s="15" t="s">
        <v>119</v>
      </c>
      <c r="D182" s="17">
        <v>2500.0</v>
      </c>
      <c r="E182" s="17">
        <v>0.0</v>
      </c>
      <c r="F182" s="17">
        <v>0.0</v>
      </c>
      <c r="G182" s="17">
        <v>0.0</v>
      </c>
      <c r="H182" s="17">
        <v>0.0</v>
      </c>
      <c r="I182" s="17">
        <v>0.0</v>
      </c>
      <c r="J182" s="17">
        <v>0.0</v>
      </c>
      <c r="K182" s="17">
        <v>0.0</v>
      </c>
      <c r="L182" s="17">
        <v>0.0</v>
      </c>
      <c r="M182" s="17">
        <v>0.0</v>
      </c>
      <c r="N182" s="17">
        <v>0.0</v>
      </c>
      <c r="O182" s="17">
        <v>2500.0</v>
      </c>
      <c r="P182" s="17">
        <f t="shared" si="1"/>
        <v>5000</v>
      </c>
      <c r="Q182" s="14" t="str">
        <f>+VLOOKUP(A182,Mapping!$A$1:$E$443,5,FALSE)</f>
        <v>Summer Program</v>
      </c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20">
        <f t="shared" si="2"/>
        <v>0</v>
      </c>
    </row>
    <row r="183" ht="11.25" customHeight="1">
      <c r="A183" s="15" t="s">
        <v>545</v>
      </c>
      <c r="B183" s="15" t="s">
        <v>161</v>
      </c>
      <c r="C183" s="15" t="s">
        <v>119</v>
      </c>
      <c r="D183" s="17">
        <v>166.67</v>
      </c>
      <c r="E183" s="17">
        <v>166.67</v>
      </c>
      <c r="F183" s="17">
        <v>166.67</v>
      </c>
      <c r="G183" s="17">
        <v>166.67</v>
      </c>
      <c r="H183" s="17">
        <v>166.67</v>
      </c>
      <c r="I183" s="17">
        <v>166.67</v>
      </c>
      <c r="J183" s="17">
        <v>166.67</v>
      </c>
      <c r="K183" s="17">
        <v>166.67</v>
      </c>
      <c r="L183" s="17">
        <v>166.67</v>
      </c>
      <c r="M183" s="17">
        <v>166.67</v>
      </c>
      <c r="N183" s="17">
        <v>166.67</v>
      </c>
      <c r="O183" s="17">
        <v>166.67</v>
      </c>
      <c r="P183" s="17">
        <f t="shared" si="1"/>
        <v>2000.04</v>
      </c>
      <c r="Q183" s="14" t="str">
        <f>+VLOOKUP(A183,Mapping!$A$1:$E$443,5,FALSE)</f>
        <v>Computer Exp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20">
        <f t="shared" si="2"/>
        <v>0</v>
      </c>
    </row>
    <row r="184" ht="11.25" customHeight="1">
      <c r="A184" s="15" t="s">
        <v>546</v>
      </c>
      <c r="B184" s="15" t="s">
        <v>161</v>
      </c>
      <c r="C184" s="15" t="s">
        <v>119</v>
      </c>
      <c r="D184" s="17">
        <v>41.67</v>
      </c>
      <c r="E184" s="17">
        <v>41.67</v>
      </c>
      <c r="F184" s="17">
        <v>41.67</v>
      </c>
      <c r="G184" s="17">
        <v>41.67</v>
      </c>
      <c r="H184" s="17">
        <v>41.67</v>
      </c>
      <c r="I184" s="17">
        <v>41.67</v>
      </c>
      <c r="J184" s="17">
        <v>41.67</v>
      </c>
      <c r="K184" s="17">
        <v>41.67</v>
      </c>
      <c r="L184" s="17">
        <v>41.67</v>
      </c>
      <c r="M184" s="17">
        <v>41.67</v>
      </c>
      <c r="N184" s="17">
        <v>41.67</v>
      </c>
      <c r="O184" s="17">
        <v>41.67</v>
      </c>
      <c r="P184" s="17">
        <f t="shared" si="1"/>
        <v>500.04</v>
      </c>
      <c r="Q184" s="14" t="str">
        <f>+VLOOKUP(A184,Mapping!$A$1:$E$443,5,FALSE)</f>
        <v>Computer Exp</v>
      </c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20">
        <f t="shared" si="2"/>
        <v>0</v>
      </c>
    </row>
    <row r="185" ht="11.25" customHeight="1">
      <c r="A185" s="15" t="s">
        <v>547</v>
      </c>
      <c r="B185" s="15" t="s">
        <v>161</v>
      </c>
      <c r="C185" s="15" t="s">
        <v>119</v>
      </c>
      <c r="D185" s="17">
        <v>0.0</v>
      </c>
      <c r="E185" s="17">
        <v>0.0</v>
      </c>
      <c r="F185" s="17">
        <v>0.0</v>
      </c>
      <c r="G185" s="17">
        <v>0.0</v>
      </c>
      <c r="H185" s="17">
        <v>0.0</v>
      </c>
      <c r="I185" s="17">
        <v>0.0</v>
      </c>
      <c r="J185" s="17">
        <v>0.0</v>
      </c>
      <c r="K185" s="17">
        <v>0.0</v>
      </c>
      <c r="L185" s="17">
        <v>0.0</v>
      </c>
      <c r="M185" s="17">
        <v>0.0</v>
      </c>
      <c r="N185" s="17">
        <v>0.0</v>
      </c>
      <c r="O185" s="17">
        <v>0.0</v>
      </c>
      <c r="P185" s="17">
        <f t="shared" si="1"/>
        <v>0</v>
      </c>
      <c r="Q185" s="14" t="str">
        <f>+VLOOKUP(A185,Mapping!$A$1:$E$443,5,FALSE)</f>
        <v>Computer Exp</v>
      </c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20">
        <f t="shared" si="2"/>
        <v>0</v>
      </c>
    </row>
    <row r="186" ht="11.25" customHeight="1">
      <c r="A186" s="15" t="s">
        <v>548</v>
      </c>
      <c r="B186" s="15" t="s">
        <v>549</v>
      </c>
      <c r="C186" s="15" t="s">
        <v>119</v>
      </c>
      <c r="D186" s="17">
        <v>250.0</v>
      </c>
      <c r="E186" s="17">
        <v>250.0</v>
      </c>
      <c r="F186" s="17">
        <v>250.0</v>
      </c>
      <c r="G186" s="17">
        <v>0.0</v>
      </c>
      <c r="H186" s="17">
        <v>0.0</v>
      </c>
      <c r="I186" s="17">
        <v>0.0</v>
      </c>
      <c r="J186" s="17">
        <v>0.0</v>
      </c>
      <c r="K186" s="17">
        <v>0.0</v>
      </c>
      <c r="L186" s="17">
        <v>0.0</v>
      </c>
      <c r="M186" s="17">
        <v>250.0</v>
      </c>
      <c r="N186" s="17">
        <v>200.0</v>
      </c>
      <c r="O186" s="17">
        <v>0.0</v>
      </c>
      <c r="P186" s="17">
        <f t="shared" si="1"/>
        <v>1200</v>
      </c>
      <c r="Q186" s="14" t="str">
        <f>+VLOOKUP(A186,Mapping!$A$1:$E$443,5,FALSE)</f>
        <v>Test Exp</v>
      </c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20">
        <f t="shared" si="2"/>
        <v>0</v>
      </c>
    </row>
    <row r="187" ht="11.25" customHeight="1">
      <c r="A187" s="15" t="s">
        <v>550</v>
      </c>
      <c r="B187" s="15" t="s">
        <v>551</v>
      </c>
      <c r="C187" s="15" t="s">
        <v>119</v>
      </c>
      <c r="D187" s="17">
        <v>1250.0</v>
      </c>
      <c r="E187" s="17">
        <v>1250.0</v>
      </c>
      <c r="F187" s="17">
        <v>1250.0</v>
      </c>
      <c r="G187" s="17">
        <v>416.67</v>
      </c>
      <c r="H187" s="17">
        <v>416.67</v>
      </c>
      <c r="I187" s="17">
        <v>416.67</v>
      </c>
      <c r="J187" s="17">
        <v>416.67</v>
      </c>
      <c r="K187" s="17">
        <v>416.67</v>
      </c>
      <c r="L187" s="17">
        <v>416.67</v>
      </c>
      <c r="M187" s="17">
        <v>1250.0</v>
      </c>
      <c r="N187" s="17">
        <v>1250.0</v>
      </c>
      <c r="O187" s="17">
        <v>1250.0</v>
      </c>
      <c r="P187" s="17">
        <f t="shared" si="1"/>
        <v>10000.02</v>
      </c>
      <c r="Q187" s="14" t="str">
        <f>+VLOOKUP(A187,Mapping!$A$1:$E$443,5,FALSE)</f>
        <v>Marketing</v>
      </c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20">
        <f t="shared" si="2"/>
        <v>0</v>
      </c>
    </row>
    <row r="188" ht="11.25" customHeight="1">
      <c r="A188" s="15" t="s">
        <v>552</v>
      </c>
      <c r="B188" s="15" t="s">
        <v>551</v>
      </c>
      <c r="C188" s="15" t="s">
        <v>119</v>
      </c>
      <c r="D188" s="17">
        <v>0.0</v>
      </c>
      <c r="E188" s="17">
        <v>0.0</v>
      </c>
      <c r="F188" s="17">
        <v>0.0</v>
      </c>
      <c r="G188" s="17">
        <v>0.0</v>
      </c>
      <c r="H188" s="17">
        <v>0.0</v>
      </c>
      <c r="I188" s="17">
        <v>0.0</v>
      </c>
      <c r="J188" s="17">
        <v>0.0</v>
      </c>
      <c r="K188" s="17">
        <v>0.0</v>
      </c>
      <c r="L188" s="17">
        <v>0.0</v>
      </c>
      <c r="M188" s="17">
        <v>0.0</v>
      </c>
      <c r="N188" s="17">
        <v>0.0</v>
      </c>
      <c r="O188" s="17">
        <v>0.0</v>
      </c>
      <c r="P188" s="17">
        <f t="shared" si="1"/>
        <v>0</v>
      </c>
      <c r="Q188" s="14" t="str">
        <f>+VLOOKUP(A188,Mapping!$A$1:$E$443,5,FALSE)</f>
        <v>Marketing</v>
      </c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20">
        <f t="shared" si="2"/>
        <v>0</v>
      </c>
    </row>
    <row r="189" ht="11.25" customHeight="1">
      <c r="A189" s="15" t="s">
        <v>553</v>
      </c>
      <c r="B189" s="15" t="s">
        <v>551</v>
      </c>
      <c r="C189" s="15" t="s">
        <v>119</v>
      </c>
      <c r="D189" s="17">
        <v>0.0</v>
      </c>
      <c r="E189" s="17">
        <v>0.0</v>
      </c>
      <c r="F189" s="17">
        <v>0.0</v>
      </c>
      <c r="G189" s="17">
        <v>0.0</v>
      </c>
      <c r="H189" s="17">
        <v>0.0</v>
      </c>
      <c r="I189" s="17">
        <v>0.0</v>
      </c>
      <c r="J189" s="17">
        <v>0.0</v>
      </c>
      <c r="K189" s="17">
        <v>0.0</v>
      </c>
      <c r="L189" s="17">
        <v>0.0</v>
      </c>
      <c r="M189" s="17">
        <v>0.0</v>
      </c>
      <c r="N189" s="17">
        <v>0.0</v>
      </c>
      <c r="O189" s="17">
        <v>0.0</v>
      </c>
      <c r="P189" s="17">
        <f t="shared" si="1"/>
        <v>0</v>
      </c>
      <c r="Q189" s="14" t="str">
        <f>+VLOOKUP(A189,Mapping!$A$1:$E$443,5,FALSE)</f>
        <v>Marketing</v>
      </c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20">
        <f t="shared" si="2"/>
        <v>0</v>
      </c>
    </row>
    <row r="190" ht="11.25" customHeight="1">
      <c r="A190" s="15" t="s">
        <v>554</v>
      </c>
      <c r="B190" s="15" t="s">
        <v>555</v>
      </c>
      <c r="C190" s="15" t="s">
        <v>119</v>
      </c>
      <c r="D190" s="17">
        <v>0.0</v>
      </c>
      <c r="E190" s="17">
        <v>0.0</v>
      </c>
      <c r="F190" s="17">
        <v>0.0</v>
      </c>
      <c r="G190" s="17">
        <v>0.0</v>
      </c>
      <c r="H190" s="17">
        <v>0.0</v>
      </c>
      <c r="I190" s="17">
        <v>0.0</v>
      </c>
      <c r="J190" s="17">
        <v>0.0</v>
      </c>
      <c r="K190" s="17">
        <v>0.0</v>
      </c>
      <c r="L190" s="17">
        <v>0.0</v>
      </c>
      <c r="M190" s="17">
        <v>0.0</v>
      </c>
      <c r="N190" s="17">
        <v>0.0</v>
      </c>
      <c r="O190" s="17">
        <v>0.0</v>
      </c>
      <c r="P190" s="17">
        <f t="shared" si="1"/>
        <v>0</v>
      </c>
      <c r="Q190" s="14" t="str">
        <f>+VLOOKUP(A190,Mapping!$A$1:$E$443,5,FALSE)</f>
        <v>Marketing</v>
      </c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20">
        <f t="shared" si="2"/>
        <v>0</v>
      </c>
    </row>
    <row r="191" ht="11.25" customHeight="1">
      <c r="A191" s="15" t="s">
        <v>556</v>
      </c>
      <c r="B191" s="15" t="s">
        <v>557</v>
      </c>
      <c r="C191" s="15" t="s">
        <v>119</v>
      </c>
      <c r="D191" s="17">
        <v>0.0</v>
      </c>
      <c r="E191" s="17">
        <v>0.0</v>
      </c>
      <c r="F191" s="17">
        <v>0.0</v>
      </c>
      <c r="G191" s="17">
        <v>0.0</v>
      </c>
      <c r="H191" s="17">
        <v>0.0</v>
      </c>
      <c r="I191" s="17">
        <v>0.0</v>
      </c>
      <c r="J191" s="17">
        <v>0.0</v>
      </c>
      <c r="K191" s="17">
        <v>0.0</v>
      </c>
      <c r="L191" s="17">
        <v>0.0</v>
      </c>
      <c r="M191" s="17">
        <v>0.0</v>
      </c>
      <c r="N191" s="17">
        <v>0.0</v>
      </c>
      <c r="O191" s="17">
        <v>0.0</v>
      </c>
      <c r="P191" s="17">
        <f t="shared" si="1"/>
        <v>0</v>
      </c>
      <c r="Q191" s="14" t="str">
        <f>+VLOOKUP(A191,Mapping!$A$1:$E$443,5,FALSE)</f>
        <v>Marketing</v>
      </c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20">
        <f t="shared" si="2"/>
        <v>0</v>
      </c>
    </row>
    <row r="192" ht="11.25" customHeight="1">
      <c r="A192" s="15" t="s">
        <v>558</v>
      </c>
      <c r="B192" s="15" t="s">
        <v>559</v>
      </c>
      <c r="C192" s="15" t="s">
        <v>119</v>
      </c>
      <c r="D192" s="17">
        <v>0.0</v>
      </c>
      <c r="E192" s="17">
        <v>0.0</v>
      </c>
      <c r="F192" s="17">
        <v>0.0</v>
      </c>
      <c r="G192" s="17">
        <v>0.0</v>
      </c>
      <c r="H192" s="17">
        <v>0.0</v>
      </c>
      <c r="I192" s="17">
        <v>0.0</v>
      </c>
      <c r="J192" s="17">
        <v>0.0</v>
      </c>
      <c r="K192" s="17">
        <v>0.0</v>
      </c>
      <c r="L192" s="17">
        <v>0.0</v>
      </c>
      <c r="M192" s="17">
        <v>0.0</v>
      </c>
      <c r="N192" s="17">
        <v>0.0</v>
      </c>
      <c r="O192" s="17">
        <v>0.0</v>
      </c>
      <c r="P192" s="17">
        <f t="shared" si="1"/>
        <v>0</v>
      </c>
      <c r="Q192" s="14" t="str">
        <f>+VLOOKUP(A192,Mapping!$A$1:$E$443,5,FALSE)</f>
        <v>Marketing</v>
      </c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20">
        <f t="shared" si="2"/>
        <v>0</v>
      </c>
    </row>
    <row r="193" ht="11.25" customHeight="1">
      <c r="A193" s="15" t="s">
        <v>560</v>
      </c>
      <c r="B193" s="15" t="s">
        <v>559</v>
      </c>
      <c r="C193" s="15" t="s">
        <v>119</v>
      </c>
      <c r="D193" s="17">
        <v>0.0</v>
      </c>
      <c r="E193" s="17">
        <v>0.0</v>
      </c>
      <c r="F193" s="17">
        <v>0.0</v>
      </c>
      <c r="G193" s="17">
        <v>0.0</v>
      </c>
      <c r="H193" s="17">
        <v>0.0</v>
      </c>
      <c r="I193" s="17">
        <v>0.0</v>
      </c>
      <c r="J193" s="17">
        <v>0.0</v>
      </c>
      <c r="K193" s="17">
        <v>0.0</v>
      </c>
      <c r="L193" s="17">
        <v>0.0</v>
      </c>
      <c r="M193" s="17">
        <v>0.0</v>
      </c>
      <c r="N193" s="17">
        <v>0.0</v>
      </c>
      <c r="O193" s="17">
        <v>0.0</v>
      </c>
      <c r="P193" s="17">
        <f t="shared" si="1"/>
        <v>0</v>
      </c>
      <c r="Q193" s="14" t="str">
        <f>+VLOOKUP(A193,Mapping!$A$1:$E$443,5,FALSE)</f>
        <v>Marketing</v>
      </c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20">
        <f t="shared" si="2"/>
        <v>0</v>
      </c>
    </row>
    <row r="194" ht="11.25" customHeight="1">
      <c r="A194" s="15" t="s">
        <v>561</v>
      </c>
      <c r="B194" s="15" t="s">
        <v>562</v>
      </c>
      <c r="C194" s="15" t="s">
        <v>119</v>
      </c>
      <c r="D194" s="17">
        <v>0.0</v>
      </c>
      <c r="E194" s="17">
        <v>0.0</v>
      </c>
      <c r="F194" s="17">
        <v>0.0</v>
      </c>
      <c r="G194" s="17">
        <v>0.0</v>
      </c>
      <c r="H194" s="17">
        <v>0.0</v>
      </c>
      <c r="I194" s="17">
        <v>0.0</v>
      </c>
      <c r="J194" s="17">
        <v>0.0</v>
      </c>
      <c r="K194" s="17">
        <v>0.0</v>
      </c>
      <c r="L194" s="17">
        <v>0.0</v>
      </c>
      <c r="M194" s="17">
        <v>0.0</v>
      </c>
      <c r="N194" s="17">
        <v>0.0</v>
      </c>
      <c r="O194" s="17">
        <v>0.0</v>
      </c>
      <c r="P194" s="17">
        <f t="shared" si="1"/>
        <v>0</v>
      </c>
      <c r="Q194" s="14" t="str">
        <f>+VLOOKUP(A194,Mapping!$A$1:$E$443,5,FALSE)</f>
        <v>Marketing</v>
      </c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20">
        <f t="shared" si="2"/>
        <v>0</v>
      </c>
    </row>
    <row r="195" ht="11.25" customHeight="1">
      <c r="A195" s="15" t="s">
        <v>563</v>
      </c>
      <c r="B195" s="15" t="s">
        <v>564</v>
      </c>
      <c r="C195" s="15" t="s">
        <v>119</v>
      </c>
      <c r="D195" s="17">
        <v>75.0</v>
      </c>
      <c r="E195" s="17">
        <v>75.0</v>
      </c>
      <c r="F195" s="17">
        <v>75.0</v>
      </c>
      <c r="G195" s="17">
        <v>75.0</v>
      </c>
      <c r="H195" s="17">
        <v>75.0</v>
      </c>
      <c r="I195" s="17">
        <v>75.0</v>
      </c>
      <c r="J195" s="17">
        <v>75.0</v>
      </c>
      <c r="K195" s="17">
        <v>75.0</v>
      </c>
      <c r="L195" s="17">
        <v>75.0</v>
      </c>
      <c r="M195" s="17">
        <v>75.0</v>
      </c>
      <c r="N195" s="17">
        <v>75.0</v>
      </c>
      <c r="O195" s="17">
        <v>75.0</v>
      </c>
      <c r="P195" s="17">
        <f t="shared" si="1"/>
        <v>900</v>
      </c>
      <c r="Q195" s="14" t="str">
        <f>+VLOOKUP(A195,Mapping!$A$1:$E$443,5,FALSE)</f>
        <v>Marketing</v>
      </c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20">
        <f t="shared" si="2"/>
        <v>0</v>
      </c>
    </row>
    <row r="196" ht="11.25" customHeight="1">
      <c r="A196" s="15" t="s">
        <v>565</v>
      </c>
      <c r="B196" s="15" t="s">
        <v>566</v>
      </c>
      <c r="C196" s="15" t="s">
        <v>119</v>
      </c>
      <c r="D196" s="17">
        <v>0.0</v>
      </c>
      <c r="E196" s="17">
        <v>0.0</v>
      </c>
      <c r="F196" s="17">
        <v>0.0</v>
      </c>
      <c r="G196" s="17">
        <v>0.0</v>
      </c>
      <c r="H196" s="17">
        <v>0.0</v>
      </c>
      <c r="I196" s="17">
        <v>0.0</v>
      </c>
      <c r="J196" s="17">
        <v>0.0</v>
      </c>
      <c r="K196" s="17">
        <v>0.0</v>
      </c>
      <c r="L196" s="17">
        <v>0.0</v>
      </c>
      <c r="M196" s="17">
        <v>0.0</v>
      </c>
      <c r="N196" s="17">
        <v>0.0</v>
      </c>
      <c r="O196" s="17">
        <v>0.0</v>
      </c>
      <c r="P196" s="17">
        <f t="shared" si="1"/>
        <v>0</v>
      </c>
      <c r="Q196" s="14" t="str">
        <f>+VLOOKUP(A196,Mapping!$A$1:$E$443,5,FALSE)</f>
        <v>Marketing</v>
      </c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20">
        <f t="shared" si="2"/>
        <v>0</v>
      </c>
    </row>
    <row r="197" ht="11.25" customHeight="1">
      <c r="A197" s="15" t="s">
        <v>567</v>
      </c>
      <c r="B197" s="15" t="s">
        <v>566</v>
      </c>
      <c r="C197" s="15" t="s">
        <v>119</v>
      </c>
      <c r="D197" s="17">
        <v>0.0</v>
      </c>
      <c r="E197" s="17">
        <v>0.0</v>
      </c>
      <c r="F197" s="17">
        <v>0.0</v>
      </c>
      <c r="G197" s="17">
        <v>0.0</v>
      </c>
      <c r="H197" s="17">
        <v>0.0</v>
      </c>
      <c r="I197" s="17">
        <v>0.0</v>
      </c>
      <c r="J197" s="17">
        <v>0.0</v>
      </c>
      <c r="K197" s="17">
        <v>0.0</v>
      </c>
      <c r="L197" s="17">
        <v>0.0</v>
      </c>
      <c r="M197" s="17">
        <v>0.0</v>
      </c>
      <c r="N197" s="17">
        <v>0.0</v>
      </c>
      <c r="O197" s="17">
        <v>0.0</v>
      </c>
      <c r="P197" s="17">
        <f t="shared" si="1"/>
        <v>0</v>
      </c>
      <c r="Q197" s="14" t="str">
        <f>+VLOOKUP(A197,Mapping!$A$1:$E$443,5,FALSE)</f>
        <v>Marketing</v>
      </c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20">
        <f t="shared" si="2"/>
        <v>0</v>
      </c>
    </row>
    <row r="198" ht="11.25" customHeight="1">
      <c r="A198" s="15" t="s">
        <v>568</v>
      </c>
      <c r="B198" s="15" t="s">
        <v>566</v>
      </c>
      <c r="C198" s="15" t="s">
        <v>119</v>
      </c>
      <c r="D198" s="17">
        <v>0.0</v>
      </c>
      <c r="E198" s="17">
        <v>0.0</v>
      </c>
      <c r="F198" s="17">
        <v>0.0</v>
      </c>
      <c r="G198" s="17">
        <v>0.0</v>
      </c>
      <c r="H198" s="17">
        <v>0.0</v>
      </c>
      <c r="I198" s="17">
        <v>0.0</v>
      </c>
      <c r="J198" s="17">
        <v>0.0</v>
      </c>
      <c r="K198" s="17">
        <v>0.0</v>
      </c>
      <c r="L198" s="17">
        <v>0.0</v>
      </c>
      <c r="M198" s="17">
        <v>0.0</v>
      </c>
      <c r="N198" s="17">
        <v>0.0</v>
      </c>
      <c r="O198" s="17">
        <v>0.0</v>
      </c>
      <c r="P198" s="17">
        <f t="shared" si="1"/>
        <v>0</v>
      </c>
      <c r="Q198" s="14" t="str">
        <f>+VLOOKUP(A198,Mapping!$A$1:$E$443,5,FALSE)</f>
        <v>Marketing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20">
        <f t="shared" si="2"/>
        <v>0</v>
      </c>
    </row>
    <row r="199" ht="11.25" customHeight="1">
      <c r="A199" s="15" t="s">
        <v>569</v>
      </c>
      <c r="B199" s="15" t="s">
        <v>570</v>
      </c>
      <c r="C199" s="15" t="s">
        <v>119</v>
      </c>
      <c r="D199" s="17">
        <v>0.0</v>
      </c>
      <c r="E199" s="17">
        <v>0.0</v>
      </c>
      <c r="F199" s="17">
        <v>0.0</v>
      </c>
      <c r="G199" s="17">
        <v>0.0</v>
      </c>
      <c r="H199" s="17">
        <v>0.0</v>
      </c>
      <c r="I199" s="17">
        <v>0.0</v>
      </c>
      <c r="J199" s="17">
        <v>0.0</v>
      </c>
      <c r="K199" s="17">
        <v>0.0</v>
      </c>
      <c r="L199" s="17">
        <v>0.0</v>
      </c>
      <c r="M199" s="17">
        <v>0.0</v>
      </c>
      <c r="N199" s="17">
        <v>0.0</v>
      </c>
      <c r="O199" s="17">
        <v>0.0</v>
      </c>
      <c r="P199" s="17">
        <f t="shared" si="1"/>
        <v>0</v>
      </c>
      <c r="Q199" s="14" t="str">
        <f>+VLOOKUP(A199,Mapping!$A$1:$E$443,5,FALSE)</f>
        <v>Marketing</v>
      </c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20">
        <f t="shared" si="2"/>
        <v>0</v>
      </c>
    </row>
    <row r="200" ht="11.25" customHeight="1">
      <c r="A200" s="15" t="s">
        <v>571</v>
      </c>
      <c r="B200" s="15" t="s">
        <v>570</v>
      </c>
      <c r="C200" s="15" t="s">
        <v>119</v>
      </c>
      <c r="D200" s="17">
        <v>0.0</v>
      </c>
      <c r="E200" s="17">
        <v>0.0</v>
      </c>
      <c r="F200" s="17">
        <v>0.0</v>
      </c>
      <c r="G200" s="17">
        <v>0.0</v>
      </c>
      <c r="H200" s="17">
        <v>0.0</v>
      </c>
      <c r="I200" s="17">
        <v>0.0</v>
      </c>
      <c r="J200" s="17">
        <v>0.0</v>
      </c>
      <c r="K200" s="17">
        <v>0.0</v>
      </c>
      <c r="L200" s="17">
        <v>0.0</v>
      </c>
      <c r="M200" s="17">
        <v>0.0</v>
      </c>
      <c r="N200" s="17">
        <v>0.0</v>
      </c>
      <c r="O200" s="17">
        <v>0.0</v>
      </c>
      <c r="P200" s="17">
        <f t="shared" si="1"/>
        <v>0</v>
      </c>
      <c r="Q200" s="14" t="str">
        <f>+VLOOKUP(A200,Mapping!$A$1:$E$443,5,FALSE)</f>
        <v>Marketing</v>
      </c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20">
        <f t="shared" si="2"/>
        <v>0</v>
      </c>
    </row>
    <row r="201" ht="11.25" customHeight="1">
      <c r="A201" s="15" t="s">
        <v>572</v>
      </c>
      <c r="B201" s="15" t="s">
        <v>570</v>
      </c>
      <c r="C201" s="15" t="s">
        <v>119</v>
      </c>
      <c r="D201" s="17">
        <v>0.0</v>
      </c>
      <c r="E201" s="17">
        <v>0.0</v>
      </c>
      <c r="F201" s="17">
        <v>0.0</v>
      </c>
      <c r="G201" s="17">
        <v>0.0</v>
      </c>
      <c r="H201" s="17">
        <v>0.0</v>
      </c>
      <c r="I201" s="17">
        <v>0.0</v>
      </c>
      <c r="J201" s="17">
        <v>0.0</v>
      </c>
      <c r="K201" s="17">
        <v>0.0</v>
      </c>
      <c r="L201" s="17">
        <v>0.0</v>
      </c>
      <c r="M201" s="17">
        <v>0.0</v>
      </c>
      <c r="N201" s="17">
        <v>0.0</v>
      </c>
      <c r="O201" s="17">
        <v>0.0</v>
      </c>
      <c r="P201" s="17">
        <f t="shared" si="1"/>
        <v>0</v>
      </c>
      <c r="Q201" s="14" t="str">
        <f>+VLOOKUP(A201,Mapping!$A$1:$E$443,5,FALSE)</f>
        <v>Marketing</v>
      </c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20">
        <f t="shared" si="2"/>
        <v>0</v>
      </c>
    </row>
    <row r="202" ht="11.25" customHeight="1">
      <c r="A202" s="15" t="s">
        <v>573</v>
      </c>
      <c r="B202" s="15" t="s">
        <v>574</v>
      </c>
      <c r="C202" s="15" t="s">
        <v>119</v>
      </c>
      <c r="D202" s="17">
        <v>400.0</v>
      </c>
      <c r="E202" s="17">
        <v>400.0</v>
      </c>
      <c r="F202" s="17">
        <v>400.0</v>
      </c>
      <c r="G202" s="17">
        <v>0.0</v>
      </c>
      <c r="H202" s="17">
        <v>0.0</v>
      </c>
      <c r="I202" s="17">
        <v>0.0</v>
      </c>
      <c r="J202" s="17">
        <v>500.0</v>
      </c>
      <c r="K202" s="17">
        <v>500.0</v>
      </c>
      <c r="L202" s="17">
        <v>500.0</v>
      </c>
      <c r="M202" s="17">
        <v>100.0</v>
      </c>
      <c r="N202" s="17">
        <v>100.0</v>
      </c>
      <c r="O202" s="17">
        <v>100.0</v>
      </c>
      <c r="P202" s="17">
        <f t="shared" si="1"/>
        <v>3000</v>
      </c>
      <c r="Q202" s="14" t="str">
        <f>+VLOOKUP(A202,Mapping!$A$1:$E$443,5,FALSE)</f>
        <v>Bank Charges</v>
      </c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20">
        <f t="shared" si="2"/>
        <v>0</v>
      </c>
    </row>
    <row r="203" ht="11.25" customHeight="1">
      <c r="A203" s="15" t="s">
        <v>575</v>
      </c>
      <c r="B203" s="15" t="s">
        <v>154</v>
      </c>
      <c r="C203" s="15" t="s">
        <v>119</v>
      </c>
      <c r="D203" s="17">
        <v>100.0</v>
      </c>
      <c r="E203" s="17">
        <v>100.0</v>
      </c>
      <c r="F203" s="17">
        <v>200.0</v>
      </c>
      <c r="G203" s="17">
        <v>100.0</v>
      </c>
      <c r="H203" s="17">
        <v>100.0</v>
      </c>
      <c r="I203" s="17">
        <v>200.0</v>
      </c>
      <c r="J203" s="17">
        <v>100.0</v>
      </c>
      <c r="K203" s="17">
        <v>100.0</v>
      </c>
      <c r="L203" s="17">
        <v>200.0</v>
      </c>
      <c r="M203" s="17">
        <v>100.0</v>
      </c>
      <c r="N203" s="17">
        <v>100.0</v>
      </c>
      <c r="O203" s="17">
        <v>100.0</v>
      </c>
      <c r="P203" s="17">
        <f t="shared" si="1"/>
        <v>1500</v>
      </c>
      <c r="Q203" s="14" t="str">
        <f>+VLOOKUP(A203,Mapping!$A$1:$E$443,5,FALSE)</f>
        <v>Bank Charges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20">
        <f t="shared" si="2"/>
        <v>0</v>
      </c>
    </row>
    <row r="204" ht="11.25" customHeight="1">
      <c r="A204" s="15" t="s">
        <v>576</v>
      </c>
      <c r="B204" s="15" t="s">
        <v>577</v>
      </c>
      <c r="C204" s="15" t="s">
        <v>119</v>
      </c>
      <c r="D204" s="17">
        <v>0.0</v>
      </c>
      <c r="E204" s="17">
        <v>0.0</v>
      </c>
      <c r="F204" s="17">
        <v>0.0</v>
      </c>
      <c r="G204" s="17">
        <v>0.0</v>
      </c>
      <c r="H204" s="17">
        <v>0.0</v>
      </c>
      <c r="I204" s="17">
        <v>0.0</v>
      </c>
      <c r="J204" s="17">
        <v>0.0</v>
      </c>
      <c r="K204" s="17">
        <v>0.0</v>
      </c>
      <c r="L204" s="17">
        <v>0.0</v>
      </c>
      <c r="M204" s="17">
        <v>0.0</v>
      </c>
      <c r="N204" s="17">
        <v>0.0</v>
      </c>
      <c r="O204" s="17">
        <v>0.0</v>
      </c>
      <c r="P204" s="17">
        <f t="shared" si="1"/>
        <v>0</v>
      </c>
      <c r="Q204" s="14" t="str">
        <f>+VLOOKUP(A204,Mapping!$A$1:$E$443,5,FALSE)</f>
        <v>Bank Charges</v>
      </c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20">
        <f t="shared" si="2"/>
        <v>0</v>
      </c>
    </row>
    <row r="205" ht="11.25" customHeight="1">
      <c r="A205" s="15" t="s">
        <v>578</v>
      </c>
      <c r="B205" s="15" t="s">
        <v>577</v>
      </c>
      <c r="C205" s="15" t="s">
        <v>119</v>
      </c>
      <c r="D205" s="17">
        <v>0.0</v>
      </c>
      <c r="E205" s="17">
        <v>0.0</v>
      </c>
      <c r="F205" s="17">
        <v>0.0</v>
      </c>
      <c r="G205" s="17">
        <v>0.0</v>
      </c>
      <c r="H205" s="17">
        <v>0.0</v>
      </c>
      <c r="I205" s="17">
        <v>0.0</v>
      </c>
      <c r="J205" s="17">
        <v>0.0</v>
      </c>
      <c r="K205" s="17">
        <v>0.0</v>
      </c>
      <c r="L205" s="17">
        <v>0.0</v>
      </c>
      <c r="M205" s="17">
        <v>0.0</v>
      </c>
      <c r="N205" s="17">
        <v>0.0</v>
      </c>
      <c r="O205" s="17">
        <v>0.0</v>
      </c>
      <c r="P205" s="17">
        <f t="shared" si="1"/>
        <v>0</v>
      </c>
      <c r="Q205" s="14" t="str">
        <f>+VLOOKUP(A205,Mapping!$A$1:$E$443,5,FALSE)</f>
        <v>Bank Charges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20">
        <f t="shared" si="2"/>
        <v>0</v>
      </c>
    </row>
    <row r="206" ht="11.25" customHeight="1">
      <c r="A206" s="15" t="s">
        <v>579</v>
      </c>
      <c r="B206" s="15" t="s">
        <v>580</v>
      </c>
      <c r="C206" s="15" t="s">
        <v>119</v>
      </c>
      <c r="D206" s="17">
        <v>0.0</v>
      </c>
      <c r="E206" s="17">
        <v>39.48</v>
      </c>
      <c r="F206" s="17">
        <v>78.95</v>
      </c>
      <c r="G206" s="17">
        <v>78.95</v>
      </c>
      <c r="H206" s="17">
        <v>78.95</v>
      </c>
      <c r="I206" s="17">
        <v>78.95</v>
      </c>
      <c r="J206" s="17">
        <v>78.95</v>
      </c>
      <c r="K206" s="17">
        <v>78.95</v>
      </c>
      <c r="L206" s="17">
        <v>78.95</v>
      </c>
      <c r="M206" s="17">
        <v>78.94</v>
      </c>
      <c r="N206" s="17">
        <v>78.94</v>
      </c>
      <c r="O206" s="17">
        <v>0.0</v>
      </c>
      <c r="P206" s="17">
        <f t="shared" si="1"/>
        <v>750.01</v>
      </c>
      <c r="Q206" s="14" t="str">
        <f>+VLOOKUP(A206,Mapping!$A$1:$E$443,5,FALSE)</f>
        <v>Aftercare Exp</v>
      </c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20">
        <f t="shared" si="2"/>
        <v>0</v>
      </c>
    </row>
    <row r="207" ht="11.25" customHeight="1">
      <c r="A207" s="15" t="s">
        <v>582</v>
      </c>
      <c r="B207" s="15" t="s">
        <v>583</v>
      </c>
      <c r="C207" s="15" t="s">
        <v>119</v>
      </c>
      <c r="D207" s="17">
        <v>291.67</v>
      </c>
      <c r="E207" s="17">
        <v>291.67</v>
      </c>
      <c r="F207" s="17">
        <v>291.67</v>
      </c>
      <c r="G207" s="17">
        <v>291.67</v>
      </c>
      <c r="H207" s="17">
        <v>291.67</v>
      </c>
      <c r="I207" s="17">
        <v>291.67</v>
      </c>
      <c r="J207" s="17">
        <v>291.67</v>
      </c>
      <c r="K207" s="17">
        <v>291.67</v>
      </c>
      <c r="L207" s="17">
        <v>291.67</v>
      </c>
      <c r="M207" s="17">
        <v>291.67</v>
      </c>
      <c r="N207" s="17">
        <v>291.67</v>
      </c>
      <c r="O207" s="17">
        <v>291.67</v>
      </c>
      <c r="P207" s="17">
        <f t="shared" si="1"/>
        <v>3500.04</v>
      </c>
      <c r="Q207" s="14" t="str">
        <f>+VLOOKUP(A207,Mapping!$A$1:$E$443,5,FALSE)</f>
        <v>Telecommunications</v>
      </c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20">
        <f t="shared" si="2"/>
        <v>0</v>
      </c>
    </row>
    <row r="208" ht="11.25" customHeight="1">
      <c r="A208" s="15" t="s">
        <v>584</v>
      </c>
      <c r="B208" s="15" t="s">
        <v>583</v>
      </c>
      <c r="C208" s="15" t="s">
        <v>119</v>
      </c>
      <c r="D208" s="17">
        <v>0.0</v>
      </c>
      <c r="E208" s="17">
        <v>0.0</v>
      </c>
      <c r="F208" s="17">
        <v>0.0</v>
      </c>
      <c r="G208" s="17">
        <v>0.0</v>
      </c>
      <c r="H208" s="17">
        <v>0.0</v>
      </c>
      <c r="I208" s="17">
        <v>0.0</v>
      </c>
      <c r="J208" s="17">
        <v>0.0</v>
      </c>
      <c r="K208" s="17">
        <v>0.0</v>
      </c>
      <c r="L208" s="17">
        <v>0.0</v>
      </c>
      <c r="M208" s="17">
        <v>0.0</v>
      </c>
      <c r="N208" s="17">
        <v>0.0</v>
      </c>
      <c r="O208" s="17">
        <v>0.0</v>
      </c>
      <c r="P208" s="17">
        <f t="shared" si="1"/>
        <v>0</v>
      </c>
      <c r="Q208" s="14" t="str">
        <f>+VLOOKUP(A208,Mapping!$A$1:$E$443,5,FALSE)</f>
        <v>Telecommunications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20">
        <f t="shared" si="2"/>
        <v>0</v>
      </c>
    </row>
    <row r="209" ht="11.25" customHeight="1">
      <c r="A209" s="15" t="s">
        <v>585</v>
      </c>
      <c r="B209" s="15" t="s">
        <v>583</v>
      </c>
      <c r="C209" s="15" t="s">
        <v>119</v>
      </c>
      <c r="D209" s="17">
        <v>0.0</v>
      </c>
      <c r="E209" s="17">
        <v>0.0</v>
      </c>
      <c r="F209" s="17">
        <v>0.0</v>
      </c>
      <c r="G209" s="17">
        <v>0.0</v>
      </c>
      <c r="H209" s="17">
        <v>0.0</v>
      </c>
      <c r="I209" s="17">
        <v>0.0</v>
      </c>
      <c r="J209" s="17">
        <v>0.0</v>
      </c>
      <c r="K209" s="17">
        <v>0.0</v>
      </c>
      <c r="L209" s="17">
        <v>0.0</v>
      </c>
      <c r="M209" s="17">
        <v>0.0</v>
      </c>
      <c r="N209" s="17">
        <v>0.0</v>
      </c>
      <c r="O209" s="17">
        <v>0.0</v>
      </c>
      <c r="P209" s="17">
        <f t="shared" si="1"/>
        <v>0</v>
      </c>
      <c r="Q209" s="14" t="str">
        <f>+VLOOKUP(A209,Mapping!$A$1:$E$443,5,FALSE)</f>
        <v>Telecommunications</v>
      </c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20">
        <f t="shared" si="2"/>
        <v>0</v>
      </c>
    </row>
    <row r="210" ht="11.25" customHeight="1">
      <c r="A210" s="15" t="s">
        <v>586</v>
      </c>
      <c r="B210" s="15" t="s">
        <v>587</v>
      </c>
      <c r="C210" s="15" t="s">
        <v>119</v>
      </c>
      <c r="D210" s="17">
        <v>0.0</v>
      </c>
      <c r="E210" s="17">
        <v>0.0</v>
      </c>
      <c r="F210" s="17">
        <v>0.0</v>
      </c>
      <c r="G210" s="17">
        <v>0.0</v>
      </c>
      <c r="H210" s="17">
        <v>0.0</v>
      </c>
      <c r="I210" s="17">
        <v>0.0</v>
      </c>
      <c r="J210" s="17">
        <v>0.0</v>
      </c>
      <c r="K210" s="17">
        <v>0.0</v>
      </c>
      <c r="L210" s="17">
        <v>0.0</v>
      </c>
      <c r="M210" s="17">
        <v>0.0</v>
      </c>
      <c r="N210" s="17">
        <v>0.0</v>
      </c>
      <c r="O210" s="17">
        <v>0.0</v>
      </c>
      <c r="P210" s="17">
        <f t="shared" si="1"/>
        <v>0</v>
      </c>
      <c r="Q210" s="14" t="str">
        <f>+VLOOKUP(A210,Mapping!$A$1:$E$443,5,FALSE)</f>
        <v>Telecommunications</v>
      </c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20">
        <f t="shared" si="2"/>
        <v>0</v>
      </c>
    </row>
    <row r="211" ht="11.25" customHeight="1">
      <c r="A211" s="15" t="s">
        <v>588</v>
      </c>
      <c r="B211" s="15" t="s">
        <v>589</v>
      </c>
      <c r="C211" s="15" t="s">
        <v>119</v>
      </c>
      <c r="D211" s="17">
        <v>0.0</v>
      </c>
      <c r="E211" s="17">
        <v>0.0</v>
      </c>
      <c r="F211" s="17">
        <v>0.0</v>
      </c>
      <c r="G211" s="17">
        <v>0.0</v>
      </c>
      <c r="H211" s="17">
        <v>0.0</v>
      </c>
      <c r="I211" s="17">
        <v>0.0</v>
      </c>
      <c r="J211" s="17">
        <v>0.0</v>
      </c>
      <c r="K211" s="17">
        <v>0.0</v>
      </c>
      <c r="L211" s="17">
        <v>0.0</v>
      </c>
      <c r="M211" s="17">
        <v>0.0</v>
      </c>
      <c r="N211" s="17">
        <v>0.0</v>
      </c>
      <c r="O211" s="17">
        <v>0.0</v>
      </c>
      <c r="P211" s="17">
        <f t="shared" si="1"/>
        <v>0</v>
      </c>
      <c r="Q211" s="14" t="str">
        <f>+VLOOKUP(A211,Mapping!$A$1:$E$443,5,FALSE)</f>
        <v>Telecommunications</v>
      </c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20">
        <f t="shared" si="2"/>
        <v>0</v>
      </c>
    </row>
    <row r="212" ht="11.25" customHeight="1">
      <c r="A212" s="15" t="s">
        <v>590</v>
      </c>
      <c r="B212" s="15" t="s">
        <v>591</v>
      </c>
      <c r="C212" s="15" t="s">
        <v>119</v>
      </c>
      <c r="D212" s="17">
        <v>291.67</v>
      </c>
      <c r="E212" s="17">
        <v>291.67</v>
      </c>
      <c r="F212" s="17">
        <v>291.67</v>
      </c>
      <c r="G212" s="17">
        <v>291.67</v>
      </c>
      <c r="H212" s="17">
        <v>291.67</v>
      </c>
      <c r="I212" s="17">
        <v>291.67</v>
      </c>
      <c r="J212" s="17">
        <v>291.67</v>
      </c>
      <c r="K212" s="17">
        <v>291.67</v>
      </c>
      <c r="L212" s="17">
        <v>291.67</v>
      </c>
      <c r="M212" s="17">
        <v>291.67</v>
      </c>
      <c r="N212" s="17">
        <v>291.67</v>
      </c>
      <c r="O212" s="17">
        <v>291.67</v>
      </c>
      <c r="P212" s="17">
        <f t="shared" si="1"/>
        <v>3500.04</v>
      </c>
      <c r="Q212" s="14" t="str">
        <f>+VLOOKUP(A212,Mapping!$A$1:$E$443,5,FALSE)</f>
        <v>Telecommunications</v>
      </c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20">
        <f t="shared" si="2"/>
        <v>0</v>
      </c>
    </row>
    <row r="213" ht="11.25" customHeight="1">
      <c r="A213" s="15" t="s">
        <v>592</v>
      </c>
      <c r="B213" s="15" t="s">
        <v>593</v>
      </c>
      <c r="C213" s="15" t="s">
        <v>119</v>
      </c>
      <c r="D213" s="17">
        <v>0.0</v>
      </c>
      <c r="E213" s="17">
        <v>0.0</v>
      </c>
      <c r="F213" s="17">
        <v>0.0</v>
      </c>
      <c r="G213" s="17">
        <v>0.0</v>
      </c>
      <c r="H213" s="17">
        <v>0.0</v>
      </c>
      <c r="I213" s="17">
        <v>0.0</v>
      </c>
      <c r="J213" s="17">
        <v>0.0</v>
      </c>
      <c r="K213" s="17">
        <v>0.0</v>
      </c>
      <c r="L213" s="17">
        <v>0.0</v>
      </c>
      <c r="M213" s="17">
        <v>0.0</v>
      </c>
      <c r="N213" s="17">
        <v>0.0</v>
      </c>
      <c r="O213" s="17">
        <v>0.0</v>
      </c>
      <c r="P213" s="17">
        <f t="shared" si="1"/>
        <v>0</v>
      </c>
      <c r="Q213" s="14" t="str">
        <f>+VLOOKUP(A213,Mapping!$A$1:$E$443,5,FALSE)</f>
        <v>Telecommunications</v>
      </c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20">
        <f t="shared" si="2"/>
        <v>0</v>
      </c>
    </row>
    <row r="214" ht="11.25" customHeight="1">
      <c r="A214" s="15" t="s">
        <v>595</v>
      </c>
      <c r="B214" s="15" t="s">
        <v>596</v>
      </c>
      <c r="C214" s="15" t="s">
        <v>119</v>
      </c>
      <c r="D214" s="17">
        <v>0.0</v>
      </c>
      <c r="E214" s="17">
        <v>39.47</v>
      </c>
      <c r="F214" s="17">
        <v>78.95</v>
      </c>
      <c r="G214" s="17">
        <v>78.95</v>
      </c>
      <c r="H214" s="17">
        <v>78.95</v>
      </c>
      <c r="I214" s="17">
        <v>78.95</v>
      </c>
      <c r="J214" s="17">
        <v>78.95</v>
      </c>
      <c r="K214" s="17">
        <v>78.95</v>
      </c>
      <c r="L214" s="17">
        <v>78.95</v>
      </c>
      <c r="M214" s="17">
        <v>78.95</v>
      </c>
      <c r="N214" s="17">
        <v>78.93</v>
      </c>
      <c r="O214" s="17">
        <v>0.0</v>
      </c>
      <c r="P214" s="17">
        <f t="shared" si="1"/>
        <v>750</v>
      </c>
      <c r="Q214" s="14" t="str">
        <f>+VLOOKUP(A214,Mapping!$A$1:$E$443,5,FALSE)</f>
        <v>Postage</v>
      </c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20">
        <f t="shared" si="2"/>
        <v>0</v>
      </c>
    </row>
    <row r="215" ht="11.25" customHeight="1">
      <c r="A215" s="15" t="s">
        <v>597</v>
      </c>
      <c r="B215" s="15" t="s">
        <v>596</v>
      </c>
      <c r="C215" s="15" t="s">
        <v>119</v>
      </c>
      <c r="D215" s="17">
        <v>0.0</v>
      </c>
      <c r="E215" s="17">
        <v>0.0</v>
      </c>
      <c r="F215" s="17">
        <v>0.0</v>
      </c>
      <c r="G215" s="17">
        <v>0.0</v>
      </c>
      <c r="H215" s="17">
        <v>0.0</v>
      </c>
      <c r="I215" s="17">
        <v>0.0</v>
      </c>
      <c r="J215" s="17">
        <v>0.0</v>
      </c>
      <c r="K215" s="17">
        <v>0.0</v>
      </c>
      <c r="L215" s="17">
        <v>0.0</v>
      </c>
      <c r="M215" s="17">
        <v>0.0</v>
      </c>
      <c r="N215" s="17">
        <v>0.0</v>
      </c>
      <c r="O215" s="17">
        <v>0.0</v>
      </c>
      <c r="P215" s="17">
        <f t="shared" si="1"/>
        <v>0</v>
      </c>
      <c r="Q215" s="14" t="str">
        <f>+VLOOKUP(A215,Mapping!$A$1:$E$443,5,FALSE)</f>
        <v>Postage</v>
      </c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20">
        <f t="shared" si="2"/>
        <v>0</v>
      </c>
    </row>
    <row r="216" ht="11.25" customHeight="1">
      <c r="A216" s="15" t="s">
        <v>598</v>
      </c>
      <c r="B216" s="15" t="s">
        <v>596</v>
      </c>
      <c r="C216" s="15" t="s">
        <v>119</v>
      </c>
      <c r="D216" s="17">
        <v>0.0</v>
      </c>
      <c r="E216" s="17">
        <v>0.0</v>
      </c>
      <c r="F216" s="17">
        <v>0.0</v>
      </c>
      <c r="G216" s="17">
        <v>0.0</v>
      </c>
      <c r="H216" s="17">
        <v>0.0</v>
      </c>
      <c r="I216" s="17">
        <v>0.0</v>
      </c>
      <c r="J216" s="17">
        <v>0.0</v>
      </c>
      <c r="K216" s="17">
        <v>0.0</v>
      </c>
      <c r="L216" s="17">
        <v>0.0</v>
      </c>
      <c r="M216" s="17">
        <v>0.0</v>
      </c>
      <c r="N216" s="17">
        <v>0.0</v>
      </c>
      <c r="O216" s="17">
        <v>0.0</v>
      </c>
      <c r="P216" s="17">
        <f t="shared" si="1"/>
        <v>0</v>
      </c>
      <c r="Q216" s="14" t="str">
        <f>+VLOOKUP(A216,Mapping!$A$1:$E$443,5,FALSE)</f>
        <v>Postage</v>
      </c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20">
        <f t="shared" si="2"/>
        <v>0</v>
      </c>
    </row>
    <row r="217" ht="11.25" customHeight="1">
      <c r="A217" s="15" t="s">
        <v>599</v>
      </c>
      <c r="B217" s="15" t="s">
        <v>600</v>
      </c>
      <c r="C217" s="15" t="s">
        <v>119</v>
      </c>
      <c r="D217" s="17">
        <v>3916.67</v>
      </c>
      <c r="E217" s="17">
        <v>3916.67</v>
      </c>
      <c r="F217" s="17">
        <v>3916.67</v>
      </c>
      <c r="G217" s="17">
        <v>3916.67</v>
      </c>
      <c r="H217" s="17">
        <v>3916.67</v>
      </c>
      <c r="I217" s="17">
        <v>3916.67</v>
      </c>
      <c r="J217" s="17">
        <v>3916.67</v>
      </c>
      <c r="K217" s="17">
        <v>3916.67</v>
      </c>
      <c r="L217" s="17">
        <v>3916.67</v>
      </c>
      <c r="M217" s="17">
        <v>3916.67</v>
      </c>
      <c r="N217" s="17">
        <v>3916.67</v>
      </c>
      <c r="O217" s="17">
        <v>3916.67</v>
      </c>
      <c r="P217" s="17">
        <f t="shared" si="1"/>
        <v>47000.04</v>
      </c>
      <c r="Q217" s="14" t="str">
        <f>+VLOOKUP(A217,Mapping!$A$1:$E$443,5,FALSE)</f>
        <v>Fixed Occupancy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20">
        <f t="shared" si="2"/>
        <v>0</v>
      </c>
    </row>
    <row r="218" ht="11.25" customHeight="1">
      <c r="A218" s="15" t="s">
        <v>602</v>
      </c>
      <c r="B218" s="15" t="s">
        <v>600</v>
      </c>
      <c r="C218" s="15" t="s">
        <v>119</v>
      </c>
      <c r="D218" s="17">
        <v>0.0</v>
      </c>
      <c r="E218" s="17">
        <v>0.0</v>
      </c>
      <c r="F218" s="17">
        <v>0.0</v>
      </c>
      <c r="G218" s="17">
        <v>0.0</v>
      </c>
      <c r="H218" s="17">
        <v>0.0</v>
      </c>
      <c r="I218" s="17">
        <v>0.0</v>
      </c>
      <c r="J218" s="17">
        <v>0.0</v>
      </c>
      <c r="K218" s="17">
        <v>0.0</v>
      </c>
      <c r="L218" s="17">
        <v>0.0</v>
      </c>
      <c r="M218" s="17">
        <v>0.0</v>
      </c>
      <c r="N218" s="17">
        <v>0.0</v>
      </c>
      <c r="O218" s="17">
        <v>0.0</v>
      </c>
      <c r="P218" s="17">
        <f t="shared" si="1"/>
        <v>0</v>
      </c>
      <c r="Q218" s="14" t="str">
        <f>+VLOOKUP(A218,Mapping!$A$1:$E$443,5,FALSE)</f>
        <v>Fixed Occupancy</v>
      </c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20">
        <f t="shared" si="2"/>
        <v>0</v>
      </c>
    </row>
    <row r="219" ht="11.25" customHeight="1">
      <c r="A219" s="15" t="s">
        <v>603</v>
      </c>
      <c r="B219" s="15" t="s">
        <v>600</v>
      </c>
      <c r="C219" s="15" t="s">
        <v>119</v>
      </c>
      <c r="D219" s="17">
        <v>0.0</v>
      </c>
      <c r="E219" s="17">
        <v>0.0</v>
      </c>
      <c r="F219" s="17">
        <v>0.0</v>
      </c>
      <c r="G219" s="17">
        <v>0.0</v>
      </c>
      <c r="H219" s="17">
        <v>0.0</v>
      </c>
      <c r="I219" s="17">
        <v>0.0</v>
      </c>
      <c r="J219" s="17">
        <v>0.0</v>
      </c>
      <c r="K219" s="17">
        <v>0.0</v>
      </c>
      <c r="L219" s="17">
        <v>0.0</v>
      </c>
      <c r="M219" s="17">
        <v>0.0</v>
      </c>
      <c r="N219" s="17">
        <v>0.0</v>
      </c>
      <c r="O219" s="17">
        <v>0.0</v>
      </c>
      <c r="P219" s="17">
        <f t="shared" si="1"/>
        <v>0</v>
      </c>
      <c r="Q219" s="14" t="str">
        <f>+VLOOKUP(A219,Mapping!$A$1:$E$443,5,FALSE)</f>
        <v>Fixed Occupancy</v>
      </c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20">
        <f t="shared" si="2"/>
        <v>0</v>
      </c>
    </row>
    <row r="220" ht="11.25" customHeight="1">
      <c r="A220" s="15" t="s">
        <v>604</v>
      </c>
      <c r="B220" s="15" t="s">
        <v>605</v>
      </c>
      <c r="C220" s="15" t="s">
        <v>119</v>
      </c>
      <c r="D220" s="17">
        <v>0.0</v>
      </c>
      <c r="E220" s="17">
        <v>0.0</v>
      </c>
      <c r="F220" s="17">
        <v>0.0</v>
      </c>
      <c r="G220" s="17">
        <v>0.0</v>
      </c>
      <c r="H220" s="17">
        <v>0.0</v>
      </c>
      <c r="I220" s="17">
        <v>0.0</v>
      </c>
      <c r="J220" s="17">
        <v>0.0</v>
      </c>
      <c r="K220" s="17">
        <v>0.0</v>
      </c>
      <c r="L220" s="17">
        <v>0.0</v>
      </c>
      <c r="M220" s="17">
        <v>0.0</v>
      </c>
      <c r="N220" s="17">
        <v>0.0</v>
      </c>
      <c r="O220" s="17">
        <v>0.0</v>
      </c>
      <c r="P220" s="17">
        <f t="shared" si="1"/>
        <v>0</v>
      </c>
      <c r="Q220" s="14" t="str">
        <f>+VLOOKUP(A220,Mapping!$A$1:$E$443,5,FALSE)</f>
        <v>Fixed Occupancy</v>
      </c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20">
        <f t="shared" si="2"/>
        <v>0</v>
      </c>
    </row>
    <row r="221" ht="11.25" customHeight="1">
      <c r="A221" s="15" t="s">
        <v>606</v>
      </c>
      <c r="B221" s="15" t="s">
        <v>607</v>
      </c>
      <c r="C221" s="15" t="s">
        <v>119</v>
      </c>
      <c r="D221" s="17">
        <v>0.0</v>
      </c>
      <c r="E221" s="17">
        <v>0.0</v>
      </c>
      <c r="F221" s="17">
        <v>0.0</v>
      </c>
      <c r="G221" s="17">
        <v>0.0</v>
      </c>
      <c r="H221" s="17">
        <v>0.0</v>
      </c>
      <c r="I221" s="17">
        <v>0.0</v>
      </c>
      <c r="J221" s="17">
        <v>0.0</v>
      </c>
      <c r="K221" s="17">
        <v>0.0</v>
      </c>
      <c r="L221" s="17">
        <v>0.0</v>
      </c>
      <c r="M221" s="17">
        <v>0.0</v>
      </c>
      <c r="N221" s="17">
        <v>0.0</v>
      </c>
      <c r="O221" s="17">
        <v>0.0</v>
      </c>
      <c r="P221" s="17">
        <f t="shared" si="1"/>
        <v>0</v>
      </c>
      <c r="Q221" s="14" t="str">
        <f>+VLOOKUP(A221,Mapping!$A$1:$E$443,5,FALSE)</f>
        <v>Fixed Occupancy</v>
      </c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20">
        <f t="shared" si="2"/>
        <v>0</v>
      </c>
    </row>
    <row r="222" ht="11.25" customHeight="1">
      <c r="A222" s="15" t="s">
        <v>608</v>
      </c>
      <c r="B222" s="15" t="s">
        <v>609</v>
      </c>
      <c r="C222" s="15" t="s">
        <v>119</v>
      </c>
      <c r="D222" s="17">
        <v>0.0</v>
      </c>
      <c r="E222" s="17">
        <v>0.0</v>
      </c>
      <c r="F222" s="17">
        <v>0.0</v>
      </c>
      <c r="G222" s="17">
        <v>0.0</v>
      </c>
      <c r="H222" s="17">
        <v>0.0</v>
      </c>
      <c r="I222" s="17">
        <v>0.0</v>
      </c>
      <c r="J222" s="17">
        <v>0.0</v>
      </c>
      <c r="K222" s="17">
        <v>0.0</v>
      </c>
      <c r="L222" s="17">
        <v>0.0</v>
      </c>
      <c r="M222" s="17">
        <v>0.0</v>
      </c>
      <c r="N222" s="17">
        <v>0.0</v>
      </c>
      <c r="O222" s="17">
        <v>0.0</v>
      </c>
      <c r="P222" s="17">
        <f t="shared" si="1"/>
        <v>0</v>
      </c>
      <c r="Q222" s="14" t="str">
        <f>+VLOOKUP(A222,Mapping!$A$1:$E$443,5,FALSE)</f>
        <v>Fixed Occupancy</v>
      </c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20">
        <f t="shared" si="2"/>
        <v>0</v>
      </c>
    </row>
    <row r="223" ht="11.25" customHeight="1">
      <c r="A223" s="15" t="s">
        <v>610</v>
      </c>
      <c r="B223" s="15" t="s">
        <v>611</v>
      </c>
      <c r="C223" s="15" t="s">
        <v>119</v>
      </c>
      <c r="D223" s="17">
        <v>0.0</v>
      </c>
      <c r="E223" s="17">
        <v>0.0</v>
      </c>
      <c r="F223" s="17">
        <v>0.0</v>
      </c>
      <c r="G223" s="17">
        <v>0.0</v>
      </c>
      <c r="H223" s="17">
        <v>0.0</v>
      </c>
      <c r="I223" s="17">
        <v>0.0</v>
      </c>
      <c r="J223" s="17">
        <v>0.0</v>
      </c>
      <c r="K223" s="17">
        <v>0.0</v>
      </c>
      <c r="L223" s="17">
        <v>0.0</v>
      </c>
      <c r="M223" s="17">
        <v>0.0</v>
      </c>
      <c r="N223" s="17">
        <v>0.0</v>
      </c>
      <c r="O223" s="17">
        <v>0.0</v>
      </c>
      <c r="P223" s="17">
        <f t="shared" si="1"/>
        <v>0</v>
      </c>
      <c r="Q223" s="14" t="str">
        <f>+VLOOKUP(A223,Mapping!$A$1:$E$443,5,FALSE)</f>
        <v>Fixed Occupancy</v>
      </c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20">
        <f t="shared" si="2"/>
        <v>0</v>
      </c>
    </row>
    <row r="224" ht="11.25" customHeight="1">
      <c r="A224" s="15" t="s">
        <v>612</v>
      </c>
      <c r="B224" s="15" t="s">
        <v>613</v>
      </c>
      <c r="C224" s="15" t="s">
        <v>119</v>
      </c>
      <c r="D224" s="17">
        <v>0.0</v>
      </c>
      <c r="E224" s="17">
        <v>0.0</v>
      </c>
      <c r="F224" s="17">
        <v>0.0</v>
      </c>
      <c r="G224" s="17">
        <v>0.0</v>
      </c>
      <c r="H224" s="17">
        <v>0.0</v>
      </c>
      <c r="I224" s="17">
        <v>0.0</v>
      </c>
      <c r="J224" s="17">
        <v>0.0</v>
      </c>
      <c r="K224" s="17">
        <v>0.0</v>
      </c>
      <c r="L224" s="17">
        <v>0.0</v>
      </c>
      <c r="M224" s="17">
        <v>0.0</v>
      </c>
      <c r="N224" s="17">
        <v>0.0</v>
      </c>
      <c r="O224" s="17">
        <v>0.0</v>
      </c>
      <c r="P224" s="17">
        <f t="shared" si="1"/>
        <v>0</v>
      </c>
      <c r="Q224" s="14" t="str">
        <f>+VLOOKUP(A224,Mapping!$A$1:$E$443,5,FALSE)</f>
        <v>Fixed Occupancy</v>
      </c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20">
        <f t="shared" si="2"/>
        <v>0</v>
      </c>
    </row>
    <row r="225" ht="11.25" customHeight="1">
      <c r="A225" s="15" t="s">
        <v>614</v>
      </c>
      <c r="B225" s="15" t="s">
        <v>615</v>
      </c>
      <c r="C225" s="15" t="s">
        <v>119</v>
      </c>
      <c r="D225" s="17">
        <v>0.0</v>
      </c>
      <c r="E225" s="17">
        <v>0.0</v>
      </c>
      <c r="F225" s="17">
        <v>0.0</v>
      </c>
      <c r="G225" s="17">
        <v>0.0</v>
      </c>
      <c r="H225" s="17">
        <v>0.0</v>
      </c>
      <c r="I225" s="17">
        <v>0.0</v>
      </c>
      <c r="J225" s="17">
        <v>0.0</v>
      </c>
      <c r="K225" s="17">
        <v>0.0</v>
      </c>
      <c r="L225" s="17">
        <v>0.0</v>
      </c>
      <c r="M225" s="17">
        <v>0.0</v>
      </c>
      <c r="N225" s="17">
        <v>0.0</v>
      </c>
      <c r="O225" s="17">
        <v>0.0</v>
      </c>
      <c r="P225" s="17">
        <f t="shared" si="1"/>
        <v>0</v>
      </c>
      <c r="Q225" s="14" t="str">
        <f>+VLOOKUP(A225,Mapping!$A$1:$E$443,5,FALSE)</f>
        <v>Fixed Occupancy</v>
      </c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20">
        <f t="shared" si="2"/>
        <v>0</v>
      </c>
    </row>
    <row r="226" ht="11.25" customHeight="1">
      <c r="A226" s="15" t="s">
        <v>616</v>
      </c>
      <c r="B226" s="15" t="s">
        <v>617</v>
      </c>
      <c r="C226" s="15" t="s">
        <v>119</v>
      </c>
      <c r="D226" s="17">
        <v>333.33</v>
      </c>
      <c r="E226" s="17">
        <v>333.33</v>
      </c>
      <c r="F226" s="17">
        <v>333.33</v>
      </c>
      <c r="G226" s="17">
        <v>333.33</v>
      </c>
      <c r="H226" s="17">
        <v>333.33</v>
      </c>
      <c r="I226" s="17">
        <v>333.33</v>
      </c>
      <c r="J226" s="17">
        <v>333.33</v>
      </c>
      <c r="K226" s="17">
        <v>333.33</v>
      </c>
      <c r="L226" s="17">
        <v>333.33</v>
      </c>
      <c r="M226" s="17">
        <v>333.33</v>
      </c>
      <c r="N226" s="17">
        <v>333.33</v>
      </c>
      <c r="O226" s="17">
        <v>333.33</v>
      </c>
      <c r="P226" s="17">
        <f t="shared" si="1"/>
        <v>3999.96</v>
      </c>
      <c r="Q226" s="14" t="str">
        <f>+VLOOKUP(A226,Mapping!$A$1:$E$443,5,FALSE)</f>
        <v>Variable Occupancy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20">
        <f t="shared" si="2"/>
        <v>0</v>
      </c>
    </row>
    <row r="227" ht="11.25" customHeight="1">
      <c r="A227" s="15" t="s">
        <v>618</v>
      </c>
      <c r="B227" s="15" t="s">
        <v>619</v>
      </c>
      <c r="C227" s="15" t="s">
        <v>119</v>
      </c>
      <c r="D227" s="17">
        <v>250.0</v>
      </c>
      <c r="E227" s="17">
        <v>250.0</v>
      </c>
      <c r="F227" s="17">
        <v>250.0</v>
      </c>
      <c r="G227" s="17">
        <v>250.0</v>
      </c>
      <c r="H227" s="17">
        <v>250.0</v>
      </c>
      <c r="I227" s="17">
        <v>250.0</v>
      </c>
      <c r="J227" s="17">
        <v>250.0</v>
      </c>
      <c r="K227" s="17">
        <v>250.0</v>
      </c>
      <c r="L227" s="17">
        <v>250.0</v>
      </c>
      <c r="M227" s="17">
        <v>250.0</v>
      </c>
      <c r="N227" s="17">
        <v>250.0</v>
      </c>
      <c r="O227" s="17">
        <v>250.0</v>
      </c>
      <c r="P227" s="17">
        <f t="shared" si="1"/>
        <v>3000</v>
      </c>
      <c r="Q227" s="14" t="str">
        <f>+VLOOKUP(A227,Mapping!$A$1:$E$443,5,FALSE)</f>
        <v>Variable Occupancy</v>
      </c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20">
        <f t="shared" si="2"/>
        <v>0</v>
      </c>
    </row>
    <row r="228" ht="11.25" customHeight="1">
      <c r="A228" s="15" t="s">
        <v>620</v>
      </c>
      <c r="B228" s="15" t="s">
        <v>621</v>
      </c>
      <c r="C228" s="15" t="s">
        <v>119</v>
      </c>
      <c r="D228" s="17">
        <v>0.0</v>
      </c>
      <c r="E228" s="17">
        <v>0.0</v>
      </c>
      <c r="F228" s="17">
        <v>0.0</v>
      </c>
      <c r="G228" s="17">
        <v>833.33</v>
      </c>
      <c r="H228" s="17">
        <v>833.33</v>
      </c>
      <c r="I228" s="17">
        <v>833.33</v>
      </c>
      <c r="J228" s="17">
        <v>833.33</v>
      </c>
      <c r="K228" s="17">
        <v>833.33</v>
      </c>
      <c r="L228" s="17">
        <v>833.33</v>
      </c>
      <c r="M228" s="17">
        <v>0.0</v>
      </c>
      <c r="N228" s="17">
        <v>0.0</v>
      </c>
      <c r="O228" s="17">
        <v>0.0</v>
      </c>
      <c r="P228" s="17">
        <f t="shared" si="1"/>
        <v>4999.98</v>
      </c>
      <c r="Q228" s="14" t="str">
        <f>+VLOOKUP(A228,Mapping!$A$1:$E$443,5,FALSE)</f>
        <v>Variable Occupancy</v>
      </c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20">
        <f t="shared" si="2"/>
        <v>0</v>
      </c>
    </row>
    <row r="229" ht="11.25" customHeight="1">
      <c r="A229" s="15" t="s">
        <v>622</v>
      </c>
      <c r="B229" s="15" t="s">
        <v>623</v>
      </c>
      <c r="C229" s="15" t="s">
        <v>119</v>
      </c>
      <c r="D229" s="17">
        <v>2683.33</v>
      </c>
      <c r="E229" s="17">
        <v>2683.33</v>
      </c>
      <c r="F229" s="17">
        <v>2683.33</v>
      </c>
      <c r="G229" s="17">
        <v>1150.0</v>
      </c>
      <c r="H229" s="17">
        <v>1150.0</v>
      </c>
      <c r="I229" s="17">
        <v>1150.0</v>
      </c>
      <c r="J229" s="17">
        <v>1150.0</v>
      </c>
      <c r="K229" s="17">
        <v>1150.0</v>
      </c>
      <c r="L229" s="17">
        <v>1150.0</v>
      </c>
      <c r="M229" s="17">
        <v>2683.33</v>
      </c>
      <c r="N229" s="17">
        <v>2683.33</v>
      </c>
      <c r="O229" s="17">
        <v>2683.33</v>
      </c>
      <c r="P229" s="17">
        <f t="shared" si="1"/>
        <v>22999.98</v>
      </c>
      <c r="Q229" s="14" t="str">
        <f>+VLOOKUP(A229,Mapping!$A$1:$E$443,5,FALSE)</f>
        <v>Variable Occupancy</v>
      </c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20">
        <f t="shared" si="2"/>
        <v>0</v>
      </c>
    </row>
    <row r="230" ht="11.25" customHeight="1">
      <c r="A230" s="15" t="s">
        <v>624</v>
      </c>
      <c r="B230" s="15" t="s">
        <v>625</v>
      </c>
      <c r="C230" s="15" t="s">
        <v>119</v>
      </c>
      <c r="D230" s="17">
        <v>0.0</v>
      </c>
      <c r="E230" s="17">
        <v>0.0</v>
      </c>
      <c r="F230" s="17">
        <v>0.0</v>
      </c>
      <c r="G230" s="17">
        <v>0.0</v>
      </c>
      <c r="H230" s="17">
        <v>0.0</v>
      </c>
      <c r="I230" s="17">
        <v>0.0</v>
      </c>
      <c r="J230" s="17">
        <v>0.0</v>
      </c>
      <c r="K230" s="17">
        <v>0.0</v>
      </c>
      <c r="L230" s="17">
        <v>0.0</v>
      </c>
      <c r="M230" s="17">
        <v>0.0</v>
      </c>
      <c r="N230" s="17">
        <v>0.0</v>
      </c>
      <c r="O230" s="17">
        <v>0.0</v>
      </c>
      <c r="P230" s="17">
        <f t="shared" si="1"/>
        <v>0</v>
      </c>
      <c r="Q230" s="14" t="str">
        <f>+VLOOKUP(A230,Mapping!$A$1:$E$443,5,FALSE)</f>
        <v>Variable Occupancy</v>
      </c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20">
        <f t="shared" si="2"/>
        <v>0</v>
      </c>
    </row>
    <row r="231" ht="11.25" customHeight="1">
      <c r="A231" s="15" t="s">
        <v>628</v>
      </c>
      <c r="B231" s="15" t="s">
        <v>629</v>
      </c>
      <c r="C231" s="15" t="s">
        <v>119</v>
      </c>
      <c r="D231" s="17">
        <v>291.67</v>
      </c>
      <c r="E231" s="17">
        <v>291.67</v>
      </c>
      <c r="F231" s="17">
        <v>291.67</v>
      </c>
      <c r="G231" s="17">
        <v>291.67</v>
      </c>
      <c r="H231" s="17">
        <v>291.67</v>
      </c>
      <c r="I231" s="17">
        <v>291.67</v>
      </c>
      <c r="J231" s="17">
        <v>291.67</v>
      </c>
      <c r="K231" s="17">
        <v>291.67</v>
      </c>
      <c r="L231" s="17">
        <v>291.67</v>
      </c>
      <c r="M231" s="17">
        <v>291.67</v>
      </c>
      <c r="N231" s="17">
        <v>291.67</v>
      </c>
      <c r="O231" s="17">
        <v>291.67</v>
      </c>
      <c r="P231" s="17">
        <f t="shared" si="1"/>
        <v>3500.04</v>
      </c>
      <c r="Q231" s="14" t="str">
        <f>+VLOOKUP(A231,Mapping!$A$1:$E$443,5,FALSE)</f>
        <v>Equipment</v>
      </c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20">
        <f t="shared" si="2"/>
        <v>0</v>
      </c>
    </row>
    <row r="232" ht="11.25" customHeight="1">
      <c r="A232" s="15" t="s">
        <v>630</v>
      </c>
      <c r="B232" s="15" t="s">
        <v>631</v>
      </c>
      <c r="C232" s="15" t="s">
        <v>119</v>
      </c>
      <c r="D232" s="17">
        <v>150.0</v>
      </c>
      <c r="E232" s="17">
        <v>150.0</v>
      </c>
      <c r="F232" s="17">
        <v>150.0</v>
      </c>
      <c r="G232" s="17">
        <v>0.0</v>
      </c>
      <c r="H232" s="17">
        <v>0.0</v>
      </c>
      <c r="I232" s="17">
        <v>0.0</v>
      </c>
      <c r="J232" s="17">
        <v>0.0</v>
      </c>
      <c r="K232" s="17">
        <v>0.0</v>
      </c>
      <c r="L232" s="17">
        <v>0.0</v>
      </c>
      <c r="M232" s="17">
        <v>16.67</v>
      </c>
      <c r="N232" s="17">
        <v>16.67</v>
      </c>
      <c r="O232" s="17">
        <v>16.67</v>
      </c>
      <c r="P232" s="17">
        <f t="shared" si="1"/>
        <v>500.01</v>
      </c>
      <c r="Q232" s="14" t="str">
        <f>+VLOOKUP(A232,Mapping!$A$1:$E$443,5,FALSE)</f>
        <v>Equipment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20">
        <f t="shared" si="2"/>
        <v>0</v>
      </c>
    </row>
    <row r="233" ht="11.25" customHeight="1">
      <c r="A233" s="15" t="s">
        <v>632</v>
      </c>
      <c r="B233" s="15" t="s">
        <v>633</v>
      </c>
      <c r="C233" s="15" t="s">
        <v>119</v>
      </c>
      <c r="D233" s="17">
        <v>0.0</v>
      </c>
      <c r="E233" s="17">
        <v>0.0</v>
      </c>
      <c r="F233" s="17">
        <v>0.0</v>
      </c>
      <c r="G233" s="17">
        <v>0.0</v>
      </c>
      <c r="H233" s="17">
        <v>0.0</v>
      </c>
      <c r="I233" s="17">
        <v>0.0</v>
      </c>
      <c r="J233" s="17">
        <v>0.0</v>
      </c>
      <c r="K233" s="17">
        <v>0.0</v>
      </c>
      <c r="L233" s="17">
        <v>0.0</v>
      </c>
      <c r="M233" s="17">
        <v>0.0</v>
      </c>
      <c r="N233" s="17">
        <v>0.0</v>
      </c>
      <c r="O233" s="17">
        <v>0.0</v>
      </c>
      <c r="P233" s="17">
        <f t="shared" si="1"/>
        <v>0</v>
      </c>
      <c r="Q233" s="14" t="str">
        <f>+VLOOKUP(A233,Mapping!$A$1:$E$443,5,FALSE)</f>
        <v>Equipment</v>
      </c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20">
        <f t="shared" si="2"/>
        <v>0</v>
      </c>
    </row>
    <row r="234" ht="11.25" customHeight="1">
      <c r="A234" s="15" t="s">
        <v>634</v>
      </c>
      <c r="B234" s="15" t="s">
        <v>635</v>
      </c>
      <c r="C234" s="15" t="s">
        <v>119</v>
      </c>
      <c r="D234" s="17">
        <v>0.0</v>
      </c>
      <c r="E234" s="17">
        <v>0.0</v>
      </c>
      <c r="F234" s="17">
        <v>0.0</v>
      </c>
      <c r="G234" s="17">
        <v>0.0</v>
      </c>
      <c r="H234" s="17">
        <v>0.0</v>
      </c>
      <c r="I234" s="17">
        <v>0.0</v>
      </c>
      <c r="J234" s="17">
        <v>0.0</v>
      </c>
      <c r="K234" s="17">
        <v>0.0</v>
      </c>
      <c r="L234" s="17">
        <v>0.0</v>
      </c>
      <c r="M234" s="17">
        <v>0.0</v>
      </c>
      <c r="N234" s="17">
        <v>0.0</v>
      </c>
      <c r="O234" s="17">
        <v>0.0</v>
      </c>
      <c r="P234" s="17">
        <f t="shared" si="1"/>
        <v>0</v>
      </c>
      <c r="Q234" s="14" t="str">
        <f>+VLOOKUP(A234,Mapping!$A$1:$E$443,5,FALSE)</f>
        <v>Equipment</v>
      </c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20">
        <f t="shared" si="2"/>
        <v>0</v>
      </c>
    </row>
    <row r="235" ht="11.25" customHeight="1">
      <c r="A235" s="15" t="s">
        <v>636</v>
      </c>
      <c r="B235" s="15" t="s">
        <v>635</v>
      </c>
      <c r="C235" s="15" t="s">
        <v>119</v>
      </c>
      <c r="D235" s="17">
        <v>0.0</v>
      </c>
      <c r="E235" s="17">
        <v>0.0</v>
      </c>
      <c r="F235" s="17">
        <v>0.0</v>
      </c>
      <c r="G235" s="17">
        <v>0.0</v>
      </c>
      <c r="H235" s="17">
        <v>0.0</v>
      </c>
      <c r="I235" s="17">
        <v>0.0</v>
      </c>
      <c r="J235" s="17">
        <v>0.0</v>
      </c>
      <c r="K235" s="17">
        <v>0.0</v>
      </c>
      <c r="L235" s="17">
        <v>0.0</v>
      </c>
      <c r="M235" s="17">
        <v>0.0</v>
      </c>
      <c r="N235" s="17">
        <v>0.0</v>
      </c>
      <c r="O235" s="17">
        <v>0.0</v>
      </c>
      <c r="P235" s="17">
        <f t="shared" si="1"/>
        <v>0</v>
      </c>
      <c r="Q235" s="14" t="str">
        <f>+VLOOKUP(A235,Mapping!$A$1:$E$443,5,FALSE)</f>
        <v>Equipment</v>
      </c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20">
        <f t="shared" si="2"/>
        <v>0</v>
      </c>
    </row>
    <row r="236" ht="11.25" customHeight="1">
      <c r="A236" s="15" t="s">
        <v>639</v>
      </c>
      <c r="B236" s="15" t="s">
        <v>640</v>
      </c>
      <c r="C236" s="15" t="s">
        <v>119</v>
      </c>
      <c r="D236" s="17">
        <v>0.0</v>
      </c>
      <c r="E236" s="17">
        <v>0.0</v>
      </c>
      <c r="F236" s="17">
        <v>0.0</v>
      </c>
      <c r="G236" s="17">
        <v>0.0</v>
      </c>
      <c r="H236" s="17">
        <v>0.0</v>
      </c>
      <c r="I236" s="17">
        <v>0.0</v>
      </c>
      <c r="J236" s="17">
        <v>0.0</v>
      </c>
      <c r="K236" s="17">
        <v>0.0</v>
      </c>
      <c r="L236" s="17">
        <v>0.0</v>
      </c>
      <c r="M236" s="17">
        <v>0.0</v>
      </c>
      <c r="N236" s="17">
        <v>0.0</v>
      </c>
      <c r="O236" s="17">
        <v>0.0</v>
      </c>
      <c r="P236" s="17">
        <f t="shared" si="1"/>
        <v>0</v>
      </c>
      <c r="Q236" s="14" t="str">
        <f>+VLOOKUP(A236,Mapping!$A$1:$E$443,5,FALSE)</f>
        <v>Continuing Ed</v>
      </c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20">
        <f t="shared" si="2"/>
        <v>0</v>
      </c>
    </row>
    <row r="237" ht="11.25" customHeight="1">
      <c r="A237" s="15" t="s">
        <v>642</v>
      </c>
      <c r="B237" s="15" t="s">
        <v>643</v>
      </c>
      <c r="C237" s="15" t="s">
        <v>119</v>
      </c>
      <c r="D237" s="17">
        <v>0.0</v>
      </c>
      <c r="E237" s="17">
        <v>0.0</v>
      </c>
      <c r="F237" s="17">
        <v>0.0</v>
      </c>
      <c r="G237" s="17">
        <v>416.67</v>
      </c>
      <c r="H237" s="17">
        <v>416.67</v>
      </c>
      <c r="I237" s="17">
        <v>416.67</v>
      </c>
      <c r="J237" s="17">
        <v>416.67</v>
      </c>
      <c r="K237" s="17">
        <v>416.67</v>
      </c>
      <c r="L237" s="17">
        <v>416.67</v>
      </c>
      <c r="M237" s="17">
        <v>0.0</v>
      </c>
      <c r="N237" s="17">
        <v>0.0</v>
      </c>
      <c r="O237" s="17">
        <v>0.0</v>
      </c>
      <c r="P237" s="17">
        <f t="shared" si="1"/>
        <v>2500.02</v>
      </c>
      <c r="Q237" s="14" t="str">
        <f>+VLOOKUP(A237,Mapping!$A$1:$E$443,5,FALSE)</f>
        <v>Continuing Ed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20">
        <f t="shared" si="2"/>
        <v>0</v>
      </c>
    </row>
    <row r="238" ht="11.25" customHeight="1">
      <c r="A238" s="15" t="s">
        <v>644</v>
      </c>
      <c r="B238" s="15" t="s">
        <v>643</v>
      </c>
      <c r="C238" s="15" t="s">
        <v>119</v>
      </c>
      <c r="D238" s="17">
        <v>0.0</v>
      </c>
      <c r="E238" s="17">
        <v>0.0</v>
      </c>
      <c r="F238" s="17">
        <v>0.0</v>
      </c>
      <c r="G238" s="17">
        <v>0.0</v>
      </c>
      <c r="H238" s="17">
        <v>0.0</v>
      </c>
      <c r="I238" s="17">
        <v>0.0</v>
      </c>
      <c r="J238" s="17">
        <v>0.0</v>
      </c>
      <c r="K238" s="17">
        <v>0.0</v>
      </c>
      <c r="L238" s="17">
        <v>0.0</v>
      </c>
      <c r="M238" s="17">
        <v>0.0</v>
      </c>
      <c r="N238" s="17">
        <v>0.0</v>
      </c>
      <c r="O238" s="17">
        <v>0.0</v>
      </c>
      <c r="P238" s="17">
        <f t="shared" si="1"/>
        <v>0</v>
      </c>
      <c r="Q238" s="14" t="str">
        <f>+VLOOKUP(A238,Mapping!$A$1:$E$443,5,FALSE)</f>
        <v>Continuing Ed</v>
      </c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20">
        <f t="shared" si="2"/>
        <v>0</v>
      </c>
    </row>
    <row r="239" ht="11.25" customHeight="1">
      <c r="A239" s="15" t="s">
        <v>645</v>
      </c>
      <c r="B239" s="15" t="s">
        <v>643</v>
      </c>
      <c r="C239" s="15" t="s">
        <v>119</v>
      </c>
      <c r="D239" s="17">
        <v>0.0</v>
      </c>
      <c r="E239" s="17">
        <v>0.0</v>
      </c>
      <c r="F239" s="17">
        <v>0.0</v>
      </c>
      <c r="G239" s="17">
        <v>0.0</v>
      </c>
      <c r="H239" s="17">
        <v>0.0</v>
      </c>
      <c r="I239" s="17">
        <v>0.0</v>
      </c>
      <c r="J239" s="17">
        <v>0.0</v>
      </c>
      <c r="K239" s="17">
        <v>0.0</v>
      </c>
      <c r="L239" s="17">
        <v>0.0</v>
      </c>
      <c r="M239" s="17">
        <v>0.0</v>
      </c>
      <c r="N239" s="17">
        <v>0.0</v>
      </c>
      <c r="O239" s="17">
        <v>0.0</v>
      </c>
      <c r="P239" s="17">
        <f t="shared" si="1"/>
        <v>0</v>
      </c>
      <c r="Q239" s="14" t="str">
        <f>+VLOOKUP(A239,Mapping!$A$1:$E$443,5,FALSE)</f>
        <v>Continuing Ed</v>
      </c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20">
        <f t="shared" si="2"/>
        <v>0</v>
      </c>
    </row>
    <row r="240" ht="11.25" customHeight="1">
      <c r="A240" s="15" t="s">
        <v>648</v>
      </c>
      <c r="B240" s="15" t="s">
        <v>649</v>
      </c>
      <c r="C240" s="15" t="s">
        <v>119</v>
      </c>
      <c r="D240" s="17">
        <v>0.0</v>
      </c>
      <c r="E240" s="17">
        <v>0.0</v>
      </c>
      <c r="F240" s="17">
        <v>0.0</v>
      </c>
      <c r="G240" s="17">
        <v>50.0</v>
      </c>
      <c r="H240" s="17">
        <v>50.0</v>
      </c>
      <c r="I240" s="17">
        <v>50.0</v>
      </c>
      <c r="J240" s="17">
        <v>50.0</v>
      </c>
      <c r="K240" s="17">
        <v>50.0</v>
      </c>
      <c r="L240" s="17">
        <v>50.0</v>
      </c>
      <c r="M240" s="17">
        <v>0.0</v>
      </c>
      <c r="N240" s="17">
        <v>0.0</v>
      </c>
      <c r="O240" s="17">
        <v>0.0</v>
      </c>
      <c r="P240" s="17">
        <f t="shared" si="1"/>
        <v>300</v>
      </c>
      <c r="Q240" s="14" t="str">
        <f>+VLOOKUP(A240,Mapping!$A$1:$E$443,5,FALSE)</f>
        <v>Travel</v>
      </c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20">
        <f t="shared" si="2"/>
        <v>0</v>
      </c>
    </row>
    <row r="241" ht="11.25" customHeight="1">
      <c r="A241" s="15" t="s">
        <v>650</v>
      </c>
      <c r="B241" s="15" t="s">
        <v>649</v>
      </c>
      <c r="C241" s="15" t="s">
        <v>119</v>
      </c>
      <c r="D241" s="17">
        <v>0.0</v>
      </c>
      <c r="E241" s="17">
        <v>0.0</v>
      </c>
      <c r="F241" s="17">
        <v>0.0</v>
      </c>
      <c r="G241" s="17">
        <v>0.0</v>
      </c>
      <c r="H241" s="17">
        <v>0.0</v>
      </c>
      <c r="I241" s="17">
        <v>0.0</v>
      </c>
      <c r="J241" s="17">
        <v>0.0</v>
      </c>
      <c r="K241" s="17">
        <v>0.0</v>
      </c>
      <c r="L241" s="17">
        <v>0.0</v>
      </c>
      <c r="M241" s="17">
        <v>0.0</v>
      </c>
      <c r="N241" s="17">
        <v>0.0</v>
      </c>
      <c r="O241" s="17">
        <v>0.0</v>
      </c>
      <c r="P241" s="17">
        <f t="shared" si="1"/>
        <v>0</v>
      </c>
      <c r="Q241" s="14" t="str">
        <f>+VLOOKUP(A241,Mapping!$A$1:$E$443,5,FALSE)</f>
        <v>Travel</v>
      </c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20">
        <f t="shared" si="2"/>
        <v>0</v>
      </c>
    </row>
    <row r="242" ht="11.25" customHeight="1">
      <c r="A242" s="15" t="s">
        <v>651</v>
      </c>
      <c r="B242" s="15" t="s">
        <v>649</v>
      </c>
      <c r="C242" s="15" t="s">
        <v>119</v>
      </c>
      <c r="D242" s="17">
        <v>0.0</v>
      </c>
      <c r="E242" s="17">
        <v>0.0</v>
      </c>
      <c r="F242" s="17">
        <v>0.0</v>
      </c>
      <c r="G242" s="17">
        <v>0.0</v>
      </c>
      <c r="H242" s="17">
        <v>0.0</v>
      </c>
      <c r="I242" s="17">
        <v>0.0</v>
      </c>
      <c r="J242" s="17">
        <v>0.0</v>
      </c>
      <c r="K242" s="17">
        <v>0.0</v>
      </c>
      <c r="L242" s="17">
        <v>0.0</v>
      </c>
      <c r="M242" s="17">
        <v>0.0</v>
      </c>
      <c r="N242" s="17">
        <v>0.0</v>
      </c>
      <c r="O242" s="17">
        <v>0.0</v>
      </c>
      <c r="P242" s="17">
        <f t="shared" si="1"/>
        <v>0</v>
      </c>
      <c r="Q242" s="14" t="str">
        <f>+VLOOKUP(A242,Mapping!$A$1:$E$443,5,FALSE)</f>
        <v>Travel</v>
      </c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20">
        <f t="shared" si="2"/>
        <v>0</v>
      </c>
    </row>
    <row r="243" ht="11.25" customHeight="1">
      <c r="A243" s="15" t="s">
        <v>652</v>
      </c>
      <c r="B243" s="15" t="s">
        <v>653</v>
      </c>
      <c r="C243" s="15" t="s">
        <v>119</v>
      </c>
      <c r="D243" s="17">
        <v>0.0</v>
      </c>
      <c r="E243" s="17">
        <v>0.0</v>
      </c>
      <c r="F243" s="17">
        <v>0.0</v>
      </c>
      <c r="G243" s="17">
        <v>0.0</v>
      </c>
      <c r="H243" s="17">
        <v>0.0</v>
      </c>
      <c r="I243" s="17">
        <v>0.0</v>
      </c>
      <c r="J243" s="17">
        <v>0.0</v>
      </c>
      <c r="K243" s="17">
        <v>0.0</v>
      </c>
      <c r="L243" s="17">
        <v>0.0</v>
      </c>
      <c r="M243" s="17">
        <v>0.0</v>
      </c>
      <c r="N243" s="17">
        <v>0.0</v>
      </c>
      <c r="O243" s="17">
        <v>0.0</v>
      </c>
      <c r="P243" s="17">
        <f t="shared" si="1"/>
        <v>0</v>
      </c>
      <c r="Q243" s="14" t="str">
        <f>+VLOOKUP(A243,Mapping!$A$1:$E$443,5,FALSE)</f>
        <v>Travel</v>
      </c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20">
        <f t="shared" si="2"/>
        <v>0</v>
      </c>
    </row>
    <row r="244" ht="11.25" customHeight="1">
      <c r="A244" s="15" t="s">
        <v>654</v>
      </c>
      <c r="B244" s="15" t="s">
        <v>653</v>
      </c>
      <c r="C244" s="15" t="s">
        <v>119</v>
      </c>
      <c r="D244" s="17">
        <v>0.0</v>
      </c>
      <c r="E244" s="17">
        <v>0.0</v>
      </c>
      <c r="F244" s="17">
        <v>0.0</v>
      </c>
      <c r="G244" s="17">
        <v>0.0</v>
      </c>
      <c r="H244" s="17">
        <v>0.0</v>
      </c>
      <c r="I244" s="17">
        <v>0.0</v>
      </c>
      <c r="J244" s="17">
        <v>0.0</v>
      </c>
      <c r="K244" s="17">
        <v>0.0</v>
      </c>
      <c r="L244" s="17">
        <v>0.0</v>
      </c>
      <c r="M244" s="17">
        <v>0.0</v>
      </c>
      <c r="N244" s="17">
        <v>0.0</v>
      </c>
      <c r="O244" s="17">
        <v>0.0</v>
      </c>
      <c r="P244" s="17">
        <f t="shared" si="1"/>
        <v>0</v>
      </c>
      <c r="Q244" s="14" t="str">
        <f>+VLOOKUP(A244,Mapping!$A$1:$E$443,5,FALSE)</f>
        <v>Travel</v>
      </c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20">
        <f t="shared" si="2"/>
        <v>0</v>
      </c>
    </row>
    <row r="245" ht="11.25" customHeight="1">
      <c r="A245" s="15" t="s">
        <v>655</v>
      </c>
      <c r="B245" s="15" t="s">
        <v>653</v>
      </c>
      <c r="C245" s="15" t="s">
        <v>119</v>
      </c>
      <c r="D245" s="17">
        <v>0.0</v>
      </c>
      <c r="E245" s="17">
        <v>0.0</v>
      </c>
      <c r="F245" s="17">
        <v>0.0</v>
      </c>
      <c r="G245" s="17">
        <v>0.0</v>
      </c>
      <c r="H245" s="17">
        <v>0.0</v>
      </c>
      <c r="I245" s="17">
        <v>0.0</v>
      </c>
      <c r="J245" s="17">
        <v>0.0</v>
      </c>
      <c r="K245" s="17">
        <v>0.0</v>
      </c>
      <c r="L245" s="17">
        <v>0.0</v>
      </c>
      <c r="M245" s="17">
        <v>0.0</v>
      </c>
      <c r="N245" s="17">
        <v>0.0</v>
      </c>
      <c r="O245" s="17">
        <v>0.0</v>
      </c>
      <c r="P245" s="17">
        <f t="shared" si="1"/>
        <v>0</v>
      </c>
      <c r="Q245" s="14" t="str">
        <f>+VLOOKUP(A245,Mapping!$A$1:$E$443,5,FALSE)</f>
        <v>Travel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20">
        <f t="shared" si="2"/>
        <v>0</v>
      </c>
    </row>
    <row r="246" ht="11.25" customHeight="1">
      <c r="A246" s="15" t="s">
        <v>656</v>
      </c>
      <c r="B246" s="15" t="s">
        <v>657</v>
      </c>
      <c r="C246" s="15" t="s">
        <v>119</v>
      </c>
      <c r="D246" s="17">
        <v>0.0</v>
      </c>
      <c r="E246" s="17">
        <v>0.0</v>
      </c>
      <c r="F246" s="17">
        <v>0.0</v>
      </c>
      <c r="G246" s="17">
        <v>0.0</v>
      </c>
      <c r="H246" s="17">
        <v>0.0</v>
      </c>
      <c r="I246" s="17">
        <v>0.0</v>
      </c>
      <c r="J246" s="17">
        <v>0.0</v>
      </c>
      <c r="K246" s="17">
        <v>0.0</v>
      </c>
      <c r="L246" s="17">
        <v>0.0</v>
      </c>
      <c r="M246" s="17">
        <v>0.0</v>
      </c>
      <c r="N246" s="17">
        <v>0.0</v>
      </c>
      <c r="O246" s="17">
        <v>0.0</v>
      </c>
      <c r="P246" s="17">
        <f t="shared" si="1"/>
        <v>0</v>
      </c>
      <c r="Q246" s="14" t="str">
        <f>+VLOOKUP(A246,Mapping!$A$1:$E$443,5,FALSE)</f>
        <v>Travel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20">
        <f t="shared" si="2"/>
        <v>0</v>
      </c>
    </row>
    <row r="247" ht="11.25" customHeight="1">
      <c r="A247" s="15" t="s">
        <v>658</v>
      </c>
      <c r="B247" s="15" t="s">
        <v>657</v>
      </c>
      <c r="C247" s="15" t="s">
        <v>119</v>
      </c>
      <c r="D247" s="17">
        <v>0.0</v>
      </c>
      <c r="E247" s="17">
        <v>0.0</v>
      </c>
      <c r="F247" s="17">
        <v>0.0</v>
      </c>
      <c r="G247" s="17">
        <v>0.0</v>
      </c>
      <c r="H247" s="17">
        <v>0.0</v>
      </c>
      <c r="I247" s="17">
        <v>0.0</v>
      </c>
      <c r="J247" s="17">
        <v>0.0</v>
      </c>
      <c r="K247" s="17">
        <v>0.0</v>
      </c>
      <c r="L247" s="17">
        <v>0.0</v>
      </c>
      <c r="M247" s="17">
        <v>0.0</v>
      </c>
      <c r="N247" s="17">
        <v>0.0</v>
      </c>
      <c r="O247" s="17">
        <v>0.0</v>
      </c>
      <c r="P247" s="17">
        <f t="shared" si="1"/>
        <v>0</v>
      </c>
      <c r="Q247" s="14" t="str">
        <f>+VLOOKUP(A247,Mapping!$A$1:$E$443,5,FALSE)</f>
        <v>Travel</v>
      </c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20">
        <f t="shared" si="2"/>
        <v>0</v>
      </c>
    </row>
    <row r="248" ht="11.25" customHeight="1">
      <c r="A248" s="15" t="s">
        <v>659</v>
      </c>
      <c r="B248" s="15" t="s">
        <v>657</v>
      </c>
      <c r="C248" s="15" t="s">
        <v>119</v>
      </c>
      <c r="D248" s="17">
        <v>0.0</v>
      </c>
      <c r="E248" s="17">
        <v>0.0</v>
      </c>
      <c r="F248" s="17">
        <v>0.0</v>
      </c>
      <c r="G248" s="17">
        <v>0.0</v>
      </c>
      <c r="H248" s="17">
        <v>0.0</v>
      </c>
      <c r="I248" s="17">
        <v>0.0</v>
      </c>
      <c r="J248" s="17">
        <v>0.0</v>
      </c>
      <c r="K248" s="17">
        <v>0.0</v>
      </c>
      <c r="L248" s="17">
        <v>0.0</v>
      </c>
      <c r="M248" s="17">
        <v>0.0</v>
      </c>
      <c r="N248" s="17">
        <v>0.0</v>
      </c>
      <c r="O248" s="17">
        <v>0.0</v>
      </c>
      <c r="P248" s="17">
        <f t="shared" si="1"/>
        <v>0</v>
      </c>
      <c r="Q248" s="14" t="str">
        <f>+VLOOKUP(A248,Mapping!$A$1:$E$443,5,FALSE)</f>
        <v>Travel</v>
      </c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20">
        <f t="shared" si="2"/>
        <v>0</v>
      </c>
    </row>
    <row r="249" ht="11.25" customHeight="1">
      <c r="A249" s="15" t="s">
        <v>660</v>
      </c>
      <c r="B249" s="15" t="s">
        <v>661</v>
      </c>
      <c r="C249" s="15" t="s">
        <v>119</v>
      </c>
      <c r="D249" s="17">
        <v>0.0</v>
      </c>
      <c r="E249" s="17">
        <v>0.0</v>
      </c>
      <c r="F249" s="17">
        <v>0.0</v>
      </c>
      <c r="G249" s="17">
        <v>83.33</v>
      </c>
      <c r="H249" s="17">
        <v>83.33</v>
      </c>
      <c r="I249" s="17">
        <v>83.33</v>
      </c>
      <c r="J249" s="17">
        <v>83.33</v>
      </c>
      <c r="K249" s="17">
        <v>83.33</v>
      </c>
      <c r="L249" s="17">
        <v>83.33</v>
      </c>
      <c r="M249" s="17">
        <v>0.0</v>
      </c>
      <c r="N249" s="17">
        <v>0.0</v>
      </c>
      <c r="O249" s="17">
        <v>0.0</v>
      </c>
      <c r="P249" s="17">
        <f t="shared" si="1"/>
        <v>499.98</v>
      </c>
      <c r="Q249" s="14" t="str">
        <f>+VLOOKUP(A249,Mapping!$A$1:$E$443,5,FALSE)</f>
        <v>Travel</v>
      </c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20">
        <f t="shared" si="2"/>
        <v>0</v>
      </c>
    </row>
    <row r="250" ht="11.25" customHeight="1">
      <c r="A250" s="15" t="s">
        <v>662</v>
      </c>
      <c r="B250" s="15" t="s">
        <v>661</v>
      </c>
      <c r="C250" s="15" t="s">
        <v>119</v>
      </c>
      <c r="D250" s="17">
        <v>0.0</v>
      </c>
      <c r="E250" s="17">
        <v>0.0</v>
      </c>
      <c r="F250" s="17">
        <v>0.0</v>
      </c>
      <c r="G250" s="17">
        <v>0.0</v>
      </c>
      <c r="H250" s="17">
        <v>0.0</v>
      </c>
      <c r="I250" s="17">
        <v>0.0</v>
      </c>
      <c r="J250" s="17">
        <v>0.0</v>
      </c>
      <c r="K250" s="17">
        <v>0.0</v>
      </c>
      <c r="L250" s="17">
        <v>0.0</v>
      </c>
      <c r="M250" s="17">
        <v>0.0</v>
      </c>
      <c r="N250" s="17">
        <v>0.0</v>
      </c>
      <c r="O250" s="17">
        <v>0.0</v>
      </c>
      <c r="P250" s="17">
        <f t="shared" si="1"/>
        <v>0</v>
      </c>
      <c r="Q250" s="14" t="str">
        <f>+VLOOKUP(A250,Mapping!$A$1:$E$443,5,FALSE)</f>
        <v>Travel</v>
      </c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20">
        <f t="shared" si="2"/>
        <v>0</v>
      </c>
    </row>
    <row r="251" ht="11.25" customHeight="1">
      <c r="A251" s="15" t="s">
        <v>663</v>
      </c>
      <c r="B251" s="15" t="s">
        <v>661</v>
      </c>
      <c r="C251" s="15" t="s">
        <v>119</v>
      </c>
      <c r="D251" s="17">
        <v>0.0</v>
      </c>
      <c r="E251" s="17">
        <v>0.0</v>
      </c>
      <c r="F251" s="17">
        <v>0.0</v>
      </c>
      <c r="G251" s="17">
        <v>0.0</v>
      </c>
      <c r="H251" s="17">
        <v>0.0</v>
      </c>
      <c r="I251" s="17">
        <v>0.0</v>
      </c>
      <c r="J251" s="17">
        <v>0.0</v>
      </c>
      <c r="K251" s="17">
        <v>0.0</v>
      </c>
      <c r="L251" s="17">
        <v>0.0</v>
      </c>
      <c r="M251" s="17">
        <v>0.0</v>
      </c>
      <c r="N251" s="17">
        <v>0.0</v>
      </c>
      <c r="O251" s="17">
        <v>0.0</v>
      </c>
      <c r="P251" s="17">
        <f t="shared" si="1"/>
        <v>0</v>
      </c>
      <c r="Q251" s="14" t="str">
        <f>+VLOOKUP(A251,Mapping!$A$1:$E$443,5,FALSE)</f>
        <v>Travel</v>
      </c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20">
        <f t="shared" si="2"/>
        <v>0</v>
      </c>
    </row>
    <row r="252" ht="11.25" customHeight="1">
      <c r="A252" s="15" t="s">
        <v>664</v>
      </c>
      <c r="B252" s="15" t="s">
        <v>665</v>
      </c>
      <c r="C252" s="15" t="s">
        <v>119</v>
      </c>
      <c r="D252" s="17">
        <v>0.0</v>
      </c>
      <c r="E252" s="17">
        <v>0.0</v>
      </c>
      <c r="F252" s="17">
        <v>0.0</v>
      </c>
      <c r="G252" s="17">
        <v>25.0</v>
      </c>
      <c r="H252" s="17">
        <v>25.0</v>
      </c>
      <c r="I252" s="17">
        <v>25.0</v>
      </c>
      <c r="J252" s="17">
        <v>25.0</v>
      </c>
      <c r="K252" s="17">
        <v>25.0</v>
      </c>
      <c r="L252" s="17">
        <v>25.0</v>
      </c>
      <c r="M252" s="17">
        <v>0.0</v>
      </c>
      <c r="N252" s="17">
        <v>0.0</v>
      </c>
      <c r="O252" s="17">
        <v>0.0</v>
      </c>
      <c r="P252" s="17">
        <f t="shared" si="1"/>
        <v>150</v>
      </c>
      <c r="Q252" s="14" t="str">
        <f>+VLOOKUP(A252,Mapping!$A$1:$E$443,5,FALSE)</f>
        <v>Travel</v>
      </c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20">
        <f t="shared" si="2"/>
        <v>0</v>
      </c>
    </row>
    <row r="253" ht="11.25" customHeight="1">
      <c r="A253" s="15" t="s">
        <v>666</v>
      </c>
      <c r="B253" s="15" t="s">
        <v>665</v>
      </c>
      <c r="C253" s="15" t="s">
        <v>119</v>
      </c>
      <c r="D253" s="17">
        <v>0.0</v>
      </c>
      <c r="E253" s="17">
        <v>0.0</v>
      </c>
      <c r="F253" s="17">
        <v>0.0</v>
      </c>
      <c r="G253" s="17">
        <v>0.0</v>
      </c>
      <c r="H253" s="17">
        <v>0.0</v>
      </c>
      <c r="I253" s="17">
        <v>0.0</v>
      </c>
      <c r="J253" s="17">
        <v>0.0</v>
      </c>
      <c r="K253" s="17">
        <v>0.0</v>
      </c>
      <c r="L253" s="17">
        <v>0.0</v>
      </c>
      <c r="M253" s="17">
        <v>0.0</v>
      </c>
      <c r="N253" s="17">
        <v>0.0</v>
      </c>
      <c r="O253" s="17">
        <v>0.0</v>
      </c>
      <c r="P253" s="17">
        <f t="shared" si="1"/>
        <v>0</v>
      </c>
      <c r="Q253" s="14" t="str">
        <f>+VLOOKUP(A253,Mapping!$A$1:$E$443,5,FALSE)</f>
        <v>Travel</v>
      </c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20">
        <f t="shared" si="2"/>
        <v>0</v>
      </c>
    </row>
    <row r="254" ht="11.25" customHeight="1">
      <c r="A254" s="15" t="s">
        <v>667</v>
      </c>
      <c r="B254" s="15" t="s">
        <v>665</v>
      </c>
      <c r="C254" s="15" t="s">
        <v>119</v>
      </c>
      <c r="D254" s="17">
        <v>0.0</v>
      </c>
      <c r="E254" s="17">
        <v>0.0</v>
      </c>
      <c r="F254" s="17">
        <v>0.0</v>
      </c>
      <c r="G254" s="17">
        <v>0.0</v>
      </c>
      <c r="H254" s="17">
        <v>0.0</v>
      </c>
      <c r="I254" s="17">
        <v>0.0</v>
      </c>
      <c r="J254" s="17">
        <v>0.0</v>
      </c>
      <c r="K254" s="17">
        <v>0.0</v>
      </c>
      <c r="L254" s="17">
        <v>0.0</v>
      </c>
      <c r="M254" s="17">
        <v>0.0</v>
      </c>
      <c r="N254" s="17">
        <v>0.0</v>
      </c>
      <c r="O254" s="17">
        <v>0.0</v>
      </c>
      <c r="P254" s="17">
        <f t="shared" si="1"/>
        <v>0</v>
      </c>
      <c r="Q254" s="14" t="str">
        <f>+VLOOKUP(A254,Mapping!$A$1:$E$443,5,FALSE)</f>
        <v>Travel</v>
      </c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20">
        <f t="shared" si="2"/>
        <v>0</v>
      </c>
    </row>
    <row r="255" ht="11.25" customHeight="1">
      <c r="A255" s="15" t="s">
        <v>668</v>
      </c>
      <c r="B255" s="15" t="s">
        <v>669</v>
      </c>
      <c r="C255" s="15" t="s">
        <v>119</v>
      </c>
      <c r="D255" s="17">
        <v>0.0</v>
      </c>
      <c r="E255" s="17">
        <v>157.9</v>
      </c>
      <c r="F255" s="17">
        <v>315.8</v>
      </c>
      <c r="G255" s="17">
        <v>315.8</v>
      </c>
      <c r="H255" s="17">
        <v>315.8</v>
      </c>
      <c r="I255" s="17">
        <v>315.8</v>
      </c>
      <c r="J255" s="17">
        <v>315.8</v>
      </c>
      <c r="K255" s="17">
        <v>315.8</v>
      </c>
      <c r="L255" s="17">
        <v>315.8</v>
      </c>
      <c r="M255" s="17">
        <v>315.75</v>
      </c>
      <c r="N255" s="17">
        <v>315.75</v>
      </c>
      <c r="O255" s="17">
        <v>0.0</v>
      </c>
      <c r="P255" s="17">
        <f t="shared" si="1"/>
        <v>3000</v>
      </c>
      <c r="Q255" s="14" t="str">
        <f>+VLOOKUP(A255,Mapping!$A$1:$E$443,5,FALSE)</f>
        <v>Transportation Exp</v>
      </c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20">
        <f t="shared" si="2"/>
        <v>0</v>
      </c>
    </row>
    <row r="256" ht="11.25" customHeight="1">
      <c r="A256" s="15" t="s">
        <v>670</v>
      </c>
      <c r="B256" s="15" t="s">
        <v>671</v>
      </c>
      <c r="C256" s="15" t="s">
        <v>119</v>
      </c>
      <c r="D256" s="17">
        <v>41.67</v>
      </c>
      <c r="E256" s="17">
        <v>41.67</v>
      </c>
      <c r="F256" s="17">
        <v>41.67</v>
      </c>
      <c r="G256" s="17">
        <v>41.67</v>
      </c>
      <c r="H256" s="17">
        <v>41.67</v>
      </c>
      <c r="I256" s="17">
        <v>41.67</v>
      </c>
      <c r="J256" s="17">
        <v>41.67</v>
      </c>
      <c r="K256" s="17">
        <v>41.67</v>
      </c>
      <c r="L256" s="17">
        <v>41.67</v>
      </c>
      <c r="M256" s="17">
        <v>41.67</v>
      </c>
      <c r="N256" s="17">
        <v>41.67</v>
      </c>
      <c r="O256" s="17">
        <v>41.67</v>
      </c>
      <c r="P256" s="17">
        <f t="shared" si="1"/>
        <v>500.04</v>
      </c>
      <c r="Q256" s="14" t="str">
        <f>+VLOOKUP(A256,Mapping!$A$1:$E$443,5,FALSE)</f>
        <v>Transportation Exp</v>
      </c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20">
        <f t="shared" si="2"/>
        <v>0</v>
      </c>
    </row>
    <row r="257" ht="11.25" customHeight="1">
      <c r="A257" s="15" t="s">
        <v>672</v>
      </c>
      <c r="B257" s="15" t="s">
        <v>673</v>
      </c>
      <c r="C257" s="15" t="s">
        <v>119</v>
      </c>
      <c r="D257" s="17">
        <v>41.67</v>
      </c>
      <c r="E257" s="17">
        <v>41.67</v>
      </c>
      <c r="F257" s="17">
        <v>41.67</v>
      </c>
      <c r="G257" s="17">
        <v>41.67</v>
      </c>
      <c r="H257" s="17">
        <v>41.67</v>
      </c>
      <c r="I257" s="17">
        <v>41.67</v>
      </c>
      <c r="J257" s="17">
        <v>41.67</v>
      </c>
      <c r="K257" s="17">
        <v>41.67</v>
      </c>
      <c r="L257" s="17">
        <v>41.67</v>
      </c>
      <c r="M257" s="17">
        <v>41.67</v>
      </c>
      <c r="N257" s="17">
        <v>41.67</v>
      </c>
      <c r="O257" s="17">
        <v>41.67</v>
      </c>
      <c r="P257" s="17">
        <f t="shared" si="1"/>
        <v>500.04</v>
      </c>
      <c r="Q257" s="14" t="str">
        <f>+VLOOKUP(A257,Mapping!$A$1:$E$443,5,FALSE)</f>
        <v>Transportation Exp</v>
      </c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20">
        <f t="shared" si="2"/>
        <v>0</v>
      </c>
    </row>
    <row r="258" ht="11.25" customHeight="1">
      <c r="A258" s="15" t="s">
        <v>674</v>
      </c>
      <c r="B258" s="15" t="s">
        <v>675</v>
      </c>
      <c r="C258" s="15" t="s">
        <v>119</v>
      </c>
      <c r="D258" s="17">
        <v>20.83</v>
      </c>
      <c r="E258" s="17">
        <v>20.83</v>
      </c>
      <c r="F258" s="17">
        <v>20.83</v>
      </c>
      <c r="G258" s="17">
        <v>20.83</v>
      </c>
      <c r="H258" s="17">
        <v>20.83</v>
      </c>
      <c r="I258" s="17">
        <v>20.83</v>
      </c>
      <c r="J258" s="17">
        <v>20.83</v>
      </c>
      <c r="K258" s="17">
        <v>20.83</v>
      </c>
      <c r="L258" s="17">
        <v>20.83</v>
      </c>
      <c r="M258" s="17">
        <v>20.83</v>
      </c>
      <c r="N258" s="17">
        <v>20.83</v>
      </c>
      <c r="O258" s="17">
        <v>20.83</v>
      </c>
      <c r="P258" s="17">
        <f t="shared" si="1"/>
        <v>249.96</v>
      </c>
      <c r="Q258" s="14" t="str">
        <f>+VLOOKUP(A258,Mapping!$A$1:$E$443,5,FALSE)</f>
        <v>Transportation Exp</v>
      </c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20">
        <f t="shared" si="2"/>
        <v>0</v>
      </c>
    </row>
    <row r="259" ht="11.25" customHeight="1">
      <c r="A259" s="15" t="s">
        <v>676</v>
      </c>
      <c r="B259" s="15" t="s">
        <v>677</v>
      </c>
      <c r="C259" s="15" t="s">
        <v>119</v>
      </c>
      <c r="D259" s="17">
        <v>208.33</v>
      </c>
      <c r="E259" s="17">
        <v>208.33</v>
      </c>
      <c r="F259" s="17">
        <v>208.33</v>
      </c>
      <c r="G259" s="17">
        <v>208.33</v>
      </c>
      <c r="H259" s="17">
        <v>208.33</v>
      </c>
      <c r="I259" s="17">
        <v>208.33</v>
      </c>
      <c r="J259" s="17">
        <v>208.33</v>
      </c>
      <c r="K259" s="17">
        <v>208.33</v>
      </c>
      <c r="L259" s="17">
        <v>208.33</v>
      </c>
      <c r="M259" s="17">
        <v>208.33</v>
      </c>
      <c r="N259" s="17">
        <v>208.33</v>
      </c>
      <c r="O259" s="17">
        <v>208.37</v>
      </c>
      <c r="P259" s="17">
        <f t="shared" si="1"/>
        <v>2500</v>
      </c>
      <c r="Q259" s="14" t="str">
        <f>+VLOOKUP(A259,Mapping!$A$1:$E$443,5,FALSE)</f>
        <v>Interest Exp</v>
      </c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20">
        <f t="shared" si="2"/>
        <v>0</v>
      </c>
    </row>
    <row r="260" ht="11.25" customHeight="1">
      <c r="A260" s="15" t="s">
        <v>678</v>
      </c>
      <c r="B260" s="15" t="s">
        <v>255</v>
      </c>
      <c r="C260" s="15" t="s">
        <v>119</v>
      </c>
      <c r="D260" s="17">
        <v>0.0</v>
      </c>
      <c r="E260" s="17">
        <v>0.0</v>
      </c>
      <c r="F260" s="17">
        <v>0.0</v>
      </c>
      <c r="G260" s="17">
        <v>0.0</v>
      </c>
      <c r="H260" s="17">
        <v>0.0</v>
      </c>
      <c r="I260" s="17">
        <v>0.0</v>
      </c>
      <c r="J260" s="17">
        <v>0.0</v>
      </c>
      <c r="K260" s="17">
        <v>0.0</v>
      </c>
      <c r="L260" s="17">
        <v>0.0</v>
      </c>
      <c r="M260" s="17">
        <v>0.0</v>
      </c>
      <c r="N260" s="17">
        <v>0.0</v>
      </c>
      <c r="O260" s="17">
        <v>0.0</v>
      </c>
      <c r="P260" s="17">
        <f t="shared" si="1"/>
        <v>0</v>
      </c>
      <c r="Q260" s="14" t="str">
        <f>+VLOOKUP(A260,Mapping!$A$1:$E$443,5,FALSE)</f>
        <v>Interest Exp</v>
      </c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20">
        <f t="shared" si="2"/>
        <v>0</v>
      </c>
    </row>
    <row r="261" ht="11.25" customHeight="1">
      <c r="A261" s="15" t="s">
        <v>679</v>
      </c>
      <c r="B261" s="15" t="s">
        <v>255</v>
      </c>
      <c r="C261" s="15" t="s">
        <v>119</v>
      </c>
      <c r="D261" s="17">
        <v>0.0</v>
      </c>
      <c r="E261" s="17">
        <v>0.0</v>
      </c>
      <c r="F261" s="17">
        <v>0.0</v>
      </c>
      <c r="G261" s="17">
        <v>0.0</v>
      </c>
      <c r="H261" s="17">
        <v>0.0</v>
      </c>
      <c r="I261" s="17">
        <v>0.0</v>
      </c>
      <c r="J261" s="17">
        <v>0.0</v>
      </c>
      <c r="K261" s="17">
        <v>0.0</v>
      </c>
      <c r="L261" s="17">
        <v>0.0</v>
      </c>
      <c r="M261" s="17">
        <v>0.0</v>
      </c>
      <c r="N261" s="17">
        <v>0.0</v>
      </c>
      <c r="O261" s="17">
        <v>0.0</v>
      </c>
      <c r="P261" s="17">
        <f t="shared" si="1"/>
        <v>0</v>
      </c>
      <c r="Q261" s="14" t="str">
        <f>+VLOOKUP(A261,Mapping!$A$1:$E$443,5,FALSE)</f>
        <v>Interest Exp</v>
      </c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20">
        <f t="shared" si="2"/>
        <v>0</v>
      </c>
    </row>
    <row r="262" ht="11.25" customHeight="1">
      <c r="A262" s="15" t="s">
        <v>680</v>
      </c>
      <c r="B262" s="15" t="s">
        <v>681</v>
      </c>
      <c r="C262" s="15" t="s">
        <v>119</v>
      </c>
      <c r="D262" s="17">
        <v>1416.67</v>
      </c>
      <c r="E262" s="17">
        <v>1416.67</v>
      </c>
      <c r="F262" s="17">
        <v>1416.67</v>
      </c>
      <c r="G262" s="17">
        <v>1416.67</v>
      </c>
      <c r="H262" s="17">
        <v>1416.67</v>
      </c>
      <c r="I262" s="17">
        <v>1416.67</v>
      </c>
      <c r="J262" s="17">
        <v>1416.67</v>
      </c>
      <c r="K262" s="17">
        <v>1416.67</v>
      </c>
      <c r="L262" s="17">
        <v>1416.67</v>
      </c>
      <c r="M262" s="17">
        <v>1416.67</v>
      </c>
      <c r="N262" s="17">
        <v>1416.67</v>
      </c>
      <c r="O262" s="17">
        <v>1416.63</v>
      </c>
      <c r="P262" s="17">
        <f t="shared" si="1"/>
        <v>17000</v>
      </c>
      <c r="Q262" s="14" t="str">
        <f>+VLOOKUP(A262,Mapping!$A$1:$E$443,5,FALSE)</f>
        <v>Depreciation</v>
      </c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20">
        <f t="shared" si="2"/>
        <v>0</v>
      </c>
    </row>
    <row r="263" ht="11.25" customHeight="1">
      <c r="A263" s="15" t="s">
        <v>682</v>
      </c>
      <c r="B263" s="15" t="s">
        <v>681</v>
      </c>
      <c r="C263" s="15" t="s">
        <v>119</v>
      </c>
      <c r="D263" s="17">
        <v>0.0</v>
      </c>
      <c r="E263" s="17">
        <v>0.0</v>
      </c>
      <c r="F263" s="17">
        <v>0.0</v>
      </c>
      <c r="G263" s="17">
        <v>0.0</v>
      </c>
      <c r="H263" s="17">
        <v>0.0</v>
      </c>
      <c r="I263" s="17">
        <v>0.0</v>
      </c>
      <c r="J263" s="17">
        <v>0.0</v>
      </c>
      <c r="K263" s="17">
        <v>0.0</v>
      </c>
      <c r="L263" s="17">
        <v>0.0</v>
      </c>
      <c r="M263" s="17">
        <v>0.0</v>
      </c>
      <c r="N263" s="17">
        <v>0.0</v>
      </c>
      <c r="O263" s="17">
        <v>0.0</v>
      </c>
      <c r="P263" s="17">
        <f t="shared" si="1"/>
        <v>0</v>
      </c>
      <c r="Q263" s="14" t="str">
        <f>+VLOOKUP(A263,Mapping!$A$1:$E$443,5,FALSE)</f>
        <v>Depreciation</v>
      </c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20">
        <f t="shared" si="2"/>
        <v>0</v>
      </c>
    </row>
    <row r="264" ht="11.25" customHeight="1">
      <c r="A264" s="15" t="s">
        <v>683</v>
      </c>
      <c r="B264" s="15" t="s">
        <v>681</v>
      </c>
      <c r="C264" s="15" t="s">
        <v>119</v>
      </c>
      <c r="D264" s="17">
        <v>0.0</v>
      </c>
      <c r="E264" s="17">
        <v>0.0</v>
      </c>
      <c r="F264" s="17">
        <v>0.0</v>
      </c>
      <c r="G264" s="17">
        <v>0.0</v>
      </c>
      <c r="H264" s="17">
        <v>0.0</v>
      </c>
      <c r="I264" s="17">
        <v>0.0</v>
      </c>
      <c r="J264" s="17">
        <v>0.0</v>
      </c>
      <c r="K264" s="17">
        <v>0.0</v>
      </c>
      <c r="L264" s="17">
        <v>0.0</v>
      </c>
      <c r="M264" s="17">
        <v>0.0</v>
      </c>
      <c r="N264" s="17">
        <v>0.0</v>
      </c>
      <c r="O264" s="17">
        <v>0.0</v>
      </c>
      <c r="P264" s="17">
        <f t="shared" si="1"/>
        <v>0</v>
      </c>
      <c r="Q264" s="14" t="str">
        <f>+VLOOKUP(A264,Mapping!$A$1:$E$443,5,FALSE)</f>
        <v>Depreciation</v>
      </c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20">
        <f t="shared" si="2"/>
        <v>0</v>
      </c>
    </row>
    <row r="265" ht="11.25" customHeight="1">
      <c r="A265" s="15" t="s">
        <v>684</v>
      </c>
      <c r="B265" s="15" t="s">
        <v>685</v>
      </c>
      <c r="C265" s="15" t="s">
        <v>119</v>
      </c>
      <c r="D265" s="17">
        <v>166.67</v>
      </c>
      <c r="E265" s="17">
        <v>166.67</v>
      </c>
      <c r="F265" s="17">
        <v>166.67</v>
      </c>
      <c r="G265" s="17">
        <v>166.67</v>
      </c>
      <c r="H265" s="17">
        <v>166.67</v>
      </c>
      <c r="I265" s="17">
        <v>166.67</v>
      </c>
      <c r="J265" s="17">
        <v>166.67</v>
      </c>
      <c r="K265" s="17">
        <v>166.67</v>
      </c>
      <c r="L265" s="17">
        <v>166.67</v>
      </c>
      <c r="M265" s="17">
        <v>166.67</v>
      </c>
      <c r="N265" s="17">
        <v>166.67</v>
      </c>
      <c r="O265" s="17">
        <v>166.67</v>
      </c>
      <c r="P265" s="17">
        <f t="shared" si="1"/>
        <v>2000.04</v>
      </c>
      <c r="Q265" s="14" t="str">
        <f>+VLOOKUP(A265,Mapping!$A$1:$E$443,5,FALSE)</f>
        <v>Misc Exp</v>
      </c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20">
        <f t="shared" si="2"/>
        <v>0</v>
      </c>
    </row>
    <row r="266" ht="11.25" customHeight="1">
      <c r="A266" s="15" t="s">
        <v>686</v>
      </c>
      <c r="B266" s="15" t="s">
        <v>685</v>
      </c>
      <c r="C266" s="15" t="s">
        <v>119</v>
      </c>
      <c r="D266" s="17">
        <v>0.0</v>
      </c>
      <c r="E266" s="17">
        <v>0.0</v>
      </c>
      <c r="F266" s="17">
        <v>0.0</v>
      </c>
      <c r="G266" s="17">
        <v>0.0</v>
      </c>
      <c r="H266" s="17">
        <v>0.0</v>
      </c>
      <c r="I266" s="17">
        <v>0.0</v>
      </c>
      <c r="J266" s="17">
        <v>0.0</v>
      </c>
      <c r="K266" s="17">
        <v>0.0</v>
      </c>
      <c r="L266" s="17">
        <v>0.0</v>
      </c>
      <c r="M266" s="17">
        <v>0.0</v>
      </c>
      <c r="N266" s="17">
        <v>0.0</v>
      </c>
      <c r="O266" s="17">
        <v>0.0</v>
      </c>
      <c r="P266" s="17">
        <f t="shared" si="1"/>
        <v>0</v>
      </c>
      <c r="Q266" s="14" t="str">
        <f>+VLOOKUP(A266,Mapping!$A$1:$E$443,5,FALSE)</f>
        <v>Misc Exp</v>
      </c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20">
        <f t="shared" si="2"/>
        <v>0</v>
      </c>
    </row>
    <row r="267" ht="11.25" customHeight="1">
      <c r="A267" s="15" t="s">
        <v>687</v>
      </c>
      <c r="B267" s="15" t="s">
        <v>685</v>
      </c>
      <c r="C267" s="15" t="s">
        <v>119</v>
      </c>
      <c r="D267" s="17">
        <v>0.0</v>
      </c>
      <c r="E267" s="17">
        <v>0.0</v>
      </c>
      <c r="F267" s="17">
        <v>0.0</v>
      </c>
      <c r="G267" s="17">
        <v>0.0</v>
      </c>
      <c r="H267" s="17">
        <v>0.0</v>
      </c>
      <c r="I267" s="17">
        <v>0.0</v>
      </c>
      <c r="J267" s="17">
        <v>0.0</v>
      </c>
      <c r="K267" s="17">
        <v>0.0</v>
      </c>
      <c r="L267" s="17">
        <v>0.0</v>
      </c>
      <c r="M267" s="17">
        <v>0.0</v>
      </c>
      <c r="N267" s="17">
        <v>0.0</v>
      </c>
      <c r="O267" s="17">
        <v>0.0</v>
      </c>
      <c r="P267" s="17">
        <f t="shared" si="1"/>
        <v>0</v>
      </c>
      <c r="Q267" s="14" t="str">
        <f>+VLOOKUP(A267,Mapping!$A$1:$E$443,5,FALSE)</f>
        <v>Misc Exp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20">
        <f t="shared" si="2"/>
        <v>0</v>
      </c>
    </row>
    <row r="268" ht="11.25" customHeight="1">
      <c r="A268" s="15" t="s">
        <v>688</v>
      </c>
      <c r="B268" s="15" t="s">
        <v>689</v>
      </c>
      <c r="C268" s="15" t="s">
        <v>119</v>
      </c>
      <c r="D268" s="17">
        <v>0.0</v>
      </c>
      <c r="E268" s="17">
        <v>0.0</v>
      </c>
      <c r="F268" s="17">
        <v>0.0</v>
      </c>
      <c r="G268" s="17">
        <v>0.0</v>
      </c>
      <c r="H268" s="17">
        <v>0.0</v>
      </c>
      <c r="I268" s="17">
        <v>0.0</v>
      </c>
      <c r="J268" s="17">
        <v>0.0</v>
      </c>
      <c r="K268" s="17">
        <v>0.0</v>
      </c>
      <c r="L268" s="17">
        <v>0.0</v>
      </c>
      <c r="M268" s="17">
        <v>0.0</v>
      </c>
      <c r="N268" s="17">
        <v>0.0</v>
      </c>
      <c r="O268" s="17">
        <v>0.0</v>
      </c>
      <c r="P268" s="17">
        <f t="shared" si="1"/>
        <v>0</v>
      </c>
      <c r="Q268" s="14" t="str">
        <f>+VLOOKUP(A268,Mapping!$A$1:$E$443,5,FALSE)</f>
        <v>Bad Debt</v>
      </c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20">
        <f t="shared" si="2"/>
        <v>0</v>
      </c>
    </row>
    <row r="269" ht="11.25" customHeight="1">
      <c r="A269" s="15" t="s">
        <v>690</v>
      </c>
      <c r="B269" s="15" t="s">
        <v>691</v>
      </c>
      <c r="C269" s="15" t="s">
        <v>119</v>
      </c>
      <c r="D269" s="17">
        <v>0.0</v>
      </c>
      <c r="E269" s="17">
        <v>0.0</v>
      </c>
      <c r="F269" s="17">
        <v>0.0</v>
      </c>
      <c r="G269" s="17">
        <v>0.0</v>
      </c>
      <c r="H269" s="17">
        <v>0.0</v>
      </c>
      <c r="I269" s="17">
        <v>0.0</v>
      </c>
      <c r="J269" s="17">
        <v>0.0</v>
      </c>
      <c r="K269" s="17">
        <v>0.0</v>
      </c>
      <c r="L269" s="17">
        <v>0.0</v>
      </c>
      <c r="M269" s="17">
        <v>0.0</v>
      </c>
      <c r="N269" s="17">
        <v>0.0</v>
      </c>
      <c r="O269" s="17">
        <v>0.0</v>
      </c>
      <c r="P269" s="17">
        <f t="shared" si="1"/>
        <v>0</v>
      </c>
      <c r="Q269" s="14" t="str">
        <f>+VLOOKUP(A269,Mapping!$A$1:$E$443,5,FALSE)</f>
        <v>Bad Debt</v>
      </c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20">
        <f t="shared" si="2"/>
        <v>0</v>
      </c>
    </row>
    <row r="270" ht="11.25" customHeight="1">
      <c r="A270" s="15" t="s">
        <v>692</v>
      </c>
      <c r="B270" s="15" t="s">
        <v>245</v>
      </c>
      <c r="C270" s="15" t="s">
        <v>119</v>
      </c>
      <c r="D270" s="17">
        <v>0.0</v>
      </c>
      <c r="E270" s="17">
        <v>0.0</v>
      </c>
      <c r="F270" s="17">
        <v>0.0</v>
      </c>
      <c r="G270" s="17">
        <v>0.0</v>
      </c>
      <c r="H270" s="17">
        <v>0.0</v>
      </c>
      <c r="I270" s="17">
        <v>0.0</v>
      </c>
      <c r="J270" s="17">
        <v>0.0</v>
      </c>
      <c r="K270" s="17">
        <v>0.0</v>
      </c>
      <c r="L270" s="17">
        <v>0.0</v>
      </c>
      <c r="M270" s="17">
        <v>0.0</v>
      </c>
      <c r="N270" s="17">
        <v>0.0</v>
      </c>
      <c r="O270" s="17">
        <v>2500.0</v>
      </c>
      <c r="P270" s="17">
        <f t="shared" si="1"/>
        <v>2500</v>
      </c>
      <c r="Q270" s="14" t="str">
        <f>+VLOOKUP(A270,Mapping!$A$1:$E$443,5,FALSE)</f>
        <v>Bad Debt</v>
      </c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20">
        <f t="shared" si="2"/>
        <v>0</v>
      </c>
    </row>
    <row r="271" ht="11.25" customHeight="1">
      <c r="A271" s="15" t="s">
        <v>693</v>
      </c>
      <c r="B271" s="15" t="s">
        <v>694</v>
      </c>
      <c r="C271" s="15" t="s">
        <v>119</v>
      </c>
      <c r="D271" s="17">
        <v>0.0</v>
      </c>
      <c r="E271" s="17">
        <v>0.0</v>
      </c>
      <c r="F271" s="17">
        <v>0.0</v>
      </c>
      <c r="G271" s="17">
        <v>0.0</v>
      </c>
      <c r="H271" s="17">
        <v>0.0</v>
      </c>
      <c r="I271" s="17">
        <v>0.0</v>
      </c>
      <c r="J271" s="17">
        <v>0.0</v>
      </c>
      <c r="K271" s="17">
        <v>0.0</v>
      </c>
      <c r="L271" s="17">
        <v>0.0</v>
      </c>
      <c r="M271" s="17">
        <v>0.0</v>
      </c>
      <c r="N271" s="17">
        <v>0.0</v>
      </c>
      <c r="O271" s="17">
        <v>0.0</v>
      </c>
      <c r="P271" s="17">
        <f t="shared" si="1"/>
        <v>0</v>
      </c>
      <c r="Q271" s="14" t="str">
        <f>+VLOOKUP(A271,Mapping!$A$1:$E$443,5,FALSE)</f>
        <v>Bad Debt</v>
      </c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20">
        <f t="shared" si="2"/>
        <v>0</v>
      </c>
    </row>
    <row r="272" ht="11.25" customHeight="1">
      <c r="A272" s="15" t="s">
        <v>695</v>
      </c>
      <c r="B272" s="15" t="s">
        <v>249</v>
      </c>
      <c r="C272" s="15" t="s">
        <v>119</v>
      </c>
      <c r="D272" s="17">
        <v>0.0</v>
      </c>
      <c r="E272" s="17">
        <v>340.96</v>
      </c>
      <c r="F272" s="17">
        <v>681.92</v>
      </c>
      <c r="G272" s="17">
        <v>1842.17</v>
      </c>
      <c r="H272" s="17">
        <v>1842.17</v>
      </c>
      <c r="I272" s="17">
        <v>1842.17</v>
      </c>
      <c r="J272" s="17">
        <v>1842.17</v>
      </c>
      <c r="K272" s="17">
        <v>1842.17</v>
      </c>
      <c r="L272" s="17">
        <v>1842.17</v>
      </c>
      <c r="M272" s="17">
        <v>2712.5</v>
      </c>
      <c r="N272" s="17">
        <v>2711.6</v>
      </c>
      <c r="O272" s="17">
        <v>0.0</v>
      </c>
      <c r="P272" s="17">
        <f t="shared" si="1"/>
        <v>17500</v>
      </c>
      <c r="Q272" s="14" t="str">
        <f>+VLOOKUP(A272,Mapping!$A$1:$E$443,5,FALSE)</f>
        <v>Insurance Loss Exp</v>
      </c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20">
        <f t="shared" si="2"/>
        <v>0</v>
      </c>
    </row>
    <row r="273" ht="11.25" customHeight="1">
      <c r="A273" s="15" t="s">
        <v>696</v>
      </c>
      <c r="B273" s="15" t="s">
        <v>697</v>
      </c>
      <c r="C273" s="15" t="s">
        <v>119</v>
      </c>
      <c r="D273" s="17">
        <v>0.0</v>
      </c>
      <c r="E273" s="17">
        <v>0.0</v>
      </c>
      <c r="F273" s="17">
        <v>0.0</v>
      </c>
      <c r="G273" s="17">
        <v>0.0</v>
      </c>
      <c r="H273" s="17">
        <v>0.0</v>
      </c>
      <c r="I273" s="17">
        <v>0.0</v>
      </c>
      <c r="J273" s="17">
        <v>0.0</v>
      </c>
      <c r="K273" s="17">
        <v>0.0</v>
      </c>
      <c r="L273" s="17">
        <v>0.0</v>
      </c>
      <c r="M273" s="17">
        <v>0.0</v>
      </c>
      <c r="N273" s="17">
        <v>0.0</v>
      </c>
      <c r="O273" s="17">
        <v>0.0</v>
      </c>
      <c r="P273" s="17">
        <f t="shared" si="1"/>
        <v>0</v>
      </c>
      <c r="Q273" s="14" t="str">
        <f>+VLOOKUP(A273,Mapping!$A$1:$E$443,5,FALSE)</f>
        <v/>
      </c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20">
        <f t="shared" si="2"/>
        <v>0</v>
      </c>
    </row>
    <row r="274" ht="11.25" customHeight="1">
      <c r="A274" s="15" t="s">
        <v>698</v>
      </c>
      <c r="B274" s="15" t="s">
        <v>699</v>
      </c>
      <c r="C274" s="15" t="s">
        <v>119</v>
      </c>
      <c r="D274" s="17">
        <v>0.0</v>
      </c>
      <c r="E274" s="17">
        <v>0.0</v>
      </c>
      <c r="F274" s="17">
        <v>0.0</v>
      </c>
      <c r="G274" s="17">
        <v>0.0</v>
      </c>
      <c r="H274" s="17">
        <v>0.0</v>
      </c>
      <c r="I274" s="17">
        <v>0.0</v>
      </c>
      <c r="J274" s="17">
        <v>0.0</v>
      </c>
      <c r="K274" s="17">
        <v>0.0</v>
      </c>
      <c r="L274" s="17">
        <v>0.0</v>
      </c>
      <c r="M274" s="17">
        <v>0.0</v>
      </c>
      <c r="N274" s="17">
        <v>0.0</v>
      </c>
      <c r="O274" s="17">
        <v>0.0</v>
      </c>
      <c r="P274" s="17">
        <f t="shared" si="1"/>
        <v>0</v>
      </c>
      <c r="Q274" s="14" t="str">
        <f>+VLOOKUP(A274,Mapping!$A$1:$E$443,5,FALSE)</f>
        <v/>
      </c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20">
        <f t="shared" si="2"/>
        <v>0</v>
      </c>
    </row>
    <row r="275" ht="11.25" customHeight="1">
      <c r="A275" s="15" t="s">
        <v>700</v>
      </c>
      <c r="B275" s="15" t="s">
        <v>701</v>
      </c>
      <c r="C275" s="15" t="s">
        <v>119</v>
      </c>
      <c r="D275" s="17">
        <v>0.0</v>
      </c>
      <c r="E275" s="17">
        <v>0.0</v>
      </c>
      <c r="F275" s="17">
        <v>0.0</v>
      </c>
      <c r="G275" s="17">
        <v>0.0</v>
      </c>
      <c r="H275" s="17">
        <v>0.0</v>
      </c>
      <c r="I275" s="17">
        <v>0.0</v>
      </c>
      <c r="J275" s="17">
        <v>0.0</v>
      </c>
      <c r="K275" s="17">
        <v>0.0</v>
      </c>
      <c r="L275" s="17">
        <v>0.0</v>
      </c>
      <c r="M275" s="17">
        <v>0.0</v>
      </c>
      <c r="N275" s="17">
        <v>0.0</v>
      </c>
      <c r="O275" s="17">
        <v>0.0</v>
      </c>
      <c r="P275" s="17">
        <f t="shared" si="1"/>
        <v>0</v>
      </c>
      <c r="Q275" s="14" t="str">
        <f>+VLOOKUP(A275,Mapping!$A$1:$E$443,5,FALSE)</f>
        <v/>
      </c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20">
        <f t="shared" si="2"/>
        <v>0</v>
      </c>
    </row>
    <row r="276" ht="11.25" customHeight="1">
      <c r="A276" s="15" t="s">
        <v>702</v>
      </c>
      <c r="B276" s="15" t="s">
        <v>703</v>
      </c>
      <c r="C276" s="15" t="s">
        <v>119</v>
      </c>
      <c r="D276" s="17">
        <v>0.0</v>
      </c>
      <c r="E276" s="17">
        <v>0.0</v>
      </c>
      <c r="F276" s="17">
        <v>0.0</v>
      </c>
      <c r="G276" s="17">
        <v>0.0</v>
      </c>
      <c r="H276" s="17">
        <v>0.0</v>
      </c>
      <c r="I276" s="17">
        <v>0.0</v>
      </c>
      <c r="J276" s="17">
        <v>0.0</v>
      </c>
      <c r="K276" s="17">
        <v>0.0</v>
      </c>
      <c r="L276" s="17">
        <v>0.0</v>
      </c>
      <c r="M276" s="17">
        <v>0.0</v>
      </c>
      <c r="N276" s="17">
        <v>0.0</v>
      </c>
      <c r="O276" s="17">
        <v>0.0</v>
      </c>
      <c r="P276" s="17">
        <f t="shared" si="1"/>
        <v>0</v>
      </c>
      <c r="Q276" s="14" t="str">
        <f>+VLOOKUP(A276,Mapping!$A$1:$E$443,5,FALSE)</f>
        <v/>
      </c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20">
        <f t="shared" si="2"/>
        <v>0</v>
      </c>
    </row>
    <row r="277" ht="11.25" customHeight="1">
      <c r="A277" s="15"/>
      <c r="B277" s="15"/>
      <c r="C277" s="15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ht="11.25" customHeight="1">
      <c r="A278" s="15" t="s">
        <v>77</v>
      </c>
      <c r="B278" s="15" t="s">
        <v>704</v>
      </c>
      <c r="C278" s="15" t="s">
        <v>77</v>
      </c>
      <c r="D278" s="17">
        <f>SUMIF(C2:C277, "Income", D2:D277)</f>
        <v>4125.83</v>
      </c>
      <c r="E278" s="17">
        <f>SUMIF(C2:C277, "Income", E2:E277)</f>
        <v>73906.02</v>
      </c>
      <c r="F278" s="17">
        <f>SUMIF(C2:C277, "Income", F2:F277)</f>
        <v>107051.2</v>
      </c>
      <c r="G278" s="17">
        <f>SUMIF(C2:C277, "Income", G2:G277)</f>
        <v>106500.05</v>
      </c>
      <c r="H278" s="17">
        <f>SUMIF(C2:C277, "Income", H2:H277)</f>
        <v>106500.05</v>
      </c>
      <c r="I278" s="17">
        <f>SUMIF(C2:C277, "Income", I2:I277)</f>
        <v>106500.05</v>
      </c>
      <c r="J278" s="17">
        <f>SUMIF(C2:C277, "Income", J2:J277)</f>
        <v>110165.05</v>
      </c>
      <c r="K278" s="17">
        <f>SUMIF(C2:C277, "Income", K2:K277)</f>
        <v>116990.05</v>
      </c>
      <c r="L278" s="17">
        <f>SUMIF(C2:C277, "Income", L2:L277)</f>
        <v>138240.05</v>
      </c>
      <c r="M278" s="17">
        <f>SUMIF(C2:C277, "Income", M2:M277)</f>
        <v>110396.48</v>
      </c>
      <c r="N278" s="17">
        <f>SUMIF(C2:C277, "Income", N2:N277)</f>
        <v>104521.47</v>
      </c>
      <c r="O278" s="17">
        <f>SUMIF(C2:C277, "Income", O2:O277)</f>
        <v>8021.7</v>
      </c>
      <c r="P278" s="17">
        <f>SUMIF(C2:C277, "Income", P2:P277)</f>
        <v>1092918</v>
      </c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ht="11.25" customHeight="1">
      <c r="A279" s="15" t="s">
        <v>77</v>
      </c>
      <c r="B279" s="15" t="s">
        <v>705</v>
      </c>
      <c r="C279" s="15" t="s">
        <v>77</v>
      </c>
      <c r="D279" s="17">
        <f>-(SUMIF(C2:C278, "Cost of Sales", D2:D278))</f>
        <v>-208.33</v>
      </c>
      <c r="E279" s="17">
        <f>-(SUMIF(C2:C278, "Cost of Sales", E2:E278))</f>
        <v>-287.28</v>
      </c>
      <c r="F279" s="17">
        <f>-(SUMIF(C2:C278, "Cost of Sales", F2:F278))</f>
        <v>-366.23</v>
      </c>
      <c r="G279" s="17">
        <f>-(SUMIF(C2:C278, "Cost of Sales", G2:G278))</f>
        <v>-782.9</v>
      </c>
      <c r="H279" s="17">
        <f>-(SUMIF(C2:C278, "Cost of Sales", H2:H278))</f>
        <v>-782.9</v>
      </c>
      <c r="I279" s="17">
        <f>-(SUMIF(C2:C278, "Cost of Sales", I2:I278))</f>
        <v>-782.9</v>
      </c>
      <c r="J279" s="17">
        <f>-(SUMIF(C2:C278, "Cost of Sales", J2:J278))</f>
        <v>-157.9</v>
      </c>
      <c r="K279" s="17">
        <f>-(SUMIF(C2:C278, "Cost of Sales", K2:K278))</f>
        <v>-2657.9</v>
      </c>
      <c r="L279" s="17">
        <f>-(SUMIF(C2:C278, "Cost of Sales", L2:L278))</f>
        <v>-5157.9</v>
      </c>
      <c r="M279" s="17">
        <f>-(SUMIF(C2:C278, "Cost of Sales", M2:M278))</f>
        <v>-157.88</v>
      </c>
      <c r="N279" s="17">
        <f>-(SUMIF(C2:C278, "Cost of Sales", N2:N278))</f>
        <v>-157.88</v>
      </c>
      <c r="O279" s="17">
        <f>-(SUMIF(C2:C278, "Cost of Sales", O2:O278))</f>
        <v>0</v>
      </c>
      <c r="P279" s="17">
        <f>-(SUMIF(C2:C278, "Cost of Sales", P2:P278))</f>
        <v>-11500</v>
      </c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ht="11.25" customHeight="1">
      <c r="A280" s="15"/>
      <c r="B280" s="25"/>
      <c r="C280" s="15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ht="11.25" customHeight="1">
      <c r="A281" s="15" t="s">
        <v>77</v>
      </c>
      <c r="B281" s="15" t="s">
        <v>351</v>
      </c>
      <c r="C281" s="15" t="s">
        <v>77</v>
      </c>
      <c r="D281" s="17">
        <f t="shared" ref="D281:P281" si="3">D278+D279</f>
        <v>3917.5</v>
      </c>
      <c r="E281" s="17">
        <f t="shared" si="3"/>
        <v>73618.74</v>
      </c>
      <c r="F281" s="17">
        <f t="shared" si="3"/>
        <v>106684.97</v>
      </c>
      <c r="G281" s="17">
        <f t="shared" si="3"/>
        <v>105717.15</v>
      </c>
      <c r="H281" s="17">
        <f t="shared" si="3"/>
        <v>105717.15</v>
      </c>
      <c r="I281" s="17">
        <f t="shared" si="3"/>
        <v>105717.15</v>
      </c>
      <c r="J281" s="17">
        <f t="shared" si="3"/>
        <v>110007.15</v>
      </c>
      <c r="K281" s="17">
        <f t="shared" si="3"/>
        <v>114332.15</v>
      </c>
      <c r="L281" s="17">
        <f t="shared" si="3"/>
        <v>133082.15</v>
      </c>
      <c r="M281" s="17">
        <f t="shared" si="3"/>
        <v>110238.6</v>
      </c>
      <c r="N281" s="17">
        <f t="shared" si="3"/>
        <v>104363.59</v>
      </c>
      <c r="O281" s="17">
        <f t="shared" si="3"/>
        <v>8021.7</v>
      </c>
      <c r="P281" s="17">
        <f t="shared" si="3"/>
        <v>1081418</v>
      </c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ht="11.25" customHeight="1">
      <c r="A282" s="15" t="s">
        <v>77</v>
      </c>
      <c r="B282" s="15" t="s">
        <v>706</v>
      </c>
      <c r="C282" s="15" t="s">
        <v>77</v>
      </c>
      <c r="D282" s="17">
        <f>-(SUMIF(C2:C281, "Expenses", D2:D281))</f>
        <v>-51832.17</v>
      </c>
      <c r="E282" s="17">
        <f>-(SUMIF(C2:C281, "Expenses", E2:E281))</f>
        <v>-71654.5</v>
      </c>
      <c r="F282" s="17">
        <f>-(SUMIF(C2:C281, "Expenses", F2:F281))</f>
        <v>-100670.17</v>
      </c>
      <c r="G282" s="17">
        <f>-(SUMIF(C2:C281, "Expenses", G2:G281))</f>
        <v>-98935.37</v>
      </c>
      <c r="H282" s="17">
        <f>-(SUMIF(C2:C281, "Expenses", H2:H281))</f>
        <v>-100885.37</v>
      </c>
      <c r="I282" s="17">
        <f>-(SUMIF(C2:C281, "Expenses", I2:I281))</f>
        <v>-103192.87</v>
      </c>
      <c r="J282" s="17">
        <f>-(SUMIF(C2:C281, "Expenses", J2:J281))</f>
        <v>-99827.04</v>
      </c>
      <c r="K282" s="17">
        <f>-(SUMIF(C2:C281, "Expenses", K2:K281))</f>
        <v>-99777.04</v>
      </c>
      <c r="L282" s="17">
        <f>-(SUMIF(C2:C281, "Expenses", L2:L281))</f>
        <v>-99877.04</v>
      </c>
      <c r="M282" s="17">
        <f>-(SUMIF(C2:C281, "Expenses", M2:M281))</f>
        <v>-102888.49</v>
      </c>
      <c r="N282" s="17">
        <f>-(SUMIF(C2:C281, "Expenses", N2:N281))</f>
        <v>-102783.35</v>
      </c>
      <c r="O282" s="17">
        <f>-(SUMIF(C2:C281, "Expenses", O2:O281))</f>
        <v>-49073.83</v>
      </c>
      <c r="P282" s="17">
        <f>-(SUMIF(C2:C281, "Expenses", P2:P281))</f>
        <v>-1081397.24</v>
      </c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ht="11.25" customHeight="1">
      <c r="A283" s="15"/>
      <c r="B283" s="25"/>
      <c r="C283" s="15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ht="11.25" customHeight="1">
      <c r="A284" s="15" t="s">
        <v>77</v>
      </c>
      <c r="B284" s="15" t="s">
        <v>259</v>
      </c>
      <c r="C284" s="15" t="s">
        <v>77</v>
      </c>
      <c r="D284" s="17">
        <f t="shared" ref="D284:P284" si="4">D281+D282</f>
        <v>-47914.67</v>
      </c>
      <c r="E284" s="17">
        <f t="shared" si="4"/>
        <v>1964.24</v>
      </c>
      <c r="F284" s="17">
        <f t="shared" si="4"/>
        <v>6014.8</v>
      </c>
      <c r="G284" s="17">
        <f t="shared" si="4"/>
        <v>6781.78</v>
      </c>
      <c r="H284" s="17">
        <f t="shared" si="4"/>
        <v>4831.78</v>
      </c>
      <c r="I284" s="17">
        <f t="shared" si="4"/>
        <v>2524.28</v>
      </c>
      <c r="J284" s="17">
        <f t="shared" si="4"/>
        <v>10180.11</v>
      </c>
      <c r="K284" s="17">
        <f t="shared" si="4"/>
        <v>14555.11</v>
      </c>
      <c r="L284" s="17">
        <f t="shared" si="4"/>
        <v>33205.11</v>
      </c>
      <c r="M284" s="17">
        <f t="shared" si="4"/>
        <v>7350.11</v>
      </c>
      <c r="N284" s="17">
        <f t="shared" si="4"/>
        <v>1580.24</v>
      </c>
      <c r="O284" s="17">
        <f t="shared" si="4"/>
        <v>-41052.13</v>
      </c>
      <c r="P284" s="17">
        <f t="shared" si="4"/>
        <v>20.76</v>
      </c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ht="11.25" customHeight="1">
      <c r="A285" s="49"/>
      <c r="B285" s="63"/>
      <c r="C285" s="49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ht="11.25" customHeight="1">
      <c r="A286" s="15"/>
      <c r="B286" s="15"/>
      <c r="C286" s="15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ht="11.25" customHeight="1">
      <c r="A287" s="15"/>
      <c r="B287" s="15"/>
      <c r="C287" s="15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ht="11.25" customHeight="1">
      <c r="A288" s="15"/>
      <c r="B288" s="15"/>
      <c r="C288" s="15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ht="11.25" customHeight="1">
      <c r="A289" s="15"/>
      <c r="B289" s="15"/>
      <c r="C289" s="15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ht="11.25" customHeight="1">
      <c r="A290" s="15"/>
      <c r="B290" s="15"/>
      <c r="C290" s="15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ht="11.25" customHeight="1">
      <c r="A291" s="15"/>
      <c r="B291" s="15"/>
      <c r="C291" s="15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ht="11.25" customHeight="1">
      <c r="A292" s="15"/>
      <c r="B292" s="15"/>
      <c r="C292" s="15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ht="11.25" customHeight="1">
      <c r="A293" s="15"/>
      <c r="B293" s="15"/>
      <c r="C293" s="15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ht="11.25" customHeight="1">
      <c r="A294" s="15"/>
      <c r="B294" s="15"/>
      <c r="C294" s="15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ht="11.25" customHeight="1">
      <c r="A295" s="15"/>
      <c r="B295" s="15"/>
      <c r="C295" s="15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ht="11.25" customHeight="1">
      <c r="A296" s="15"/>
      <c r="B296" s="15"/>
      <c r="C296" s="15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ht="11.25" customHeight="1">
      <c r="A297" s="15"/>
      <c r="B297" s="15"/>
      <c r="C297" s="15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ht="11.25" customHeight="1">
      <c r="A298" s="15"/>
      <c r="B298" s="15"/>
      <c r="C298" s="15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ht="11.25" customHeight="1">
      <c r="A299" s="15"/>
      <c r="B299" s="15"/>
      <c r="C299" s="15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ht="11.25" customHeight="1">
      <c r="A300" s="15"/>
      <c r="B300" s="15"/>
      <c r="C300" s="15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ht="11.25" customHeight="1">
      <c r="A301" s="15"/>
      <c r="B301" s="15"/>
      <c r="C301" s="15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ht="11.25" customHeight="1">
      <c r="A302" s="15"/>
      <c r="B302" s="15"/>
      <c r="C302" s="15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ht="11.25" customHeight="1">
      <c r="A303" s="15"/>
      <c r="B303" s="15"/>
      <c r="C303" s="15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ht="11.25" customHeight="1">
      <c r="A304" s="15"/>
      <c r="B304" s="15"/>
      <c r="C304" s="15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ht="11.25" customHeight="1">
      <c r="A305" s="15"/>
      <c r="B305" s="15"/>
      <c r="C305" s="15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ht="11.25" customHeight="1">
      <c r="A306" s="15"/>
      <c r="B306" s="15"/>
      <c r="C306" s="15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ht="11.25" customHeight="1">
      <c r="A307" s="15"/>
      <c r="B307" s="15"/>
      <c r="C307" s="15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ht="11.25" customHeight="1">
      <c r="A308" s="15"/>
      <c r="B308" s="15"/>
      <c r="C308" s="15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ht="11.25" customHeight="1">
      <c r="A309" s="15"/>
      <c r="B309" s="15"/>
      <c r="C309" s="15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ht="11.25" customHeight="1">
      <c r="A310" s="15"/>
      <c r="B310" s="15"/>
      <c r="C310" s="15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ht="11.25" customHeight="1">
      <c r="A311" s="15"/>
      <c r="B311" s="15"/>
      <c r="C311" s="15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ht="11.25" customHeight="1">
      <c r="A312" s="15"/>
      <c r="B312" s="15"/>
      <c r="C312" s="15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ht="11.25" customHeight="1">
      <c r="A313" s="15"/>
      <c r="B313" s="15"/>
      <c r="C313" s="15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ht="11.25" customHeight="1">
      <c r="A314" s="15"/>
      <c r="B314" s="15"/>
      <c r="C314" s="15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ht="11.25" customHeight="1">
      <c r="A315" s="15"/>
      <c r="B315" s="15"/>
      <c r="C315" s="15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ht="11.25" customHeight="1">
      <c r="A316" s="15"/>
      <c r="B316" s="15"/>
      <c r="C316" s="15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ht="11.25" customHeight="1">
      <c r="A317" s="15"/>
      <c r="B317" s="15"/>
      <c r="C317" s="15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ht="11.25" customHeight="1">
      <c r="A318" s="15"/>
      <c r="B318" s="15"/>
      <c r="C318" s="15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ht="11.25" customHeight="1">
      <c r="A319" s="15"/>
      <c r="B319" s="15"/>
      <c r="C319" s="15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ht="11.25" customHeight="1">
      <c r="A320" s="15"/>
      <c r="B320" s="15"/>
      <c r="C320" s="15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ht="11.25" customHeight="1">
      <c r="A321" s="15"/>
      <c r="B321" s="15"/>
      <c r="C321" s="15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ht="11.25" customHeight="1">
      <c r="A322" s="15"/>
      <c r="B322" s="15"/>
      <c r="C322" s="15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ht="11.25" customHeight="1">
      <c r="A323" s="15"/>
      <c r="B323" s="15"/>
      <c r="C323" s="15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ht="11.25" customHeight="1">
      <c r="A324" s="15"/>
      <c r="B324" s="15"/>
      <c r="C324" s="15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ht="11.25" customHeight="1">
      <c r="A325" s="15"/>
      <c r="B325" s="15"/>
      <c r="C325" s="15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ht="11.25" customHeight="1">
      <c r="A326" s="15"/>
      <c r="B326" s="15"/>
      <c r="C326" s="15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ht="11.25" customHeight="1">
      <c r="A327" s="15"/>
      <c r="B327" s="15"/>
      <c r="C327" s="15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ht="11.25" customHeight="1">
      <c r="A328" s="15"/>
      <c r="B328" s="15"/>
      <c r="C328" s="15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ht="11.25" customHeight="1">
      <c r="A329" s="15"/>
      <c r="B329" s="15"/>
      <c r="C329" s="15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ht="11.25" customHeight="1">
      <c r="A330" s="15"/>
      <c r="B330" s="15"/>
      <c r="C330" s="15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ht="11.25" customHeight="1">
      <c r="A331" s="15"/>
      <c r="B331" s="15"/>
      <c r="C331" s="15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ht="11.25" customHeight="1">
      <c r="A332" s="15"/>
      <c r="B332" s="15"/>
      <c r="C332" s="15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ht="11.25" customHeight="1">
      <c r="A333" s="15"/>
      <c r="B333" s="15"/>
      <c r="C333" s="15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ht="11.25" customHeight="1">
      <c r="A334" s="15"/>
      <c r="B334" s="15"/>
      <c r="C334" s="15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ht="11.25" customHeight="1">
      <c r="A335" s="15"/>
      <c r="B335" s="15"/>
      <c r="C335" s="15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ht="11.25" customHeight="1">
      <c r="A336" s="15"/>
      <c r="B336" s="15"/>
      <c r="C336" s="15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ht="11.25" customHeight="1">
      <c r="A337" s="15"/>
      <c r="B337" s="15"/>
      <c r="C337" s="15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ht="11.25" customHeight="1">
      <c r="A338" s="15"/>
      <c r="B338" s="15"/>
      <c r="C338" s="15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ht="11.25" customHeight="1">
      <c r="A339" s="15"/>
      <c r="B339" s="15"/>
      <c r="C339" s="15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ht="11.25" customHeight="1">
      <c r="A340" s="15"/>
      <c r="B340" s="15"/>
      <c r="C340" s="15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ht="11.25" customHeight="1">
      <c r="A341" s="15"/>
      <c r="B341" s="15"/>
      <c r="C341" s="15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ht="11.25" customHeight="1">
      <c r="A342" s="15"/>
      <c r="B342" s="15"/>
      <c r="C342" s="15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ht="11.25" customHeight="1">
      <c r="A343" s="15"/>
      <c r="B343" s="15"/>
      <c r="C343" s="15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ht="11.25" customHeight="1">
      <c r="A344" s="15"/>
      <c r="B344" s="15"/>
      <c r="C344" s="15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ht="11.25" customHeight="1">
      <c r="A345" s="15"/>
      <c r="B345" s="15"/>
      <c r="C345" s="15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ht="11.25" customHeight="1">
      <c r="A346" s="15"/>
      <c r="B346" s="15"/>
      <c r="C346" s="15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ht="11.25" customHeight="1">
      <c r="A347" s="15"/>
      <c r="B347" s="15"/>
      <c r="C347" s="15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ht="11.25" customHeight="1">
      <c r="A348" s="15"/>
      <c r="B348" s="15"/>
      <c r="C348" s="15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ht="11.25" customHeight="1">
      <c r="A349" s="15"/>
      <c r="B349" s="15"/>
      <c r="C349" s="15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ht="11.25" customHeight="1">
      <c r="A350" s="15"/>
      <c r="B350" s="15"/>
      <c r="C350" s="15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ht="11.25" customHeight="1">
      <c r="A351" s="15"/>
      <c r="B351" s="15"/>
      <c r="C351" s="15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ht="11.25" customHeight="1">
      <c r="A352" s="15"/>
      <c r="B352" s="15"/>
      <c r="C352" s="15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ht="11.25" customHeight="1">
      <c r="A353" s="15"/>
      <c r="B353" s="15"/>
      <c r="C353" s="15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ht="11.25" customHeight="1">
      <c r="A354" s="15"/>
      <c r="B354" s="15"/>
      <c r="C354" s="15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ht="11.25" customHeight="1">
      <c r="A355" s="15"/>
      <c r="B355" s="15"/>
      <c r="C355" s="15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ht="11.25" customHeight="1">
      <c r="A356" s="15"/>
      <c r="B356" s="15"/>
      <c r="C356" s="15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ht="11.25" customHeight="1">
      <c r="A357" s="15"/>
      <c r="B357" s="15"/>
      <c r="C357" s="15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ht="11.25" customHeight="1">
      <c r="A358" s="15"/>
      <c r="B358" s="15"/>
      <c r="C358" s="15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ht="11.25" customHeight="1">
      <c r="A359" s="15"/>
      <c r="B359" s="15"/>
      <c r="C359" s="15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ht="11.25" customHeight="1">
      <c r="A360" s="15"/>
      <c r="B360" s="15"/>
      <c r="C360" s="15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ht="11.25" customHeight="1">
      <c r="A361" s="15"/>
      <c r="B361" s="15"/>
      <c r="C361" s="15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ht="11.25" customHeight="1">
      <c r="A362" s="15"/>
      <c r="B362" s="15"/>
      <c r="C362" s="15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ht="11.25" customHeight="1">
      <c r="A363" s="15"/>
      <c r="B363" s="15"/>
      <c r="C363" s="15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ht="11.25" customHeight="1">
      <c r="A364" s="15"/>
      <c r="B364" s="15"/>
      <c r="C364" s="15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ht="11.25" customHeight="1">
      <c r="A365" s="15"/>
      <c r="B365" s="15"/>
      <c r="C365" s="15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ht="11.25" customHeight="1">
      <c r="A366" s="15"/>
      <c r="B366" s="15"/>
      <c r="C366" s="15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ht="11.25" customHeight="1">
      <c r="A367" s="15"/>
      <c r="B367" s="15"/>
      <c r="C367" s="15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ht="11.25" customHeight="1">
      <c r="A368" s="15"/>
      <c r="B368" s="15"/>
      <c r="C368" s="15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ht="11.25" customHeight="1">
      <c r="A369" s="15"/>
      <c r="B369" s="15"/>
      <c r="C369" s="15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ht="11.25" customHeight="1">
      <c r="A370" s="15"/>
      <c r="B370" s="15"/>
      <c r="C370" s="15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ht="11.25" customHeight="1">
      <c r="A371" s="15"/>
      <c r="B371" s="15"/>
      <c r="C371" s="15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ht="11.25" customHeight="1">
      <c r="A372" s="15"/>
      <c r="B372" s="15"/>
      <c r="C372" s="15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ht="11.25" customHeight="1">
      <c r="A373" s="15"/>
      <c r="B373" s="15"/>
      <c r="C373" s="15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ht="11.25" customHeight="1">
      <c r="A374" s="15"/>
      <c r="B374" s="15"/>
      <c r="C374" s="15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ht="11.25" customHeight="1">
      <c r="A375" s="15"/>
      <c r="B375" s="15"/>
      <c r="C375" s="15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ht="11.25" customHeight="1">
      <c r="A376" s="15"/>
      <c r="B376" s="15"/>
      <c r="C376" s="15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ht="11.25" customHeight="1">
      <c r="A377" s="15"/>
      <c r="B377" s="15"/>
      <c r="C377" s="15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ht="11.25" customHeight="1">
      <c r="A378" s="15"/>
      <c r="B378" s="15"/>
      <c r="C378" s="15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ht="11.25" customHeight="1">
      <c r="A379" s="15"/>
      <c r="B379" s="15"/>
      <c r="C379" s="15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ht="11.25" customHeight="1">
      <c r="A380" s="15"/>
      <c r="B380" s="15"/>
      <c r="C380" s="15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ht="11.25" customHeight="1">
      <c r="A381" s="15"/>
      <c r="B381" s="15"/>
      <c r="C381" s="15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ht="11.25" customHeight="1">
      <c r="A382" s="15"/>
      <c r="B382" s="15"/>
      <c r="C382" s="15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ht="11.25" customHeight="1">
      <c r="A383" s="15"/>
      <c r="B383" s="15"/>
      <c r="C383" s="15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ht="11.25" customHeight="1">
      <c r="A384" s="15"/>
      <c r="B384" s="15"/>
      <c r="C384" s="15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ht="11.25" customHeight="1">
      <c r="A385" s="15"/>
      <c r="B385" s="15"/>
      <c r="C385" s="15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ht="11.25" customHeight="1">
      <c r="A386" s="15"/>
      <c r="B386" s="15"/>
      <c r="C386" s="15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ht="11.25" customHeight="1">
      <c r="A387" s="15"/>
      <c r="B387" s="15"/>
      <c r="C387" s="15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ht="11.25" customHeight="1">
      <c r="A388" s="15"/>
      <c r="B388" s="15"/>
      <c r="C388" s="15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ht="11.25" customHeight="1">
      <c r="A389" s="15"/>
      <c r="B389" s="15"/>
      <c r="C389" s="15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ht="11.25" customHeight="1">
      <c r="A390" s="15"/>
      <c r="B390" s="15"/>
      <c r="C390" s="15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ht="11.25" customHeight="1">
      <c r="A391" s="15"/>
      <c r="B391" s="15"/>
      <c r="C391" s="15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ht="11.25" customHeight="1">
      <c r="A392" s="15"/>
      <c r="B392" s="15"/>
      <c r="C392" s="15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ht="11.25" customHeight="1">
      <c r="A393" s="15"/>
      <c r="B393" s="15"/>
      <c r="C393" s="15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ht="11.25" customHeight="1">
      <c r="A394" s="15"/>
      <c r="B394" s="15"/>
      <c r="C394" s="15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ht="11.25" customHeight="1">
      <c r="A395" s="15"/>
      <c r="B395" s="15"/>
      <c r="C395" s="15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ht="11.25" customHeight="1">
      <c r="A396" s="15"/>
      <c r="B396" s="15"/>
      <c r="C396" s="15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ht="11.25" customHeight="1">
      <c r="A397" s="15"/>
      <c r="B397" s="15"/>
      <c r="C397" s="15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ht="11.25" customHeight="1">
      <c r="A398" s="15"/>
      <c r="B398" s="15"/>
      <c r="C398" s="15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ht="11.25" customHeight="1">
      <c r="A399" s="15"/>
      <c r="B399" s="15"/>
      <c r="C399" s="15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ht="11.25" customHeight="1">
      <c r="A400" s="15"/>
      <c r="B400" s="15"/>
      <c r="C400" s="15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ht="11.25" customHeight="1">
      <c r="A401" s="15"/>
      <c r="B401" s="15"/>
      <c r="C401" s="15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ht="11.25" customHeight="1">
      <c r="A402" s="15"/>
      <c r="B402" s="15"/>
      <c r="C402" s="15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ht="11.25" customHeight="1">
      <c r="A403" s="15"/>
      <c r="B403" s="15"/>
      <c r="C403" s="15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ht="11.25" customHeight="1">
      <c r="A404" s="15"/>
      <c r="B404" s="15"/>
      <c r="C404" s="15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ht="11.25" customHeight="1">
      <c r="A405" s="15"/>
      <c r="B405" s="15"/>
      <c r="C405" s="15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ht="11.25" customHeight="1">
      <c r="A406" s="15"/>
      <c r="B406" s="15"/>
      <c r="C406" s="15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ht="11.25" customHeight="1">
      <c r="A407" s="15"/>
      <c r="B407" s="15"/>
      <c r="C407" s="15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ht="11.25" customHeight="1">
      <c r="A408" s="15"/>
      <c r="B408" s="15"/>
      <c r="C408" s="15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ht="11.25" customHeight="1">
      <c r="A409" s="15"/>
      <c r="B409" s="15"/>
      <c r="C409" s="15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ht="11.25" customHeight="1">
      <c r="A410" s="15"/>
      <c r="B410" s="15"/>
      <c r="C410" s="15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ht="11.25" customHeight="1">
      <c r="A411" s="15"/>
      <c r="B411" s="15"/>
      <c r="C411" s="15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ht="11.25" customHeight="1">
      <c r="A412" s="15"/>
      <c r="B412" s="15"/>
      <c r="C412" s="15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ht="11.25" customHeight="1">
      <c r="A413" s="15"/>
      <c r="B413" s="15"/>
      <c r="C413" s="15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ht="11.25" customHeight="1">
      <c r="A414" s="15"/>
      <c r="B414" s="15"/>
      <c r="C414" s="15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ht="11.25" customHeight="1">
      <c r="A415" s="15"/>
      <c r="B415" s="15"/>
      <c r="C415" s="15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ht="11.25" customHeight="1">
      <c r="A416" s="15"/>
      <c r="B416" s="15"/>
      <c r="C416" s="15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ht="11.25" customHeight="1">
      <c r="A417" s="15"/>
      <c r="B417" s="15"/>
      <c r="C417" s="15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ht="11.25" customHeight="1">
      <c r="A418" s="15"/>
      <c r="B418" s="15"/>
      <c r="C418" s="15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ht="11.25" customHeight="1">
      <c r="A419" s="15"/>
      <c r="B419" s="15"/>
      <c r="C419" s="15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ht="11.25" customHeight="1">
      <c r="A420" s="15"/>
      <c r="B420" s="15"/>
      <c r="C420" s="15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ht="11.25" customHeight="1">
      <c r="A421" s="15"/>
      <c r="B421" s="15"/>
      <c r="C421" s="15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ht="11.25" customHeight="1">
      <c r="A422" s="15"/>
      <c r="B422" s="15"/>
      <c r="C422" s="15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ht="11.25" customHeight="1">
      <c r="A423" s="15"/>
      <c r="B423" s="15"/>
      <c r="C423" s="15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ht="11.25" customHeight="1">
      <c r="A424" s="15"/>
      <c r="B424" s="15"/>
      <c r="C424" s="15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ht="11.25" customHeight="1">
      <c r="A425" s="15"/>
      <c r="B425" s="15"/>
      <c r="C425" s="15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ht="11.25" customHeight="1">
      <c r="A426" s="15"/>
      <c r="B426" s="15"/>
      <c r="C426" s="15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ht="11.25" customHeight="1">
      <c r="A427" s="15"/>
      <c r="B427" s="15"/>
      <c r="C427" s="15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ht="11.25" customHeight="1">
      <c r="A428" s="15"/>
      <c r="B428" s="15"/>
      <c r="C428" s="15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ht="11.25" customHeight="1">
      <c r="A429" s="15"/>
      <c r="B429" s="15"/>
      <c r="C429" s="15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ht="11.25" customHeight="1">
      <c r="A430" s="15"/>
      <c r="B430" s="15"/>
      <c r="C430" s="15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ht="11.25" customHeight="1">
      <c r="A431" s="15"/>
      <c r="B431" s="15"/>
      <c r="C431" s="15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ht="11.25" customHeight="1">
      <c r="A432" s="15"/>
      <c r="B432" s="15"/>
      <c r="C432" s="15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ht="11.25" customHeight="1">
      <c r="A433" s="15"/>
      <c r="B433" s="15"/>
      <c r="C433" s="15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ht="11.25" customHeight="1">
      <c r="A434" s="15"/>
      <c r="B434" s="15"/>
      <c r="C434" s="15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ht="11.25" customHeight="1">
      <c r="A435" s="15"/>
      <c r="B435" s="15"/>
      <c r="C435" s="15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ht="11.25" customHeight="1">
      <c r="A436" s="15"/>
      <c r="B436" s="15"/>
      <c r="C436" s="15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ht="11.25" customHeight="1">
      <c r="A437" s="15"/>
      <c r="B437" s="15"/>
      <c r="C437" s="15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ht="11.25" customHeight="1">
      <c r="A438" s="15"/>
      <c r="B438" s="15"/>
      <c r="C438" s="15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ht="11.25" customHeight="1">
      <c r="A439" s="15"/>
      <c r="B439" s="15"/>
      <c r="C439" s="15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ht="11.25" customHeight="1">
      <c r="A440" s="15"/>
      <c r="B440" s="15"/>
      <c r="C440" s="15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ht="11.25" customHeight="1">
      <c r="A441" s="15"/>
      <c r="B441" s="15"/>
      <c r="C441" s="15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ht="11.25" customHeight="1">
      <c r="A442" s="15"/>
      <c r="B442" s="15"/>
      <c r="C442" s="15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ht="11.25" customHeight="1">
      <c r="A443" s="15"/>
      <c r="B443" s="15"/>
      <c r="C443" s="15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ht="11.25" customHeight="1">
      <c r="A444" s="15"/>
      <c r="B444" s="15"/>
      <c r="C444" s="15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ht="11.25" customHeight="1">
      <c r="A445" s="15"/>
      <c r="B445" s="15"/>
      <c r="C445" s="15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ht="11.25" customHeight="1">
      <c r="A446" s="15"/>
      <c r="B446" s="15"/>
      <c r="C446" s="15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ht="11.25" customHeight="1">
      <c r="A447" s="15"/>
      <c r="B447" s="15"/>
      <c r="C447" s="15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ht="11.25" customHeight="1">
      <c r="A448" s="15"/>
      <c r="B448" s="15"/>
      <c r="C448" s="15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ht="11.25" customHeight="1">
      <c r="A449" s="15"/>
      <c r="B449" s="15"/>
      <c r="C449" s="15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ht="11.25" customHeight="1">
      <c r="A450" s="15"/>
      <c r="B450" s="15"/>
      <c r="C450" s="15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ht="11.25" customHeight="1">
      <c r="A451" s="15"/>
      <c r="B451" s="15"/>
      <c r="C451" s="15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ht="11.25" customHeight="1">
      <c r="A452" s="15"/>
      <c r="B452" s="15"/>
      <c r="C452" s="15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ht="11.25" customHeight="1">
      <c r="A453" s="15"/>
      <c r="B453" s="15"/>
      <c r="C453" s="15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ht="11.25" customHeight="1">
      <c r="A454" s="15"/>
      <c r="B454" s="15"/>
      <c r="C454" s="15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ht="11.25" customHeight="1">
      <c r="A455" s="15"/>
      <c r="B455" s="15"/>
      <c r="C455" s="15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ht="11.25" customHeight="1">
      <c r="A456" s="15"/>
      <c r="B456" s="15"/>
      <c r="C456" s="15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ht="11.25" customHeight="1">
      <c r="A457" s="15"/>
      <c r="B457" s="15"/>
      <c r="C457" s="15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ht="11.25" customHeight="1">
      <c r="A458" s="15"/>
      <c r="B458" s="15"/>
      <c r="C458" s="15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ht="11.25" customHeight="1">
      <c r="A459" s="15"/>
      <c r="B459" s="15"/>
      <c r="C459" s="15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ht="11.25" customHeight="1">
      <c r="A460" s="15"/>
      <c r="B460" s="15"/>
      <c r="C460" s="15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ht="11.25" customHeight="1">
      <c r="A461" s="15"/>
      <c r="B461" s="15"/>
      <c r="C461" s="15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ht="11.25" customHeight="1">
      <c r="A462" s="15"/>
      <c r="B462" s="15"/>
      <c r="C462" s="15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ht="11.25" customHeight="1">
      <c r="A463" s="15"/>
      <c r="B463" s="15"/>
      <c r="C463" s="15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ht="11.25" customHeight="1">
      <c r="A464" s="15"/>
      <c r="B464" s="15"/>
      <c r="C464" s="15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ht="11.25" customHeight="1">
      <c r="A465" s="15"/>
      <c r="B465" s="15"/>
      <c r="C465" s="15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ht="11.25" customHeight="1">
      <c r="A466" s="15"/>
      <c r="B466" s="15"/>
      <c r="C466" s="15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ht="11.25" customHeight="1">
      <c r="A467" s="15"/>
      <c r="B467" s="15"/>
      <c r="C467" s="15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ht="11.25" customHeight="1">
      <c r="A468" s="15"/>
      <c r="B468" s="15"/>
      <c r="C468" s="15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ht="11.25" customHeight="1">
      <c r="A469" s="15"/>
      <c r="B469" s="15"/>
      <c r="C469" s="15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ht="11.25" customHeight="1">
      <c r="A470" s="15"/>
      <c r="B470" s="15"/>
      <c r="C470" s="15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ht="11.25" customHeight="1">
      <c r="A471" s="15"/>
      <c r="B471" s="15"/>
      <c r="C471" s="15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ht="11.25" customHeight="1">
      <c r="A472" s="15"/>
      <c r="B472" s="15"/>
      <c r="C472" s="15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ht="11.25" customHeight="1">
      <c r="A473" s="15"/>
      <c r="B473" s="15"/>
      <c r="C473" s="15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ht="11.25" customHeight="1">
      <c r="A474" s="15"/>
      <c r="B474" s="15"/>
      <c r="C474" s="15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ht="11.25" customHeight="1">
      <c r="A475" s="15"/>
      <c r="B475" s="15"/>
      <c r="C475" s="15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ht="11.25" customHeight="1">
      <c r="A476" s="15"/>
      <c r="B476" s="15"/>
      <c r="C476" s="15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ht="11.25" customHeight="1">
      <c r="A477" s="15"/>
      <c r="B477" s="15"/>
      <c r="C477" s="15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ht="11.25" customHeight="1">
      <c r="A478" s="15"/>
      <c r="B478" s="15"/>
      <c r="C478" s="15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ht="11.25" customHeight="1">
      <c r="A479" s="15"/>
      <c r="B479" s="15"/>
      <c r="C479" s="15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ht="11.25" customHeight="1">
      <c r="A480" s="15"/>
      <c r="B480" s="15"/>
      <c r="C480" s="15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ht="11.25" customHeight="1">
      <c r="A481" s="15"/>
      <c r="B481" s="15"/>
      <c r="C481" s="15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ht="11.25" customHeight="1">
      <c r="A482" s="15"/>
      <c r="B482" s="15"/>
      <c r="C482" s="15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ht="11.25" customHeight="1">
      <c r="A483" s="15"/>
      <c r="B483" s="15"/>
      <c r="C483" s="15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ht="11.25" customHeight="1">
      <c r="A484" s="15"/>
      <c r="B484" s="15"/>
      <c r="C484" s="15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ht="11.25" customHeight="1">
      <c r="A485" s="15"/>
      <c r="B485" s="15"/>
      <c r="C485" s="15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ht="11.25" customHeight="1">
      <c r="A486" s="15"/>
      <c r="B486" s="15"/>
      <c r="C486" s="15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ht="11.25" customHeight="1">
      <c r="A487" s="15"/>
      <c r="B487" s="15"/>
      <c r="C487" s="15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ht="11.25" customHeight="1">
      <c r="A488" s="15"/>
      <c r="B488" s="15"/>
      <c r="C488" s="15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ht="11.25" customHeight="1">
      <c r="A489" s="15"/>
      <c r="B489" s="15"/>
      <c r="C489" s="15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ht="11.25" customHeight="1">
      <c r="A490" s="15"/>
      <c r="B490" s="15"/>
      <c r="C490" s="15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ht="11.25" customHeight="1">
      <c r="A491" s="15"/>
      <c r="B491" s="15"/>
      <c r="C491" s="15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ht="11.25" customHeight="1">
      <c r="A492" s="15"/>
      <c r="B492" s="15"/>
      <c r="C492" s="15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ht="11.25" customHeight="1">
      <c r="A493" s="15"/>
      <c r="B493" s="15"/>
      <c r="C493" s="15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ht="11.25" customHeight="1">
      <c r="A494" s="15"/>
      <c r="B494" s="15"/>
      <c r="C494" s="15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ht="11.25" customHeight="1">
      <c r="A495" s="15"/>
      <c r="B495" s="15"/>
      <c r="C495" s="15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ht="11.25" customHeight="1">
      <c r="A496" s="15"/>
      <c r="B496" s="15"/>
      <c r="C496" s="15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ht="11.25" customHeight="1">
      <c r="A497" s="15"/>
      <c r="B497" s="15"/>
      <c r="C497" s="15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ht="11.25" customHeight="1">
      <c r="A498" s="15"/>
      <c r="B498" s="15"/>
      <c r="C498" s="15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ht="11.25" customHeight="1">
      <c r="A499" s="15"/>
      <c r="B499" s="15"/>
      <c r="C499" s="15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ht="11.25" customHeight="1">
      <c r="A500" s="15"/>
      <c r="B500" s="15"/>
      <c r="C500" s="15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ht="11.25" customHeight="1">
      <c r="A501" s="15"/>
      <c r="B501" s="15"/>
      <c r="C501" s="15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ht="11.25" customHeight="1">
      <c r="A502" s="15"/>
      <c r="B502" s="15"/>
      <c r="C502" s="15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ht="11.25" customHeight="1">
      <c r="A503" s="15"/>
      <c r="B503" s="15"/>
      <c r="C503" s="15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ht="11.25" customHeight="1">
      <c r="A504" s="15"/>
      <c r="B504" s="15"/>
      <c r="C504" s="15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ht="11.25" customHeight="1">
      <c r="A505" s="15"/>
      <c r="B505" s="15"/>
      <c r="C505" s="15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ht="11.25" customHeight="1">
      <c r="A506" s="15"/>
      <c r="B506" s="15"/>
      <c r="C506" s="15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ht="11.25" customHeight="1">
      <c r="A507" s="15"/>
      <c r="B507" s="15"/>
      <c r="C507" s="15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ht="11.25" customHeight="1">
      <c r="A508" s="15"/>
      <c r="B508" s="15"/>
      <c r="C508" s="15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ht="11.25" customHeight="1">
      <c r="A509" s="15"/>
      <c r="B509" s="15"/>
      <c r="C509" s="15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ht="11.25" customHeight="1">
      <c r="A510" s="15"/>
      <c r="B510" s="15"/>
      <c r="C510" s="15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ht="11.25" customHeight="1">
      <c r="A511" s="15"/>
      <c r="B511" s="15"/>
      <c r="C511" s="15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ht="11.25" customHeight="1">
      <c r="A512" s="15"/>
      <c r="B512" s="15"/>
      <c r="C512" s="15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ht="11.25" customHeight="1">
      <c r="A513" s="15"/>
      <c r="B513" s="15"/>
      <c r="C513" s="15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ht="11.25" customHeight="1">
      <c r="A514" s="15"/>
      <c r="B514" s="15"/>
      <c r="C514" s="15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ht="11.25" customHeight="1">
      <c r="A515" s="15"/>
      <c r="B515" s="15"/>
      <c r="C515" s="15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ht="11.25" customHeight="1">
      <c r="A516" s="15"/>
      <c r="B516" s="15"/>
      <c r="C516" s="15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ht="11.25" customHeight="1">
      <c r="A517" s="15"/>
      <c r="B517" s="15"/>
      <c r="C517" s="15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ht="11.25" customHeight="1">
      <c r="A518" s="15"/>
      <c r="B518" s="15"/>
      <c r="C518" s="15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ht="11.25" customHeight="1">
      <c r="A519" s="15"/>
      <c r="B519" s="15"/>
      <c r="C519" s="15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ht="11.25" customHeight="1">
      <c r="A520" s="15"/>
      <c r="B520" s="15"/>
      <c r="C520" s="15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ht="11.25" customHeight="1">
      <c r="A521" s="15"/>
      <c r="B521" s="15"/>
      <c r="C521" s="15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ht="11.25" customHeight="1">
      <c r="A522" s="15"/>
      <c r="B522" s="15"/>
      <c r="C522" s="15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ht="11.25" customHeight="1">
      <c r="A523" s="15"/>
      <c r="B523" s="15"/>
      <c r="C523" s="15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ht="11.25" customHeight="1">
      <c r="A524" s="15"/>
      <c r="B524" s="15"/>
      <c r="C524" s="15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ht="11.25" customHeight="1">
      <c r="A525" s="15"/>
      <c r="B525" s="15"/>
      <c r="C525" s="15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ht="11.25" customHeight="1">
      <c r="A526" s="15"/>
      <c r="B526" s="15"/>
      <c r="C526" s="15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ht="11.25" customHeight="1">
      <c r="A527" s="15"/>
      <c r="B527" s="15"/>
      <c r="C527" s="15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ht="11.25" customHeight="1">
      <c r="A528" s="15"/>
      <c r="B528" s="15"/>
      <c r="C528" s="15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ht="11.25" customHeight="1">
      <c r="A529" s="15"/>
      <c r="B529" s="15"/>
      <c r="C529" s="15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ht="11.25" customHeight="1">
      <c r="A530" s="15"/>
      <c r="B530" s="15"/>
      <c r="C530" s="15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ht="11.25" customHeight="1">
      <c r="A531" s="15"/>
      <c r="B531" s="15"/>
      <c r="C531" s="15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ht="11.25" customHeight="1">
      <c r="A532" s="15"/>
      <c r="B532" s="15"/>
      <c r="C532" s="15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ht="11.25" customHeight="1">
      <c r="A533" s="15"/>
      <c r="B533" s="15"/>
      <c r="C533" s="15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ht="11.25" customHeight="1">
      <c r="A534" s="15"/>
      <c r="B534" s="15"/>
      <c r="C534" s="15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ht="11.25" customHeight="1">
      <c r="A535" s="15"/>
      <c r="B535" s="15"/>
      <c r="C535" s="15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ht="11.25" customHeight="1">
      <c r="A536" s="15"/>
      <c r="B536" s="15"/>
      <c r="C536" s="15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ht="11.25" customHeight="1">
      <c r="A537" s="15"/>
      <c r="B537" s="15"/>
      <c r="C537" s="15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ht="11.25" customHeight="1">
      <c r="A538" s="15"/>
      <c r="B538" s="15"/>
      <c r="C538" s="15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ht="11.25" customHeight="1">
      <c r="A539" s="15"/>
      <c r="B539" s="15"/>
      <c r="C539" s="15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ht="11.25" customHeight="1">
      <c r="A540" s="15"/>
      <c r="B540" s="15"/>
      <c r="C540" s="15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ht="11.25" customHeight="1">
      <c r="A541" s="15"/>
      <c r="B541" s="15"/>
      <c r="C541" s="15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ht="11.25" customHeight="1">
      <c r="A542" s="15"/>
      <c r="B542" s="15"/>
      <c r="C542" s="15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ht="11.25" customHeight="1">
      <c r="A543" s="15"/>
      <c r="B543" s="15"/>
      <c r="C543" s="15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ht="11.25" customHeight="1">
      <c r="A544" s="15"/>
      <c r="B544" s="15"/>
      <c r="C544" s="15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ht="11.25" customHeight="1">
      <c r="A545" s="15"/>
      <c r="B545" s="15"/>
      <c r="C545" s="15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ht="11.25" customHeight="1">
      <c r="A546" s="15"/>
      <c r="B546" s="15"/>
      <c r="C546" s="15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ht="11.25" customHeight="1">
      <c r="A547" s="15"/>
      <c r="B547" s="15"/>
      <c r="C547" s="15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ht="11.25" customHeight="1">
      <c r="A548" s="15"/>
      <c r="B548" s="15"/>
      <c r="C548" s="15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ht="11.25" customHeight="1">
      <c r="A549" s="15"/>
      <c r="B549" s="15"/>
      <c r="C549" s="15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ht="11.25" customHeight="1">
      <c r="A550" s="15"/>
      <c r="B550" s="15"/>
      <c r="C550" s="15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ht="11.25" customHeight="1">
      <c r="A551" s="15"/>
      <c r="B551" s="15"/>
      <c r="C551" s="15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ht="11.25" customHeight="1">
      <c r="A552" s="15"/>
      <c r="B552" s="15"/>
      <c r="C552" s="15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ht="11.25" customHeight="1">
      <c r="A553" s="15"/>
      <c r="B553" s="15"/>
      <c r="C553" s="15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ht="11.25" customHeight="1">
      <c r="A554" s="15"/>
      <c r="B554" s="15"/>
      <c r="C554" s="15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ht="11.25" customHeight="1">
      <c r="A555" s="15"/>
      <c r="B555" s="15"/>
      <c r="C555" s="15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ht="11.25" customHeight="1">
      <c r="A556" s="15"/>
      <c r="B556" s="15"/>
      <c r="C556" s="15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ht="11.25" customHeight="1">
      <c r="A557" s="15"/>
      <c r="B557" s="15"/>
      <c r="C557" s="15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ht="11.25" customHeight="1">
      <c r="A558" s="15"/>
      <c r="B558" s="15"/>
      <c r="C558" s="15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ht="11.25" customHeight="1">
      <c r="A559" s="15"/>
      <c r="B559" s="15"/>
      <c r="C559" s="15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ht="11.25" customHeight="1">
      <c r="A560" s="15"/>
      <c r="B560" s="15"/>
      <c r="C560" s="15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ht="11.25" customHeight="1">
      <c r="A561" s="15"/>
      <c r="B561" s="15"/>
      <c r="C561" s="15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ht="11.25" customHeight="1">
      <c r="A562" s="15"/>
      <c r="B562" s="15"/>
      <c r="C562" s="15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ht="11.25" customHeight="1">
      <c r="A563" s="15"/>
      <c r="B563" s="15"/>
      <c r="C563" s="15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ht="11.25" customHeight="1">
      <c r="A564" s="15"/>
      <c r="B564" s="15"/>
      <c r="C564" s="15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ht="11.25" customHeight="1">
      <c r="A565" s="15"/>
      <c r="B565" s="15"/>
      <c r="C565" s="15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ht="11.25" customHeight="1">
      <c r="A566" s="15"/>
      <c r="B566" s="15"/>
      <c r="C566" s="15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ht="11.25" customHeight="1">
      <c r="A567" s="15"/>
      <c r="B567" s="15"/>
      <c r="C567" s="15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ht="11.25" customHeight="1">
      <c r="A568" s="15"/>
      <c r="B568" s="15"/>
      <c r="C568" s="15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ht="11.25" customHeight="1">
      <c r="A569" s="15"/>
      <c r="B569" s="15"/>
      <c r="C569" s="15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ht="11.25" customHeight="1">
      <c r="A570" s="15"/>
      <c r="B570" s="15"/>
      <c r="C570" s="15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ht="11.25" customHeight="1">
      <c r="A571" s="15"/>
      <c r="B571" s="15"/>
      <c r="C571" s="15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ht="11.25" customHeight="1">
      <c r="A572" s="15"/>
      <c r="B572" s="15"/>
      <c r="C572" s="15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ht="11.25" customHeight="1">
      <c r="A573" s="15"/>
      <c r="B573" s="15"/>
      <c r="C573" s="15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ht="11.25" customHeight="1">
      <c r="A574" s="15"/>
      <c r="B574" s="15"/>
      <c r="C574" s="15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ht="11.25" customHeight="1">
      <c r="A575" s="15"/>
      <c r="B575" s="15"/>
      <c r="C575" s="15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ht="11.25" customHeight="1">
      <c r="A576" s="15"/>
      <c r="B576" s="15"/>
      <c r="C576" s="15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ht="11.25" customHeight="1">
      <c r="A577" s="15"/>
      <c r="B577" s="15"/>
      <c r="C577" s="15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ht="11.25" customHeight="1">
      <c r="A578" s="15"/>
      <c r="B578" s="15"/>
      <c r="C578" s="15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ht="11.25" customHeight="1">
      <c r="A579" s="15"/>
      <c r="B579" s="15"/>
      <c r="C579" s="15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ht="11.25" customHeight="1">
      <c r="A580" s="15"/>
      <c r="B580" s="15"/>
      <c r="C580" s="15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ht="11.25" customHeight="1">
      <c r="A581" s="15"/>
      <c r="B581" s="15"/>
      <c r="C581" s="15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ht="11.25" customHeight="1">
      <c r="A582" s="15"/>
      <c r="B582" s="15"/>
      <c r="C582" s="15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ht="11.25" customHeight="1">
      <c r="A583" s="15"/>
      <c r="B583" s="15"/>
      <c r="C583" s="15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ht="11.25" customHeight="1">
      <c r="A584" s="15"/>
      <c r="B584" s="15"/>
      <c r="C584" s="15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ht="11.25" customHeight="1">
      <c r="A585" s="15"/>
      <c r="B585" s="15"/>
      <c r="C585" s="15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ht="11.25" customHeight="1">
      <c r="A586" s="15"/>
      <c r="B586" s="15"/>
      <c r="C586" s="15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ht="11.25" customHeight="1">
      <c r="A587" s="15"/>
      <c r="B587" s="15"/>
      <c r="C587" s="15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ht="11.25" customHeight="1">
      <c r="A588" s="15"/>
      <c r="B588" s="15"/>
      <c r="C588" s="15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ht="11.25" customHeight="1">
      <c r="A589" s="15"/>
      <c r="B589" s="15"/>
      <c r="C589" s="15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ht="11.25" customHeight="1">
      <c r="A590" s="15"/>
      <c r="B590" s="15"/>
      <c r="C590" s="15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ht="11.25" customHeight="1">
      <c r="A591" s="15"/>
      <c r="B591" s="15"/>
      <c r="C591" s="15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ht="11.25" customHeight="1">
      <c r="A592" s="15"/>
      <c r="B592" s="15"/>
      <c r="C592" s="15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ht="11.25" customHeight="1">
      <c r="A593" s="15"/>
      <c r="B593" s="15"/>
      <c r="C593" s="15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ht="11.25" customHeight="1">
      <c r="A594" s="15"/>
      <c r="B594" s="15"/>
      <c r="C594" s="15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ht="11.25" customHeight="1">
      <c r="A595" s="15"/>
      <c r="B595" s="15"/>
      <c r="C595" s="15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ht="11.25" customHeight="1">
      <c r="A596" s="15"/>
      <c r="B596" s="15"/>
      <c r="C596" s="15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ht="11.25" customHeight="1">
      <c r="A597" s="15"/>
      <c r="B597" s="15"/>
      <c r="C597" s="15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ht="11.25" customHeight="1">
      <c r="A598" s="15"/>
      <c r="B598" s="15"/>
      <c r="C598" s="15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ht="11.25" customHeight="1">
      <c r="A599" s="15"/>
      <c r="B599" s="15"/>
      <c r="C599" s="15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ht="11.25" customHeight="1">
      <c r="A600" s="15"/>
      <c r="B600" s="15"/>
      <c r="C600" s="15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ht="11.25" customHeight="1">
      <c r="A601" s="15"/>
      <c r="B601" s="15"/>
      <c r="C601" s="15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ht="11.25" customHeight="1">
      <c r="A602" s="15"/>
      <c r="B602" s="15"/>
      <c r="C602" s="15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ht="11.25" customHeight="1">
      <c r="A603" s="15"/>
      <c r="B603" s="15"/>
      <c r="C603" s="15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ht="11.25" customHeight="1">
      <c r="A604" s="15"/>
      <c r="B604" s="15"/>
      <c r="C604" s="15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ht="11.25" customHeight="1">
      <c r="A605" s="15"/>
      <c r="B605" s="15"/>
      <c r="C605" s="15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ht="11.25" customHeight="1">
      <c r="A606" s="15"/>
      <c r="B606" s="15"/>
      <c r="C606" s="15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ht="11.25" customHeight="1">
      <c r="A607" s="15"/>
      <c r="B607" s="15"/>
      <c r="C607" s="15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ht="11.25" customHeight="1">
      <c r="A608" s="15"/>
      <c r="B608" s="15"/>
      <c r="C608" s="15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ht="11.25" customHeight="1">
      <c r="A609" s="15"/>
      <c r="B609" s="15"/>
      <c r="C609" s="15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ht="11.25" customHeight="1">
      <c r="A610" s="15"/>
      <c r="B610" s="15"/>
      <c r="C610" s="15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ht="11.25" customHeight="1">
      <c r="A611" s="15"/>
      <c r="B611" s="15"/>
      <c r="C611" s="15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ht="11.25" customHeight="1">
      <c r="A612" s="15"/>
      <c r="B612" s="15"/>
      <c r="C612" s="15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ht="11.25" customHeight="1">
      <c r="A613" s="15"/>
      <c r="B613" s="15"/>
      <c r="C613" s="15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ht="11.25" customHeight="1">
      <c r="A614" s="15"/>
      <c r="B614" s="15"/>
      <c r="C614" s="15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ht="11.25" customHeight="1">
      <c r="A615" s="15"/>
      <c r="B615" s="15"/>
      <c r="C615" s="15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ht="11.25" customHeight="1">
      <c r="A616" s="15"/>
      <c r="B616" s="15"/>
      <c r="C616" s="15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ht="11.25" customHeight="1">
      <c r="A617" s="15"/>
      <c r="B617" s="15"/>
      <c r="C617" s="15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ht="11.25" customHeight="1">
      <c r="A618" s="15"/>
      <c r="B618" s="15"/>
      <c r="C618" s="15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ht="11.25" customHeight="1">
      <c r="A619" s="15"/>
      <c r="B619" s="15"/>
      <c r="C619" s="15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ht="11.25" customHeight="1">
      <c r="A620" s="15"/>
      <c r="B620" s="15"/>
      <c r="C620" s="15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ht="11.25" customHeight="1">
      <c r="A621" s="15"/>
      <c r="B621" s="15"/>
      <c r="C621" s="15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ht="11.25" customHeight="1">
      <c r="A622" s="15"/>
      <c r="B622" s="15"/>
      <c r="C622" s="15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ht="11.25" customHeight="1">
      <c r="A623" s="15"/>
      <c r="B623" s="15"/>
      <c r="C623" s="15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ht="11.25" customHeight="1">
      <c r="A624" s="15"/>
      <c r="B624" s="15"/>
      <c r="C624" s="15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ht="11.25" customHeight="1">
      <c r="A625" s="15"/>
      <c r="B625" s="15"/>
      <c r="C625" s="15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ht="11.25" customHeight="1">
      <c r="A626" s="15"/>
      <c r="B626" s="15"/>
      <c r="C626" s="15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ht="11.25" customHeight="1">
      <c r="A627" s="15"/>
      <c r="B627" s="15"/>
      <c r="C627" s="15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ht="11.25" customHeight="1">
      <c r="A628" s="15"/>
      <c r="B628" s="15"/>
      <c r="C628" s="15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ht="11.25" customHeight="1">
      <c r="A629" s="15"/>
      <c r="B629" s="15"/>
      <c r="C629" s="15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ht="11.25" customHeight="1">
      <c r="A630" s="15"/>
      <c r="B630" s="15"/>
      <c r="C630" s="15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ht="11.25" customHeight="1">
      <c r="A631" s="15"/>
      <c r="B631" s="15"/>
      <c r="C631" s="15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ht="11.25" customHeight="1">
      <c r="A632" s="15"/>
      <c r="B632" s="15"/>
      <c r="C632" s="15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ht="11.25" customHeight="1">
      <c r="A633" s="15"/>
      <c r="B633" s="15"/>
      <c r="C633" s="15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ht="11.25" customHeight="1">
      <c r="A634" s="15"/>
      <c r="B634" s="15"/>
      <c r="C634" s="15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ht="11.25" customHeight="1">
      <c r="A635" s="15"/>
      <c r="B635" s="15"/>
      <c r="C635" s="15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ht="11.25" customHeight="1">
      <c r="A636" s="15"/>
      <c r="B636" s="15"/>
      <c r="C636" s="15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ht="11.25" customHeight="1">
      <c r="A637" s="15"/>
      <c r="B637" s="15"/>
      <c r="C637" s="15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ht="11.25" customHeight="1">
      <c r="A638" s="15"/>
      <c r="B638" s="15"/>
      <c r="C638" s="15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ht="11.25" customHeight="1">
      <c r="A639" s="15"/>
      <c r="B639" s="15"/>
      <c r="C639" s="15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ht="11.25" customHeight="1">
      <c r="A640" s="15"/>
      <c r="B640" s="15"/>
      <c r="C640" s="15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ht="11.25" customHeight="1">
      <c r="A641" s="15"/>
      <c r="B641" s="15"/>
      <c r="C641" s="15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ht="11.25" customHeight="1">
      <c r="A642" s="15"/>
      <c r="B642" s="15"/>
      <c r="C642" s="15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ht="11.25" customHeight="1">
      <c r="A643" s="15"/>
      <c r="B643" s="15"/>
      <c r="C643" s="15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ht="11.25" customHeight="1">
      <c r="A644" s="15"/>
      <c r="B644" s="15"/>
      <c r="C644" s="15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ht="11.25" customHeight="1">
      <c r="A645" s="15"/>
      <c r="B645" s="15"/>
      <c r="C645" s="15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ht="11.25" customHeight="1">
      <c r="A646" s="15"/>
      <c r="B646" s="15"/>
      <c r="C646" s="15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ht="11.25" customHeight="1">
      <c r="A647" s="15"/>
      <c r="B647" s="15"/>
      <c r="C647" s="15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ht="11.25" customHeight="1">
      <c r="A648" s="15"/>
      <c r="B648" s="15"/>
      <c r="C648" s="15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ht="11.25" customHeight="1">
      <c r="A649" s="15"/>
      <c r="B649" s="15"/>
      <c r="C649" s="15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ht="11.25" customHeight="1">
      <c r="A650" s="15"/>
      <c r="B650" s="15"/>
      <c r="C650" s="15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ht="11.25" customHeight="1">
      <c r="A651" s="15"/>
      <c r="B651" s="15"/>
      <c r="C651" s="15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ht="11.25" customHeight="1">
      <c r="A652" s="15"/>
      <c r="B652" s="15"/>
      <c r="C652" s="15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ht="11.25" customHeight="1">
      <c r="A653" s="15"/>
      <c r="B653" s="15"/>
      <c r="C653" s="15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ht="11.25" customHeight="1">
      <c r="A654" s="15"/>
      <c r="B654" s="15"/>
      <c r="C654" s="15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ht="11.25" customHeight="1">
      <c r="A655" s="15"/>
      <c r="B655" s="15"/>
      <c r="C655" s="15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ht="11.25" customHeight="1">
      <c r="A656" s="15"/>
      <c r="B656" s="15"/>
      <c r="C656" s="15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ht="11.25" customHeight="1">
      <c r="A657" s="15"/>
      <c r="B657" s="15"/>
      <c r="C657" s="15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ht="11.25" customHeight="1">
      <c r="A658" s="15"/>
      <c r="B658" s="15"/>
      <c r="C658" s="15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ht="11.25" customHeight="1">
      <c r="A659" s="15"/>
      <c r="B659" s="15"/>
      <c r="C659" s="15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ht="11.25" customHeight="1">
      <c r="A660" s="15"/>
      <c r="B660" s="15"/>
      <c r="C660" s="15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ht="11.25" customHeight="1">
      <c r="A661" s="15"/>
      <c r="B661" s="15"/>
      <c r="C661" s="15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ht="11.25" customHeight="1">
      <c r="A662" s="15"/>
      <c r="B662" s="15"/>
      <c r="C662" s="15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ht="11.25" customHeight="1">
      <c r="A663" s="15"/>
      <c r="B663" s="15"/>
      <c r="C663" s="15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ht="11.25" customHeight="1">
      <c r="A664" s="15"/>
      <c r="B664" s="15"/>
      <c r="C664" s="15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ht="11.25" customHeight="1">
      <c r="A665" s="15"/>
      <c r="B665" s="15"/>
      <c r="C665" s="15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ht="11.25" customHeight="1">
      <c r="A666" s="15"/>
      <c r="B666" s="15"/>
      <c r="C666" s="15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ht="11.25" customHeight="1">
      <c r="A667" s="15"/>
      <c r="B667" s="15"/>
      <c r="C667" s="15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ht="11.25" customHeight="1">
      <c r="A668" s="15"/>
      <c r="B668" s="15"/>
      <c r="C668" s="15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ht="11.25" customHeight="1">
      <c r="A669" s="15"/>
      <c r="B669" s="15"/>
      <c r="C669" s="15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ht="11.25" customHeight="1">
      <c r="A670" s="15"/>
      <c r="B670" s="15"/>
      <c r="C670" s="15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ht="11.25" customHeight="1">
      <c r="A671" s="15"/>
      <c r="B671" s="15"/>
      <c r="C671" s="15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ht="11.25" customHeight="1">
      <c r="A672" s="15"/>
      <c r="B672" s="15"/>
      <c r="C672" s="15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ht="11.25" customHeight="1">
      <c r="A673" s="15"/>
      <c r="B673" s="15"/>
      <c r="C673" s="15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ht="11.25" customHeight="1">
      <c r="A674" s="15"/>
      <c r="B674" s="15"/>
      <c r="C674" s="15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ht="11.25" customHeight="1">
      <c r="A675" s="15"/>
      <c r="B675" s="15"/>
      <c r="C675" s="15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ht="11.25" customHeight="1">
      <c r="A676" s="15"/>
      <c r="B676" s="15"/>
      <c r="C676" s="15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ht="11.25" customHeight="1">
      <c r="A677" s="15"/>
      <c r="B677" s="15"/>
      <c r="C677" s="15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ht="11.25" customHeight="1">
      <c r="A678" s="15"/>
      <c r="B678" s="15"/>
      <c r="C678" s="15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ht="11.25" customHeight="1">
      <c r="A679" s="15"/>
      <c r="B679" s="15"/>
      <c r="C679" s="15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ht="11.25" customHeight="1">
      <c r="A680" s="15"/>
      <c r="B680" s="15"/>
      <c r="C680" s="15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ht="11.25" customHeight="1">
      <c r="A681" s="15"/>
      <c r="B681" s="15"/>
      <c r="C681" s="15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ht="11.25" customHeight="1">
      <c r="A682" s="15"/>
      <c r="B682" s="15"/>
      <c r="C682" s="15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ht="11.25" customHeight="1">
      <c r="A683" s="15"/>
      <c r="B683" s="15"/>
      <c r="C683" s="15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ht="11.25" customHeight="1">
      <c r="A684" s="15"/>
      <c r="B684" s="15"/>
      <c r="C684" s="15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ht="11.25" customHeight="1">
      <c r="A685" s="15"/>
      <c r="B685" s="15"/>
      <c r="C685" s="15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ht="11.25" customHeight="1">
      <c r="A686" s="15"/>
      <c r="B686" s="15"/>
      <c r="C686" s="15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ht="11.25" customHeight="1">
      <c r="A687" s="15"/>
      <c r="B687" s="15"/>
      <c r="C687" s="15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ht="11.25" customHeight="1">
      <c r="A688" s="15"/>
      <c r="B688" s="15"/>
      <c r="C688" s="15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ht="11.25" customHeight="1">
      <c r="A689" s="15"/>
      <c r="B689" s="15"/>
      <c r="C689" s="15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ht="11.25" customHeight="1">
      <c r="A690" s="15"/>
      <c r="B690" s="15"/>
      <c r="C690" s="15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ht="11.25" customHeight="1">
      <c r="A691" s="15"/>
      <c r="B691" s="15"/>
      <c r="C691" s="15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ht="11.25" customHeight="1">
      <c r="A692" s="15"/>
      <c r="B692" s="15"/>
      <c r="C692" s="15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ht="11.25" customHeight="1">
      <c r="A693" s="15"/>
      <c r="B693" s="15"/>
      <c r="C693" s="15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ht="11.25" customHeight="1">
      <c r="A694" s="15"/>
      <c r="B694" s="15"/>
      <c r="C694" s="15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ht="11.25" customHeight="1">
      <c r="A695" s="15"/>
      <c r="B695" s="15"/>
      <c r="C695" s="15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ht="11.25" customHeight="1">
      <c r="A696" s="15"/>
      <c r="B696" s="15"/>
      <c r="C696" s="15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ht="11.25" customHeight="1">
      <c r="A697" s="15"/>
      <c r="B697" s="15"/>
      <c r="C697" s="15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ht="11.25" customHeight="1">
      <c r="A698" s="15"/>
      <c r="B698" s="15"/>
      <c r="C698" s="15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ht="11.25" customHeight="1">
      <c r="A699" s="15"/>
      <c r="B699" s="15"/>
      <c r="C699" s="15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ht="11.25" customHeight="1">
      <c r="A700" s="15"/>
      <c r="B700" s="15"/>
      <c r="C700" s="15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ht="11.25" customHeight="1">
      <c r="A701" s="15"/>
      <c r="B701" s="15"/>
      <c r="C701" s="15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ht="11.25" customHeight="1">
      <c r="A702" s="15"/>
      <c r="B702" s="15"/>
      <c r="C702" s="15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ht="11.25" customHeight="1">
      <c r="A703" s="15"/>
      <c r="B703" s="15"/>
      <c r="C703" s="15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ht="11.25" customHeight="1">
      <c r="A704" s="15"/>
      <c r="B704" s="15"/>
      <c r="C704" s="15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ht="11.25" customHeight="1">
      <c r="A705" s="15"/>
      <c r="B705" s="15"/>
      <c r="C705" s="15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ht="11.25" customHeight="1">
      <c r="A706" s="15"/>
      <c r="B706" s="15"/>
      <c r="C706" s="15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ht="11.25" customHeight="1">
      <c r="A707" s="15"/>
      <c r="B707" s="15"/>
      <c r="C707" s="15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ht="11.25" customHeight="1">
      <c r="A708" s="15"/>
      <c r="B708" s="15"/>
      <c r="C708" s="15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ht="11.25" customHeight="1">
      <c r="A709" s="15"/>
      <c r="B709" s="15"/>
      <c r="C709" s="15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ht="11.25" customHeight="1">
      <c r="A710" s="15"/>
      <c r="B710" s="15"/>
      <c r="C710" s="15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ht="11.25" customHeight="1">
      <c r="A711" s="15"/>
      <c r="B711" s="15"/>
      <c r="C711" s="15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ht="11.25" customHeight="1">
      <c r="A712" s="15"/>
      <c r="B712" s="15"/>
      <c r="C712" s="15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ht="11.25" customHeight="1">
      <c r="A713" s="15"/>
      <c r="B713" s="15"/>
      <c r="C713" s="15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ht="11.25" customHeight="1">
      <c r="A714" s="15"/>
      <c r="B714" s="15"/>
      <c r="C714" s="15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ht="11.25" customHeight="1">
      <c r="A715" s="15"/>
      <c r="B715" s="15"/>
      <c r="C715" s="15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ht="11.25" customHeight="1">
      <c r="A716" s="15"/>
      <c r="B716" s="15"/>
      <c r="C716" s="15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ht="11.25" customHeight="1">
      <c r="A717" s="15"/>
      <c r="B717" s="15"/>
      <c r="C717" s="15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ht="11.25" customHeight="1">
      <c r="A718" s="15"/>
      <c r="B718" s="15"/>
      <c r="C718" s="15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ht="11.25" customHeight="1">
      <c r="A719" s="15"/>
      <c r="B719" s="15"/>
      <c r="C719" s="15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ht="11.25" customHeight="1">
      <c r="A720" s="15"/>
      <c r="B720" s="15"/>
      <c r="C720" s="15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ht="11.25" customHeight="1">
      <c r="A721" s="15"/>
      <c r="B721" s="15"/>
      <c r="C721" s="15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ht="11.25" customHeight="1">
      <c r="A722" s="15"/>
      <c r="B722" s="15"/>
      <c r="C722" s="15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ht="11.25" customHeight="1">
      <c r="A723" s="15"/>
      <c r="B723" s="15"/>
      <c r="C723" s="15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ht="11.25" customHeight="1">
      <c r="A724" s="15"/>
      <c r="B724" s="15"/>
      <c r="C724" s="15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ht="11.25" customHeight="1">
      <c r="A725" s="15"/>
      <c r="B725" s="15"/>
      <c r="C725" s="15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ht="11.25" customHeight="1">
      <c r="A726" s="15"/>
      <c r="B726" s="15"/>
      <c r="C726" s="15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ht="11.25" customHeight="1">
      <c r="A727" s="15"/>
      <c r="B727" s="15"/>
      <c r="C727" s="15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ht="11.25" customHeight="1">
      <c r="A728" s="15"/>
      <c r="B728" s="15"/>
      <c r="C728" s="15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ht="11.25" customHeight="1">
      <c r="A729" s="15"/>
      <c r="B729" s="15"/>
      <c r="C729" s="15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ht="11.25" customHeight="1">
      <c r="A730" s="15"/>
      <c r="B730" s="15"/>
      <c r="C730" s="15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ht="11.25" customHeight="1">
      <c r="A731" s="15"/>
      <c r="B731" s="15"/>
      <c r="C731" s="15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ht="11.25" customHeight="1">
      <c r="A732" s="15"/>
      <c r="B732" s="15"/>
      <c r="C732" s="15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ht="11.25" customHeight="1">
      <c r="A733" s="15"/>
      <c r="B733" s="15"/>
      <c r="C733" s="15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ht="11.25" customHeight="1">
      <c r="A734" s="15"/>
      <c r="B734" s="15"/>
      <c r="C734" s="15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ht="11.25" customHeight="1">
      <c r="A735" s="15"/>
      <c r="B735" s="15"/>
      <c r="C735" s="15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ht="11.25" customHeight="1">
      <c r="A736" s="15"/>
      <c r="B736" s="15"/>
      <c r="C736" s="15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ht="11.25" customHeight="1">
      <c r="A737" s="15"/>
      <c r="B737" s="15"/>
      <c r="C737" s="15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ht="11.25" customHeight="1">
      <c r="A738" s="15"/>
      <c r="B738" s="15"/>
      <c r="C738" s="15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ht="11.25" customHeight="1">
      <c r="A739" s="15"/>
      <c r="B739" s="15"/>
      <c r="C739" s="15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ht="11.25" customHeight="1">
      <c r="A740" s="15"/>
      <c r="B740" s="15"/>
      <c r="C740" s="15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ht="11.25" customHeight="1">
      <c r="A741" s="15"/>
      <c r="B741" s="15"/>
      <c r="C741" s="15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ht="11.25" customHeight="1">
      <c r="A742" s="15"/>
      <c r="B742" s="15"/>
      <c r="C742" s="15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ht="11.25" customHeight="1">
      <c r="A743" s="15"/>
      <c r="B743" s="15"/>
      <c r="C743" s="15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ht="11.25" customHeight="1">
      <c r="A744" s="15"/>
      <c r="B744" s="15"/>
      <c r="C744" s="15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ht="11.25" customHeight="1">
      <c r="A745" s="15"/>
      <c r="B745" s="15"/>
      <c r="C745" s="15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ht="11.25" customHeight="1">
      <c r="A746" s="15"/>
      <c r="B746" s="15"/>
      <c r="C746" s="15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ht="11.25" customHeight="1">
      <c r="A747" s="15"/>
      <c r="B747" s="15"/>
      <c r="C747" s="15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ht="11.25" customHeight="1">
      <c r="A748" s="15"/>
      <c r="B748" s="15"/>
      <c r="C748" s="15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ht="11.25" customHeight="1">
      <c r="A749" s="15"/>
      <c r="B749" s="15"/>
      <c r="C749" s="15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ht="11.25" customHeight="1">
      <c r="A750" s="15"/>
      <c r="B750" s="15"/>
      <c r="C750" s="15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ht="11.25" customHeight="1">
      <c r="A751" s="15"/>
      <c r="B751" s="15"/>
      <c r="C751" s="15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ht="11.25" customHeight="1">
      <c r="A752" s="15"/>
      <c r="B752" s="15"/>
      <c r="C752" s="15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ht="11.25" customHeight="1">
      <c r="A753" s="15"/>
      <c r="B753" s="15"/>
      <c r="C753" s="15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ht="11.25" customHeight="1">
      <c r="A754" s="15"/>
      <c r="B754" s="15"/>
      <c r="C754" s="15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ht="11.25" customHeight="1">
      <c r="A755" s="15"/>
      <c r="B755" s="15"/>
      <c r="C755" s="15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ht="11.25" customHeight="1">
      <c r="A756" s="15"/>
      <c r="B756" s="15"/>
      <c r="C756" s="15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ht="11.25" customHeight="1">
      <c r="A757" s="15"/>
      <c r="B757" s="15"/>
      <c r="C757" s="15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ht="11.25" customHeight="1">
      <c r="A758" s="15"/>
      <c r="B758" s="15"/>
      <c r="C758" s="15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ht="11.25" customHeight="1">
      <c r="A759" s="15"/>
      <c r="B759" s="15"/>
      <c r="C759" s="15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ht="11.25" customHeight="1">
      <c r="A760" s="15"/>
      <c r="B760" s="15"/>
      <c r="C760" s="15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ht="11.25" customHeight="1">
      <c r="A761" s="15"/>
      <c r="B761" s="15"/>
      <c r="C761" s="15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ht="11.25" customHeight="1">
      <c r="A762" s="15"/>
      <c r="B762" s="15"/>
      <c r="C762" s="15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ht="11.25" customHeight="1">
      <c r="A763" s="15"/>
      <c r="B763" s="15"/>
      <c r="C763" s="15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ht="11.25" customHeight="1">
      <c r="A764" s="15"/>
      <c r="B764" s="15"/>
      <c r="C764" s="15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ht="11.25" customHeight="1">
      <c r="A765" s="15"/>
      <c r="B765" s="15"/>
      <c r="C765" s="15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ht="11.25" customHeight="1">
      <c r="A766" s="15"/>
      <c r="B766" s="15"/>
      <c r="C766" s="15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ht="11.25" customHeight="1">
      <c r="A767" s="15"/>
      <c r="B767" s="15"/>
      <c r="C767" s="15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ht="11.25" customHeight="1">
      <c r="A768" s="15"/>
      <c r="B768" s="15"/>
      <c r="C768" s="15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ht="11.25" customHeight="1">
      <c r="A769" s="15"/>
      <c r="B769" s="15"/>
      <c r="C769" s="15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ht="11.25" customHeight="1">
      <c r="A770" s="15"/>
      <c r="B770" s="15"/>
      <c r="C770" s="15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ht="11.25" customHeight="1">
      <c r="A771" s="15"/>
      <c r="B771" s="15"/>
      <c r="C771" s="15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ht="11.25" customHeight="1">
      <c r="A772" s="15"/>
      <c r="B772" s="15"/>
      <c r="C772" s="15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ht="11.25" customHeight="1">
      <c r="A773" s="15"/>
      <c r="B773" s="15"/>
      <c r="C773" s="15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ht="11.25" customHeight="1">
      <c r="A774" s="15"/>
      <c r="B774" s="15"/>
      <c r="C774" s="15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ht="11.25" customHeight="1">
      <c r="A775" s="15"/>
      <c r="B775" s="15"/>
      <c r="C775" s="15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ht="11.25" customHeight="1">
      <c r="A776" s="15"/>
      <c r="B776" s="15"/>
      <c r="C776" s="15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ht="11.25" customHeight="1">
      <c r="A777" s="15"/>
      <c r="B777" s="15"/>
      <c r="C777" s="15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ht="11.25" customHeight="1">
      <c r="A778" s="15"/>
      <c r="B778" s="15"/>
      <c r="C778" s="15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ht="11.25" customHeight="1">
      <c r="A779" s="15"/>
      <c r="B779" s="15"/>
      <c r="C779" s="15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ht="11.25" customHeight="1">
      <c r="A780" s="15"/>
      <c r="B780" s="15"/>
      <c r="C780" s="15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ht="11.25" customHeight="1">
      <c r="A781" s="15"/>
      <c r="B781" s="15"/>
      <c r="C781" s="15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ht="11.25" customHeight="1">
      <c r="A782" s="15"/>
      <c r="B782" s="15"/>
      <c r="C782" s="15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ht="11.25" customHeight="1">
      <c r="A783" s="15"/>
      <c r="B783" s="15"/>
      <c r="C783" s="15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ht="11.25" customHeight="1">
      <c r="A784" s="15"/>
      <c r="B784" s="15"/>
      <c r="C784" s="15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ht="11.25" customHeight="1">
      <c r="A785" s="15"/>
      <c r="B785" s="15"/>
      <c r="C785" s="15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ht="11.25" customHeight="1">
      <c r="A786" s="15"/>
      <c r="B786" s="15"/>
      <c r="C786" s="15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ht="11.25" customHeight="1">
      <c r="A787" s="15"/>
      <c r="B787" s="15"/>
      <c r="C787" s="15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ht="11.25" customHeight="1">
      <c r="A788" s="15"/>
      <c r="B788" s="15"/>
      <c r="C788" s="15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ht="11.25" customHeight="1">
      <c r="A789" s="15"/>
      <c r="B789" s="15"/>
      <c r="C789" s="15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ht="11.25" customHeight="1">
      <c r="A790" s="15"/>
      <c r="B790" s="15"/>
      <c r="C790" s="15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ht="11.25" customHeight="1">
      <c r="A791" s="15"/>
      <c r="B791" s="15"/>
      <c r="C791" s="15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ht="11.25" customHeight="1">
      <c r="A792" s="15"/>
      <c r="B792" s="15"/>
      <c r="C792" s="15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ht="11.25" customHeight="1">
      <c r="A793" s="15"/>
      <c r="B793" s="15"/>
      <c r="C793" s="15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ht="11.25" customHeight="1">
      <c r="A794" s="15"/>
      <c r="B794" s="15"/>
      <c r="C794" s="15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ht="11.25" customHeight="1">
      <c r="A795" s="15"/>
      <c r="B795" s="15"/>
      <c r="C795" s="15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ht="11.25" customHeight="1">
      <c r="A796" s="15"/>
      <c r="B796" s="15"/>
      <c r="C796" s="15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ht="11.25" customHeight="1">
      <c r="A797" s="15"/>
      <c r="B797" s="15"/>
      <c r="C797" s="15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ht="11.25" customHeight="1">
      <c r="A798" s="15"/>
      <c r="B798" s="15"/>
      <c r="C798" s="15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ht="11.25" customHeight="1">
      <c r="A799" s="15"/>
      <c r="B799" s="15"/>
      <c r="C799" s="15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ht="11.25" customHeight="1">
      <c r="A800" s="15"/>
      <c r="B800" s="15"/>
      <c r="C800" s="15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ht="11.25" customHeight="1">
      <c r="A801" s="15"/>
      <c r="B801" s="15"/>
      <c r="C801" s="15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ht="11.25" customHeight="1">
      <c r="A802" s="15"/>
      <c r="B802" s="15"/>
      <c r="C802" s="15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ht="11.25" customHeight="1">
      <c r="A803" s="15"/>
      <c r="B803" s="15"/>
      <c r="C803" s="15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ht="11.25" customHeight="1">
      <c r="A804" s="15"/>
      <c r="B804" s="15"/>
      <c r="C804" s="15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ht="11.25" customHeight="1">
      <c r="A805" s="15"/>
      <c r="B805" s="15"/>
      <c r="C805" s="15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ht="11.25" customHeight="1">
      <c r="A806" s="15"/>
      <c r="B806" s="15"/>
      <c r="C806" s="15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ht="11.25" customHeight="1">
      <c r="A807" s="15"/>
      <c r="B807" s="15"/>
      <c r="C807" s="15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ht="11.25" customHeight="1">
      <c r="A808" s="15"/>
      <c r="B808" s="15"/>
      <c r="C808" s="15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ht="11.25" customHeight="1">
      <c r="A809" s="15"/>
      <c r="B809" s="15"/>
      <c r="C809" s="15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ht="11.25" customHeight="1">
      <c r="A810" s="15"/>
      <c r="B810" s="15"/>
      <c r="C810" s="15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ht="11.25" customHeight="1">
      <c r="A811" s="15"/>
      <c r="B811" s="15"/>
      <c r="C811" s="15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ht="11.25" customHeight="1">
      <c r="A812" s="15"/>
      <c r="B812" s="15"/>
      <c r="C812" s="15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ht="11.25" customHeight="1">
      <c r="A813" s="15"/>
      <c r="B813" s="15"/>
      <c r="C813" s="15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ht="11.25" customHeight="1">
      <c r="A814" s="15"/>
      <c r="B814" s="15"/>
      <c r="C814" s="15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ht="11.25" customHeight="1">
      <c r="A815" s="15"/>
      <c r="B815" s="15"/>
      <c r="C815" s="15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ht="11.25" customHeight="1">
      <c r="A816" s="15"/>
      <c r="B816" s="15"/>
      <c r="C816" s="15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ht="11.25" customHeight="1">
      <c r="A817" s="15"/>
      <c r="B817" s="15"/>
      <c r="C817" s="15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ht="11.25" customHeight="1">
      <c r="A818" s="15"/>
      <c r="B818" s="15"/>
      <c r="C818" s="15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ht="11.25" customHeight="1">
      <c r="A819" s="15"/>
      <c r="B819" s="15"/>
      <c r="C819" s="15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ht="11.25" customHeight="1">
      <c r="A820" s="15"/>
      <c r="B820" s="15"/>
      <c r="C820" s="15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ht="11.25" customHeight="1">
      <c r="A821" s="15"/>
      <c r="B821" s="15"/>
      <c r="C821" s="15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ht="11.25" customHeight="1">
      <c r="A822" s="15"/>
      <c r="B822" s="15"/>
      <c r="C822" s="15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ht="11.25" customHeight="1">
      <c r="A823" s="15"/>
      <c r="B823" s="15"/>
      <c r="C823" s="15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ht="11.25" customHeight="1">
      <c r="A824" s="15"/>
      <c r="B824" s="15"/>
      <c r="C824" s="15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ht="11.25" customHeight="1">
      <c r="A825" s="15"/>
      <c r="B825" s="15"/>
      <c r="C825" s="15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ht="11.25" customHeight="1">
      <c r="A826" s="15"/>
      <c r="B826" s="15"/>
      <c r="C826" s="15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ht="11.25" customHeight="1">
      <c r="A827" s="15"/>
      <c r="B827" s="15"/>
      <c r="C827" s="15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ht="11.25" customHeight="1">
      <c r="A828" s="15"/>
      <c r="B828" s="15"/>
      <c r="C828" s="15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ht="11.25" customHeight="1">
      <c r="A829" s="15"/>
      <c r="B829" s="15"/>
      <c r="C829" s="15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ht="11.25" customHeight="1">
      <c r="A830" s="15"/>
      <c r="B830" s="15"/>
      <c r="C830" s="15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ht="11.25" customHeight="1">
      <c r="A831" s="15"/>
      <c r="B831" s="15"/>
      <c r="C831" s="15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ht="11.25" customHeight="1">
      <c r="A832" s="15"/>
      <c r="B832" s="15"/>
      <c r="C832" s="15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ht="11.25" customHeight="1">
      <c r="A833" s="15"/>
      <c r="B833" s="15"/>
      <c r="C833" s="15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ht="11.25" customHeight="1">
      <c r="A834" s="15"/>
      <c r="B834" s="15"/>
      <c r="C834" s="15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ht="11.25" customHeight="1">
      <c r="A835" s="15"/>
      <c r="B835" s="15"/>
      <c r="C835" s="15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ht="11.25" customHeight="1">
      <c r="A836" s="15"/>
      <c r="B836" s="15"/>
      <c r="C836" s="15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ht="11.25" customHeight="1">
      <c r="A837" s="15"/>
      <c r="B837" s="15"/>
      <c r="C837" s="15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ht="11.25" customHeight="1">
      <c r="A838" s="15"/>
      <c r="B838" s="15"/>
      <c r="C838" s="15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ht="11.25" customHeight="1">
      <c r="A839" s="15"/>
      <c r="B839" s="15"/>
      <c r="C839" s="15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ht="11.25" customHeight="1">
      <c r="A840" s="15"/>
      <c r="B840" s="15"/>
      <c r="C840" s="15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ht="11.25" customHeight="1">
      <c r="A841" s="15"/>
      <c r="B841" s="15"/>
      <c r="C841" s="15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ht="11.25" customHeight="1">
      <c r="A842" s="15"/>
      <c r="B842" s="15"/>
      <c r="C842" s="15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ht="11.25" customHeight="1">
      <c r="A843" s="15"/>
      <c r="B843" s="15"/>
      <c r="C843" s="15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ht="11.25" customHeight="1">
      <c r="A844" s="15"/>
      <c r="B844" s="15"/>
      <c r="C844" s="15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ht="11.25" customHeight="1">
      <c r="A845" s="15"/>
      <c r="B845" s="15"/>
      <c r="C845" s="15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ht="11.25" customHeight="1">
      <c r="A846" s="15"/>
      <c r="B846" s="15"/>
      <c r="C846" s="15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ht="11.25" customHeight="1">
      <c r="A847" s="15"/>
      <c r="B847" s="15"/>
      <c r="C847" s="15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ht="11.25" customHeight="1">
      <c r="A848" s="15"/>
      <c r="B848" s="15"/>
      <c r="C848" s="15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ht="11.25" customHeight="1">
      <c r="A849" s="15"/>
      <c r="B849" s="15"/>
      <c r="C849" s="15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ht="11.25" customHeight="1">
      <c r="A850" s="15"/>
      <c r="B850" s="15"/>
      <c r="C850" s="15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ht="11.25" customHeight="1">
      <c r="A851" s="15"/>
      <c r="B851" s="15"/>
      <c r="C851" s="15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ht="11.25" customHeight="1">
      <c r="A852" s="15"/>
      <c r="B852" s="15"/>
      <c r="C852" s="15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ht="11.25" customHeight="1">
      <c r="A853" s="15"/>
      <c r="B853" s="15"/>
      <c r="C853" s="15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ht="11.25" customHeight="1">
      <c r="A854" s="15"/>
      <c r="B854" s="15"/>
      <c r="C854" s="15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ht="11.25" customHeight="1">
      <c r="A855" s="15"/>
      <c r="B855" s="15"/>
      <c r="C855" s="15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ht="11.25" customHeight="1">
      <c r="A856" s="15"/>
      <c r="B856" s="15"/>
      <c r="C856" s="15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ht="11.25" customHeight="1">
      <c r="A857" s="15"/>
      <c r="B857" s="15"/>
      <c r="C857" s="15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ht="11.25" customHeight="1">
      <c r="A858" s="15"/>
      <c r="B858" s="15"/>
      <c r="C858" s="15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ht="11.25" customHeight="1">
      <c r="A859" s="15"/>
      <c r="B859" s="15"/>
      <c r="C859" s="15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ht="11.25" customHeight="1">
      <c r="A860" s="15"/>
      <c r="B860" s="15"/>
      <c r="C860" s="15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ht="11.25" customHeight="1">
      <c r="A861" s="15"/>
      <c r="B861" s="15"/>
      <c r="C861" s="15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ht="11.25" customHeight="1">
      <c r="A862" s="15"/>
      <c r="B862" s="15"/>
      <c r="C862" s="15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ht="11.25" customHeight="1">
      <c r="A863" s="15"/>
      <c r="B863" s="15"/>
      <c r="C863" s="15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ht="11.25" customHeight="1">
      <c r="A864" s="15"/>
      <c r="B864" s="15"/>
      <c r="C864" s="15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ht="11.25" customHeight="1">
      <c r="A865" s="15"/>
      <c r="B865" s="15"/>
      <c r="C865" s="15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ht="11.25" customHeight="1">
      <c r="A866" s="15"/>
      <c r="B866" s="15"/>
      <c r="C866" s="15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ht="11.25" customHeight="1">
      <c r="A867" s="15"/>
      <c r="B867" s="15"/>
      <c r="C867" s="15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ht="11.25" customHeight="1">
      <c r="A868" s="15"/>
      <c r="B868" s="15"/>
      <c r="C868" s="15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ht="11.25" customHeight="1">
      <c r="A869" s="15"/>
      <c r="B869" s="15"/>
      <c r="C869" s="15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ht="11.25" customHeight="1">
      <c r="A870" s="15"/>
      <c r="B870" s="15"/>
      <c r="C870" s="15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ht="11.25" customHeight="1">
      <c r="A871" s="15"/>
      <c r="B871" s="15"/>
      <c r="C871" s="15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ht="11.25" customHeight="1">
      <c r="A872" s="15"/>
      <c r="B872" s="15"/>
      <c r="C872" s="15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ht="11.25" customHeight="1">
      <c r="A873" s="15"/>
      <c r="B873" s="15"/>
      <c r="C873" s="15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ht="11.25" customHeight="1">
      <c r="A874" s="15"/>
      <c r="B874" s="15"/>
      <c r="C874" s="15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ht="11.25" customHeight="1">
      <c r="A875" s="15"/>
      <c r="B875" s="15"/>
      <c r="C875" s="15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ht="11.25" customHeight="1">
      <c r="A876" s="15"/>
      <c r="B876" s="15"/>
      <c r="C876" s="15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ht="11.25" customHeight="1">
      <c r="A877" s="15"/>
      <c r="B877" s="15"/>
      <c r="C877" s="15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ht="11.25" customHeight="1">
      <c r="A878" s="15"/>
      <c r="B878" s="15"/>
      <c r="C878" s="15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ht="11.25" customHeight="1">
      <c r="A879" s="15"/>
      <c r="B879" s="15"/>
      <c r="C879" s="15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ht="11.25" customHeight="1">
      <c r="A880" s="15"/>
      <c r="B880" s="15"/>
      <c r="C880" s="15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ht="11.25" customHeight="1">
      <c r="A881" s="15"/>
      <c r="B881" s="15"/>
      <c r="C881" s="15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ht="11.25" customHeight="1">
      <c r="A882" s="15"/>
      <c r="B882" s="15"/>
      <c r="C882" s="15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ht="11.25" customHeight="1">
      <c r="A883" s="15"/>
      <c r="B883" s="15"/>
      <c r="C883" s="15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ht="11.25" customHeight="1">
      <c r="A884" s="15"/>
      <c r="B884" s="15"/>
      <c r="C884" s="15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ht="11.25" customHeight="1">
      <c r="A885" s="15"/>
      <c r="B885" s="15"/>
      <c r="C885" s="15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ht="11.25" customHeight="1">
      <c r="A886" s="15"/>
      <c r="B886" s="15"/>
      <c r="C886" s="15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ht="11.25" customHeight="1">
      <c r="A887" s="15"/>
      <c r="B887" s="15"/>
      <c r="C887" s="15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ht="11.25" customHeight="1">
      <c r="A888" s="15"/>
      <c r="B888" s="15"/>
      <c r="C888" s="15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ht="11.25" customHeight="1">
      <c r="A889" s="15"/>
      <c r="B889" s="15"/>
      <c r="C889" s="15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ht="11.25" customHeight="1">
      <c r="A890" s="15"/>
      <c r="B890" s="15"/>
      <c r="C890" s="15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ht="11.25" customHeight="1">
      <c r="A891" s="15"/>
      <c r="B891" s="15"/>
      <c r="C891" s="15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ht="11.25" customHeight="1">
      <c r="A892" s="15"/>
      <c r="B892" s="15"/>
      <c r="C892" s="15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ht="11.25" customHeight="1">
      <c r="A893" s="15"/>
      <c r="B893" s="15"/>
      <c r="C893" s="15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ht="11.25" customHeight="1">
      <c r="A894" s="15"/>
      <c r="B894" s="15"/>
      <c r="C894" s="15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ht="11.25" customHeight="1">
      <c r="A895" s="15"/>
      <c r="B895" s="15"/>
      <c r="C895" s="15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ht="11.25" customHeight="1">
      <c r="A896" s="15"/>
      <c r="B896" s="15"/>
      <c r="C896" s="15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ht="11.25" customHeight="1">
      <c r="A897" s="15"/>
      <c r="B897" s="15"/>
      <c r="C897" s="15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ht="11.25" customHeight="1">
      <c r="A898" s="15"/>
      <c r="B898" s="15"/>
      <c r="C898" s="15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ht="11.25" customHeight="1">
      <c r="A899" s="15"/>
      <c r="B899" s="15"/>
      <c r="C899" s="15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ht="11.25" customHeight="1">
      <c r="A900" s="15"/>
      <c r="B900" s="15"/>
      <c r="C900" s="15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ht="11.25" customHeight="1">
      <c r="A901" s="15"/>
      <c r="B901" s="15"/>
      <c r="C901" s="15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ht="11.25" customHeight="1">
      <c r="A902" s="15"/>
      <c r="B902" s="15"/>
      <c r="C902" s="15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ht="11.25" customHeight="1">
      <c r="A903" s="15"/>
      <c r="B903" s="15"/>
      <c r="C903" s="15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ht="11.25" customHeight="1">
      <c r="A904" s="15"/>
      <c r="B904" s="15"/>
      <c r="C904" s="15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ht="11.25" customHeight="1">
      <c r="A905" s="15"/>
      <c r="B905" s="15"/>
      <c r="C905" s="15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ht="11.25" customHeight="1">
      <c r="A906" s="15"/>
      <c r="B906" s="15"/>
      <c r="C906" s="15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ht="11.25" customHeight="1">
      <c r="A907" s="15"/>
      <c r="B907" s="15"/>
      <c r="C907" s="15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ht="11.25" customHeight="1">
      <c r="A908" s="15"/>
      <c r="B908" s="15"/>
      <c r="C908" s="15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ht="11.25" customHeight="1">
      <c r="A909" s="15"/>
      <c r="B909" s="15"/>
      <c r="C909" s="15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ht="11.25" customHeight="1">
      <c r="A910" s="15"/>
      <c r="B910" s="15"/>
      <c r="C910" s="15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ht="11.25" customHeight="1">
      <c r="A911" s="15"/>
      <c r="B911" s="15"/>
      <c r="C911" s="15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ht="11.25" customHeight="1">
      <c r="A912" s="15"/>
      <c r="B912" s="15"/>
      <c r="C912" s="15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ht="11.25" customHeight="1">
      <c r="A913" s="15"/>
      <c r="B913" s="15"/>
      <c r="C913" s="15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ht="11.25" customHeight="1">
      <c r="A914" s="15"/>
      <c r="B914" s="15"/>
      <c r="C914" s="15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ht="11.25" customHeight="1">
      <c r="A915" s="15"/>
      <c r="B915" s="15"/>
      <c r="C915" s="15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ht="11.25" customHeight="1">
      <c r="A916" s="15"/>
      <c r="B916" s="15"/>
      <c r="C916" s="15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ht="11.25" customHeight="1">
      <c r="A917" s="15"/>
      <c r="B917" s="15"/>
      <c r="C917" s="15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ht="11.25" customHeight="1">
      <c r="A918" s="15"/>
      <c r="B918" s="15"/>
      <c r="C918" s="15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ht="11.25" customHeight="1">
      <c r="A919" s="15"/>
      <c r="B919" s="15"/>
      <c r="C919" s="15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ht="11.25" customHeight="1">
      <c r="A920" s="15"/>
      <c r="B920" s="15"/>
      <c r="C920" s="15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ht="11.25" customHeight="1">
      <c r="A921" s="15"/>
      <c r="B921" s="15"/>
      <c r="C921" s="15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ht="11.25" customHeight="1">
      <c r="A922" s="15"/>
      <c r="B922" s="15"/>
      <c r="C922" s="15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ht="11.25" customHeight="1">
      <c r="A923" s="15"/>
      <c r="B923" s="15"/>
      <c r="C923" s="15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ht="11.25" customHeight="1">
      <c r="A924" s="15"/>
      <c r="B924" s="15"/>
      <c r="C924" s="15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ht="11.25" customHeight="1">
      <c r="A925" s="15"/>
      <c r="B925" s="15"/>
      <c r="C925" s="15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ht="11.25" customHeight="1">
      <c r="A926" s="15"/>
      <c r="B926" s="15"/>
      <c r="C926" s="15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ht="11.25" customHeight="1">
      <c r="A927" s="15"/>
      <c r="B927" s="15"/>
      <c r="C927" s="15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ht="11.25" customHeight="1">
      <c r="A928" s="15"/>
      <c r="B928" s="15"/>
      <c r="C928" s="15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ht="11.25" customHeight="1">
      <c r="A929" s="15"/>
      <c r="B929" s="15"/>
      <c r="C929" s="15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ht="11.25" customHeight="1">
      <c r="A930" s="15"/>
      <c r="B930" s="15"/>
      <c r="C930" s="15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ht="11.25" customHeight="1">
      <c r="A931" s="15"/>
      <c r="B931" s="15"/>
      <c r="C931" s="15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ht="11.25" customHeight="1">
      <c r="A932" s="15"/>
      <c r="B932" s="15"/>
      <c r="C932" s="15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ht="11.25" customHeight="1">
      <c r="A933" s="15"/>
      <c r="B933" s="15"/>
      <c r="C933" s="15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ht="11.25" customHeight="1">
      <c r="A934" s="15"/>
      <c r="B934" s="15"/>
      <c r="C934" s="15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ht="11.25" customHeight="1">
      <c r="A935" s="15"/>
      <c r="B935" s="15"/>
      <c r="C935" s="15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ht="11.25" customHeight="1">
      <c r="A936" s="15"/>
      <c r="B936" s="15"/>
      <c r="C936" s="15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ht="11.25" customHeight="1">
      <c r="A937" s="15"/>
      <c r="B937" s="15"/>
      <c r="C937" s="15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ht="11.25" customHeight="1">
      <c r="A938" s="15"/>
      <c r="B938" s="15"/>
      <c r="C938" s="15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ht="11.25" customHeight="1">
      <c r="A939" s="15"/>
      <c r="B939" s="15"/>
      <c r="C939" s="15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ht="11.25" customHeight="1">
      <c r="A940" s="15"/>
      <c r="B940" s="15"/>
      <c r="C940" s="15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ht="11.25" customHeight="1">
      <c r="A941" s="15"/>
      <c r="B941" s="15"/>
      <c r="C941" s="15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ht="11.25" customHeight="1">
      <c r="A942" s="15"/>
      <c r="B942" s="15"/>
      <c r="C942" s="15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ht="11.25" customHeight="1">
      <c r="A943" s="15"/>
      <c r="B943" s="15"/>
      <c r="C943" s="15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ht="11.25" customHeight="1">
      <c r="A944" s="15"/>
      <c r="B944" s="15"/>
      <c r="C944" s="15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ht="11.25" customHeight="1">
      <c r="A945" s="15"/>
      <c r="B945" s="15"/>
      <c r="C945" s="15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ht="11.25" customHeight="1">
      <c r="A946" s="15"/>
      <c r="B946" s="15"/>
      <c r="C946" s="15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ht="11.25" customHeight="1">
      <c r="A947" s="15"/>
      <c r="B947" s="15"/>
      <c r="C947" s="15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ht="11.25" customHeight="1">
      <c r="A948" s="15"/>
      <c r="B948" s="15"/>
      <c r="C948" s="15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ht="11.25" customHeight="1">
      <c r="A949" s="15"/>
      <c r="B949" s="15"/>
      <c r="C949" s="15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ht="11.25" customHeight="1">
      <c r="A950" s="15"/>
      <c r="B950" s="15"/>
      <c r="C950" s="15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ht="11.25" customHeight="1">
      <c r="A951" s="15"/>
      <c r="B951" s="15"/>
      <c r="C951" s="15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ht="11.25" customHeight="1">
      <c r="A952" s="15"/>
      <c r="B952" s="15"/>
      <c r="C952" s="15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ht="11.25" customHeight="1">
      <c r="A953" s="15"/>
      <c r="B953" s="15"/>
      <c r="C953" s="15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ht="11.25" customHeight="1">
      <c r="A954" s="15"/>
      <c r="B954" s="15"/>
      <c r="C954" s="15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ht="11.25" customHeight="1">
      <c r="A955" s="15"/>
      <c r="B955" s="15"/>
      <c r="C955" s="15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ht="11.25" customHeight="1">
      <c r="A956" s="15"/>
      <c r="B956" s="15"/>
      <c r="C956" s="15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ht="11.25" customHeight="1">
      <c r="A957" s="15"/>
      <c r="B957" s="15"/>
      <c r="C957" s="15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ht="11.25" customHeight="1">
      <c r="A958" s="15"/>
      <c r="B958" s="15"/>
      <c r="C958" s="15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ht="11.25" customHeight="1">
      <c r="A959" s="15"/>
      <c r="B959" s="15"/>
      <c r="C959" s="15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ht="11.25" customHeight="1">
      <c r="A960" s="15"/>
      <c r="B960" s="15"/>
      <c r="C960" s="15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ht="11.25" customHeight="1">
      <c r="A961" s="15"/>
      <c r="B961" s="15"/>
      <c r="C961" s="15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ht="11.25" customHeight="1">
      <c r="A962" s="15"/>
      <c r="B962" s="15"/>
      <c r="C962" s="15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ht="11.25" customHeight="1">
      <c r="A963" s="15"/>
      <c r="B963" s="15"/>
      <c r="C963" s="15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ht="11.25" customHeight="1">
      <c r="A964" s="15"/>
      <c r="B964" s="15"/>
      <c r="C964" s="15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ht="11.25" customHeight="1">
      <c r="A965" s="15"/>
      <c r="B965" s="15"/>
      <c r="C965" s="15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ht="11.25" customHeight="1">
      <c r="A966" s="15"/>
      <c r="B966" s="15"/>
      <c r="C966" s="15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ht="11.25" customHeight="1">
      <c r="A967" s="15"/>
      <c r="B967" s="15"/>
      <c r="C967" s="15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ht="11.25" customHeight="1">
      <c r="A968" s="15"/>
      <c r="B968" s="15"/>
      <c r="C968" s="15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ht="11.25" customHeight="1">
      <c r="A969" s="15"/>
      <c r="B969" s="15"/>
      <c r="C969" s="15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ht="11.25" customHeight="1">
      <c r="A970" s="15"/>
      <c r="B970" s="15"/>
      <c r="C970" s="15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ht="11.25" customHeight="1">
      <c r="A971" s="15"/>
      <c r="B971" s="15"/>
      <c r="C971" s="15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ht="11.25" customHeight="1">
      <c r="A972" s="15"/>
      <c r="B972" s="15"/>
      <c r="C972" s="15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ht="11.25" customHeight="1">
      <c r="A973" s="15"/>
      <c r="B973" s="15"/>
      <c r="C973" s="15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ht="11.25" customHeight="1">
      <c r="A974" s="15"/>
      <c r="B974" s="15"/>
      <c r="C974" s="15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ht="11.25" customHeight="1">
      <c r="A975" s="15"/>
      <c r="B975" s="15"/>
      <c r="C975" s="15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ht="11.25" customHeight="1">
      <c r="A976" s="15"/>
      <c r="B976" s="15"/>
      <c r="C976" s="15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ht="11.25" customHeight="1">
      <c r="A977" s="15"/>
      <c r="B977" s="15"/>
      <c r="C977" s="15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ht="11.25" customHeight="1">
      <c r="A978" s="15"/>
      <c r="B978" s="15"/>
      <c r="C978" s="15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ht="11.25" customHeight="1">
      <c r="A979" s="15"/>
      <c r="B979" s="15"/>
      <c r="C979" s="15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ht="11.25" customHeight="1">
      <c r="A980" s="15"/>
      <c r="B980" s="15"/>
      <c r="C980" s="15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ht="11.25" customHeight="1">
      <c r="A981" s="15"/>
      <c r="B981" s="15"/>
      <c r="C981" s="15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ht="11.25" customHeight="1">
      <c r="A982" s="15"/>
      <c r="B982" s="15"/>
      <c r="C982" s="15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ht="11.25" customHeight="1">
      <c r="A983" s="15"/>
      <c r="B983" s="15"/>
      <c r="C983" s="15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ht="11.25" customHeight="1">
      <c r="A984" s="15"/>
      <c r="B984" s="15"/>
      <c r="C984" s="15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ht="11.25" customHeight="1">
      <c r="A985" s="15"/>
      <c r="B985" s="15"/>
      <c r="C985" s="15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ht="11.25" customHeight="1">
      <c r="A986" s="15"/>
      <c r="B986" s="15"/>
      <c r="C986" s="15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ht="11.25" customHeight="1">
      <c r="A987" s="15"/>
      <c r="B987" s="15"/>
      <c r="C987" s="15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ht="11.25" customHeight="1">
      <c r="A988" s="15"/>
      <c r="B988" s="15"/>
      <c r="C988" s="15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ht="11.25" customHeight="1">
      <c r="A989" s="15"/>
      <c r="B989" s="15"/>
      <c r="C989" s="15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ht="11.25" customHeight="1">
      <c r="A990" s="15"/>
      <c r="B990" s="15"/>
      <c r="C990" s="15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ht="11.25" customHeight="1">
      <c r="A991" s="15"/>
      <c r="B991" s="15"/>
      <c r="C991" s="15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ht="11.25" customHeight="1">
      <c r="A992" s="15"/>
      <c r="B992" s="15"/>
      <c r="C992" s="15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ht="11.25" customHeight="1">
      <c r="A993" s="15"/>
      <c r="B993" s="15"/>
      <c r="C993" s="15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ht="11.25" customHeight="1">
      <c r="A994" s="15"/>
      <c r="B994" s="15"/>
      <c r="C994" s="15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ht="11.25" customHeight="1">
      <c r="A995" s="15"/>
      <c r="B995" s="15"/>
      <c r="C995" s="15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ht="11.25" customHeight="1">
      <c r="A996" s="15"/>
      <c r="B996" s="15"/>
      <c r="C996" s="15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ht="11.25" customHeight="1">
      <c r="A997" s="15"/>
      <c r="B997" s="15"/>
      <c r="C997" s="15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ht="11.25" customHeight="1">
      <c r="A998" s="15"/>
      <c r="B998" s="15"/>
      <c r="C998" s="15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ht="11.25" customHeight="1">
      <c r="A999" s="15"/>
      <c r="B999" s="15"/>
      <c r="C999" s="15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ht="11.25" customHeight="1">
      <c r="A1000" s="15"/>
      <c r="B1000" s="15"/>
      <c r="C1000" s="15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</sheetData>
  <printOptions/>
  <pageMargins bottom="0.6527777777777778" footer="0.0" header="0.0" left="0.7" right="0.7" top="1.2222222222222223"/>
  <pageSetup orientation="landscape"/>
  <headerFooter>
    <oddHeader>&amp;L   Filter Criteria includes: 1) Types: Income Statement Accounts; 2) Acti&amp;CBenton Hall Academy Budget Name: Budget 2015-16 Import For the Period From Jul 1, 2014 to Jun 30, 2018</oddHeader>
    <oddFooter>&amp;L&amp;D at &amp;T&amp;RPage: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8.0" topLeftCell="A59" activePane="bottomLeft" state="frozen"/>
      <selection activeCell="B60" sqref="B60" pane="bottomLeft"/>
    </sheetView>
  </sheetViews>
  <sheetFormatPr customHeight="1" defaultColWidth="12.63" defaultRowHeight="15.0" outlineLevelCol="1" outlineLevelRow="1"/>
  <cols>
    <col customWidth="1" min="1" max="1" width="6.38"/>
    <col customWidth="1" min="2" max="2" width="8.88"/>
    <col customWidth="1" min="3" max="3" width="21.0"/>
    <col customWidth="1" hidden="1" min="4" max="15" width="10.0" outlineLevel="1"/>
    <col collapsed="1" customWidth="1" min="16" max="16" width="11.63"/>
    <col customWidth="1" hidden="1" min="17" max="17" width="11.63" outlineLevel="1"/>
    <col customWidth="1" hidden="1" min="18" max="18" width="13.13" outlineLevel="1"/>
    <col collapsed="1" customWidth="1" min="19" max="19" width="14.13"/>
    <col customWidth="1" min="20" max="20" width="14.88"/>
    <col customWidth="1" min="21" max="21" width="12.75"/>
    <col customWidth="1" min="22" max="22" width="13.25"/>
    <col customWidth="1" min="23" max="23" width="10.88"/>
    <col customWidth="1" min="24" max="24" width="12.5"/>
    <col customWidth="1" min="25" max="25" width="12.88"/>
    <col customWidth="1" min="26" max="37" width="10.0" outlineLevel="1"/>
    <col customWidth="1" min="38" max="38" width="11.63"/>
    <col customWidth="1" min="39" max="39" width="3.88"/>
    <col customWidth="1" min="40" max="40" width="24.0"/>
  </cols>
  <sheetData>
    <row r="1">
      <c r="A1" s="9" t="s">
        <v>821</v>
      </c>
      <c r="B1" s="9" t="s">
        <v>822</v>
      </c>
      <c r="C1" s="5" t="s">
        <v>17</v>
      </c>
      <c r="D1" s="54" t="s">
        <v>418</v>
      </c>
      <c r="E1" s="54" t="s">
        <v>419</v>
      </c>
      <c r="F1" s="54" t="s">
        <v>422</v>
      </c>
      <c r="G1" s="54" t="s">
        <v>423</v>
      </c>
      <c r="H1" s="54" t="s">
        <v>424</v>
      </c>
      <c r="I1" s="54" t="s">
        <v>425</v>
      </c>
      <c r="J1" s="54" t="s">
        <v>426</v>
      </c>
      <c r="K1" s="54" t="s">
        <v>427</v>
      </c>
      <c r="L1" s="54" t="s">
        <v>428</v>
      </c>
      <c r="M1" s="54" t="s">
        <v>429</v>
      </c>
      <c r="N1" s="54" t="s">
        <v>430</v>
      </c>
      <c r="O1" s="54" t="s">
        <v>431</v>
      </c>
      <c r="P1" s="54" t="s">
        <v>823</v>
      </c>
      <c r="Q1" s="222">
        <v>43555.0</v>
      </c>
      <c r="R1" s="223" t="s">
        <v>824</v>
      </c>
      <c r="S1" s="222" t="s">
        <v>825</v>
      </c>
      <c r="T1" s="223" t="s">
        <v>826</v>
      </c>
      <c r="U1" s="223" t="s">
        <v>827</v>
      </c>
      <c r="V1" s="224" t="s">
        <v>828</v>
      </c>
      <c r="W1" s="223" t="s">
        <v>829</v>
      </c>
      <c r="X1" s="224" t="s">
        <v>830</v>
      </c>
      <c r="Y1" s="223" t="s">
        <v>831</v>
      </c>
      <c r="Z1" s="54" t="s">
        <v>418</v>
      </c>
      <c r="AA1" s="54" t="s">
        <v>419</v>
      </c>
      <c r="AB1" s="54" t="s">
        <v>422</v>
      </c>
      <c r="AC1" s="54" t="s">
        <v>423</v>
      </c>
      <c r="AD1" s="54" t="s">
        <v>424</v>
      </c>
      <c r="AE1" s="54" t="s">
        <v>425</v>
      </c>
      <c r="AF1" s="54" t="s">
        <v>426</v>
      </c>
      <c r="AG1" s="54" t="s">
        <v>427</v>
      </c>
      <c r="AH1" s="54" t="s">
        <v>428</v>
      </c>
      <c r="AI1" s="54" t="s">
        <v>429</v>
      </c>
      <c r="AJ1" s="54" t="s">
        <v>430</v>
      </c>
      <c r="AK1" s="54" t="s">
        <v>431</v>
      </c>
      <c r="AL1" s="54" t="s">
        <v>267</v>
      </c>
      <c r="AM1" s="54" t="s">
        <v>432</v>
      </c>
      <c r="AN1" s="54" t="s">
        <v>832</v>
      </c>
    </row>
    <row r="2" hidden="1" outlineLevel="1">
      <c r="A2" s="172" t="s">
        <v>833</v>
      </c>
      <c r="B2" s="172" t="s">
        <v>834</v>
      </c>
      <c r="C2" s="225" t="s">
        <v>835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7">
        <f t="shared" ref="P2:P65" si="1">+SUM(D2:O2)</f>
        <v>0</v>
      </c>
      <c r="Q2" s="227"/>
      <c r="R2" s="228"/>
      <c r="S2" s="227"/>
      <c r="T2" s="228"/>
      <c r="U2" s="228"/>
      <c r="V2" s="229"/>
      <c r="W2" s="228"/>
      <c r="X2" s="230"/>
      <c r="Y2" s="228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7">
        <f t="shared" ref="AL2:AL203" si="2">+SUM(Z2:AK2)</f>
        <v>0</v>
      </c>
      <c r="AM2" s="226"/>
    </row>
    <row r="3" hidden="1" outlineLevel="1">
      <c r="A3" s="172" t="s">
        <v>836</v>
      </c>
      <c r="B3" s="172" t="s">
        <v>834</v>
      </c>
      <c r="C3" s="225" t="s">
        <v>837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>
        <f t="shared" si="1"/>
        <v>0</v>
      </c>
      <c r="Q3" s="227"/>
      <c r="R3" s="228"/>
      <c r="S3" s="227"/>
      <c r="T3" s="228"/>
      <c r="U3" s="228"/>
      <c r="V3" s="229"/>
      <c r="W3" s="228"/>
      <c r="X3" s="230"/>
      <c r="Y3" s="228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7">
        <f t="shared" si="2"/>
        <v>0</v>
      </c>
      <c r="AM3" s="226"/>
    </row>
    <row r="4" hidden="1" outlineLevel="1">
      <c r="A4" s="172" t="s">
        <v>838</v>
      </c>
      <c r="B4" s="172" t="s">
        <v>834</v>
      </c>
      <c r="C4" s="225" t="s">
        <v>839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>
        <f t="shared" si="1"/>
        <v>0</v>
      </c>
      <c r="Q4" s="227"/>
      <c r="R4" s="228"/>
      <c r="S4" s="227"/>
      <c r="T4" s="228"/>
      <c r="U4" s="228"/>
      <c r="V4" s="229"/>
      <c r="W4" s="228"/>
      <c r="X4" s="230"/>
      <c r="Y4" s="228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7">
        <f t="shared" si="2"/>
        <v>0</v>
      </c>
      <c r="AM4" s="226"/>
    </row>
    <row r="5" hidden="1" outlineLevel="1">
      <c r="A5" s="172" t="s">
        <v>840</v>
      </c>
      <c r="B5" s="172" t="s">
        <v>834</v>
      </c>
      <c r="C5" s="225" t="s">
        <v>841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7">
        <f t="shared" si="1"/>
        <v>0</v>
      </c>
      <c r="Q5" s="227"/>
      <c r="R5" s="228"/>
      <c r="S5" s="227"/>
      <c r="T5" s="228"/>
      <c r="U5" s="228"/>
      <c r="V5" s="229"/>
      <c r="W5" s="228"/>
      <c r="X5" s="230"/>
      <c r="Y5" s="228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7">
        <f t="shared" si="2"/>
        <v>0</v>
      </c>
      <c r="AM5" s="226"/>
    </row>
    <row r="6" hidden="1" outlineLevel="1">
      <c r="A6" s="172" t="s">
        <v>842</v>
      </c>
      <c r="B6" s="172" t="s">
        <v>834</v>
      </c>
      <c r="C6" s="225" t="s">
        <v>843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>
        <f t="shared" si="1"/>
        <v>0</v>
      </c>
      <c r="Q6" s="227"/>
      <c r="R6" s="228"/>
      <c r="S6" s="227"/>
      <c r="T6" s="228"/>
      <c r="U6" s="228"/>
      <c r="V6" s="229"/>
      <c r="W6" s="228"/>
      <c r="X6" s="230"/>
      <c r="Y6" s="228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7">
        <f t="shared" si="2"/>
        <v>0</v>
      </c>
      <c r="AM6" s="226"/>
    </row>
    <row r="7" hidden="1" outlineLevel="1">
      <c r="A7" s="172" t="s">
        <v>844</v>
      </c>
      <c r="B7" s="172" t="s">
        <v>834</v>
      </c>
      <c r="C7" s="225" t="s">
        <v>845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7">
        <f t="shared" si="1"/>
        <v>0</v>
      </c>
      <c r="Q7" s="227"/>
      <c r="R7" s="228"/>
      <c r="S7" s="227"/>
      <c r="T7" s="228"/>
      <c r="U7" s="228"/>
      <c r="V7" s="229"/>
      <c r="W7" s="228"/>
      <c r="X7" s="230"/>
      <c r="Y7" s="228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7">
        <f t="shared" si="2"/>
        <v>0</v>
      </c>
      <c r="AM7" s="226"/>
    </row>
    <row r="8" hidden="1" outlineLevel="1">
      <c r="A8" s="172" t="s">
        <v>846</v>
      </c>
      <c r="B8" s="172" t="s">
        <v>834</v>
      </c>
      <c r="C8" s="225" t="s">
        <v>847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7">
        <f t="shared" si="1"/>
        <v>0</v>
      </c>
      <c r="Q8" s="227"/>
      <c r="R8" s="228"/>
      <c r="S8" s="227"/>
      <c r="T8" s="228"/>
      <c r="U8" s="228"/>
      <c r="V8" s="229"/>
      <c r="W8" s="228"/>
      <c r="X8" s="230"/>
      <c r="Y8" s="228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7">
        <f t="shared" si="2"/>
        <v>0</v>
      </c>
      <c r="AM8" s="226"/>
    </row>
    <row r="9" hidden="1" outlineLevel="1">
      <c r="A9" s="172" t="s">
        <v>848</v>
      </c>
      <c r="B9" s="172" t="s">
        <v>834</v>
      </c>
      <c r="C9" s="225" t="s">
        <v>849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7">
        <f t="shared" si="1"/>
        <v>0</v>
      </c>
      <c r="Q9" s="227"/>
      <c r="R9" s="228"/>
      <c r="S9" s="227"/>
      <c r="T9" s="228"/>
      <c r="U9" s="228"/>
      <c r="V9" s="229"/>
      <c r="W9" s="228"/>
      <c r="X9" s="230"/>
      <c r="Y9" s="228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7">
        <f t="shared" si="2"/>
        <v>0</v>
      </c>
      <c r="AM9" s="226"/>
    </row>
    <row r="10" hidden="1" outlineLevel="1">
      <c r="A10" s="172" t="s">
        <v>850</v>
      </c>
      <c r="B10" s="172" t="s">
        <v>834</v>
      </c>
      <c r="C10" s="225" t="s">
        <v>851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>
        <f t="shared" si="1"/>
        <v>0</v>
      </c>
      <c r="Q10" s="227"/>
      <c r="R10" s="228"/>
      <c r="S10" s="227"/>
      <c r="T10" s="228"/>
      <c r="U10" s="228"/>
      <c r="V10" s="229"/>
      <c r="W10" s="228"/>
      <c r="X10" s="230"/>
      <c r="Y10" s="228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7">
        <f t="shared" si="2"/>
        <v>0</v>
      </c>
      <c r="AM10" s="226"/>
    </row>
    <row r="11" hidden="1" outlineLevel="1">
      <c r="A11" s="172" t="s">
        <v>852</v>
      </c>
      <c r="B11" s="172" t="s">
        <v>834</v>
      </c>
      <c r="C11" s="225" t="s">
        <v>853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7">
        <f t="shared" si="1"/>
        <v>0</v>
      </c>
      <c r="Q11" s="227"/>
      <c r="R11" s="228"/>
      <c r="S11" s="227"/>
      <c r="T11" s="228"/>
      <c r="U11" s="228"/>
      <c r="V11" s="229"/>
      <c r="W11" s="228"/>
      <c r="X11" s="230"/>
      <c r="Y11" s="228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7">
        <f t="shared" si="2"/>
        <v>0</v>
      </c>
      <c r="AM11" s="226"/>
    </row>
    <row r="12" hidden="1" outlineLevel="1">
      <c r="A12" s="172" t="s">
        <v>854</v>
      </c>
      <c r="B12" s="172" t="s">
        <v>834</v>
      </c>
      <c r="C12" s="231" t="s">
        <v>855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3">
        <f t="shared" si="1"/>
        <v>0</v>
      </c>
      <c r="Q12" s="233"/>
      <c r="R12" s="234"/>
      <c r="S12" s="233"/>
      <c r="T12" s="234"/>
      <c r="U12" s="234"/>
      <c r="V12" s="235"/>
      <c r="W12" s="234"/>
      <c r="X12" s="236"/>
      <c r="Y12" s="234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3">
        <f t="shared" si="2"/>
        <v>0</v>
      </c>
      <c r="AM12" s="232"/>
    </row>
    <row r="13" hidden="1" outlineLevel="1">
      <c r="A13" s="172" t="s">
        <v>856</v>
      </c>
      <c r="B13" s="172" t="s">
        <v>834</v>
      </c>
      <c r="C13" s="225" t="s">
        <v>857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7">
        <f t="shared" si="1"/>
        <v>0</v>
      </c>
      <c r="Q13" s="227"/>
      <c r="R13" s="228"/>
      <c r="S13" s="227"/>
      <c r="T13" s="228"/>
      <c r="U13" s="228"/>
      <c r="V13" s="229"/>
      <c r="W13" s="228"/>
      <c r="X13" s="230"/>
      <c r="Y13" s="228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7">
        <f t="shared" si="2"/>
        <v>0</v>
      </c>
      <c r="AM13" s="226"/>
    </row>
    <row r="14" hidden="1" outlineLevel="1">
      <c r="A14" s="172" t="s">
        <v>858</v>
      </c>
      <c r="B14" s="172" t="s">
        <v>834</v>
      </c>
      <c r="C14" s="225" t="s">
        <v>859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>
        <f t="shared" si="1"/>
        <v>0</v>
      </c>
      <c r="Q14" s="227"/>
      <c r="R14" s="228"/>
      <c r="S14" s="227"/>
      <c r="T14" s="228"/>
      <c r="U14" s="228"/>
      <c r="V14" s="229"/>
      <c r="W14" s="228"/>
      <c r="X14" s="230"/>
      <c r="Y14" s="228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7">
        <f t="shared" si="2"/>
        <v>0</v>
      </c>
      <c r="AM14" s="226"/>
    </row>
    <row r="15" hidden="1" outlineLevel="1">
      <c r="A15" s="172" t="s">
        <v>860</v>
      </c>
      <c r="B15" s="172" t="s">
        <v>834</v>
      </c>
      <c r="C15" s="225" t="s">
        <v>861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7">
        <f t="shared" si="1"/>
        <v>0</v>
      </c>
      <c r="Q15" s="227"/>
      <c r="R15" s="228"/>
      <c r="S15" s="227"/>
      <c r="T15" s="228"/>
      <c r="U15" s="228"/>
      <c r="V15" s="229"/>
      <c r="W15" s="228"/>
      <c r="X15" s="230"/>
      <c r="Y15" s="228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7">
        <f t="shared" si="2"/>
        <v>0</v>
      </c>
      <c r="AM15" s="226"/>
    </row>
    <row r="16" hidden="1" outlineLevel="1">
      <c r="A16" s="172" t="s">
        <v>862</v>
      </c>
      <c r="B16" s="172" t="s">
        <v>834</v>
      </c>
      <c r="C16" s="225" t="s">
        <v>863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7">
        <f t="shared" si="1"/>
        <v>0</v>
      </c>
      <c r="Q16" s="227"/>
      <c r="R16" s="228"/>
      <c r="S16" s="227"/>
      <c r="T16" s="228"/>
      <c r="U16" s="228"/>
      <c r="V16" s="229"/>
      <c r="W16" s="228"/>
      <c r="X16" s="230"/>
      <c r="Y16" s="228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7">
        <f t="shared" si="2"/>
        <v>0</v>
      </c>
      <c r="AM16" s="226"/>
    </row>
    <row r="17" hidden="1" outlineLevel="1">
      <c r="A17" s="172" t="s">
        <v>864</v>
      </c>
      <c r="B17" s="172" t="s">
        <v>834</v>
      </c>
      <c r="C17" s="225" t="s">
        <v>865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>
        <f t="shared" si="1"/>
        <v>0</v>
      </c>
      <c r="Q17" s="227"/>
      <c r="R17" s="228"/>
      <c r="S17" s="227"/>
      <c r="T17" s="228"/>
      <c r="U17" s="228"/>
      <c r="V17" s="229"/>
      <c r="W17" s="228"/>
      <c r="X17" s="230"/>
      <c r="Y17" s="228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7">
        <f t="shared" si="2"/>
        <v>0</v>
      </c>
      <c r="AM17" s="226"/>
    </row>
    <row r="18" hidden="1" outlineLevel="1">
      <c r="A18" s="172" t="s">
        <v>866</v>
      </c>
      <c r="B18" s="172" t="s">
        <v>834</v>
      </c>
      <c r="C18" s="225" t="s">
        <v>139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7">
        <f t="shared" si="1"/>
        <v>0</v>
      </c>
      <c r="Q18" s="227"/>
      <c r="R18" s="228"/>
      <c r="S18" s="227"/>
      <c r="T18" s="228"/>
      <c r="U18" s="228"/>
      <c r="V18" s="229"/>
      <c r="W18" s="228"/>
      <c r="X18" s="230"/>
      <c r="Y18" s="228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7">
        <f t="shared" si="2"/>
        <v>0</v>
      </c>
      <c r="AM18" s="226"/>
    </row>
    <row r="19" hidden="1" outlineLevel="1">
      <c r="A19" s="172" t="s">
        <v>867</v>
      </c>
      <c r="B19" s="172" t="s">
        <v>834</v>
      </c>
      <c r="C19" s="225" t="s">
        <v>868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7">
        <f t="shared" si="1"/>
        <v>0</v>
      </c>
      <c r="Q19" s="227"/>
      <c r="R19" s="228"/>
      <c r="S19" s="227"/>
      <c r="T19" s="228"/>
      <c r="U19" s="228"/>
      <c r="V19" s="229"/>
      <c r="W19" s="228"/>
      <c r="X19" s="230"/>
      <c r="Y19" s="228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7">
        <f t="shared" si="2"/>
        <v>0</v>
      </c>
      <c r="AM19" s="226"/>
    </row>
    <row r="20" hidden="1" outlineLevel="1">
      <c r="A20" s="172" t="s">
        <v>869</v>
      </c>
      <c r="B20" s="172" t="s">
        <v>834</v>
      </c>
      <c r="C20" s="225" t="s">
        <v>870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>
        <f t="shared" si="1"/>
        <v>0</v>
      </c>
      <c r="Q20" s="227"/>
      <c r="R20" s="228"/>
      <c r="S20" s="227"/>
      <c r="T20" s="228"/>
      <c r="U20" s="228"/>
      <c r="V20" s="229"/>
      <c r="W20" s="228"/>
      <c r="X20" s="230"/>
      <c r="Y20" s="228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7">
        <f t="shared" si="2"/>
        <v>0</v>
      </c>
      <c r="AM20" s="226"/>
    </row>
    <row r="21" ht="15.75" hidden="1" customHeight="1" outlineLevel="1">
      <c r="A21" s="172" t="s">
        <v>871</v>
      </c>
      <c r="B21" s="172" t="s">
        <v>834</v>
      </c>
      <c r="C21" s="225" t="s">
        <v>196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7">
        <f t="shared" si="1"/>
        <v>0</v>
      </c>
      <c r="Q21" s="227"/>
      <c r="R21" s="228"/>
      <c r="S21" s="227"/>
      <c r="T21" s="228"/>
      <c r="U21" s="228"/>
      <c r="V21" s="229"/>
      <c r="W21" s="228"/>
      <c r="X21" s="230"/>
      <c r="Y21" s="228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7">
        <f t="shared" si="2"/>
        <v>0</v>
      </c>
      <c r="AM21" s="226"/>
    </row>
    <row r="22" ht="15.75" hidden="1" customHeight="1" outlineLevel="1">
      <c r="A22" s="172" t="s">
        <v>872</v>
      </c>
      <c r="B22" s="172" t="s">
        <v>834</v>
      </c>
      <c r="C22" s="225" t="s">
        <v>873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7">
        <f t="shared" si="1"/>
        <v>0</v>
      </c>
      <c r="Q22" s="227"/>
      <c r="R22" s="228"/>
      <c r="S22" s="227"/>
      <c r="T22" s="228"/>
      <c r="U22" s="228"/>
      <c r="V22" s="229"/>
      <c r="W22" s="228"/>
      <c r="X22" s="230"/>
      <c r="Y22" s="228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7">
        <f t="shared" si="2"/>
        <v>0</v>
      </c>
      <c r="AM22" s="226"/>
    </row>
    <row r="23" ht="15.75" hidden="1" customHeight="1" outlineLevel="1">
      <c r="A23" s="172" t="s">
        <v>874</v>
      </c>
      <c r="B23" s="172" t="s">
        <v>834</v>
      </c>
      <c r="C23" s="225" t="s">
        <v>875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7">
        <f t="shared" si="1"/>
        <v>0</v>
      </c>
      <c r="Q23" s="227"/>
      <c r="R23" s="228"/>
      <c r="S23" s="227"/>
      <c r="T23" s="228"/>
      <c r="U23" s="228"/>
      <c r="V23" s="229"/>
      <c r="W23" s="228"/>
      <c r="X23" s="230"/>
      <c r="Y23" s="228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7">
        <f t="shared" si="2"/>
        <v>0</v>
      </c>
      <c r="AM23" s="226"/>
    </row>
    <row r="24" ht="15.75" hidden="1" customHeight="1" outlineLevel="1">
      <c r="A24" s="172" t="s">
        <v>876</v>
      </c>
      <c r="B24" s="172" t="s">
        <v>834</v>
      </c>
      <c r="C24" s="225" t="s">
        <v>877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7">
        <f t="shared" si="1"/>
        <v>0</v>
      </c>
      <c r="Q24" s="227"/>
      <c r="R24" s="228"/>
      <c r="S24" s="227"/>
      <c r="T24" s="228"/>
      <c r="U24" s="228"/>
      <c r="V24" s="229"/>
      <c r="W24" s="228"/>
      <c r="X24" s="230"/>
      <c r="Y24" s="228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7">
        <f t="shared" si="2"/>
        <v>0</v>
      </c>
      <c r="AM24" s="226"/>
    </row>
    <row r="25" ht="15.75" hidden="1" customHeight="1" outlineLevel="1">
      <c r="A25" s="172" t="s">
        <v>878</v>
      </c>
      <c r="B25" s="172" t="s">
        <v>834</v>
      </c>
      <c r="C25" s="225" t="s">
        <v>879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>
        <f t="shared" si="1"/>
        <v>0</v>
      </c>
      <c r="Q25" s="227"/>
      <c r="R25" s="228"/>
      <c r="S25" s="227"/>
      <c r="T25" s="228"/>
      <c r="U25" s="228"/>
      <c r="V25" s="229"/>
      <c r="W25" s="228"/>
      <c r="X25" s="230"/>
      <c r="Y25" s="228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7">
        <f t="shared" si="2"/>
        <v>0</v>
      </c>
      <c r="AM25" s="226"/>
    </row>
    <row r="26" ht="15.75" hidden="1" customHeight="1" outlineLevel="1">
      <c r="A26" s="172" t="s">
        <v>880</v>
      </c>
      <c r="B26" s="172" t="s">
        <v>834</v>
      </c>
      <c r="C26" s="225" t="s">
        <v>881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7">
        <f t="shared" si="1"/>
        <v>0</v>
      </c>
      <c r="Q26" s="227"/>
      <c r="R26" s="228"/>
      <c r="S26" s="227"/>
      <c r="T26" s="228"/>
      <c r="U26" s="228"/>
      <c r="V26" s="229"/>
      <c r="W26" s="228"/>
      <c r="X26" s="230"/>
      <c r="Y26" s="228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7">
        <f t="shared" si="2"/>
        <v>0</v>
      </c>
      <c r="AM26" s="226"/>
    </row>
    <row r="27" ht="15.75" hidden="1" customHeight="1" outlineLevel="1">
      <c r="A27" s="172" t="s">
        <v>882</v>
      </c>
      <c r="B27" s="172" t="s">
        <v>834</v>
      </c>
      <c r="C27" s="225" t="s">
        <v>883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7">
        <f t="shared" si="1"/>
        <v>0</v>
      </c>
      <c r="Q27" s="227"/>
      <c r="R27" s="228"/>
      <c r="S27" s="227"/>
      <c r="T27" s="228"/>
      <c r="U27" s="228"/>
      <c r="V27" s="229"/>
      <c r="W27" s="228"/>
      <c r="X27" s="230"/>
      <c r="Y27" s="228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7">
        <f t="shared" si="2"/>
        <v>0</v>
      </c>
      <c r="AM27" s="226"/>
    </row>
    <row r="28" ht="15.75" hidden="1" customHeight="1" outlineLevel="1">
      <c r="A28" s="172" t="s">
        <v>884</v>
      </c>
      <c r="B28" s="172" t="s">
        <v>834</v>
      </c>
      <c r="C28" s="225" t="s">
        <v>885</v>
      </c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7">
        <f t="shared" si="1"/>
        <v>0</v>
      </c>
      <c r="Q28" s="227"/>
      <c r="R28" s="228"/>
      <c r="S28" s="227"/>
      <c r="T28" s="228"/>
      <c r="U28" s="228"/>
      <c r="V28" s="229"/>
      <c r="W28" s="228"/>
      <c r="X28" s="230"/>
      <c r="Y28" s="228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7">
        <f t="shared" si="2"/>
        <v>0</v>
      </c>
      <c r="AM28" s="226"/>
    </row>
    <row r="29" ht="15.75" hidden="1" customHeight="1" outlineLevel="1">
      <c r="A29" s="172" t="s">
        <v>886</v>
      </c>
      <c r="B29" s="172" t="s">
        <v>834</v>
      </c>
      <c r="C29" s="225" t="s">
        <v>887</v>
      </c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7">
        <f t="shared" si="1"/>
        <v>0</v>
      </c>
      <c r="Q29" s="227"/>
      <c r="R29" s="228"/>
      <c r="S29" s="227"/>
      <c r="T29" s="228"/>
      <c r="U29" s="228"/>
      <c r="V29" s="229"/>
      <c r="W29" s="228"/>
      <c r="X29" s="230"/>
      <c r="Y29" s="228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7">
        <f t="shared" si="2"/>
        <v>0</v>
      </c>
      <c r="AM29" s="226"/>
    </row>
    <row r="30" ht="15.75" hidden="1" customHeight="1" outlineLevel="1">
      <c r="A30" s="172" t="s">
        <v>888</v>
      </c>
      <c r="B30" s="172" t="s">
        <v>834</v>
      </c>
      <c r="C30" s="225" t="s">
        <v>889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7">
        <f t="shared" si="1"/>
        <v>0</v>
      </c>
      <c r="Q30" s="227"/>
      <c r="R30" s="228"/>
      <c r="S30" s="227"/>
      <c r="T30" s="228"/>
      <c r="U30" s="228"/>
      <c r="V30" s="229"/>
      <c r="W30" s="228"/>
      <c r="X30" s="230"/>
      <c r="Y30" s="228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7">
        <f t="shared" si="2"/>
        <v>0</v>
      </c>
      <c r="AM30" s="226"/>
    </row>
    <row r="31" ht="15.75" hidden="1" customHeight="1" outlineLevel="1">
      <c r="A31" s="172" t="s">
        <v>890</v>
      </c>
      <c r="B31" s="172" t="s">
        <v>834</v>
      </c>
      <c r="C31" s="225" t="s">
        <v>891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7">
        <f t="shared" si="1"/>
        <v>0</v>
      </c>
      <c r="Q31" s="227"/>
      <c r="R31" s="228"/>
      <c r="S31" s="227"/>
      <c r="T31" s="228"/>
      <c r="U31" s="228"/>
      <c r="V31" s="229"/>
      <c r="W31" s="228"/>
      <c r="X31" s="230"/>
      <c r="Y31" s="228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7">
        <f t="shared" si="2"/>
        <v>0</v>
      </c>
      <c r="AM31" s="226"/>
    </row>
    <row r="32" ht="15.75" hidden="1" customHeight="1" outlineLevel="1">
      <c r="A32" s="172" t="s">
        <v>892</v>
      </c>
      <c r="B32" s="172" t="s">
        <v>834</v>
      </c>
      <c r="C32" s="225" t="s">
        <v>893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7">
        <f t="shared" si="1"/>
        <v>0</v>
      </c>
      <c r="Q32" s="227"/>
      <c r="R32" s="228"/>
      <c r="S32" s="227"/>
      <c r="T32" s="228"/>
      <c r="U32" s="228"/>
      <c r="V32" s="229"/>
      <c r="W32" s="228"/>
      <c r="X32" s="230"/>
      <c r="Y32" s="228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7">
        <f t="shared" si="2"/>
        <v>0</v>
      </c>
      <c r="AM32" s="226"/>
    </row>
    <row r="33" ht="15.75" hidden="1" customHeight="1" outlineLevel="1">
      <c r="A33" s="237" t="s">
        <v>894</v>
      </c>
      <c r="B33" s="237" t="s">
        <v>895</v>
      </c>
      <c r="C33" s="238" t="s">
        <v>896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40">
        <f t="shared" si="1"/>
        <v>0</v>
      </c>
      <c r="Q33" s="240"/>
      <c r="R33" s="241"/>
      <c r="S33" s="240"/>
      <c r="T33" s="241"/>
      <c r="U33" s="241"/>
      <c r="V33" s="242"/>
      <c r="W33" s="241"/>
      <c r="X33" s="243"/>
      <c r="Y33" s="241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40">
        <f t="shared" si="2"/>
        <v>0</v>
      </c>
      <c r="AM33" s="239"/>
    </row>
    <row r="34" ht="15.75" hidden="1" customHeight="1" outlineLevel="1">
      <c r="A34" s="237" t="s">
        <v>897</v>
      </c>
      <c r="B34" s="237" t="s">
        <v>895</v>
      </c>
      <c r="C34" s="238" t="s">
        <v>898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40">
        <f t="shared" si="1"/>
        <v>0</v>
      </c>
      <c r="Q34" s="240"/>
      <c r="R34" s="241"/>
      <c r="S34" s="240"/>
      <c r="T34" s="241"/>
      <c r="U34" s="241"/>
      <c r="V34" s="242"/>
      <c r="W34" s="241"/>
      <c r="X34" s="243"/>
      <c r="Y34" s="241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40">
        <f t="shared" si="2"/>
        <v>0</v>
      </c>
      <c r="AM34" s="239"/>
    </row>
    <row r="35" ht="15.75" hidden="1" customHeight="1" outlineLevel="1">
      <c r="A35" s="237" t="s">
        <v>899</v>
      </c>
      <c r="B35" s="237" t="s">
        <v>895</v>
      </c>
      <c r="C35" s="238" t="s">
        <v>900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40">
        <f t="shared" si="1"/>
        <v>0</v>
      </c>
      <c r="Q35" s="240"/>
      <c r="R35" s="241"/>
      <c r="S35" s="240"/>
      <c r="T35" s="241"/>
      <c r="U35" s="241"/>
      <c r="V35" s="242"/>
      <c r="W35" s="241"/>
      <c r="X35" s="243"/>
      <c r="Y35" s="241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40">
        <f t="shared" si="2"/>
        <v>0</v>
      </c>
      <c r="AM35" s="239"/>
    </row>
    <row r="36" ht="15.75" hidden="1" customHeight="1" outlineLevel="1">
      <c r="A36" s="237" t="s">
        <v>901</v>
      </c>
      <c r="B36" s="237" t="s">
        <v>895</v>
      </c>
      <c r="C36" s="238" t="s">
        <v>902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40">
        <f t="shared" si="1"/>
        <v>0</v>
      </c>
      <c r="Q36" s="240"/>
      <c r="R36" s="241"/>
      <c r="S36" s="240"/>
      <c r="T36" s="241"/>
      <c r="U36" s="241"/>
      <c r="V36" s="242"/>
      <c r="W36" s="241"/>
      <c r="X36" s="243"/>
      <c r="Y36" s="241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40">
        <f t="shared" si="2"/>
        <v>0</v>
      </c>
      <c r="AM36" s="239"/>
    </row>
    <row r="37" ht="15.75" hidden="1" customHeight="1" outlineLevel="1">
      <c r="A37" s="237" t="s">
        <v>903</v>
      </c>
      <c r="B37" s="237" t="s">
        <v>895</v>
      </c>
      <c r="C37" s="238" t="s">
        <v>904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40">
        <f t="shared" si="1"/>
        <v>0</v>
      </c>
      <c r="Q37" s="240"/>
      <c r="R37" s="241"/>
      <c r="S37" s="240"/>
      <c r="T37" s="241"/>
      <c r="U37" s="241"/>
      <c r="V37" s="242"/>
      <c r="W37" s="241"/>
      <c r="X37" s="243"/>
      <c r="Y37" s="241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40">
        <f t="shared" si="2"/>
        <v>0</v>
      </c>
      <c r="AM37" s="239"/>
    </row>
    <row r="38" ht="15.75" hidden="1" customHeight="1" outlineLevel="1">
      <c r="A38" s="237" t="s">
        <v>905</v>
      </c>
      <c r="B38" s="237" t="s">
        <v>895</v>
      </c>
      <c r="C38" s="238" t="s">
        <v>906</v>
      </c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40">
        <f t="shared" si="1"/>
        <v>0</v>
      </c>
      <c r="Q38" s="240"/>
      <c r="R38" s="241"/>
      <c r="S38" s="240"/>
      <c r="T38" s="241"/>
      <c r="U38" s="241"/>
      <c r="V38" s="242"/>
      <c r="W38" s="241"/>
      <c r="X38" s="243"/>
      <c r="Y38" s="241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40">
        <f t="shared" si="2"/>
        <v>0</v>
      </c>
      <c r="AM38" s="239"/>
    </row>
    <row r="39" ht="15.75" hidden="1" customHeight="1" outlineLevel="1">
      <c r="A39" s="237" t="s">
        <v>907</v>
      </c>
      <c r="B39" s="237" t="s">
        <v>895</v>
      </c>
      <c r="C39" s="238" t="s">
        <v>908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40">
        <f t="shared" si="1"/>
        <v>0</v>
      </c>
      <c r="Q39" s="240"/>
      <c r="R39" s="241"/>
      <c r="S39" s="240"/>
      <c r="T39" s="241"/>
      <c r="U39" s="241"/>
      <c r="V39" s="242"/>
      <c r="W39" s="241"/>
      <c r="X39" s="243"/>
      <c r="Y39" s="241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40">
        <f t="shared" si="2"/>
        <v>0</v>
      </c>
      <c r="AM39" s="239"/>
    </row>
    <row r="40" ht="15.75" hidden="1" customHeight="1" outlineLevel="1">
      <c r="A40" s="237" t="s">
        <v>909</v>
      </c>
      <c r="B40" s="237" t="s">
        <v>895</v>
      </c>
      <c r="C40" s="238" t="s">
        <v>910</v>
      </c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40">
        <f t="shared" si="1"/>
        <v>0</v>
      </c>
      <c r="Q40" s="240"/>
      <c r="R40" s="241"/>
      <c r="S40" s="240"/>
      <c r="T40" s="241"/>
      <c r="U40" s="241"/>
      <c r="V40" s="242"/>
      <c r="W40" s="241"/>
      <c r="X40" s="243"/>
      <c r="Y40" s="241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40">
        <f t="shared" si="2"/>
        <v>0</v>
      </c>
      <c r="AM40" s="239"/>
    </row>
    <row r="41" ht="15.75" hidden="1" customHeight="1" outlineLevel="1">
      <c r="A41" s="237" t="s">
        <v>911</v>
      </c>
      <c r="B41" s="237" t="s">
        <v>895</v>
      </c>
      <c r="C41" s="238" t="s">
        <v>912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40">
        <f t="shared" si="1"/>
        <v>0</v>
      </c>
      <c r="Q41" s="240"/>
      <c r="R41" s="241"/>
      <c r="S41" s="240"/>
      <c r="T41" s="241"/>
      <c r="U41" s="241"/>
      <c r="V41" s="242"/>
      <c r="W41" s="241"/>
      <c r="X41" s="243"/>
      <c r="Y41" s="241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40">
        <f t="shared" si="2"/>
        <v>0</v>
      </c>
      <c r="AM41" s="239"/>
    </row>
    <row r="42" ht="15.75" hidden="1" customHeight="1" outlineLevel="1">
      <c r="A42" s="237" t="s">
        <v>913</v>
      </c>
      <c r="B42" s="237" t="s">
        <v>895</v>
      </c>
      <c r="C42" s="238" t="s">
        <v>914</v>
      </c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40">
        <f t="shared" si="1"/>
        <v>0</v>
      </c>
      <c r="Q42" s="240"/>
      <c r="R42" s="241"/>
      <c r="S42" s="240"/>
      <c r="T42" s="241"/>
      <c r="U42" s="241"/>
      <c r="V42" s="242"/>
      <c r="W42" s="241"/>
      <c r="X42" s="243"/>
      <c r="Y42" s="241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40">
        <f t="shared" si="2"/>
        <v>0</v>
      </c>
      <c r="AM42" s="239"/>
    </row>
    <row r="43" ht="15.75" hidden="1" customHeight="1" outlineLevel="1">
      <c r="A43" s="237" t="s">
        <v>915</v>
      </c>
      <c r="B43" s="237" t="s">
        <v>895</v>
      </c>
      <c r="C43" s="238" t="s">
        <v>916</v>
      </c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40">
        <f t="shared" si="1"/>
        <v>0</v>
      </c>
      <c r="Q43" s="240"/>
      <c r="R43" s="241"/>
      <c r="S43" s="240"/>
      <c r="T43" s="241"/>
      <c r="U43" s="241"/>
      <c r="V43" s="242"/>
      <c r="W43" s="241"/>
      <c r="X43" s="243"/>
      <c r="Y43" s="241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40">
        <f t="shared" si="2"/>
        <v>0</v>
      </c>
      <c r="AM43" s="239"/>
    </row>
    <row r="44" ht="15.75" hidden="1" customHeight="1" outlineLevel="1">
      <c r="A44" s="237" t="s">
        <v>917</v>
      </c>
      <c r="B44" s="237" t="s">
        <v>895</v>
      </c>
      <c r="C44" s="238" t="s">
        <v>918</v>
      </c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40">
        <f t="shared" si="1"/>
        <v>0</v>
      </c>
      <c r="Q44" s="240"/>
      <c r="R44" s="241"/>
      <c r="S44" s="240"/>
      <c r="T44" s="241"/>
      <c r="U44" s="241"/>
      <c r="V44" s="242"/>
      <c r="W44" s="241"/>
      <c r="X44" s="243"/>
      <c r="Y44" s="241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40">
        <f t="shared" si="2"/>
        <v>0</v>
      </c>
      <c r="AM44" s="239"/>
    </row>
    <row r="45" ht="15.75" hidden="1" customHeight="1" outlineLevel="1">
      <c r="A45" s="237" t="s">
        <v>919</v>
      </c>
      <c r="B45" s="237" t="s">
        <v>895</v>
      </c>
      <c r="C45" s="238" t="s">
        <v>920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40">
        <f t="shared" si="1"/>
        <v>0</v>
      </c>
      <c r="Q45" s="240"/>
      <c r="R45" s="241"/>
      <c r="S45" s="240"/>
      <c r="T45" s="241"/>
      <c r="U45" s="241"/>
      <c r="V45" s="242"/>
      <c r="W45" s="241"/>
      <c r="X45" s="243"/>
      <c r="Y45" s="241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40">
        <f t="shared" si="2"/>
        <v>0</v>
      </c>
      <c r="AM45" s="239"/>
    </row>
    <row r="46" ht="15.75" hidden="1" customHeight="1" outlineLevel="1">
      <c r="A46" s="237" t="s">
        <v>921</v>
      </c>
      <c r="B46" s="237" t="s">
        <v>895</v>
      </c>
      <c r="C46" s="238" t="s">
        <v>922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40">
        <f t="shared" si="1"/>
        <v>0</v>
      </c>
      <c r="Q46" s="240"/>
      <c r="R46" s="241"/>
      <c r="S46" s="240"/>
      <c r="T46" s="241"/>
      <c r="U46" s="241"/>
      <c r="V46" s="242"/>
      <c r="W46" s="241"/>
      <c r="X46" s="243"/>
      <c r="Y46" s="241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40">
        <f t="shared" si="2"/>
        <v>0</v>
      </c>
      <c r="AM46" s="239"/>
    </row>
    <row r="47" ht="15.75" hidden="1" customHeight="1" outlineLevel="1">
      <c r="A47" s="237" t="s">
        <v>923</v>
      </c>
      <c r="B47" s="237" t="s">
        <v>895</v>
      </c>
      <c r="C47" s="238" t="s">
        <v>924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40">
        <f t="shared" si="1"/>
        <v>0</v>
      </c>
      <c r="Q47" s="240"/>
      <c r="R47" s="241"/>
      <c r="S47" s="240"/>
      <c r="T47" s="241"/>
      <c r="U47" s="241"/>
      <c r="V47" s="242"/>
      <c r="W47" s="241"/>
      <c r="X47" s="243"/>
      <c r="Y47" s="241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40">
        <f t="shared" si="2"/>
        <v>0</v>
      </c>
      <c r="AM47" s="239"/>
    </row>
    <row r="48" ht="15.75" hidden="1" customHeight="1" outlineLevel="1">
      <c r="A48" s="237" t="s">
        <v>925</v>
      </c>
      <c r="B48" s="237" t="s">
        <v>895</v>
      </c>
      <c r="C48" s="238" t="s">
        <v>926</v>
      </c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40">
        <f t="shared" si="1"/>
        <v>0</v>
      </c>
      <c r="Q48" s="240"/>
      <c r="R48" s="241"/>
      <c r="S48" s="240"/>
      <c r="T48" s="241"/>
      <c r="U48" s="241"/>
      <c r="V48" s="242"/>
      <c r="W48" s="241"/>
      <c r="X48" s="243"/>
      <c r="Y48" s="241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40">
        <f t="shared" si="2"/>
        <v>0</v>
      </c>
      <c r="AM48" s="239"/>
    </row>
    <row r="49" ht="15.75" hidden="1" customHeight="1" outlineLevel="1">
      <c r="A49" s="237" t="s">
        <v>927</v>
      </c>
      <c r="B49" s="237" t="s">
        <v>895</v>
      </c>
      <c r="C49" s="238" t="s">
        <v>928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40">
        <f t="shared" si="1"/>
        <v>0</v>
      </c>
      <c r="Q49" s="240"/>
      <c r="R49" s="241"/>
      <c r="S49" s="240"/>
      <c r="T49" s="241"/>
      <c r="U49" s="241"/>
      <c r="V49" s="242"/>
      <c r="W49" s="241"/>
      <c r="X49" s="243"/>
      <c r="Y49" s="241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40">
        <f t="shared" si="2"/>
        <v>0</v>
      </c>
      <c r="AM49" s="239"/>
    </row>
    <row r="50" ht="15.75" hidden="1" customHeight="1" outlineLevel="1">
      <c r="A50" s="237" t="s">
        <v>929</v>
      </c>
      <c r="B50" s="237" t="s">
        <v>895</v>
      </c>
      <c r="C50" s="238" t="s">
        <v>930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>
        <f t="shared" si="1"/>
        <v>0</v>
      </c>
      <c r="Q50" s="240"/>
      <c r="R50" s="241"/>
      <c r="S50" s="240"/>
      <c r="T50" s="241"/>
      <c r="U50" s="241"/>
      <c r="V50" s="242"/>
      <c r="W50" s="241"/>
      <c r="X50" s="243"/>
      <c r="Y50" s="241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40">
        <f t="shared" si="2"/>
        <v>0</v>
      </c>
      <c r="AM50" s="239"/>
    </row>
    <row r="51" ht="15.75" hidden="1" customHeight="1" outlineLevel="1">
      <c r="A51" s="237" t="s">
        <v>931</v>
      </c>
      <c r="B51" s="237" t="s">
        <v>895</v>
      </c>
      <c r="C51" s="238" t="s">
        <v>932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40">
        <f t="shared" si="1"/>
        <v>0</v>
      </c>
      <c r="Q51" s="240"/>
      <c r="R51" s="241"/>
      <c r="S51" s="240"/>
      <c r="T51" s="241"/>
      <c r="U51" s="241"/>
      <c r="V51" s="242"/>
      <c r="W51" s="241"/>
      <c r="X51" s="243"/>
      <c r="Y51" s="241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40">
        <f t="shared" si="2"/>
        <v>0</v>
      </c>
      <c r="AM51" s="239"/>
    </row>
    <row r="52" ht="15.75" hidden="1" customHeight="1" outlineLevel="1">
      <c r="A52" s="237" t="s">
        <v>933</v>
      </c>
      <c r="B52" s="237" t="s">
        <v>895</v>
      </c>
      <c r="C52" s="238" t="s">
        <v>934</v>
      </c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40">
        <f t="shared" si="1"/>
        <v>0</v>
      </c>
      <c r="Q52" s="240"/>
      <c r="R52" s="241"/>
      <c r="S52" s="240"/>
      <c r="T52" s="241"/>
      <c r="U52" s="241"/>
      <c r="V52" s="242"/>
      <c r="W52" s="241"/>
      <c r="X52" s="243"/>
      <c r="Y52" s="241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40">
        <f t="shared" si="2"/>
        <v>0</v>
      </c>
      <c r="AM52" s="239"/>
    </row>
    <row r="53" ht="15.75" hidden="1" customHeight="1" outlineLevel="1">
      <c r="A53" s="237" t="s">
        <v>935</v>
      </c>
      <c r="B53" s="237" t="s">
        <v>895</v>
      </c>
      <c r="C53" s="238" t="s">
        <v>936</v>
      </c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>
        <f t="shared" si="1"/>
        <v>0</v>
      </c>
      <c r="Q53" s="240"/>
      <c r="R53" s="241"/>
      <c r="S53" s="240"/>
      <c r="T53" s="241"/>
      <c r="U53" s="241"/>
      <c r="V53" s="242"/>
      <c r="W53" s="241"/>
      <c r="X53" s="243"/>
      <c r="Y53" s="241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40">
        <f t="shared" si="2"/>
        <v>0</v>
      </c>
      <c r="AM53" s="239"/>
    </row>
    <row r="54" ht="15.75" hidden="1" customHeight="1" outlineLevel="1">
      <c r="A54" s="237" t="s">
        <v>937</v>
      </c>
      <c r="B54" s="237" t="s">
        <v>895</v>
      </c>
      <c r="C54" s="238" t="s">
        <v>938</v>
      </c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40">
        <f t="shared" si="1"/>
        <v>0</v>
      </c>
      <c r="Q54" s="240"/>
      <c r="R54" s="241"/>
      <c r="S54" s="240"/>
      <c r="T54" s="241"/>
      <c r="U54" s="241"/>
      <c r="V54" s="242"/>
      <c r="W54" s="241"/>
      <c r="X54" s="243"/>
      <c r="Y54" s="241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40">
        <f t="shared" si="2"/>
        <v>0</v>
      </c>
      <c r="AM54" s="239"/>
    </row>
    <row r="55" ht="15.75" hidden="1" customHeight="1" outlineLevel="1">
      <c r="A55" s="168" t="s">
        <v>939</v>
      </c>
      <c r="B55" s="168" t="s">
        <v>940</v>
      </c>
      <c r="C55" s="244" t="s">
        <v>941</v>
      </c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6">
        <f t="shared" si="1"/>
        <v>0</v>
      </c>
      <c r="Q55" s="246"/>
      <c r="R55" s="247"/>
      <c r="S55" s="246"/>
      <c r="T55" s="247"/>
      <c r="U55" s="247"/>
      <c r="V55" s="248"/>
      <c r="W55" s="247"/>
      <c r="X55" s="249"/>
      <c r="Y55" s="247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6">
        <f t="shared" si="2"/>
        <v>0</v>
      </c>
      <c r="AM55" s="245"/>
    </row>
    <row r="56" ht="15.75" hidden="1" customHeight="1" outlineLevel="1">
      <c r="A56" s="168" t="s">
        <v>942</v>
      </c>
      <c r="B56" s="168" t="s">
        <v>940</v>
      </c>
      <c r="C56" s="244" t="s">
        <v>943</v>
      </c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6">
        <f t="shared" si="1"/>
        <v>0</v>
      </c>
      <c r="Q56" s="246"/>
      <c r="R56" s="247"/>
      <c r="S56" s="246"/>
      <c r="T56" s="247"/>
      <c r="U56" s="247"/>
      <c r="V56" s="248"/>
      <c r="W56" s="247"/>
      <c r="X56" s="249"/>
      <c r="Y56" s="247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6">
        <f t="shared" si="2"/>
        <v>0</v>
      </c>
      <c r="AM56" s="245"/>
    </row>
    <row r="57" ht="15.75" hidden="1" customHeight="1" outlineLevel="1">
      <c r="A57" s="168" t="s">
        <v>944</v>
      </c>
      <c r="B57" s="168" t="s">
        <v>940</v>
      </c>
      <c r="C57" s="244" t="s">
        <v>945</v>
      </c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6">
        <f t="shared" si="1"/>
        <v>0</v>
      </c>
      <c r="Q57" s="246"/>
      <c r="R57" s="247"/>
      <c r="S57" s="246"/>
      <c r="T57" s="247"/>
      <c r="U57" s="247"/>
      <c r="V57" s="248"/>
      <c r="W57" s="247"/>
      <c r="X57" s="249"/>
      <c r="Y57" s="247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6">
        <f t="shared" si="2"/>
        <v>0</v>
      </c>
      <c r="AM57" s="245"/>
    </row>
    <row r="58" ht="15.75" hidden="1" customHeight="1" outlineLevel="1">
      <c r="A58" s="168" t="s">
        <v>946</v>
      </c>
      <c r="B58" s="168" t="s">
        <v>940</v>
      </c>
      <c r="C58" s="244" t="s">
        <v>947</v>
      </c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6">
        <f t="shared" si="1"/>
        <v>0</v>
      </c>
      <c r="Q58" s="246"/>
      <c r="R58" s="247"/>
      <c r="S58" s="246"/>
      <c r="T58" s="247"/>
      <c r="U58" s="247"/>
      <c r="V58" s="248"/>
      <c r="W58" s="247"/>
      <c r="X58" s="249"/>
      <c r="Y58" s="247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6">
        <f t="shared" si="2"/>
        <v>0</v>
      </c>
      <c r="AM58" s="245"/>
    </row>
    <row r="59" ht="15.75" customHeight="1" collapsed="1">
      <c r="A59" s="170" t="s">
        <v>948</v>
      </c>
      <c r="B59" s="170" t="s">
        <v>949</v>
      </c>
      <c r="C59" s="250" t="s">
        <v>37</v>
      </c>
      <c r="D59" s="251">
        <f>+SUMIFS('Detail 18-19'!AC:AC,'Detail 18-19'!$AA:$AA,$A59)</f>
        <v>0</v>
      </c>
      <c r="E59" s="251">
        <f>+SUMIFS('Detail 18-19'!AD:AD,'Detail 18-19'!$AA:$AA,$A59)</f>
        <v>0</v>
      </c>
      <c r="F59" s="251">
        <f>+SUMIFS('Detail 18-19'!AE:AE,'Detail 18-19'!$AA:$AA,$A59)</f>
        <v>1000</v>
      </c>
      <c r="G59" s="251">
        <f>+SUMIFS('Detail 18-19'!AF:AF,'Detail 18-19'!$AA:$AA,$A59)</f>
        <v>1000</v>
      </c>
      <c r="H59" s="251">
        <f>+SUMIFS('Detail 18-19'!AG:AG,'Detail 18-19'!$AA:$AA,$A59)</f>
        <v>3000</v>
      </c>
      <c r="I59" s="251">
        <f>+SUMIFS('Detail 18-19'!AH:AH,'Detail 18-19'!$AA:$AA,$A59)</f>
        <v>1000</v>
      </c>
      <c r="J59" s="251">
        <f>+SUMIFS('Detail 18-19'!AI:AI,'Detail 18-19'!$AA:$AA,$A59)</f>
        <v>0</v>
      </c>
      <c r="K59" s="251">
        <f>+SUMIFS('Detail 18-19'!AJ:AJ,'Detail 18-19'!$AA:$AA,$A59)</f>
        <v>0</v>
      </c>
      <c r="L59" s="251">
        <f>+SUMIFS('Detail 18-19'!AK:AK,'Detail 18-19'!$AA:$AA,$A59)</f>
        <v>0</v>
      </c>
      <c r="M59" s="251">
        <f>+SUMIFS('Detail 18-19'!AL:AL,'Detail 18-19'!$AA:$AA,$A59)</f>
        <v>0</v>
      </c>
      <c r="N59" s="251">
        <f>+SUMIFS('Detail 18-19'!AM:AM,'Detail 18-19'!$AA:$AA,$A59)</f>
        <v>0</v>
      </c>
      <c r="O59" s="251">
        <f>+SUMIFS('Detail 18-19'!AN:AN,'Detail 18-19'!$AA:$AA,$A59)</f>
        <v>0</v>
      </c>
      <c r="P59" s="252">
        <f t="shared" si="1"/>
        <v>6000</v>
      </c>
      <c r="Q59" s="227">
        <f>-SUMIF('2019-03'!$E:$E,'Detail 19-20'!$A59,'2019-03'!$D:$D)</f>
        <v>10610</v>
      </c>
      <c r="R59" s="228" t="s">
        <v>950</v>
      </c>
      <c r="S59" s="227">
        <f t="shared" ref="S59:S61" si="3">IF(R59="Simple",Q59*1.33333333333333,IF(R59="None",Q59,IF(R59="Ten Month",(Q59+(Q59/8*2)))))</f>
        <v>14146.66667</v>
      </c>
      <c r="T59" s="241">
        <v>15000.0</v>
      </c>
      <c r="U59" s="252">
        <f t="shared" ref="U59:U203" si="4">+T59-P59</f>
        <v>9000</v>
      </c>
      <c r="V59" s="253">
        <f t="shared" ref="V59:V203" si="5">IFERROR(U59/P59,0)</f>
        <v>1.5</v>
      </c>
      <c r="W59" s="252">
        <f t="shared" ref="W59:W203" si="6">+T59-S59</f>
        <v>853.3333333</v>
      </c>
      <c r="X59" s="253">
        <f t="shared" ref="X59:X203" si="7">IFERROR(W59/S59,0)</f>
        <v>0.0603204524</v>
      </c>
      <c r="Y59" s="254" t="s">
        <v>594</v>
      </c>
      <c r="Z59" s="252"/>
      <c r="AA59" s="252"/>
      <c r="AB59" s="252"/>
      <c r="AC59" s="254">
        <v>3000.0</v>
      </c>
      <c r="AD59" s="254">
        <v>3000.0</v>
      </c>
      <c r="AE59" s="254">
        <v>3000.0</v>
      </c>
      <c r="AF59" s="254"/>
      <c r="AG59" s="254"/>
      <c r="AH59" s="254"/>
      <c r="AI59" s="254"/>
      <c r="AJ59" s="254">
        <v>1500.0</v>
      </c>
      <c r="AK59" s="254">
        <v>4500.0</v>
      </c>
      <c r="AL59" s="252">
        <f t="shared" si="2"/>
        <v>15000</v>
      </c>
      <c r="AM59" s="252">
        <f t="shared" ref="AM59:AM203" si="9">ROUND(AL59-T59,2)</f>
        <v>0</v>
      </c>
      <c r="AN59" s="8" t="str">
        <f>+VLOOKUP('Detail 19-20'!A59,Map!$B$6:$M$222,12,FALSE)</f>
        <v>Contributions</v>
      </c>
    </row>
    <row r="60" ht="15.75" customHeight="1">
      <c r="A60" s="170" t="s">
        <v>951</v>
      </c>
      <c r="B60" s="170" t="s">
        <v>949</v>
      </c>
      <c r="C60" s="250" t="s">
        <v>45</v>
      </c>
      <c r="D60" s="251">
        <f>+SUMIFS('Detail 18-19'!AC:AC,'Detail 18-19'!$AA:$AA,$A60)</f>
        <v>2083.333333</v>
      </c>
      <c r="E60" s="251">
        <f>+SUMIFS('Detail 18-19'!AD:AD,'Detail 18-19'!$AA:$AA,$A60)</f>
        <v>2083.333333</v>
      </c>
      <c r="F60" s="251">
        <f>+SUMIFS('Detail 18-19'!AE:AE,'Detail 18-19'!$AA:$AA,$A60)</f>
        <v>2083.333333</v>
      </c>
      <c r="G60" s="251">
        <f>+SUMIFS('Detail 18-19'!AF:AF,'Detail 18-19'!$AA:$AA,$A60)</f>
        <v>2083.333333</v>
      </c>
      <c r="H60" s="251">
        <f>+SUMIFS('Detail 18-19'!AG:AG,'Detail 18-19'!$AA:$AA,$A60)</f>
        <v>2083.333333</v>
      </c>
      <c r="I60" s="251">
        <f>+SUMIFS('Detail 18-19'!AH:AH,'Detail 18-19'!$AA:$AA,$A60)</f>
        <v>2083.333333</v>
      </c>
      <c r="J60" s="251">
        <f>+SUMIFS('Detail 18-19'!AI:AI,'Detail 18-19'!$AA:$AA,$A60)</f>
        <v>2083.333333</v>
      </c>
      <c r="K60" s="251">
        <f>+SUMIFS('Detail 18-19'!AJ:AJ,'Detail 18-19'!$AA:$AA,$A60)</f>
        <v>2083.333333</v>
      </c>
      <c r="L60" s="251">
        <f>+SUMIFS('Detail 18-19'!AK:AK,'Detail 18-19'!$AA:$AA,$A60)</f>
        <v>2083.333333</v>
      </c>
      <c r="M60" s="251">
        <f>+SUMIFS('Detail 18-19'!AL:AL,'Detail 18-19'!$AA:$AA,$A60)</f>
        <v>2083.333333</v>
      </c>
      <c r="N60" s="251">
        <f>+SUMIFS('Detail 18-19'!AM:AM,'Detail 18-19'!$AA:$AA,$A60)</f>
        <v>2083.333333</v>
      </c>
      <c r="O60" s="251">
        <f>+SUMIFS('Detail 18-19'!AN:AN,'Detail 18-19'!$AA:$AA,$A60)</f>
        <v>2083.333333</v>
      </c>
      <c r="P60" s="252">
        <f t="shared" si="1"/>
        <v>25000</v>
      </c>
      <c r="Q60" s="227">
        <f>-SUMIF('2019-03'!$E:$E,'Detail 19-20'!$A60,'2019-03'!$D:$D)</f>
        <v>2412.67</v>
      </c>
      <c r="R60" s="228" t="s">
        <v>950</v>
      </c>
      <c r="S60" s="227">
        <f t="shared" si="3"/>
        <v>3216.893333</v>
      </c>
      <c r="T60" s="241">
        <v>15000.0</v>
      </c>
      <c r="U60" s="252">
        <f t="shared" si="4"/>
        <v>-10000</v>
      </c>
      <c r="V60" s="253">
        <f t="shared" si="5"/>
        <v>-0.4</v>
      </c>
      <c r="W60" s="252">
        <f t="shared" si="6"/>
        <v>11783.10667</v>
      </c>
      <c r="X60" s="253">
        <f t="shared" si="7"/>
        <v>3.662883859</v>
      </c>
      <c r="Y60" s="254" t="s">
        <v>950</v>
      </c>
      <c r="Z60" s="252">
        <f t="shared" ref="Z60:AK60" si="8">+$T60/12</f>
        <v>1250</v>
      </c>
      <c r="AA60" s="252">
        <f t="shared" si="8"/>
        <v>1250</v>
      </c>
      <c r="AB60" s="252">
        <f t="shared" si="8"/>
        <v>1250</v>
      </c>
      <c r="AC60" s="252">
        <f t="shared" si="8"/>
        <v>1250</v>
      </c>
      <c r="AD60" s="252">
        <f t="shared" si="8"/>
        <v>1250</v>
      </c>
      <c r="AE60" s="252">
        <f t="shared" si="8"/>
        <v>1250</v>
      </c>
      <c r="AF60" s="252">
        <f t="shared" si="8"/>
        <v>1250</v>
      </c>
      <c r="AG60" s="252">
        <f t="shared" si="8"/>
        <v>1250</v>
      </c>
      <c r="AH60" s="252">
        <f t="shared" si="8"/>
        <v>1250</v>
      </c>
      <c r="AI60" s="252">
        <f t="shared" si="8"/>
        <v>1250</v>
      </c>
      <c r="AJ60" s="252">
        <f t="shared" si="8"/>
        <v>1250</v>
      </c>
      <c r="AK60" s="252">
        <f t="shared" si="8"/>
        <v>1250</v>
      </c>
      <c r="AL60" s="252">
        <f t="shared" si="2"/>
        <v>15000</v>
      </c>
      <c r="AM60" s="252">
        <f t="shared" si="9"/>
        <v>0</v>
      </c>
      <c r="AN60" s="8" t="str">
        <f>+VLOOKUP('Detail 19-20'!A60,Map!$B$6:$M$222,12,FALSE)</f>
        <v>Contributions</v>
      </c>
    </row>
    <row r="61" ht="15.75" customHeight="1">
      <c r="A61" s="170" t="s">
        <v>952</v>
      </c>
      <c r="B61" s="170" t="s">
        <v>949</v>
      </c>
      <c r="C61" s="250" t="s">
        <v>953</v>
      </c>
      <c r="D61" s="251">
        <f>+SUMIFS('Detail 18-19'!AC:AC,'Detail 18-19'!$AA:$AA,$A61)</f>
        <v>0</v>
      </c>
      <c r="E61" s="251">
        <f>+SUMIFS('Detail 18-19'!AD:AD,'Detail 18-19'!$AA:$AA,$A61)</f>
        <v>0</v>
      </c>
      <c r="F61" s="251">
        <f>+SUMIFS('Detail 18-19'!AE:AE,'Detail 18-19'!$AA:$AA,$A61)</f>
        <v>0</v>
      </c>
      <c r="G61" s="251">
        <f>+SUMIFS('Detail 18-19'!AF:AF,'Detail 18-19'!$AA:$AA,$A61)</f>
        <v>0</v>
      </c>
      <c r="H61" s="251">
        <f>+SUMIFS('Detail 18-19'!AG:AG,'Detail 18-19'!$AA:$AA,$A61)</f>
        <v>0</v>
      </c>
      <c r="I61" s="251">
        <f>+SUMIFS('Detail 18-19'!AH:AH,'Detail 18-19'!$AA:$AA,$A61)</f>
        <v>0</v>
      </c>
      <c r="J61" s="251">
        <f>+SUMIFS('Detail 18-19'!AI:AI,'Detail 18-19'!$AA:$AA,$A61)</f>
        <v>0</v>
      </c>
      <c r="K61" s="251">
        <f>+SUMIFS('Detail 18-19'!AJ:AJ,'Detail 18-19'!$AA:$AA,$A61)</f>
        <v>0</v>
      </c>
      <c r="L61" s="251">
        <f>+SUMIFS('Detail 18-19'!AK:AK,'Detail 18-19'!$AA:$AA,$A61)</f>
        <v>0</v>
      </c>
      <c r="M61" s="251">
        <f>+SUMIFS('Detail 18-19'!AL:AL,'Detail 18-19'!$AA:$AA,$A61)</f>
        <v>0</v>
      </c>
      <c r="N61" s="251">
        <f>+SUMIFS('Detail 18-19'!AM:AM,'Detail 18-19'!$AA:$AA,$A61)</f>
        <v>0</v>
      </c>
      <c r="O61" s="251">
        <f>+SUMIFS('Detail 18-19'!AN:AN,'Detail 18-19'!$AA:$AA,$A61)</f>
        <v>0</v>
      </c>
      <c r="P61" s="252">
        <f t="shared" si="1"/>
        <v>0</v>
      </c>
      <c r="Q61" s="227">
        <f>-SUMIF('2019-03'!$E:$E,'Detail 19-20'!$A61,'2019-03'!$D:$D)</f>
        <v>2478.89</v>
      </c>
      <c r="R61" s="228" t="s">
        <v>954</v>
      </c>
      <c r="S61" s="227">
        <f t="shared" si="3"/>
        <v>2478.89</v>
      </c>
      <c r="T61" s="241">
        <v>0.0</v>
      </c>
      <c r="U61" s="252">
        <f t="shared" si="4"/>
        <v>0</v>
      </c>
      <c r="V61" s="253">
        <f t="shared" si="5"/>
        <v>0</v>
      </c>
      <c r="W61" s="252">
        <f t="shared" si="6"/>
        <v>-2478.89</v>
      </c>
      <c r="X61" s="253">
        <f t="shared" si="7"/>
        <v>-1</v>
      </c>
      <c r="Y61" s="254" t="s">
        <v>950</v>
      </c>
      <c r="Z61" s="252">
        <f t="shared" ref="Z61:AK61" si="10">+$T61/12</f>
        <v>0</v>
      </c>
      <c r="AA61" s="252">
        <f t="shared" si="10"/>
        <v>0</v>
      </c>
      <c r="AB61" s="252">
        <f t="shared" si="10"/>
        <v>0</v>
      </c>
      <c r="AC61" s="252">
        <f t="shared" si="10"/>
        <v>0</v>
      </c>
      <c r="AD61" s="252">
        <f t="shared" si="10"/>
        <v>0</v>
      </c>
      <c r="AE61" s="252">
        <f t="shared" si="10"/>
        <v>0</v>
      </c>
      <c r="AF61" s="252">
        <f t="shared" si="10"/>
        <v>0</v>
      </c>
      <c r="AG61" s="252">
        <f t="shared" si="10"/>
        <v>0</v>
      </c>
      <c r="AH61" s="252">
        <f t="shared" si="10"/>
        <v>0</v>
      </c>
      <c r="AI61" s="252">
        <f t="shared" si="10"/>
        <v>0</v>
      </c>
      <c r="AJ61" s="252">
        <f t="shared" si="10"/>
        <v>0</v>
      </c>
      <c r="AK61" s="252">
        <f t="shared" si="10"/>
        <v>0</v>
      </c>
      <c r="AL61" s="252">
        <f t="shared" si="2"/>
        <v>0</v>
      </c>
      <c r="AM61" s="252">
        <f t="shared" si="9"/>
        <v>0</v>
      </c>
      <c r="AN61" s="8" t="str">
        <f>+VLOOKUP('Detail 19-20'!A61,Map!$B$6:$M$222,12,FALSE)</f>
        <v>Contributions</v>
      </c>
    </row>
    <row r="62" ht="15.75" customHeight="1">
      <c r="A62" s="170" t="s">
        <v>955</v>
      </c>
      <c r="B62" s="170" t="s">
        <v>949</v>
      </c>
      <c r="C62" s="250" t="s">
        <v>52</v>
      </c>
      <c r="D62" s="251">
        <f>+SUMIFS('Detail 18-19'!AC:AC,'Detail 18-19'!$AA:$AA,$A62)</f>
        <v>0</v>
      </c>
      <c r="E62" s="251">
        <f>+SUMIFS('Detail 18-19'!AD:AD,'Detail 18-19'!$AA:$AA,$A62)</f>
        <v>0</v>
      </c>
      <c r="F62" s="251">
        <f>+SUMIFS('Detail 18-19'!AE:AE,'Detail 18-19'!$AA:$AA,$A62)</f>
        <v>500</v>
      </c>
      <c r="G62" s="251">
        <f>+SUMIFS('Detail 18-19'!AF:AF,'Detail 18-19'!$AA:$AA,$A62)</f>
        <v>0</v>
      </c>
      <c r="H62" s="251">
        <f>+SUMIFS('Detail 18-19'!AG:AG,'Detail 18-19'!$AA:$AA,$A62)</f>
        <v>0</v>
      </c>
      <c r="I62" s="251">
        <f>+SUMIFS('Detail 18-19'!AH:AH,'Detail 18-19'!$AA:$AA,$A62)</f>
        <v>0</v>
      </c>
      <c r="J62" s="251">
        <f>+SUMIFS('Detail 18-19'!AI:AI,'Detail 18-19'!$AA:$AA,$A62)</f>
        <v>0</v>
      </c>
      <c r="K62" s="251">
        <f>+SUMIFS('Detail 18-19'!AJ:AJ,'Detail 18-19'!$AA:$AA,$A62)</f>
        <v>0</v>
      </c>
      <c r="L62" s="251">
        <f>+SUMIFS('Detail 18-19'!AK:AK,'Detail 18-19'!$AA:$AA,$A62)</f>
        <v>0</v>
      </c>
      <c r="M62" s="251">
        <f>+SUMIFS('Detail 18-19'!AL:AL,'Detail 18-19'!$AA:$AA,$A62)</f>
        <v>0</v>
      </c>
      <c r="N62" s="251">
        <f>+SUMIFS('Detail 18-19'!AM:AM,'Detail 18-19'!$AA:$AA,$A62)</f>
        <v>0</v>
      </c>
      <c r="O62" s="251">
        <f>+SUMIFS('Detail 18-19'!AN:AN,'Detail 18-19'!$AA:$AA,$A62)</f>
        <v>0</v>
      </c>
      <c r="P62" s="252">
        <f t="shared" si="1"/>
        <v>500</v>
      </c>
      <c r="Q62" s="227">
        <f>-SUMIF('2019-03'!$E:$E,'Detail 19-20'!$A62,'2019-03'!$D:$D)</f>
        <v>0</v>
      </c>
      <c r="R62" s="228" t="s">
        <v>594</v>
      </c>
      <c r="S62" s="227">
        <v>3700.0</v>
      </c>
      <c r="T62" s="241">
        <v>0.0</v>
      </c>
      <c r="U62" s="252">
        <f t="shared" si="4"/>
        <v>-500</v>
      </c>
      <c r="V62" s="253">
        <f t="shared" si="5"/>
        <v>-1</v>
      </c>
      <c r="W62" s="252">
        <f t="shared" si="6"/>
        <v>-3700</v>
      </c>
      <c r="X62" s="253">
        <f t="shared" si="7"/>
        <v>-1</v>
      </c>
      <c r="Y62" s="254" t="s">
        <v>594</v>
      </c>
      <c r="Z62" s="254">
        <v>0.0</v>
      </c>
      <c r="AA62" s="254">
        <v>0.0</v>
      </c>
      <c r="AB62" s="254">
        <v>0.0</v>
      </c>
      <c r="AC62" s="254">
        <v>0.0</v>
      </c>
      <c r="AD62" s="254">
        <v>0.0</v>
      </c>
      <c r="AE62" s="254">
        <v>0.0</v>
      </c>
      <c r="AF62" s="254">
        <v>0.0</v>
      </c>
      <c r="AG62" s="254">
        <v>0.0</v>
      </c>
      <c r="AH62" s="254">
        <v>0.0</v>
      </c>
      <c r="AI62" s="254">
        <v>0.0</v>
      </c>
      <c r="AJ62" s="254">
        <v>0.0</v>
      </c>
      <c r="AK62" s="254">
        <v>0.0</v>
      </c>
      <c r="AL62" s="252">
        <f t="shared" si="2"/>
        <v>0</v>
      </c>
      <c r="AM62" s="252">
        <f t="shared" si="9"/>
        <v>0</v>
      </c>
      <c r="AN62" s="8" t="str">
        <f>+VLOOKUP('Detail 19-20'!A62,Map!$B$6:$M$222,12,FALSE)</f>
        <v>Contributions</v>
      </c>
    </row>
    <row r="63" ht="15.75" customHeight="1">
      <c r="A63" s="170" t="s">
        <v>956</v>
      </c>
      <c r="B63" s="170" t="s">
        <v>949</v>
      </c>
      <c r="C63" s="250" t="s">
        <v>66</v>
      </c>
      <c r="D63" s="251">
        <f>+SUMIFS('Detail 18-19'!AC:AC,'Detail 18-19'!$AA:$AA,$A63)</f>
        <v>0</v>
      </c>
      <c r="E63" s="251">
        <f>+SUMIFS('Detail 18-19'!AD:AD,'Detail 18-19'!$AA:$AA,$A63)</f>
        <v>1000</v>
      </c>
      <c r="F63" s="251">
        <f>+SUMIFS('Detail 18-19'!AE:AE,'Detail 18-19'!$AA:$AA,$A63)</f>
        <v>1000</v>
      </c>
      <c r="G63" s="251">
        <f>+SUMIFS('Detail 18-19'!AF:AF,'Detail 18-19'!$AA:$AA,$A63)</f>
        <v>1000</v>
      </c>
      <c r="H63" s="251">
        <f>+SUMIFS('Detail 18-19'!AG:AG,'Detail 18-19'!$AA:$AA,$A63)</f>
        <v>1000</v>
      </c>
      <c r="I63" s="251">
        <f>+SUMIFS('Detail 18-19'!AH:AH,'Detail 18-19'!$AA:$AA,$A63)</f>
        <v>1000</v>
      </c>
      <c r="J63" s="251">
        <f>+SUMIFS('Detail 18-19'!AI:AI,'Detail 18-19'!$AA:$AA,$A63)</f>
        <v>1000</v>
      </c>
      <c r="K63" s="251">
        <f>+SUMIFS('Detail 18-19'!AJ:AJ,'Detail 18-19'!$AA:$AA,$A63)</f>
        <v>1000</v>
      </c>
      <c r="L63" s="251">
        <f>+SUMIFS('Detail 18-19'!AK:AK,'Detail 18-19'!$AA:$AA,$A63)</f>
        <v>1000</v>
      </c>
      <c r="M63" s="251">
        <f>+SUMIFS('Detail 18-19'!AL:AL,'Detail 18-19'!$AA:$AA,$A63)</f>
        <v>1000</v>
      </c>
      <c r="N63" s="251">
        <f>+SUMIFS('Detail 18-19'!AM:AM,'Detail 18-19'!$AA:$AA,$A63)</f>
        <v>1000</v>
      </c>
      <c r="O63" s="251">
        <f>+SUMIFS('Detail 18-19'!AN:AN,'Detail 18-19'!$AA:$AA,$A63)</f>
        <v>0</v>
      </c>
      <c r="P63" s="252">
        <f t="shared" si="1"/>
        <v>10000</v>
      </c>
      <c r="Q63" s="227">
        <f>-SUMIF('2019-03'!$E:$E,'Detail 19-20'!$A63,'2019-03'!$D:$D)</f>
        <v>3100</v>
      </c>
      <c r="R63" s="228" t="s">
        <v>954</v>
      </c>
      <c r="S63" s="227">
        <f t="shared" ref="S63:S76" si="12">IF(R63="Simple",Q63*1.33333333333333,IF(R63="None",Q63,IF(R63="Ten Month",(Q63+(Q63/8*2)))))</f>
        <v>3100</v>
      </c>
      <c r="T63" s="241">
        <v>5000.0</v>
      </c>
      <c r="U63" s="252">
        <f t="shared" si="4"/>
        <v>-5000</v>
      </c>
      <c r="V63" s="253">
        <f t="shared" si="5"/>
        <v>-0.5</v>
      </c>
      <c r="W63" s="252">
        <f t="shared" si="6"/>
        <v>1900</v>
      </c>
      <c r="X63" s="253">
        <f t="shared" si="7"/>
        <v>0.6129032258</v>
      </c>
      <c r="Y63" s="254" t="s">
        <v>950</v>
      </c>
      <c r="Z63" s="252">
        <f t="shared" ref="Z63:AK63" si="11">+$T63/12</f>
        <v>416.6666667</v>
      </c>
      <c r="AA63" s="252">
        <f t="shared" si="11"/>
        <v>416.6666667</v>
      </c>
      <c r="AB63" s="252">
        <f t="shared" si="11"/>
        <v>416.6666667</v>
      </c>
      <c r="AC63" s="252">
        <f t="shared" si="11"/>
        <v>416.6666667</v>
      </c>
      <c r="AD63" s="252">
        <f t="shared" si="11"/>
        <v>416.6666667</v>
      </c>
      <c r="AE63" s="252">
        <f t="shared" si="11"/>
        <v>416.6666667</v>
      </c>
      <c r="AF63" s="252">
        <f t="shared" si="11"/>
        <v>416.6666667</v>
      </c>
      <c r="AG63" s="252">
        <f t="shared" si="11"/>
        <v>416.6666667</v>
      </c>
      <c r="AH63" s="252">
        <f t="shared" si="11"/>
        <v>416.6666667</v>
      </c>
      <c r="AI63" s="252">
        <f t="shared" si="11"/>
        <v>416.6666667</v>
      </c>
      <c r="AJ63" s="252">
        <f t="shared" si="11"/>
        <v>416.6666667</v>
      </c>
      <c r="AK63" s="252">
        <f t="shared" si="11"/>
        <v>416.6666667</v>
      </c>
      <c r="AL63" s="252">
        <f t="shared" si="2"/>
        <v>5000</v>
      </c>
      <c r="AM63" s="252">
        <f t="shared" si="9"/>
        <v>0</v>
      </c>
      <c r="AN63" s="8" t="str">
        <f>+VLOOKUP('Detail 19-20'!A63,Map!$B$6:$M$222,12,FALSE)</f>
        <v>Contributions</v>
      </c>
    </row>
    <row r="64" ht="15.75" customHeight="1">
      <c r="A64" s="170" t="s">
        <v>972</v>
      </c>
      <c r="B64" s="170" t="s">
        <v>949</v>
      </c>
      <c r="C64" s="250" t="s">
        <v>71</v>
      </c>
      <c r="D64" s="251">
        <f>+SUMIFS('Detail 18-19'!AC:AC,'Detail 18-19'!$AA:$AA,$A64)</f>
        <v>0</v>
      </c>
      <c r="E64" s="251">
        <f>+SUMIFS('Detail 18-19'!AD:AD,'Detail 18-19'!$AA:$AA,$A64)</f>
        <v>50567.05263</v>
      </c>
      <c r="F64" s="251">
        <f>+SUMIFS('Detail 18-19'!AE:AE,'Detail 18-19'!$AA:$AA,$A64)</f>
        <v>101134.1053</v>
      </c>
      <c r="G64" s="251">
        <f>+SUMIFS('Detail 18-19'!AF:AF,'Detail 18-19'!$AA:$AA,$A64)</f>
        <v>101134.1053</v>
      </c>
      <c r="H64" s="251">
        <f>+SUMIFS('Detail 18-19'!AG:AG,'Detail 18-19'!$AA:$AA,$A64)</f>
        <v>101134.1053</v>
      </c>
      <c r="I64" s="251">
        <f>+SUMIFS('Detail 18-19'!AH:AH,'Detail 18-19'!$AA:$AA,$A64)</f>
        <v>101134.1053</v>
      </c>
      <c r="J64" s="251">
        <f>+SUMIFS('Detail 18-19'!AI:AI,'Detail 18-19'!$AA:$AA,$A64)</f>
        <v>101134.1053</v>
      </c>
      <c r="K64" s="251">
        <f>+SUMIFS('Detail 18-19'!AJ:AJ,'Detail 18-19'!$AA:$AA,$A64)</f>
        <v>101134.1053</v>
      </c>
      <c r="L64" s="251">
        <f>+SUMIFS('Detail 18-19'!AK:AK,'Detail 18-19'!$AA:$AA,$A64)</f>
        <v>101134.1053</v>
      </c>
      <c r="M64" s="251">
        <f>+SUMIFS('Detail 18-19'!AL:AL,'Detail 18-19'!$AA:$AA,$A64)</f>
        <v>101134.1053</v>
      </c>
      <c r="N64" s="251">
        <f>+SUMIFS('Detail 18-19'!AM:AM,'Detail 18-19'!$AA:$AA,$A64)</f>
        <v>101134.1053</v>
      </c>
      <c r="O64" s="251">
        <f>+SUMIFS('Detail 18-19'!AN:AN,'Detail 18-19'!$AA:$AA,$A64)</f>
        <v>0</v>
      </c>
      <c r="P64" s="252">
        <f t="shared" si="1"/>
        <v>960774</v>
      </c>
      <c r="Q64" s="227">
        <f>-SUMIF('2019-03'!$E:$E,'Detail 19-20'!$A64,'2019-03'!$D:$D)+18000</f>
        <v>706523.09</v>
      </c>
      <c r="R64" s="228" t="s">
        <v>992</v>
      </c>
      <c r="S64" s="227">
        <f t="shared" si="12"/>
        <v>883153.8625</v>
      </c>
      <c r="T64" s="240">
        <f>+'Tuition 19-20'!C65</f>
        <v>999964</v>
      </c>
      <c r="U64" s="252">
        <f t="shared" si="4"/>
        <v>39190</v>
      </c>
      <c r="V64" s="253">
        <f t="shared" si="5"/>
        <v>0.04079002971</v>
      </c>
      <c r="W64" s="252">
        <f t="shared" si="6"/>
        <v>116810.1375</v>
      </c>
      <c r="X64" s="253">
        <f t="shared" si="7"/>
        <v>0.1322647643</v>
      </c>
      <c r="Y64" s="254" t="s">
        <v>992</v>
      </c>
      <c r="Z64" s="251">
        <f t="shared" ref="Z64:Z65" si="14">+$T64*0</f>
        <v>0</v>
      </c>
      <c r="AA64" s="252">
        <f t="shared" ref="AA64:AA65" si="15">+$T64*0.5/9.5</f>
        <v>52629.68421</v>
      </c>
      <c r="AB64" s="252">
        <f t="shared" ref="AB64:AJ64" si="13">+$T64*1/9.5</f>
        <v>105259.3684</v>
      </c>
      <c r="AC64" s="252">
        <f t="shared" si="13"/>
        <v>105259.3684</v>
      </c>
      <c r="AD64" s="252">
        <f t="shared" si="13"/>
        <v>105259.3684</v>
      </c>
      <c r="AE64" s="252">
        <f t="shared" si="13"/>
        <v>105259.3684</v>
      </c>
      <c r="AF64" s="252">
        <f t="shared" si="13"/>
        <v>105259.3684</v>
      </c>
      <c r="AG64" s="252">
        <f t="shared" si="13"/>
        <v>105259.3684</v>
      </c>
      <c r="AH64" s="252">
        <f t="shared" si="13"/>
        <v>105259.3684</v>
      </c>
      <c r="AI64" s="252">
        <f t="shared" si="13"/>
        <v>105259.3684</v>
      </c>
      <c r="AJ64" s="252">
        <f t="shared" si="13"/>
        <v>105259.3684</v>
      </c>
      <c r="AK64" s="251">
        <f t="shared" ref="AK64:AK65" si="17">+$T64*0</f>
        <v>0</v>
      </c>
      <c r="AL64" s="252">
        <f t="shared" si="2"/>
        <v>999964</v>
      </c>
      <c r="AM64" s="252">
        <f t="shared" si="9"/>
        <v>0</v>
      </c>
      <c r="AN64" s="8" t="str">
        <f>+VLOOKUP('Detail 19-20'!A64,Map!$B$6:$M$222,12,FALSE)</f>
        <v>Tuition and Fees</v>
      </c>
    </row>
    <row r="65" ht="15.75" customHeight="1">
      <c r="A65" s="170" t="s">
        <v>999</v>
      </c>
      <c r="B65" s="170" t="s">
        <v>949</v>
      </c>
      <c r="C65" s="250" t="s">
        <v>46</v>
      </c>
      <c r="D65" s="251">
        <f>+SUMIFS('Detail 18-19'!AC:AC,'Detail 18-19'!$AA:$AA,$A65)</f>
        <v>0</v>
      </c>
      <c r="E65" s="251">
        <f>+SUMIFS('Detail 18-19'!AD:AD,'Detail 18-19'!$AA:$AA,$A65)</f>
        <v>0</v>
      </c>
      <c r="F65" s="251">
        <f>+SUMIFS('Detail 18-19'!AE:AE,'Detail 18-19'!$AA:$AA,$A65)</f>
        <v>0</v>
      </c>
      <c r="G65" s="251">
        <f>+SUMIFS('Detail 18-19'!AF:AF,'Detail 18-19'!$AA:$AA,$A65)</f>
        <v>0</v>
      </c>
      <c r="H65" s="251">
        <f>+SUMIFS('Detail 18-19'!AG:AG,'Detail 18-19'!$AA:$AA,$A65)</f>
        <v>0</v>
      </c>
      <c r="I65" s="251">
        <f>+SUMIFS('Detail 18-19'!AH:AH,'Detail 18-19'!$AA:$AA,$A65)</f>
        <v>0</v>
      </c>
      <c r="J65" s="251">
        <f>+SUMIFS('Detail 18-19'!AI:AI,'Detail 18-19'!$AA:$AA,$A65)</f>
        <v>0</v>
      </c>
      <c r="K65" s="251">
        <f>+SUMIFS('Detail 18-19'!AJ:AJ,'Detail 18-19'!$AA:$AA,$A65)</f>
        <v>0</v>
      </c>
      <c r="L65" s="251">
        <f>+SUMIFS('Detail 18-19'!AK:AK,'Detail 18-19'!$AA:$AA,$A65)</f>
        <v>0</v>
      </c>
      <c r="M65" s="251">
        <f>+SUMIFS('Detail 18-19'!AL:AL,'Detail 18-19'!$AA:$AA,$A65)</f>
        <v>0</v>
      </c>
      <c r="N65" s="251">
        <f>+SUMIFS('Detail 18-19'!AM:AM,'Detail 18-19'!$AA:$AA,$A65)</f>
        <v>0</v>
      </c>
      <c r="O65" s="251">
        <f>+SUMIFS('Detail 18-19'!AN:AN,'Detail 18-19'!$AA:$AA,$A65)</f>
        <v>0</v>
      </c>
      <c r="P65" s="252">
        <f t="shared" si="1"/>
        <v>0</v>
      </c>
      <c r="Q65" s="227">
        <f>-SUMIF('2019-03'!$E:$E,'Detail 19-20'!$A65,'2019-03'!$D:$D)</f>
        <v>1400</v>
      </c>
      <c r="R65" s="228" t="s">
        <v>992</v>
      </c>
      <c r="S65" s="227">
        <f t="shared" si="12"/>
        <v>1750</v>
      </c>
      <c r="T65" s="241">
        <v>0.0</v>
      </c>
      <c r="U65" s="252">
        <f t="shared" si="4"/>
        <v>0</v>
      </c>
      <c r="V65" s="253">
        <f t="shared" si="5"/>
        <v>0</v>
      </c>
      <c r="W65" s="252">
        <f t="shared" si="6"/>
        <v>-1750</v>
      </c>
      <c r="X65" s="253">
        <f t="shared" si="7"/>
        <v>-1</v>
      </c>
      <c r="Y65" s="254" t="s">
        <v>992</v>
      </c>
      <c r="Z65" s="251">
        <f t="shared" si="14"/>
        <v>0</v>
      </c>
      <c r="AA65" s="252">
        <f t="shared" si="15"/>
        <v>0</v>
      </c>
      <c r="AB65" s="252">
        <f t="shared" ref="AB65:AJ65" si="16">+$T65*1/9.5</f>
        <v>0</v>
      </c>
      <c r="AC65" s="252">
        <f t="shared" si="16"/>
        <v>0</v>
      </c>
      <c r="AD65" s="252">
        <f t="shared" si="16"/>
        <v>0</v>
      </c>
      <c r="AE65" s="252">
        <f t="shared" si="16"/>
        <v>0</v>
      </c>
      <c r="AF65" s="252">
        <f t="shared" si="16"/>
        <v>0</v>
      </c>
      <c r="AG65" s="252">
        <f t="shared" si="16"/>
        <v>0</v>
      </c>
      <c r="AH65" s="252">
        <f t="shared" si="16"/>
        <v>0</v>
      </c>
      <c r="AI65" s="252">
        <f t="shared" si="16"/>
        <v>0</v>
      </c>
      <c r="AJ65" s="252">
        <f t="shared" si="16"/>
        <v>0</v>
      </c>
      <c r="AK65" s="251">
        <f t="shared" si="17"/>
        <v>0</v>
      </c>
      <c r="AL65" s="252">
        <f t="shared" si="2"/>
        <v>0</v>
      </c>
      <c r="AM65" s="252">
        <f t="shared" si="9"/>
        <v>0</v>
      </c>
      <c r="AN65" s="8" t="str">
        <f>+VLOOKUP('Detail 19-20'!A65,Map!$B$6:$M$222,12,FALSE)</f>
        <v>Tuition and Fees</v>
      </c>
    </row>
    <row r="66" ht="15.75" customHeight="1">
      <c r="A66" s="170" t="s">
        <v>1004</v>
      </c>
      <c r="B66" s="170" t="s">
        <v>949</v>
      </c>
      <c r="C66" s="250" t="s">
        <v>74</v>
      </c>
      <c r="D66" s="251">
        <f>+SUMIFS('Detail 18-19'!AC:AC,'Detail 18-19'!$AA:$AA,$A66)</f>
        <v>0</v>
      </c>
      <c r="E66" s="251">
        <f>+SUMIFS('Detail 18-19'!AD:AD,'Detail 18-19'!$AA:$AA,$A66)</f>
        <v>18487.5</v>
      </c>
      <c r="F66" s="251">
        <f>+SUMIFS('Detail 18-19'!AE:AE,'Detail 18-19'!$AA:$AA,$A66)</f>
        <v>2175</v>
      </c>
      <c r="G66" s="251">
        <f>+SUMIFS('Detail 18-19'!AF:AF,'Detail 18-19'!$AA:$AA,$A66)</f>
        <v>0</v>
      </c>
      <c r="H66" s="251">
        <f>+SUMIFS('Detail 18-19'!AG:AG,'Detail 18-19'!$AA:$AA,$A66)</f>
        <v>0</v>
      </c>
      <c r="I66" s="251">
        <f>+SUMIFS('Detail 18-19'!AH:AH,'Detail 18-19'!$AA:$AA,$A66)</f>
        <v>0</v>
      </c>
      <c r="J66" s="251">
        <f>+SUMIFS('Detail 18-19'!AI:AI,'Detail 18-19'!$AA:$AA,$A66)</f>
        <v>1087.5</v>
      </c>
      <c r="K66" s="251">
        <f>+SUMIFS('Detail 18-19'!AJ:AJ,'Detail 18-19'!$AA:$AA,$A66)</f>
        <v>0</v>
      </c>
      <c r="L66" s="251">
        <f>+SUMIFS('Detail 18-19'!AK:AK,'Detail 18-19'!$AA:$AA,$A66)</f>
        <v>0</v>
      </c>
      <c r="M66" s="251">
        <f>+SUMIFS('Detail 18-19'!AL:AL,'Detail 18-19'!$AA:$AA,$A66)</f>
        <v>0</v>
      </c>
      <c r="N66" s="251">
        <f>+SUMIFS('Detail 18-19'!AM:AM,'Detail 18-19'!$AA:$AA,$A66)</f>
        <v>0</v>
      </c>
      <c r="O66" s="251">
        <f>+SUMIFS('Detail 18-19'!AN:AN,'Detail 18-19'!$AA:$AA,$A66)</f>
        <v>0</v>
      </c>
      <c r="P66" s="254">
        <v>23250.0</v>
      </c>
      <c r="Q66" s="227">
        <f>-SUMIF('2019-03'!$E:$E,'Detail 19-20'!$A66,'2019-03'!$D:$D)</f>
        <v>24375</v>
      </c>
      <c r="R66" s="228" t="s">
        <v>954</v>
      </c>
      <c r="S66" s="227">
        <f t="shared" si="12"/>
        <v>24375</v>
      </c>
      <c r="T66" s="240">
        <f>-'Tuition 19-20'!C64</f>
        <v>24000</v>
      </c>
      <c r="U66" s="252">
        <f t="shared" si="4"/>
        <v>750</v>
      </c>
      <c r="V66" s="253">
        <f t="shared" si="5"/>
        <v>0.03225806452</v>
      </c>
      <c r="W66" s="252">
        <f t="shared" si="6"/>
        <v>-375</v>
      </c>
      <c r="X66" s="253">
        <f t="shared" si="7"/>
        <v>-0.01538461538</v>
      </c>
      <c r="Y66" s="254" t="s">
        <v>594</v>
      </c>
      <c r="Z66" s="252">
        <v>0.0</v>
      </c>
      <c r="AA66" s="252">
        <f>+T66*0.75</f>
        <v>18000</v>
      </c>
      <c r="AB66" s="252">
        <f>+$T66*0.1</f>
        <v>2400</v>
      </c>
      <c r="AC66" s="252">
        <v>0.0</v>
      </c>
      <c r="AD66" s="252">
        <v>0.0</v>
      </c>
      <c r="AE66" s="252">
        <v>0.0</v>
      </c>
      <c r="AF66" s="252">
        <f>+$T66*0.15</f>
        <v>3600</v>
      </c>
      <c r="AG66" s="252">
        <v>0.0</v>
      </c>
      <c r="AH66" s="252">
        <v>0.0</v>
      </c>
      <c r="AI66" s="252">
        <v>0.0</v>
      </c>
      <c r="AJ66" s="252">
        <v>0.0</v>
      </c>
      <c r="AK66" s="252">
        <v>0.0</v>
      </c>
      <c r="AL66" s="252">
        <f t="shared" si="2"/>
        <v>24000</v>
      </c>
      <c r="AM66" s="252">
        <f t="shared" si="9"/>
        <v>0</v>
      </c>
      <c r="AN66" s="8" t="str">
        <f>+VLOOKUP('Detail 19-20'!A66,Map!$B$6:$M$222,12,FALSE)</f>
        <v>Tuition and Fees</v>
      </c>
    </row>
    <row r="67" ht="15.75" customHeight="1">
      <c r="A67" s="170" t="s">
        <v>1005</v>
      </c>
      <c r="B67" s="170" t="s">
        <v>949</v>
      </c>
      <c r="C67" s="250" t="s">
        <v>76</v>
      </c>
      <c r="D67" s="251">
        <f>+SUMIFS('Detail 18-19'!AC:AC,'Detail 18-19'!$AA:$AA,$A67)</f>
        <v>1000</v>
      </c>
      <c r="E67" s="251">
        <f>+SUMIFS('Detail 18-19'!AD:AD,'Detail 18-19'!$AA:$AA,$A67)</f>
        <v>0</v>
      </c>
      <c r="F67" s="251">
        <f>+SUMIFS('Detail 18-19'!AE:AE,'Detail 18-19'!$AA:$AA,$A67)</f>
        <v>0</v>
      </c>
      <c r="G67" s="251">
        <f>+SUMIFS('Detail 18-19'!AF:AF,'Detail 18-19'!$AA:$AA,$A67)</f>
        <v>0</v>
      </c>
      <c r="H67" s="251">
        <f>+SUMIFS('Detail 18-19'!AG:AG,'Detail 18-19'!$AA:$AA,$A67)</f>
        <v>0</v>
      </c>
      <c r="I67" s="251">
        <f>+SUMIFS('Detail 18-19'!AH:AH,'Detail 18-19'!$AA:$AA,$A67)</f>
        <v>0</v>
      </c>
      <c r="J67" s="251">
        <f>+SUMIFS('Detail 18-19'!AI:AI,'Detail 18-19'!$AA:$AA,$A67)</f>
        <v>0</v>
      </c>
      <c r="K67" s="251">
        <f>+SUMIFS('Detail 18-19'!AJ:AJ,'Detail 18-19'!$AA:$AA,$A67)</f>
        <v>0</v>
      </c>
      <c r="L67" s="251">
        <f>+SUMIFS('Detail 18-19'!AK:AK,'Detail 18-19'!$AA:$AA,$A67)</f>
        <v>0</v>
      </c>
      <c r="M67" s="251">
        <f>+SUMIFS('Detail 18-19'!AL:AL,'Detail 18-19'!$AA:$AA,$A67)</f>
        <v>0</v>
      </c>
      <c r="N67" s="251">
        <f>+SUMIFS('Detail 18-19'!AM:AM,'Detail 18-19'!$AA:$AA,$A67)</f>
        <v>0</v>
      </c>
      <c r="O67" s="251">
        <f>+SUMIFS('Detail 18-19'!AN:AN,'Detail 18-19'!$AA:$AA,$A67)</f>
        <v>1000</v>
      </c>
      <c r="P67" s="252">
        <f t="shared" ref="P67:P203" si="18">+SUM(D67:O67)</f>
        <v>2000</v>
      </c>
      <c r="Q67" s="227">
        <f>-SUMIF('2019-03'!$E:$E,'Detail 19-20'!$A67,'2019-03'!$D:$D)</f>
        <v>0</v>
      </c>
      <c r="R67" s="228" t="s">
        <v>954</v>
      </c>
      <c r="S67" s="227">
        <f t="shared" si="12"/>
        <v>0</v>
      </c>
      <c r="T67" s="241">
        <v>2000.0</v>
      </c>
      <c r="U67" s="252">
        <f t="shared" si="4"/>
        <v>0</v>
      </c>
      <c r="V67" s="253">
        <f t="shared" si="5"/>
        <v>0</v>
      </c>
      <c r="W67" s="252">
        <f t="shared" si="6"/>
        <v>2000</v>
      </c>
      <c r="X67" s="253">
        <f t="shared" si="7"/>
        <v>0</v>
      </c>
      <c r="Y67" s="254" t="s">
        <v>1098</v>
      </c>
      <c r="Z67" s="252">
        <v>2000.0</v>
      </c>
      <c r="AA67" s="252">
        <v>0.0</v>
      </c>
      <c r="AB67" s="252">
        <v>0.0</v>
      </c>
      <c r="AC67" s="252">
        <v>0.0</v>
      </c>
      <c r="AD67" s="252">
        <v>0.0</v>
      </c>
      <c r="AE67" s="252">
        <v>0.0</v>
      </c>
      <c r="AF67" s="252">
        <v>0.0</v>
      </c>
      <c r="AG67" s="252">
        <v>0.0</v>
      </c>
      <c r="AH67" s="252">
        <v>0.0</v>
      </c>
      <c r="AI67" s="252">
        <v>0.0</v>
      </c>
      <c r="AJ67" s="252">
        <v>0.0</v>
      </c>
      <c r="AK67" s="252">
        <v>0.0</v>
      </c>
      <c r="AL67" s="252">
        <f t="shared" si="2"/>
        <v>2000</v>
      </c>
      <c r="AM67" s="252">
        <f t="shared" si="9"/>
        <v>0</v>
      </c>
      <c r="AN67" s="8" t="str">
        <f>+VLOOKUP('Detail 19-20'!A67,Map!$B$6:$M$222,12,FALSE)</f>
        <v>Tuition and Fees</v>
      </c>
    </row>
    <row r="68" ht="15.75" customHeight="1">
      <c r="A68" s="170" t="s">
        <v>1006</v>
      </c>
      <c r="B68" s="170" t="s">
        <v>949</v>
      </c>
      <c r="C68" s="250" t="s">
        <v>80</v>
      </c>
      <c r="D68" s="251">
        <f>+SUMIFS('Detail 18-19'!AC:AC,'Detail 18-19'!$AA:$AA,$A68)</f>
        <v>125</v>
      </c>
      <c r="E68" s="251">
        <f>+SUMIFS('Detail 18-19'!AD:AD,'Detail 18-19'!$AA:$AA,$A68)</f>
        <v>125</v>
      </c>
      <c r="F68" s="251">
        <f>+SUMIFS('Detail 18-19'!AE:AE,'Detail 18-19'!$AA:$AA,$A68)</f>
        <v>0</v>
      </c>
      <c r="G68" s="251">
        <f>+SUMIFS('Detail 18-19'!AF:AF,'Detail 18-19'!$AA:$AA,$A68)</f>
        <v>0</v>
      </c>
      <c r="H68" s="251">
        <f>+SUMIFS('Detail 18-19'!AG:AG,'Detail 18-19'!$AA:$AA,$A68)</f>
        <v>0</v>
      </c>
      <c r="I68" s="251">
        <f>+SUMIFS('Detail 18-19'!AH:AH,'Detail 18-19'!$AA:$AA,$A68)</f>
        <v>0</v>
      </c>
      <c r="J68" s="251">
        <f>+SUMIFS('Detail 18-19'!AI:AI,'Detail 18-19'!$AA:$AA,$A68)</f>
        <v>125</v>
      </c>
      <c r="K68" s="251">
        <f>+SUMIFS('Detail 18-19'!AJ:AJ,'Detail 18-19'!$AA:$AA,$A68)</f>
        <v>125</v>
      </c>
      <c r="L68" s="251">
        <f>+SUMIFS('Detail 18-19'!AK:AK,'Detail 18-19'!$AA:$AA,$A68)</f>
        <v>0</v>
      </c>
      <c r="M68" s="251">
        <f>+SUMIFS('Detail 18-19'!AL:AL,'Detail 18-19'!$AA:$AA,$A68)</f>
        <v>0</v>
      </c>
      <c r="N68" s="251">
        <f>+SUMIFS('Detail 18-19'!AM:AM,'Detail 18-19'!$AA:$AA,$A68)</f>
        <v>0</v>
      </c>
      <c r="O68" s="251">
        <f>+SUMIFS('Detail 18-19'!AN:AN,'Detail 18-19'!$AA:$AA,$A68)</f>
        <v>0</v>
      </c>
      <c r="P68" s="252">
        <f t="shared" si="18"/>
        <v>500</v>
      </c>
      <c r="Q68" s="227">
        <f>-SUMIF('2019-03'!$E:$E,'Detail 19-20'!$A68,'2019-03'!$D:$D)</f>
        <v>600</v>
      </c>
      <c r="R68" s="228" t="s">
        <v>950</v>
      </c>
      <c r="S68" s="227">
        <f t="shared" si="12"/>
        <v>800</v>
      </c>
      <c r="T68" s="241">
        <v>800.0</v>
      </c>
      <c r="U68" s="252">
        <f t="shared" si="4"/>
        <v>300</v>
      </c>
      <c r="V68" s="253">
        <f t="shared" si="5"/>
        <v>0.6</v>
      </c>
      <c r="W68" s="252">
        <f t="shared" si="6"/>
        <v>0</v>
      </c>
      <c r="X68" s="253">
        <f t="shared" si="7"/>
        <v>0</v>
      </c>
      <c r="Y68" s="254" t="s">
        <v>1137</v>
      </c>
      <c r="Z68" s="252">
        <v>0.0</v>
      </c>
      <c r="AA68" s="252">
        <f>+$T68*0.5</f>
        <v>400</v>
      </c>
      <c r="AB68" s="252">
        <v>0.0</v>
      </c>
      <c r="AC68" s="252">
        <v>0.0</v>
      </c>
      <c r="AD68" s="252">
        <v>0.0</v>
      </c>
      <c r="AE68" s="252">
        <v>0.0</v>
      </c>
      <c r="AF68" s="252">
        <f>+$T68*0.5</f>
        <v>400</v>
      </c>
      <c r="AG68" s="252">
        <v>0.0</v>
      </c>
      <c r="AH68" s="252">
        <v>0.0</v>
      </c>
      <c r="AI68" s="252">
        <v>0.0</v>
      </c>
      <c r="AJ68" s="252">
        <v>0.0</v>
      </c>
      <c r="AK68" s="252">
        <v>0.0</v>
      </c>
      <c r="AL68" s="252">
        <f t="shared" si="2"/>
        <v>800</v>
      </c>
      <c r="AM68" s="252">
        <f t="shared" si="9"/>
        <v>0</v>
      </c>
      <c r="AN68" s="8" t="str">
        <f>+VLOOKUP('Detail 19-20'!A68,Map!$B$6:$M$222,12,FALSE)</f>
        <v>Tuition and Fees</v>
      </c>
    </row>
    <row r="69" ht="15.75" customHeight="1">
      <c r="A69" s="170" t="s">
        <v>1007</v>
      </c>
      <c r="B69" s="170" t="s">
        <v>949</v>
      </c>
      <c r="C69" s="250" t="s">
        <v>83</v>
      </c>
      <c r="D69" s="251">
        <f>+SUMIFS('Detail 18-19'!AC:AC,'Detail 18-19'!$AA:$AA,$A69)</f>
        <v>0</v>
      </c>
      <c r="E69" s="251">
        <f>+SUMIFS('Detail 18-19'!AD:AD,'Detail 18-19'!$AA:$AA,$A69)</f>
        <v>300</v>
      </c>
      <c r="F69" s="251">
        <f>+SUMIFS('Detail 18-19'!AE:AE,'Detail 18-19'!$AA:$AA,$A69)</f>
        <v>300</v>
      </c>
      <c r="G69" s="251">
        <f>+SUMIFS('Detail 18-19'!AF:AF,'Detail 18-19'!$AA:$AA,$A69)</f>
        <v>300</v>
      </c>
      <c r="H69" s="251">
        <f>+SUMIFS('Detail 18-19'!AG:AG,'Detail 18-19'!$AA:$AA,$A69)</f>
        <v>300</v>
      </c>
      <c r="I69" s="251">
        <f>+SUMIFS('Detail 18-19'!AH:AH,'Detail 18-19'!$AA:$AA,$A69)</f>
        <v>300</v>
      </c>
      <c r="J69" s="251">
        <f>+SUMIFS('Detail 18-19'!AI:AI,'Detail 18-19'!$AA:$AA,$A69)</f>
        <v>300</v>
      </c>
      <c r="K69" s="251">
        <f>+SUMIFS('Detail 18-19'!AJ:AJ,'Detail 18-19'!$AA:$AA,$A69)</f>
        <v>300</v>
      </c>
      <c r="L69" s="251">
        <f>+SUMIFS('Detail 18-19'!AK:AK,'Detail 18-19'!$AA:$AA,$A69)</f>
        <v>300</v>
      </c>
      <c r="M69" s="251">
        <f>+SUMIFS('Detail 18-19'!AL:AL,'Detail 18-19'!$AA:$AA,$A69)</f>
        <v>300</v>
      </c>
      <c r="N69" s="251">
        <f>+SUMIFS('Detail 18-19'!AM:AM,'Detail 18-19'!$AA:$AA,$A69)</f>
        <v>300</v>
      </c>
      <c r="O69" s="251">
        <f>+SUMIFS('Detail 18-19'!AN:AN,'Detail 18-19'!$AA:$AA,$A69)</f>
        <v>0</v>
      </c>
      <c r="P69" s="252">
        <f t="shared" si="18"/>
        <v>3000</v>
      </c>
      <c r="Q69" s="227">
        <f>-SUMIF('2019-03'!$E:$E,'Detail 19-20'!$A69,'2019-03'!$D:$D)</f>
        <v>3315.82</v>
      </c>
      <c r="R69" s="228" t="s">
        <v>992</v>
      </c>
      <c r="S69" s="227">
        <f t="shared" si="12"/>
        <v>4144.775</v>
      </c>
      <c r="T69" s="241">
        <v>4000.0</v>
      </c>
      <c r="U69" s="252">
        <f t="shared" si="4"/>
        <v>1000</v>
      </c>
      <c r="V69" s="253">
        <f t="shared" si="5"/>
        <v>0.3333333333</v>
      </c>
      <c r="W69" s="252">
        <f t="shared" si="6"/>
        <v>-144.775</v>
      </c>
      <c r="X69" s="253">
        <f t="shared" si="7"/>
        <v>-0.0349295197</v>
      </c>
      <c r="Y69" s="254" t="s">
        <v>992</v>
      </c>
      <c r="Z69" s="251">
        <f t="shared" ref="Z69:Z71" si="20">+$T69*0</f>
        <v>0</v>
      </c>
      <c r="AA69" s="252">
        <f t="shared" ref="AA69:AA71" si="21">+$T69*0.5/9.5</f>
        <v>210.5263158</v>
      </c>
      <c r="AB69" s="252">
        <f t="shared" ref="AB69:AJ69" si="19">+$T69*1/9.5</f>
        <v>421.0526316</v>
      </c>
      <c r="AC69" s="252">
        <f t="shared" si="19"/>
        <v>421.0526316</v>
      </c>
      <c r="AD69" s="252">
        <f t="shared" si="19"/>
        <v>421.0526316</v>
      </c>
      <c r="AE69" s="252">
        <f t="shared" si="19"/>
        <v>421.0526316</v>
      </c>
      <c r="AF69" s="252">
        <f t="shared" si="19"/>
        <v>421.0526316</v>
      </c>
      <c r="AG69" s="252">
        <f t="shared" si="19"/>
        <v>421.0526316</v>
      </c>
      <c r="AH69" s="252">
        <f t="shared" si="19"/>
        <v>421.0526316</v>
      </c>
      <c r="AI69" s="252">
        <f t="shared" si="19"/>
        <v>421.0526316</v>
      </c>
      <c r="AJ69" s="252">
        <f t="shared" si="19"/>
        <v>421.0526316</v>
      </c>
      <c r="AK69" s="251">
        <f t="shared" ref="AK69:AK71" si="23">+$T69*0</f>
        <v>0</v>
      </c>
      <c r="AL69" s="252">
        <f t="shared" si="2"/>
        <v>4000</v>
      </c>
      <c r="AM69" s="252">
        <f t="shared" si="9"/>
        <v>0</v>
      </c>
      <c r="AN69" s="8" t="str">
        <f>+VLOOKUP('Detail 19-20'!A69,Map!$B$6:$M$222,12,FALSE)</f>
        <v>Tuition and Fees</v>
      </c>
    </row>
    <row r="70" ht="15.75" customHeight="1">
      <c r="A70" s="170" t="s">
        <v>1008</v>
      </c>
      <c r="B70" s="170" t="s">
        <v>949</v>
      </c>
      <c r="C70" s="250" t="s">
        <v>89</v>
      </c>
      <c r="D70" s="251">
        <f>+SUMIFS('Detail 18-19'!AC:AC,'Detail 18-19'!$AA:$AA,$A70)</f>
        <v>0</v>
      </c>
      <c r="E70" s="251">
        <f>+SUMIFS('Detail 18-19'!AD:AD,'Detail 18-19'!$AA:$AA,$A70)</f>
        <v>0</v>
      </c>
      <c r="F70" s="251">
        <f>+SUMIFS('Detail 18-19'!AE:AE,'Detail 18-19'!$AA:$AA,$A70)</f>
        <v>0</v>
      </c>
      <c r="G70" s="251">
        <f>+SUMIFS('Detail 18-19'!AF:AF,'Detail 18-19'!$AA:$AA,$A70)</f>
        <v>0</v>
      </c>
      <c r="H70" s="251">
        <f>+SUMIFS('Detail 18-19'!AG:AG,'Detail 18-19'!$AA:$AA,$A70)</f>
        <v>0</v>
      </c>
      <c r="I70" s="251">
        <f>+SUMIFS('Detail 18-19'!AH:AH,'Detail 18-19'!$AA:$AA,$A70)</f>
        <v>0</v>
      </c>
      <c r="J70" s="251">
        <f>+SUMIFS('Detail 18-19'!AI:AI,'Detail 18-19'!$AA:$AA,$A70)</f>
        <v>0</v>
      </c>
      <c r="K70" s="251">
        <f>+SUMIFS('Detail 18-19'!AJ:AJ,'Detail 18-19'!$AA:$AA,$A70)</f>
        <v>0</v>
      </c>
      <c r="L70" s="251">
        <f>+SUMIFS('Detail 18-19'!AK:AK,'Detail 18-19'!$AA:$AA,$A70)</f>
        <v>0</v>
      </c>
      <c r="M70" s="251">
        <f>+SUMIFS('Detail 18-19'!AL:AL,'Detail 18-19'!$AA:$AA,$A70)</f>
        <v>0</v>
      </c>
      <c r="N70" s="251">
        <f>+SUMIFS('Detail 18-19'!AM:AM,'Detail 18-19'!$AA:$AA,$A70)</f>
        <v>0</v>
      </c>
      <c r="O70" s="251">
        <f>+SUMIFS('Detail 18-19'!AN:AN,'Detail 18-19'!$AA:$AA,$A70)</f>
        <v>0</v>
      </c>
      <c r="P70" s="252">
        <f t="shared" si="18"/>
        <v>0</v>
      </c>
      <c r="Q70" s="227">
        <f>-SUMIF('2019-03'!$E:$E,'Detail 19-20'!$A70,'2019-03'!$D:$D)</f>
        <v>0</v>
      </c>
      <c r="R70" s="228" t="s">
        <v>954</v>
      </c>
      <c r="S70" s="227">
        <f t="shared" si="12"/>
        <v>0</v>
      </c>
      <c r="T70" s="241">
        <v>0.0</v>
      </c>
      <c r="U70" s="252">
        <f t="shared" si="4"/>
        <v>0</v>
      </c>
      <c r="V70" s="253">
        <f t="shared" si="5"/>
        <v>0</v>
      </c>
      <c r="W70" s="252">
        <f t="shared" si="6"/>
        <v>0</v>
      </c>
      <c r="X70" s="253">
        <f t="shared" si="7"/>
        <v>0</v>
      </c>
      <c r="Y70" s="254" t="s">
        <v>992</v>
      </c>
      <c r="Z70" s="251">
        <f t="shared" si="20"/>
        <v>0</v>
      </c>
      <c r="AA70" s="252">
        <f t="shared" si="21"/>
        <v>0</v>
      </c>
      <c r="AB70" s="252">
        <f t="shared" ref="AB70:AJ70" si="22">+$T70*1/9.5</f>
        <v>0</v>
      </c>
      <c r="AC70" s="252">
        <f t="shared" si="22"/>
        <v>0</v>
      </c>
      <c r="AD70" s="252">
        <f t="shared" si="22"/>
        <v>0</v>
      </c>
      <c r="AE70" s="252">
        <f t="shared" si="22"/>
        <v>0</v>
      </c>
      <c r="AF70" s="252">
        <f t="shared" si="22"/>
        <v>0</v>
      </c>
      <c r="AG70" s="252">
        <f t="shared" si="22"/>
        <v>0</v>
      </c>
      <c r="AH70" s="252">
        <f t="shared" si="22"/>
        <v>0</v>
      </c>
      <c r="AI70" s="252">
        <f t="shared" si="22"/>
        <v>0</v>
      </c>
      <c r="AJ70" s="252">
        <f t="shared" si="22"/>
        <v>0</v>
      </c>
      <c r="AK70" s="251">
        <f t="shared" si="23"/>
        <v>0</v>
      </c>
      <c r="AL70" s="252">
        <f t="shared" si="2"/>
        <v>0</v>
      </c>
      <c r="AM70" s="252">
        <f t="shared" si="9"/>
        <v>0</v>
      </c>
      <c r="AN70" s="8" t="str">
        <f>+VLOOKUP('Detail 19-20'!A70,Map!$B$6:$M$222,12,FALSE)</f>
        <v>Tuition and Fees</v>
      </c>
    </row>
    <row r="71" ht="15.75" customHeight="1">
      <c r="A71" s="170" t="s">
        <v>1009</v>
      </c>
      <c r="B71" s="170" t="s">
        <v>949</v>
      </c>
      <c r="C71" s="250" t="s">
        <v>93</v>
      </c>
      <c r="D71" s="251">
        <f>+SUMIFS('Detail 18-19'!AC:AC,'Detail 18-19'!$AA:$AA,$A71)</f>
        <v>0</v>
      </c>
      <c r="E71" s="251">
        <f>+SUMIFS('Detail 18-19'!AD:AD,'Detail 18-19'!$AA:$AA,$A71)</f>
        <v>384.2105263</v>
      </c>
      <c r="F71" s="251">
        <f>+SUMIFS('Detail 18-19'!AE:AE,'Detail 18-19'!$AA:$AA,$A71)</f>
        <v>768.4210526</v>
      </c>
      <c r="G71" s="251">
        <f>+SUMIFS('Detail 18-19'!AF:AF,'Detail 18-19'!$AA:$AA,$A71)</f>
        <v>768.4210526</v>
      </c>
      <c r="H71" s="251">
        <f>+SUMIFS('Detail 18-19'!AG:AG,'Detail 18-19'!$AA:$AA,$A71)</f>
        <v>768.4210526</v>
      </c>
      <c r="I71" s="251">
        <f>+SUMIFS('Detail 18-19'!AH:AH,'Detail 18-19'!$AA:$AA,$A71)</f>
        <v>768.4210526</v>
      </c>
      <c r="J71" s="251">
        <f>+SUMIFS('Detail 18-19'!AI:AI,'Detail 18-19'!$AA:$AA,$A71)</f>
        <v>768.4210526</v>
      </c>
      <c r="K71" s="251">
        <f>+SUMIFS('Detail 18-19'!AJ:AJ,'Detail 18-19'!$AA:$AA,$A71)</f>
        <v>768.4210526</v>
      </c>
      <c r="L71" s="251">
        <f>+SUMIFS('Detail 18-19'!AK:AK,'Detail 18-19'!$AA:$AA,$A71)</f>
        <v>768.4210526</v>
      </c>
      <c r="M71" s="251">
        <f>+SUMIFS('Detail 18-19'!AL:AL,'Detail 18-19'!$AA:$AA,$A71)</f>
        <v>768.4210526</v>
      </c>
      <c r="N71" s="251">
        <f>+SUMIFS('Detail 18-19'!AM:AM,'Detail 18-19'!$AA:$AA,$A71)</f>
        <v>768.4210526</v>
      </c>
      <c r="O71" s="251">
        <f>+SUMIFS('Detail 18-19'!AN:AN,'Detail 18-19'!$AA:$AA,$A71)</f>
        <v>0</v>
      </c>
      <c r="P71" s="252">
        <f t="shared" si="18"/>
        <v>7300</v>
      </c>
      <c r="Q71" s="227">
        <f>-SUMIF('2019-03'!$E:$E,'Detail 19-20'!$A71,'2019-03'!$D:$D)</f>
        <v>5852</v>
      </c>
      <c r="R71" s="228" t="s">
        <v>992</v>
      </c>
      <c r="S71" s="227">
        <f t="shared" si="12"/>
        <v>7315</v>
      </c>
      <c r="T71" s="241">
        <v>7300.0</v>
      </c>
      <c r="U71" s="252">
        <f t="shared" si="4"/>
        <v>0</v>
      </c>
      <c r="V71" s="253">
        <f t="shared" si="5"/>
        <v>0</v>
      </c>
      <c r="W71" s="252">
        <f t="shared" si="6"/>
        <v>-15</v>
      </c>
      <c r="X71" s="253">
        <f t="shared" si="7"/>
        <v>-0.002050580998</v>
      </c>
      <c r="Y71" s="254" t="s">
        <v>992</v>
      </c>
      <c r="Z71" s="251">
        <f t="shared" si="20"/>
        <v>0</v>
      </c>
      <c r="AA71" s="252">
        <f t="shared" si="21"/>
        <v>384.2105263</v>
      </c>
      <c r="AB71" s="252">
        <f t="shared" ref="AB71:AJ71" si="24">+$T71*1/9.5</f>
        <v>768.4210526</v>
      </c>
      <c r="AC71" s="252">
        <f t="shared" si="24"/>
        <v>768.4210526</v>
      </c>
      <c r="AD71" s="252">
        <f t="shared" si="24"/>
        <v>768.4210526</v>
      </c>
      <c r="AE71" s="252">
        <f t="shared" si="24"/>
        <v>768.4210526</v>
      </c>
      <c r="AF71" s="252">
        <f t="shared" si="24"/>
        <v>768.4210526</v>
      </c>
      <c r="AG71" s="252">
        <f t="shared" si="24"/>
        <v>768.4210526</v>
      </c>
      <c r="AH71" s="252">
        <f t="shared" si="24"/>
        <v>768.4210526</v>
      </c>
      <c r="AI71" s="252">
        <f t="shared" si="24"/>
        <v>768.4210526</v>
      </c>
      <c r="AJ71" s="252">
        <f t="shared" si="24"/>
        <v>768.4210526</v>
      </c>
      <c r="AK71" s="251">
        <f t="shared" si="23"/>
        <v>0</v>
      </c>
      <c r="AL71" s="252">
        <f t="shared" si="2"/>
        <v>7300</v>
      </c>
      <c r="AM71" s="252">
        <f t="shared" si="9"/>
        <v>0</v>
      </c>
      <c r="AN71" s="8" t="str">
        <f>+VLOOKUP('Detail 19-20'!A71,Map!$B$6:$M$222,12,FALSE)</f>
        <v>Aftercare</v>
      </c>
    </row>
    <row r="72" ht="15.75" customHeight="1">
      <c r="A72" s="170" t="s">
        <v>1010</v>
      </c>
      <c r="B72" s="170" t="s">
        <v>949</v>
      </c>
      <c r="C72" s="250" t="s">
        <v>96</v>
      </c>
      <c r="D72" s="251">
        <f>+SUMIFS('Detail 18-19'!AC:AC,'Detail 18-19'!$AA:$AA,$A72)</f>
        <v>0</v>
      </c>
      <c r="E72" s="251">
        <f>+SUMIFS('Detail 18-19'!AD:AD,'Detail 18-19'!$AA:$AA,$A72)</f>
        <v>50</v>
      </c>
      <c r="F72" s="251">
        <f>+SUMIFS('Detail 18-19'!AE:AE,'Detail 18-19'!$AA:$AA,$A72)</f>
        <v>50</v>
      </c>
      <c r="G72" s="251">
        <f>+SUMIFS('Detail 18-19'!AF:AF,'Detail 18-19'!$AA:$AA,$A72)</f>
        <v>0</v>
      </c>
      <c r="H72" s="251">
        <f>+SUMIFS('Detail 18-19'!AG:AG,'Detail 18-19'!$AA:$AA,$A72)</f>
        <v>0</v>
      </c>
      <c r="I72" s="251">
        <f>+SUMIFS('Detail 18-19'!AH:AH,'Detail 18-19'!$AA:$AA,$A72)</f>
        <v>0</v>
      </c>
      <c r="J72" s="251">
        <f>+SUMIFS('Detail 18-19'!AI:AI,'Detail 18-19'!$AA:$AA,$A72)</f>
        <v>50</v>
      </c>
      <c r="K72" s="251">
        <f>+SUMIFS('Detail 18-19'!AJ:AJ,'Detail 18-19'!$AA:$AA,$A72)</f>
        <v>50</v>
      </c>
      <c r="L72" s="251">
        <f>+SUMIFS('Detail 18-19'!AK:AK,'Detail 18-19'!$AA:$AA,$A72)</f>
        <v>0</v>
      </c>
      <c r="M72" s="251">
        <f>+SUMIFS('Detail 18-19'!AL:AL,'Detail 18-19'!$AA:$AA,$A72)</f>
        <v>0</v>
      </c>
      <c r="N72" s="251">
        <f>+SUMIFS('Detail 18-19'!AM:AM,'Detail 18-19'!$AA:$AA,$A72)</f>
        <v>0</v>
      </c>
      <c r="O72" s="251">
        <f>+SUMIFS('Detail 18-19'!AN:AN,'Detail 18-19'!$AA:$AA,$A72)</f>
        <v>0</v>
      </c>
      <c r="P72" s="252">
        <f t="shared" si="18"/>
        <v>200</v>
      </c>
      <c r="Q72" s="227">
        <f>-SUMIF('2019-03'!$E:$E,'Detail 19-20'!$A72,'2019-03'!$D:$D)</f>
        <v>180</v>
      </c>
      <c r="R72" s="228" t="s">
        <v>954</v>
      </c>
      <c r="S72" s="227">
        <f t="shared" si="12"/>
        <v>180</v>
      </c>
      <c r="T72" s="241">
        <v>200.0</v>
      </c>
      <c r="U72" s="252">
        <f t="shared" si="4"/>
        <v>0</v>
      </c>
      <c r="V72" s="253">
        <f t="shared" si="5"/>
        <v>0</v>
      </c>
      <c r="W72" s="252">
        <f t="shared" si="6"/>
        <v>20</v>
      </c>
      <c r="X72" s="253">
        <f t="shared" si="7"/>
        <v>0.1111111111</v>
      </c>
      <c r="Y72" s="254" t="s">
        <v>1137</v>
      </c>
      <c r="Z72" s="252">
        <v>0.0</v>
      </c>
      <c r="AA72" s="252">
        <f>+$T72*0.5</f>
        <v>100</v>
      </c>
      <c r="AB72" s="252">
        <v>0.0</v>
      </c>
      <c r="AC72" s="252">
        <v>0.0</v>
      </c>
      <c r="AD72" s="252">
        <v>0.0</v>
      </c>
      <c r="AE72" s="252">
        <v>0.0</v>
      </c>
      <c r="AF72" s="252">
        <f>+$T72*0.5</f>
        <v>100</v>
      </c>
      <c r="AG72" s="252">
        <v>0.0</v>
      </c>
      <c r="AH72" s="252">
        <v>0.0</v>
      </c>
      <c r="AI72" s="252">
        <v>0.0</v>
      </c>
      <c r="AJ72" s="252">
        <v>0.0</v>
      </c>
      <c r="AK72" s="252">
        <v>0.0</v>
      </c>
      <c r="AL72" s="252">
        <f t="shared" si="2"/>
        <v>200</v>
      </c>
      <c r="AM72" s="252">
        <f t="shared" si="9"/>
        <v>0</v>
      </c>
      <c r="AN72" s="8" t="str">
        <f>+VLOOKUP('Detail 19-20'!A72,Map!$B$6:$M$222,12,FALSE)</f>
        <v>Aftercare</v>
      </c>
    </row>
    <row r="73" ht="15.75" customHeight="1">
      <c r="A73" s="170" t="s">
        <v>1011</v>
      </c>
      <c r="B73" s="170" t="s">
        <v>949</v>
      </c>
      <c r="C73" s="250" t="s">
        <v>101</v>
      </c>
      <c r="D73" s="251">
        <f>+SUMIFS('Detail 18-19'!AC:AC,'Detail 18-19'!$AA:$AA,$A73)</f>
        <v>0</v>
      </c>
      <c r="E73" s="251">
        <f>+SUMIFS('Detail 18-19'!AD:AD,'Detail 18-19'!$AA:$AA,$A73)</f>
        <v>52.63157895</v>
      </c>
      <c r="F73" s="251">
        <f>+SUMIFS('Detail 18-19'!AE:AE,'Detail 18-19'!$AA:$AA,$A73)</f>
        <v>105.2631579</v>
      </c>
      <c r="G73" s="251">
        <f>+SUMIFS('Detail 18-19'!AF:AF,'Detail 18-19'!$AA:$AA,$A73)</f>
        <v>105.2631579</v>
      </c>
      <c r="H73" s="251">
        <f>+SUMIFS('Detail 18-19'!AG:AG,'Detail 18-19'!$AA:$AA,$A73)</f>
        <v>105.2631579</v>
      </c>
      <c r="I73" s="251">
        <f>+SUMIFS('Detail 18-19'!AH:AH,'Detail 18-19'!$AA:$AA,$A73)</f>
        <v>105.2631579</v>
      </c>
      <c r="J73" s="251">
        <f>+SUMIFS('Detail 18-19'!AI:AI,'Detail 18-19'!$AA:$AA,$A73)</f>
        <v>105.2631579</v>
      </c>
      <c r="K73" s="251">
        <f>+SUMIFS('Detail 18-19'!AJ:AJ,'Detail 18-19'!$AA:$AA,$A73)</f>
        <v>105.2631579</v>
      </c>
      <c r="L73" s="251">
        <f>+SUMIFS('Detail 18-19'!AK:AK,'Detail 18-19'!$AA:$AA,$A73)</f>
        <v>105.2631579</v>
      </c>
      <c r="M73" s="251">
        <f>+SUMIFS('Detail 18-19'!AL:AL,'Detail 18-19'!$AA:$AA,$A73)</f>
        <v>105.2631579</v>
      </c>
      <c r="N73" s="251">
        <f>+SUMIFS('Detail 18-19'!AM:AM,'Detail 18-19'!$AA:$AA,$A73)</f>
        <v>105.2631579</v>
      </c>
      <c r="O73" s="251">
        <f>+SUMIFS('Detail 18-19'!AN:AN,'Detail 18-19'!$AA:$AA,$A73)</f>
        <v>0</v>
      </c>
      <c r="P73" s="252">
        <f t="shared" si="18"/>
        <v>1000</v>
      </c>
      <c r="Q73" s="227">
        <f>-SUMIF('2019-03'!$E:$E,'Detail 19-20'!$A73,'2019-03'!$D:$D)</f>
        <v>0</v>
      </c>
      <c r="R73" s="228" t="s">
        <v>954</v>
      </c>
      <c r="S73" s="227">
        <f t="shared" si="12"/>
        <v>0</v>
      </c>
      <c r="T73" s="241">
        <v>0.0</v>
      </c>
      <c r="U73" s="252">
        <f t="shared" si="4"/>
        <v>-1000</v>
      </c>
      <c r="V73" s="253">
        <f t="shared" si="5"/>
        <v>-1</v>
      </c>
      <c r="W73" s="252">
        <f t="shared" si="6"/>
        <v>0</v>
      </c>
      <c r="X73" s="253">
        <f t="shared" si="7"/>
        <v>0</v>
      </c>
      <c r="Y73" s="254" t="s">
        <v>992</v>
      </c>
      <c r="Z73" s="251">
        <f>+$T73*0</f>
        <v>0</v>
      </c>
      <c r="AA73" s="252">
        <f>+$T73*0.5/9.5</f>
        <v>0</v>
      </c>
      <c r="AB73" s="252">
        <f t="shared" ref="AB73:AJ73" si="25">+$T73*1/9.5</f>
        <v>0</v>
      </c>
      <c r="AC73" s="252">
        <f t="shared" si="25"/>
        <v>0</v>
      </c>
      <c r="AD73" s="252">
        <f t="shared" si="25"/>
        <v>0</v>
      </c>
      <c r="AE73" s="252">
        <f t="shared" si="25"/>
        <v>0</v>
      </c>
      <c r="AF73" s="252">
        <f t="shared" si="25"/>
        <v>0</v>
      </c>
      <c r="AG73" s="252">
        <f t="shared" si="25"/>
        <v>0</v>
      </c>
      <c r="AH73" s="252">
        <f t="shared" si="25"/>
        <v>0</v>
      </c>
      <c r="AI73" s="252">
        <f t="shared" si="25"/>
        <v>0</v>
      </c>
      <c r="AJ73" s="252">
        <f t="shared" si="25"/>
        <v>0</v>
      </c>
      <c r="AK73" s="251">
        <f>+$T73*0</f>
        <v>0</v>
      </c>
      <c r="AL73" s="252">
        <f t="shared" si="2"/>
        <v>0</v>
      </c>
      <c r="AM73" s="252">
        <f t="shared" si="9"/>
        <v>0</v>
      </c>
      <c r="AN73" s="8" t="str">
        <f>+VLOOKUP('Detail 19-20'!A73,Map!$B$6:$M$222,12,FALSE)</f>
        <v>Transportation</v>
      </c>
    </row>
    <row r="74" ht="15.75" customHeight="1">
      <c r="A74" s="170" t="s">
        <v>1012</v>
      </c>
      <c r="B74" s="170" t="s">
        <v>949</v>
      </c>
      <c r="C74" s="250" t="s">
        <v>106</v>
      </c>
      <c r="D74" s="251">
        <f>+SUMIFS('Detail 18-19'!AC:AC,'Detail 18-19'!$AA:$AA,$A74)</f>
        <v>0</v>
      </c>
      <c r="E74" s="251">
        <f>+SUMIFS('Detail 18-19'!AD:AD,'Detail 18-19'!$AA:$AA,$A74)</f>
        <v>375</v>
      </c>
      <c r="F74" s="251">
        <f>+SUMIFS('Detail 18-19'!AE:AE,'Detail 18-19'!$AA:$AA,$A74)</f>
        <v>0</v>
      </c>
      <c r="G74" s="251">
        <f>+SUMIFS('Detail 18-19'!AF:AF,'Detail 18-19'!$AA:$AA,$A74)</f>
        <v>0</v>
      </c>
      <c r="H74" s="251">
        <f>+SUMIFS('Detail 18-19'!AG:AG,'Detail 18-19'!$AA:$AA,$A74)</f>
        <v>0</v>
      </c>
      <c r="I74" s="251">
        <f>+SUMIFS('Detail 18-19'!AH:AH,'Detail 18-19'!$AA:$AA,$A74)</f>
        <v>0</v>
      </c>
      <c r="J74" s="251">
        <f>+SUMIFS('Detail 18-19'!AI:AI,'Detail 18-19'!$AA:$AA,$A74)</f>
        <v>375</v>
      </c>
      <c r="K74" s="251">
        <f>+SUMIFS('Detail 18-19'!AJ:AJ,'Detail 18-19'!$AA:$AA,$A74)</f>
        <v>0</v>
      </c>
      <c r="L74" s="251">
        <f>+SUMIFS('Detail 18-19'!AK:AK,'Detail 18-19'!$AA:$AA,$A74)</f>
        <v>0</v>
      </c>
      <c r="M74" s="251">
        <f>+SUMIFS('Detail 18-19'!AL:AL,'Detail 18-19'!$AA:$AA,$A74)</f>
        <v>0</v>
      </c>
      <c r="N74" s="251">
        <f>+SUMIFS('Detail 18-19'!AM:AM,'Detail 18-19'!$AA:$AA,$A74)</f>
        <v>0</v>
      </c>
      <c r="O74" s="251">
        <f>+SUMIFS('Detail 18-19'!AN:AN,'Detail 18-19'!$AA:$AA,$A74)</f>
        <v>0</v>
      </c>
      <c r="P74" s="252">
        <f t="shared" si="18"/>
        <v>750</v>
      </c>
      <c r="Q74" s="227">
        <f>-SUMIF('2019-03'!$E:$E,'Detail 19-20'!$A74,'2019-03'!$D:$D)</f>
        <v>218</v>
      </c>
      <c r="R74" s="228" t="s">
        <v>950</v>
      </c>
      <c r="S74" s="227">
        <f t="shared" si="12"/>
        <v>290.6666667</v>
      </c>
      <c r="T74" s="241">
        <v>250.0</v>
      </c>
      <c r="U74" s="252">
        <f t="shared" si="4"/>
        <v>-500</v>
      </c>
      <c r="V74" s="253">
        <f t="shared" si="5"/>
        <v>-0.6666666667</v>
      </c>
      <c r="W74" s="252">
        <f t="shared" si="6"/>
        <v>-40.66666667</v>
      </c>
      <c r="X74" s="253">
        <f t="shared" si="7"/>
        <v>-0.1399082569</v>
      </c>
      <c r="Y74" s="254" t="s">
        <v>1137</v>
      </c>
      <c r="Z74" s="252">
        <v>0.0</v>
      </c>
      <c r="AA74" s="252">
        <f t="shared" ref="AA74:AA75" si="26">+$T74*0.5</f>
        <v>125</v>
      </c>
      <c r="AB74" s="252">
        <v>0.0</v>
      </c>
      <c r="AC74" s="252">
        <v>0.0</v>
      </c>
      <c r="AD74" s="252">
        <v>0.0</v>
      </c>
      <c r="AE74" s="252">
        <v>0.0</v>
      </c>
      <c r="AF74" s="252">
        <f t="shared" ref="AF74:AF75" si="27">+$T74*0.5</f>
        <v>125</v>
      </c>
      <c r="AG74" s="252">
        <v>0.0</v>
      </c>
      <c r="AH74" s="252">
        <v>0.0</v>
      </c>
      <c r="AI74" s="252">
        <v>0.0</v>
      </c>
      <c r="AJ74" s="252">
        <v>0.0</v>
      </c>
      <c r="AK74" s="252">
        <v>0.0</v>
      </c>
      <c r="AL74" s="252">
        <f t="shared" si="2"/>
        <v>250</v>
      </c>
      <c r="AM74" s="252">
        <f t="shared" si="9"/>
        <v>0</v>
      </c>
      <c r="AN74" s="8" t="str">
        <f>+VLOOKUP('Detail 19-20'!A74,Map!$B$6:$M$222,12,FALSE)</f>
        <v>Merchandise Sales</v>
      </c>
    </row>
    <row r="75" ht="15.75" customHeight="1">
      <c r="A75" s="170" t="s">
        <v>1013</v>
      </c>
      <c r="B75" s="170" t="s">
        <v>949</v>
      </c>
      <c r="C75" s="250" t="s">
        <v>138</v>
      </c>
      <c r="D75" s="251">
        <f>+SUMIFS('Detail 18-19'!AC:AC,'Detail 18-19'!$AA:$AA,$A75)</f>
        <v>0</v>
      </c>
      <c r="E75" s="251">
        <f>+SUMIFS('Detail 18-19'!AD:AD,'Detail 18-19'!$AA:$AA,$A75)</f>
        <v>250</v>
      </c>
      <c r="F75" s="251">
        <f>+SUMIFS('Detail 18-19'!AE:AE,'Detail 18-19'!$AA:$AA,$A75)</f>
        <v>0</v>
      </c>
      <c r="G75" s="251">
        <f>+SUMIFS('Detail 18-19'!AF:AF,'Detail 18-19'!$AA:$AA,$A75)</f>
        <v>0</v>
      </c>
      <c r="H75" s="251">
        <f>+SUMIFS('Detail 18-19'!AG:AG,'Detail 18-19'!$AA:$AA,$A75)</f>
        <v>0</v>
      </c>
      <c r="I75" s="251">
        <f>+SUMIFS('Detail 18-19'!AH:AH,'Detail 18-19'!$AA:$AA,$A75)</f>
        <v>0</v>
      </c>
      <c r="J75" s="251">
        <f>+SUMIFS('Detail 18-19'!AI:AI,'Detail 18-19'!$AA:$AA,$A75)</f>
        <v>250</v>
      </c>
      <c r="K75" s="251">
        <f>+SUMIFS('Detail 18-19'!AJ:AJ,'Detail 18-19'!$AA:$AA,$A75)</f>
        <v>0</v>
      </c>
      <c r="L75" s="251">
        <f>+SUMIFS('Detail 18-19'!AK:AK,'Detail 18-19'!$AA:$AA,$A75)</f>
        <v>0</v>
      </c>
      <c r="M75" s="251">
        <f>+SUMIFS('Detail 18-19'!AL:AL,'Detail 18-19'!$AA:$AA,$A75)</f>
        <v>0</v>
      </c>
      <c r="N75" s="251">
        <f>+SUMIFS('Detail 18-19'!AM:AM,'Detail 18-19'!$AA:$AA,$A75)</f>
        <v>0</v>
      </c>
      <c r="O75" s="251">
        <f>+SUMIFS('Detail 18-19'!AN:AN,'Detail 18-19'!$AA:$AA,$A75)</f>
        <v>0</v>
      </c>
      <c r="P75" s="252">
        <f t="shared" si="18"/>
        <v>500</v>
      </c>
      <c r="Q75" s="227">
        <f>-SUMIF('2019-03'!$E:$E,'Detail 19-20'!$A75,'2019-03'!$D:$D)</f>
        <v>150</v>
      </c>
      <c r="R75" s="228" t="s">
        <v>950</v>
      </c>
      <c r="S75" s="227">
        <f t="shared" si="12"/>
        <v>200</v>
      </c>
      <c r="T75" s="241">
        <v>200.0</v>
      </c>
      <c r="U75" s="252">
        <f t="shared" si="4"/>
        <v>-300</v>
      </c>
      <c r="V75" s="253">
        <f t="shared" si="5"/>
        <v>-0.6</v>
      </c>
      <c r="W75" s="252">
        <f t="shared" si="6"/>
        <v>0</v>
      </c>
      <c r="X75" s="253">
        <f t="shared" si="7"/>
        <v>0</v>
      </c>
      <c r="Y75" s="254" t="s">
        <v>1137</v>
      </c>
      <c r="Z75" s="252">
        <v>0.0</v>
      </c>
      <c r="AA75" s="252">
        <f t="shared" si="26"/>
        <v>100</v>
      </c>
      <c r="AB75" s="252">
        <v>0.0</v>
      </c>
      <c r="AC75" s="252">
        <v>0.0</v>
      </c>
      <c r="AD75" s="252">
        <v>0.0</v>
      </c>
      <c r="AE75" s="252">
        <v>0.0</v>
      </c>
      <c r="AF75" s="252">
        <f t="shared" si="27"/>
        <v>100</v>
      </c>
      <c r="AG75" s="252">
        <v>0.0</v>
      </c>
      <c r="AH75" s="252">
        <v>0.0</v>
      </c>
      <c r="AI75" s="252">
        <v>0.0</v>
      </c>
      <c r="AJ75" s="252">
        <v>0.0</v>
      </c>
      <c r="AK75" s="252">
        <v>0.0</v>
      </c>
      <c r="AL75" s="252">
        <f t="shared" si="2"/>
        <v>200</v>
      </c>
      <c r="AM75" s="252">
        <f t="shared" si="9"/>
        <v>0</v>
      </c>
      <c r="AN75" s="8" t="str">
        <f>+VLOOKUP('Detail 19-20'!A75,Map!$B$6:$M$222,12,FALSE)</f>
        <v>Merchandise Sales</v>
      </c>
    </row>
    <row r="76" ht="15.75" customHeight="1">
      <c r="A76" s="170" t="s">
        <v>1014</v>
      </c>
      <c r="B76" s="170" t="s">
        <v>949</v>
      </c>
      <c r="C76" s="250" t="s">
        <v>145</v>
      </c>
      <c r="D76" s="251">
        <f>+SUMIFS('Detail 18-19'!AC:AC,'Detail 18-19'!$AA:$AA,$A76)</f>
        <v>0</v>
      </c>
      <c r="E76" s="251">
        <f>+SUMIFS('Detail 18-19'!AD:AD,'Detail 18-19'!$AA:$AA,$A76)</f>
        <v>1421.052632</v>
      </c>
      <c r="F76" s="251">
        <f>+SUMIFS('Detail 18-19'!AE:AE,'Detail 18-19'!$AA:$AA,$A76)</f>
        <v>2842.105263</v>
      </c>
      <c r="G76" s="251">
        <f>+SUMIFS('Detail 18-19'!AF:AF,'Detail 18-19'!$AA:$AA,$A76)</f>
        <v>2842.105263</v>
      </c>
      <c r="H76" s="251">
        <f>+SUMIFS('Detail 18-19'!AG:AG,'Detail 18-19'!$AA:$AA,$A76)</f>
        <v>2842.105263</v>
      </c>
      <c r="I76" s="251">
        <f>+SUMIFS('Detail 18-19'!AH:AH,'Detail 18-19'!$AA:$AA,$A76)</f>
        <v>2842.105263</v>
      </c>
      <c r="J76" s="251">
        <f>+SUMIFS('Detail 18-19'!AI:AI,'Detail 18-19'!$AA:$AA,$A76)</f>
        <v>2842.105263</v>
      </c>
      <c r="K76" s="251">
        <f>+SUMIFS('Detail 18-19'!AJ:AJ,'Detail 18-19'!$AA:$AA,$A76)</f>
        <v>2842.105263</v>
      </c>
      <c r="L76" s="251">
        <f>+SUMIFS('Detail 18-19'!AK:AK,'Detail 18-19'!$AA:$AA,$A76)</f>
        <v>2842.105263</v>
      </c>
      <c r="M76" s="251">
        <f>+SUMIFS('Detail 18-19'!AL:AL,'Detail 18-19'!$AA:$AA,$A76)</f>
        <v>2842.105263</v>
      </c>
      <c r="N76" s="251">
        <f>+SUMIFS('Detail 18-19'!AM:AM,'Detail 18-19'!$AA:$AA,$A76)</f>
        <v>2842.105263</v>
      </c>
      <c r="O76" s="251">
        <f>+SUMIFS('Detail 18-19'!AN:AN,'Detail 18-19'!$AA:$AA,$A76)</f>
        <v>0</v>
      </c>
      <c r="P76" s="252">
        <f t="shared" si="18"/>
        <v>27000</v>
      </c>
      <c r="Q76" s="227">
        <f>-SUMIF('2019-03'!$E:$E,'Detail 19-20'!$A76,'2019-03'!$D:$D)</f>
        <v>18028.96</v>
      </c>
      <c r="R76" s="228" t="s">
        <v>992</v>
      </c>
      <c r="S76" s="227">
        <f t="shared" si="12"/>
        <v>22536.2</v>
      </c>
      <c r="T76" s="241">
        <v>23000.0</v>
      </c>
      <c r="U76" s="252">
        <f t="shared" si="4"/>
        <v>-4000</v>
      </c>
      <c r="V76" s="253">
        <f t="shared" si="5"/>
        <v>-0.1481481481</v>
      </c>
      <c r="W76" s="252">
        <f t="shared" si="6"/>
        <v>463.8</v>
      </c>
      <c r="X76" s="253">
        <f t="shared" si="7"/>
        <v>0.02058022204</v>
      </c>
      <c r="Y76" s="254" t="s">
        <v>992</v>
      </c>
      <c r="Z76" s="251">
        <f>+$T76*0</f>
        <v>0</v>
      </c>
      <c r="AA76" s="252">
        <f>+$T76*0.5/9.5</f>
        <v>1210.526316</v>
      </c>
      <c r="AB76" s="252">
        <f t="shared" ref="AB76:AJ76" si="28">+$T76*1/9.5</f>
        <v>2421.052632</v>
      </c>
      <c r="AC76" s="252">
        <f t="shared" si="28"/>
        <v>2421.052632</v>
      </c>
      <c r="AD76" s="252">
        <f t="shared" si="28"/>
        <v>2421.052632</v>
      </c>
      <c r="AE76" s="252">
        <f t="shared" si="28"/>
        <v>2421.052632</v>
      </c>
      <c r="AF76" s="252">
        <f t="shared" si="28"/>
        <v>2421.052632</v>
      </c>
      <c r="AG76" s="252">
        <f t="shared" si="28"/>
        <v>2421.052632</v>
      </c>
      <c r="AH76" s="252">
        <f t="shared" si="28"/>
        <v>2421.052632</v>
      </c>
      <c r="AI76" s="252">
        <f t="shared" si="28"/>
        <v>2421.052632</v>
      </c>
      <c r="AJ76" s="252">
        <f t="shared" si="28"/>
        <v>2421.052632</v>
      </c>
      <c r="AK76" s="251">
        <f>+$T76*0</f>
        <v>0</v>
      </c>
      <c r="AL76" s="252">
        <f t="shared" si="2"/>
        <v>23000</v>
      </c>
      <c r="AM76" s="252">
        <f t="shared" si="9"/>
        <v>0</v>
      </c>
      <c r="AN76" s="8" t="str">
        <f>+VLOOKUP('Detail 19-20'!A76,Map!$B$6:$M$222,12,FALSE)</f>
        <v>Merchandise Sales</v>
      </c>
    </row>
    <row r="77" ht="15.75" customHeight="1">
      <c r="A77" s="170" t="s">
        <v>1015</v>
      </c>
      <c r="B77" s="170" t="s">
        <v>949</v>
      </c>
      <c r="C77" s="250" t="s">
        <v>164</v>
      </c>
      <c r="D77" s="251">
        <f>+SUMIFS('Detail 18-19'!AC:AC,'Detail 18-19'!$AA:$AA,$A77)</f>
        <v>0</v>
      </c>
      <c r="E77" s="251">
        <f>+SUMIFS('Detail 18-19'!AD:AD,'Detail 18-19'!$AA:$AA,$A77)</f>
        <v>0</v>
      </c>
      <c r="F77" s="251">
        <f>+SUMIFS('Detail 18-19'!AE:AE,'Detail 18-19'!$AA:$AA,$A77)</f>
        <v>0</v>
      </c>
      <c r="G77" s="251">
        <f>+SUMIFS('Detail 18-19'!AF:AF,'Detail 18-19'!$AA:$AA,$A77)</f>
        <v>0</v>
      </c>
      <c r="H77" s="251">
        <f>+SUMIFS('Detail 18-19'!AG:AG,'Detail 18-19'!$AA:$AA,$A77)</f>
        <v>0</v>
      </c>
      <c r="I77" s="251">
        <f>+SUMIFS('Detail 18-19'!AH:AH,'Detail 18-19'!$AA:$AA,$A77)</f>
        <v>0</v>
      </c>
      <c r="J77" s="251">
        <f>+SUMIFS('Detail 18-19'!AI:AI,'Detail 18-19'!$AA:$AA,$A77)</f>
        <v>0</v>
      </c>
      <c r="K77" s="251">
        <f>+SUMIFS('Detail 18-19'!AJ:AJ,'Detail 18-19'!$AA:$AA,$A77)</f>
        <v>0</v>
      </c>
      <c r="L77" s="251">
        <f>+SUMIFS('Detail 18-19'!AK:AK,'Detail 18-19'!$AA:$AA,$A77)</f>
        <v>1000</v>
      </c>
      <c r="M77" s="251">
        <f>+SUMIFS('Detail 18-19'!AL:AL,'Detail 18-19'!$AA:$AA,$A77)</f>
        <v>500</v>
      </c>
      <c r="N77" s="251">
        <f>+SUMIFS('Detail 18-19'!AM:AM,'Detail 18-19'!$AA:$AA,$A77)</f>
        <v>0</v>
      </c>
      <c r="O77" s="251">
        <f>+SUMIFS('Detail 18-19'!AN:AN,'Detail 18-19'!$AA:$AA,$A77)</f>
        <v>0</v>
      </c>
      <c r="P77" s="252">
        <f t="shared" si="18"/>
        <v>1500</v>
      </c>
      <c r="Q77" s="227">
        <f>-SUMIF('2019-03'!$E:$E,'Detail 19-20'!$A77,'2019-03'!$D:$D)</f>
        <v>0</v>
      </c>
      <c r="R77" s="228" t="s">
        <v>594</v>
      </c>
      <c r="S77" s="227">
        <v>800.0</v>
      </c>
      <c r="T77" s="241">
        <v>800.0</v>
      </c>
      <c r="U77" s="252">
        <f t="shared" si="4"/>
        <v>-700</v>
      </c>
      <c r="V77" s="253">
        <f t="shared" si="5"/>
        <v>-0.4666666667</v>
      </c>
      <c r="W77" s="252">
        <f t="shared" si="6"/>
        <v>0</v>
      </c>
      <c r="X77" s="253">
        <f t="shared" si="7"/>
        <v>0</v>
      </c>
      <c r="Y77" s="254" t="s">
        <v>1339</v>
      </c>
      <c r="Z77" s="252">
        <v>0.0</v>
      </c>
      <c r="AA77" s="252">
        <v>0.0</v>
      </c>
      <c r="AB77" s="252">
        <v>0.0</v>
      </c>
      <c r="AC77" s="252">
        <v>0.0</v>
      </c>
      <c r="AD77" s="252">
        <v>0.0</v>
      </c>
      <c r="AE77" s="252">
        <v>0.0</v>
      </c>
      <c r="AF77" s="252">
        <v>0.0</v>
      </c>
      <c r="AG77" s="252">
        <v>0.0</v>
      </c>
      <c r="AH77" s="252">
        <v>0.0</v>
      </c>
      <c r="AI77" s="252">
        <f t="shared" ref="AI77:AJ77" si="29">+$T77*0.5</f>
        <v>400</v>
      </c>
      <c r="AJ77" s="252">
        <f t="shared" si="29"/>
        <v>400</v>
      </c>
      <c r="AK77" s="252">
        <v>0.0</v>
      </c>
      <c r="AL77" s="252">
        <f t="shared" si="2"/>
        <v>800</v>
      </c>
      <c r="AM77" s="252">
        <f t="shared" si="9"/>
        <v>0</v>
      </c>
      <c r="AN77" s="8" t="str">
        <f>+VLOOKUP('Detail 19-20'!A77,Map!$B$6:$M$222,12,FALSE)</f>
        <v>Student Activities &amp; Athletics</v>
      </c>
    </row>
    <row r="78" ht="15.75" customHeight="1">
      <c r="A78" s="170" t="s">
        <v>1016</v>
      </c>
      <c r="B78" s="170" t="s">
        <v>949</v>
      </c>
      <c r="C78" s="250" t="s">
        <v>168</v>
      </c>
      <c r="D78" s="251">
        <f>+SUMIFS('Detail 18-19'!AC:AC,'Detail 18-19'!$AA:$AA,$A78)</f>
        <v>0</v>
      </c>
      <c r="E78" s="251">
        <f>+SUMIFS('Detail 18-19'!AD:AD,'Detail 18-19'!$AA:$AA,$A78)</f>
        <v>0</v>
      </c>
      <c r="F78" s="251">
        <f>+SUMIFS('Detail 18-19'!AE:AE,'Detail 18-19'!$AA:$AA,$A78)</f>
        <v>0</v>
      </c>
      <c r="G78" s="251">
        <f>+SUMIFS('Detail 18-19'!AF:AF,'Detail 18-19'!$AA:$AA,$A78)</f>
        <v>0</v>
      </c>
      <c r="H78" s="251">
        <f>+SUMIFS('Detail 18-19'!AG:AG,'Detail 18-19'!$AA:$AA,$A78)</f>
        <v>0</v>
      </c>
      <c r="I78" s="251">
        <f>+SUMIFS('Detail 18-19'!AH:AH,'Detail 18-19'!$AA:$AA,$A78)</f>
        <v>0</v>
      </c>
      <c r="J78" s="251">
        <f>+SUMIFS('Detail 18-19'!AI:AI,'Detail 18-19'!$AA:$AA,$A78)</f>
        <v>0</v>
      </c>
      <c r="K78" s="251">
        <f>+SUMIFS('Detail 18-19'!AJ:AJ,'Detail 18-19'!$AA:$AA,$A78)</f>
        <v>250</v>
      </c>
      <c r="L78" s="251">
        <f>+SUMIFS('Detail 18-19'!AK:AK,'Detail 18-19'!$AA:$AA,$A78)</f>
        <v>250</v>
      </c>
      <c r="M78" s="251">
        <f>+SUMIFS('Detail 18-19'!AL:AL,'Detail 18-19'!$AA:$AA,$A78)</f>
        <v>250</v>
      </c>
      <c r="N78" s="251">
        <f>+SUMIFS('Detail 18-19'!AM:AM,'Detail 18-19'!$AA:$AA,$A78)</f>
        <v>0</v>
      </c>
      <c r="O78" s="251">
        <f>+SUMIFS('Detail 18-19'!AN:AN,'Detail 18-19'!$AA:$AA,$A78)</f>
        <v>0</v>
      </c>
      <c r="P78" s="252">
        <f t="shared" si="18"/>
        <v>750</v>
      </c>
      <c r="Q78" s="227">
        <f>-SUMIF('2019-03'!$E:$E,'Detail 19-20'!$A78,'2019-03'!$D:$D)</f>
        <v>689</v>
      </c>
      <c r="R78" s="228" t="s">
        <v>954</v>
      </c>
      <c r="S78" s="227">
        <f t="shared" ref="S78:S79" si="31">IF(R78="Simple",Q78*1.33333333333333,IF(R78="None",Q78,IF(R78="Ten Month",(Q78+(Q78/8*2)))))</f>
        <v>689</v>
      </c>
      <c r="T78" s="241">
        <v>700.0</v>
      </c>
      <c r="U78" s="252">
        <f t="shared" si="4"/>
        <v>-50</v>
      </c>
      <c r="V78" s="253">
        <f t="shared" si="5"/>
        <v>-0.06666666667</v>
      </c>
      <c r="W78" s="252">
        <f t="shared" si="6"/>
        <v>11</v>
      </c>
      <c r="X78" s="253">
        <f t="shared" si="7"/>
        <v>0.01596516691</v>
      </c>
      <c r="Y78" s="254" t="s">
        <v>1339</v>
      </c>
      <c r="Z78" s="252">
        <v>0.0</v>
      </c>
      <c r="AA78" s="252">
        <v>0.0</v>
      </c>
      <c r="AB78" s="252">
        <v>0.0</v>
      </c>
      <c r="AC78" s="252">
        <v>0.0</v>
      </c>
      <c r="AD78" s="252">
        <v>0.0</v>
      </c>
      <c r="AE78" s="252">
        <v>0.0</v>
      </c>
      <c r="AF78" s="252">
        <v>0.0</v>
      </c>
      <c r="AG78" s="252">
        <v>0.0</v>
      </c>
      <c r="AH78" s="252">
        <v>0.0</v>
      </c>
      <c r="AI78" s="252">
        <f t="shared" ref="AI78:AJ78" si="30">+$T78*0.5</f>
        <v>350</v>
      </c>
      <c r="AJ78" s="252">
        <f t="shared" si="30"/>
        <v>350</v>
      </c>
      <c r="AK78" s="252">
        <v>0.0</v>
      </c>
      <c r="AL78" s="252">
        <f t="shared" si="2"/>
        <v>700</v>
      </c>
      <c r="AM78" s="252">
        <f t="shared" si="9"/>
        <v>0</v>
      </c>
      <c r="AN78" s="8" t="str">
        <f>+VLOOKUP('Detail 19-20'!A78,Map!$B$6:$M$222,12,FALSE)</f>
        <v>Student Activities &amp; Athletics</v>
      </c>
    </row>
    <row r="79" ht="15.75" customHeight="1">
      <c r="A79" s="170" t="s">
        <v>1017</v>
      </c>
      <c r="B79" s="170" t="s">
        <v>949</v>
      </c>
      <c r="C79" s="250" t="s">
        <v>172</v>
      </c>
      <c r="D79" s="251">
        <f>+SUMIFS('Detail 18-19'!AC:AC,'Detail 18-19'!$AA:$AA,$A79)</f>
        <v>0</v>
      </c>
      <c r="E79" s="251">
        <f>+SUMIFS('Detail 18-19'!AD:AD,'Detail 18-19'!$AA:$AA,$A79)</f>
        <v>500</v>
      </c>
      <c r="F79" s="251">
        <f>+SUMIFS('Detail 18-19'!AE:AE,'Detail 18-19'!$AA:$AA,$A79)</f>
        <v>500</v>
      </c>
      <c r="G79" s="251">
        <f>+SUMIFS('Detail 18-19'!AF:AF,'Detail 18-19'!$AA:$AA,$A79)</f>
        <v>500</v>
      </c>
      <c r="H79" s="251">
        <f>+SUMIFS('Detail 18-19'!AG:AG,'Detail 18-19'!$AA:$AA,$A79)</f>
        <v>500</v>
      </c>
      <c r="I79" s="251">
        <f>+SUMIFS('Detail 18-19'!AH:AH,'Detail 18-19'!$AA:$AA,$A79)</f>
        <v>1000</v>
      </c>
      <c r="J79" s="251">
        <f>+SUMIFS('Detail 18-19'!AI:AI,'Detail 18-19'!$AA:$AA,$A79)</f>
        <v>500</v>
      </c>
      <c r="K79" s="251">
        <f>+SUMIFS('Detail 18-19'!AJ:AJ,'Detail 18-19'!$AA:$AA,$A79)</f>
        <v>500</v>
      </c>
      <c r="L79" s="251">
        <f>+SUMIFS('Detail 18-19'!AK:AK,'Detail 18-19'!$AA:$AA,$A79)</f>
        <v>500</v>
      </c>
      <c r="M79" s="251">
        <f>+SUMIFS('Detail 18-19'!AL:AL,'Detail 18-19'!$AA:$AA,$A79)</f>
        <v>500</v>
      </c>
      <c r="N79" s="251">
        <f>+SUMIFS('Detail 18-19'!AM:AM,'Detail 18-19'!$AA:$AA,$A79)</f>
        <v>500</v>
      </c>
      <c r="O79" s="251">
        <f>+SUMIFS('Detail 18-19'!AN:AN,'Detail 18-19'!$AA:$AA,$A79)</f>
        <v>0</v>
      </c>
      <c r="P79" s="252">
        <f t="shared" si="18"/>
        <v>5500</v>
      </c>
      <c r="Q79" s="227">
        <f>-SUMIF('2019-03'!$E:$E,'Detail 19-20'!$A79,'2019-03'!$D:$D)</f>
        <v>3931.32</v>
      </c>
      <c r="R79" s="228" t="s">
        <v>992</v>
      </c>
      <c r="S79" s="227">
        <f t="shared" si="31"/>
        <v>4914.15</v>
      </c>
      <c r="T79" s="241">
        <v>5500.0</v>
      </c>
      <c r="U79" s="252">
        <f t="shared" si="4"/>
        <v>0</v>
      </c>
      <c r="V79" s="253">
        <f t="shared" si="5"/>
        <v>0</v>
      </c>
      <c r="W79" s="252">
        <f t="shared" si="6"/>
        <v>585.85</v>
      </c>
      <c r="X79" s="253">
        <f t="shared" si="7"/>
        <v>0.1192169551</v>
      </c>
      <c r="Y79" s="254" t="s">
        <v>992</v>
      </c>
      <c r="Z79" s="251">
        <f>+$T79*0</f>
        <v>0</v>
      </c>
      <c r="AA79" s="252">
        <f>+$T79*0.5/9.5</f>
        <v>289.4736842</v>
      </c>
      <c r="AB79" s="252">
        <f t="shared" ref="AB79:AJ79" si="32">+$T79*1/9.5</f>
        <v>578.9473684</v>
      </c>
      <c r="AC79" s="252">
        <f t="shared" si="32"/>
        <v>578.9473684</v>
      </c>
      <c r="AD79" s="252">
        <f t="shared" si="32"/>
        <v>578.9473684</v>
      </c>
      <c r="AE79" s="252">
        <f t="shared" si="32"/>
        <v>578.9473684</v>
      </c>
      <c r="AF79" s="252">
        <f t="shared" si="32"/>
        <v>578.9473684</v>
      </c>
      <c r="AG79" s="252">
        <f t="shared" si="32"/>
        <v>578.9473684</v>
      </c>
      <c r="AH79" s="252">
        <f t="shared" si="32"/>
        <v>578.9473684</v>
      </c>
      <c r="AI79" s="252">
        <f t="shared" si="32"/>
        <v>578.9473684</v>
      </c>
      <c r="AJ79" s="252">
        <f t="shared" si="32"/>
        <v>578.9473684</v>
      </c>
      <c r="AK79" s="251">
        <f>+$T79*0</f>
        <v>0</v>
      </c>
      <c r="AL79" s="252">
        <f t="shared" si="2"/>
        <v>5500</v>
      </c>
      <c r="AM79" s="252">
        <f t="shared" si="9"/>
        <v>0</v>
      </c>
      <c r="AN79" s="8" t="str">
        <f>+VLOOKUP('Detail 19-20'!A79,Map!$B$6:$M$222,12,FALSE)</f>
        <v>Student Activities &amp; Athletics</v>
      </c>
    </row>
    <row r="80" ht="15.75" customHeight="1">
      <c r="A80" s="170" t="s">
        <v>1018</v>
      </c>
      <c r="B80" s="170" t="s">
        <v>949</v>
      </c>
      <c r="C80" s="250" t="s">
        <v>1019</v>
      </c>
      <c r="D80" s="251">
        <f>+SUMIFS('Detail 18-19'!AC:AC,'Detail 18-19'!$AA:$AA,$A80)</f>
        <v>1250</v>
      </c>
      <c r="E80" s="251">
        <f>+SUMIFS('Detail 18-19'!AD:AD,'Detail 18-19'!$AA:$AA,$A80)</f>
        <v>0</v>
      </c>
      <c r="F80" s="251">
        <f>+SUMIFS('Detail 18-19'!AE:AE,'Detail 18-19'!$AA:$AA,$A80)</f>
        <v>0</v>
      </c>
      <c r="G80" s="251">
        <f>+SUMIFS('Detail 18-19'!AF:AF,'Detail 18-19'!$AA:$AA,$A80)</f>
        <v>0</v>
      </c>
      <c r="H80" s="251">
        <f>+SUMIFS('Detail 18-19'!AG:AG,'Detail 18-19'!$AA:$AA,$A80)</f>
        <v>0</v>
      </c>
      <c r="I80" s="251">
        <f>+SUMIFS('Detail 18-19'!AH:AH,'Detail 18-19'!$AA:$AA,$A80)</f>
        <v>0</v>
      </c>
      <c r="J80" s="251">
        <f>+SUMIFS('Detail 18-19'!AI:AI,'Detail 18-19'!$AA:$AA,$A80)</f>
        <v>0</v>
      </c>
      <c r="K80" s="251">
        <f>+SUMIFS('Detail 18-19'!AJ:AJ,'Detail 18-19'!$AA:$AA,$A80)</f>
        <v>0</v>
      </c>
      <c r="L80" s="251">
        <f>+SUMIFS('Detail 18-19'!AK:AK,'Detail 18-19'!$AA:$AA,$A80)</f>
        <v>0</v>
      </c>
      <c r="M80" s="251">
        <f>+SUMIFS('Detail 18-19'!AL:AL,'Detail 18-19'!$AA:$AA,$A80)</f>
        <v>0</v>
      </c>
      <c r="N80" s="251">
        <f>+SUMIFS('Detail 18-19'!AM:AM,'Detail 18-19'!$AA:$AA,$A80)</f>
        <v>0</v>
      </c>
      <c r="O80" s="251">
        <f>+SUMIFS('Detail 18-19'!AN:AN,'Detail 18-19'!$AA:$AA,$A80)</f>
        <v>1250</v>
      </c>
      <c r="P80" s="252">
        <f t="shared" si="18"/>
        <v>2500</v>
      </c>
      <c r="Q80" s="227">
        <f>-SUMIF('2019-03'!$E:$E,'Detail 19-20'!$A80,'2019-03'!$D:$D)</f>
        <v>0</v>
      </c>
      <c r="R80" s="228" t="s">
        <v>594</v>
      </c>
      <c r="S80" s="227">
        <v>2500.0</v>
      </c>
      <c r="T80" s="241">
        <v>2500.0</v>
      </c>
      <c r="U80" s="252">
        <f t="shared" si="4"/>
        <v>0</v>
      </c>
      <c r="V80" s="253">
        <f t="shared" si="5"/>
        <v>0</v>
      </c>
      <c r="W80" s="252">
        <f t="shared" si="6"/>
        <v>0</v>
      </c>
      <c r="X80" s="253">
        <f t="shared" si="7"/>
        <v>0</v>
      </c>
      <c r="Y80" s="254" t="s">
        <v>1098</v>
      </c>
      <c r="Z80" s="252">
        <v>2500.0</v>
      </c>
      <c r="AA80" s="252">
        <v>0.0</v>
      </c>
      <c r="AB80" s="252">
        <v>0.0</v>
      </c>
      <c r="AC80" s="252">
        <v>0.0</v>
      </c>
      <c r="AD80" s="252">
        <v>0.0</v>
      </c>
      <c r="AE80" s="252">
        <v>0.0</v>
      </c>
      <c r="AF80" s="252">
        <v>0.0</v>
      </c>
      <c r="AG80" s="252">
        <v>0.0</v>
      </c>
      <c r="AH80" s="252">
        <v>0.0</v>
      </c>
      <c r="AI80" s="252">
        <v>0.0</v>
      </c>
      <c r="AJ80" s="252">
        <v>0.0</v>
      </c>
      <c r="AK80" s="252">
        <v>0.0</v>
      </c>
      <c r="AL80" s="252">
        <f t="shared" si="2"/>
        <v>2500</v>
      </c>
      <c r="AM80" s="252">
        <f t="shared" si="9"/>
        <v>0</v>
      </c>
      <c r="AN80" s="8" t="str">
        <f>+VLOOKUP('Detail 19-20'!A80,Map!$B$6:$M$222,12,FALSE)</f>
        <v>Student Activities &amp; Athletics</v>
      </c>
    </row>
    <row r="81" ht="15.75" customHeight="1">
      <c r="A81" s="170" t="s">
        <v>1020</v>
      </c>
      <c r="B81" s="170" t="s">
        <v>949</v>
      </c>
      <c r="C81" s="250" t="s">
        <v>179</v>
      </c>
      <c r="D81" s="251">
        <f>+SUMIFS('Detail 18-19'!AC:AC,'Detail 18-19'!$AA:$AA,$A81)</f>
        <v>0</v>
      </c>
      <c r="E81" s="251">
        <f>+SUMIFS('Detail 18-19'!AD:AD,'Detail 18-19'!$AA:$AA,$A81)</f>
        <v>0</v>
      </c>
      <c r="F81" s="251">
        <f>+SUMIFS('Detail 18-19'!AE:AE,'Detail 18-19'!$AA:$AA,$A81)</f>
        <v>0</v>
      </c>
      <c r="G81" s="251">
        <f>+SUMIFS('Detail 18-19'!AF:AF,'Detail 18-19'!$AA:$AA,$A81)</f>
        <v>0</v>
      </c>
      <c r="H81" s="251">
        <f>+SUMIFS('Detail 18-19'!AG:AG,'Detail 18-19'!$AA:$AA,$A81)</f>
        <v>0</v>
      </c>
      <c r="I81" s="251">
        <f>+SUMIFS('Detail 18-19'!AH:AH,'Detail 18-19'!$AA:$AA,$A81)</f>
        <v>0</v>
      </c>
      <c r="J81" s="251">
        <f>+SUMIFS('Detail 18-19'!AI:AI,'Detail 18-19'!$AA:$AA,$A81)</f>
        <v>0</v>
      </c>
      <c r="K81" s="251">
        <f>+SUMIFS('Detail 18-19'!AJ:AJ,'Detail 18-19'!$AA:$AA,$A81)</f>
        <v>0</v>
      </c>
      <c r="L81" s="251">
        <f>+SUMIFS('Detail 18-19'!AK:AK,'Detail 18-19'!$AA:$AA,$A81)</f>
        <v>0</v>
      </c>
      <c r="M81" s="251">
        <f>+SUMIFS('Detail 18-19'!AL:AL,'Detail 18-19'!$AA:$AA,$A81)</f>
        <v>1000</v>
      </c>
      <c r="N81" s="251">
        <f>+SUMIFS('Detail 18-19'!AM:AM,'Detail 18-19'!$AA:$AA,$A81)</f>
        <v>0</v>
      </c>
      <c r="O81" s="251">
        <f>+SUMIFS('Detail 18-19'!AN:AN,'Detail 18-19'!$AA:$AA,$A81)</f>
        <v>0</v>
      </c>
      <c r="P81" s="252">
        <f t="shared" si="18"/>
        <v>1000</v>
      </c>
      <c r="Q81" s="227">
        <f>-SUMIF('2019-03'!$E:$E,'Detail 19-20'!$A81,'2019-03'!$D:$D)</f>
        <v>0</v>
      </c>
      <c r="R81" s="228" t="s">
        <v>594</v>
      </c>
      <c r="S81" s="227">
        <v>1000.0</v>
      </c>
      <c r="T81" s="241">
        <v>1000.0</v>
      </c>
      <c r="U81" s="252">
        <f t="shared" si="4"/>
        <v>0</v>
      </c>
      <c r="V81" s="253">
        <f t="shared" si="5"/>
        <v>0</v>
      </c>
      <c r="W81" s="252">
        <f t="shared" si="6"/>
        <v>0</v>
      </c>
      <c r="X81" s="253">
        <f t="shared" si="7"/>
        <v>0</v>
      </c>
      <c r="Y81" s="254" t="s">
        <v>1339</v>
      </c>
      <c r="Z81" s="252">
        <v>0.0</v>
      </c>
      <c r="AA81" s="252">
        <v>0.0</v>
      </c>
      <c r="AB81" s="252">
        <v>0.0</v>
      </c>
      <c r="AC81" s="252">
        <v>0.0</v>
      </c>
      <c r="AD81" s="252">
        <v>0.0</v>
      </c>
      <c r="AE81" s="252">
        <v>0.0</v>
      </c>
      <c r="AF81" s="252">
        <v>0.0</v>
      </c>
      <c r="AG81" s="252">
        <v>0.0</v>
      </c>
      <c r="AH81" s="252">
        <v>0.0</v>
      </c>
      <c r="AI81" s="252">
        <f t="shared" ref="AI81:AJ81" si="33">+$T81*0.5</f>
        <v>500</v>
      </c>
      <c r="AJ81" s="252">
        <f t="shared" si="33"/>
        <v>500</v>
      </c>
      <c r="AK81" s="252">
        <v>0.0</v>
      </c>
      <c r="AL81" s="252">
        <f t="shared" si="2"/>
        <v>1000</v>
      </c>
      <c r="AM81" s="252">
        <f t="shared" si="9"/>
        <v>0</v>
      </c>
      <c r="AN81" s="8" t="str">
        <f>+VLOOKUP('Detail 19-20'!A81,Map!$B$6:$M$222,12,FALSE)</f>
        <v>Student Activities &amp; Athletics</v>
      </c>
    </row>
    <row r="82" ht="15.75" customHeight="1">
      <c r="A82" s="170" t="s">
        <v>1021</v>
      </c>
      <c r="B82" s="170" t="s">
        <v>949</v>
      </c>
      <c r="C82" s="250" t="s">
        <v>198</v>
      </c>
      <c r="D82" s="251">
        <f>+SUMIFS('Detail 18-19'!AC:AC,'Detail 18-19'!$AA:$AA,$A82)</f>
        <v>0</v>
      </c>
      <c r="E82" s="251">
        <f>+SUMIFS('Detail 18-19'!AD:AD,'Detail 18-19'!$AA:$AA,$A82)</f>
        <v>0</v>
      </c>
      <c r="F82" s="251">
        <f>+SUMIFS('Detail 18-19'!AE:AE,'Detail 18-19'!$AA:$AA,$A82)</f>
        <v>0</v>
      </c>
      <c r="G82" s="251">
        <f>+SUMIFS('Detail 18-19'!AF:AF,'Detail 18-19'!$AA:$AA,$A82)</f>
        <v>0</v>
      </c>
      <c r="H82" s="251">
        <f>+SUMIFS('Detail 18-19'!AG:AG,'Detail 18-19'!$AA:$AA,$A82)</f>
        <v>0</v>
      </c>
      <c r="I82" s="251">
        <f>+SUMIFS('Detail 18-19'!AH:AH,'Detail 18-19'!$AA:$AA,$A82)</f>
        <v>0</v>
      </c>
      <c r="J82" s="251">
        <f>+SUMIFS('Detail 18-19'!AI:AI,'Detail 18-19'!$AA:$AA,$A82)</f>
        <v>0</v>
      </c>
      <c r="K82" s="251">
        <f>+SUMIFS('Detail 18-19'!AJ:AJ,'Detail 18-19'!$AA:$AA,$A82)</f>
        <v>0</v>
      </c>
      <c r="L82" s="251">
        <f>+SUMIFS('Detail 18-19'!AK:AK,'Detail 18-19'!$AA:$AA,$A82)</f>
        <v>0</v>
      </c>
      <c r="M82" s="251">
        <f>+SUMIFS('Detail 18-19'!AL:AL,'Detail 18-19'!$AA:$AA,$A82)</f>
        <v>0</v>
      </c>
      <c r="N82" s="251">
        <f>+SUMIFS('Detail 18-19'!AM:AM,'Detail 18-19'!$AA:$AA,$A82)</f>
        <v>0</v>
      </c>
      <c r="O82" s="251">
        <f>+SUMIFS('Detail 18-19'!AN:AN,'Detail 18-19'!$AA:$AA,$A82)</f>
        <v>0</v>
      </c>
      <c r="P82" s="252">
        <f t="shared" si="18"/>
        <v>0</v>
      </c>
      <c r="Q82" s="227">
        <f>-SUMIF('2019-03'!$E:$E,'Detail 19-20'!$A82,'2019-03'!$D:$D)</f>
        <v>0</v>
      </c>
      <c r="R82" s="228" t="s">
        <v>954</v>
      </c>
      <c r="S82" s="227">
        <f t="shared" ref="S82:S91" si="35">IF(R82="Simple",Q82*1.33333333333333,IF(R82="None",Q82,IF(R82="Ten Month",(Q82+(Q82/8*2)))))</f>
        <v>0</v>
      </c>
      <c r="T82" s="241">
        <v>0.0</v>
      </c>
      <c r="U82" s="252">
        <f t="shared" si="4"/>
        <v>0</v>
      </c>
      <c r="V82" s="253">
        <f t="shared" si="5"/>
        <v>0</v>
      </c>
      <c r="W82" s="252">
        <f t="shared" si="6"/>
        <v>0</v>
      </c>
      <c r="X82" s="253">
        <f t="shared" si="7"/>
        <v>0</v>
      </c>
      <c r="Y82" s="254" t="s">
        <v>950</v>
      </c>
      <c r="Z82" s="252">
        <f t="shared" ref="Z82:AK82" si="34">+$T82/12</f>
        <v>0</v>
      </c>
      <c r="AA82" s="252">
        <f t="shared" si="34"/>
        <v>0</v>
      </c>
      <c r="AB82" s="252">
        <f t="shared" si="34"/>
        <v>0</v>
      </c>
      <c r="AC82" s="252">
        <f t="shared" si="34"/>
        <v>0</v>
      </c>
      <c r="AD82" s="252">
        <f t="shared" si="34"/>
        <v>0</v>
      </c>
      <c r="AE82" s="252">
        <f t="shared" si="34"/>
        <v>0</v>
      </c>
      <c r="AF82" s="252">
        <f t="shared" si="34"/>
        <v>0</v>
      </c>
      <c r="AG82" s="252">
        <f t="shared" si="34"/>
        <v>0</v>
      </c>
      <c r="AH82" s="252">
        <f t="shared" si="34"/>
        <v>0</v>
      </c>
      <c r="AI82" s="252">
        <f t="shared" si="34"/>
        <v>0</v>
      </c>
      <c r="AJ82" s="252">
        <f t="shared" si="34"/>
        <v>0</v>
      </c>
      <c r="AK82" s="252">
        <f t="shared" si="34"/>
        <v>0</v>
      </c>
      <c r="AL82" s="252">
        <f t="shared" si="2"/>
        <v>0</v>
      </c>
      <c r="AM82" s="252">
        <f t="shared" si="9"/>
        <v>0</v>
      </c>
      <c r="AN82" s="8" t="str">
        <f>+VLOOKUP('Detail 19-20'!A82,Map!$B$6:$M$222,12,FALSE)</f>
        <v>Tuition and Fees</v>
      </c>
    </row>
    <row r="83" ht="15.75" customHeight="1">
      <c r="A83" s="170" t="s">
        <v>1022</v>
      </c>
      <c r="B83" s="170" t="s">
        <v>949</v>
      </c>
      <c r="C83" s="250" t="s">
        <v>216</v>
      </c>
      <c r="D83" s="251">
        <f>+SUMIFS('Detail 18-19'!AC:AC,'Detail 18-19'!$AA:$AA,$A83)</f>
        <v>20.83333333</v>
      </c>
      <c r="E83" s="251">
        <f>+SUMIFS('Detail 18-19'!AD:AD,'Detail 18-19'!$AA:$AA,$A83)</f>
        <v>20.83333333</v>
      </c>
      <c r="F83" s="251">
        <f>+SUMIFS('Detail 18-19'!AE:AE,'Detail 18-19'!$AA:$AA,$A83)</f>
        <v>20.83333333</v>
      </c>
      <c r="G83" s="251">
        <f>+SUMIFS('Detail 18-19'!AF:AF,'Detail 18-19'!$AA:$AA,$A83)</f>
        <v>20.83333333</v>
      </c>
      <c r="H83" s="251">
        <f>+SUMIFS('Detail 18-19'!AG:AG,'Detail 18-19'!$AA:$AA,$A83)</f>
        <v>20.83333333</v>
      </c>
      <c r="I83" s="251">
        <f>+SUMIFS('Detail 18-19'!AH:AH,'Detail 18-19'!$AA:$AA,$A83)</f>
        <v>20.83333333</v>
      </c>
      <c r="J83" s="251">
        <f>+SUMIFS('Detail 18-19'!AI:AI,'Detail 18-19'!$AA:$AA,$A83)</f>
        <v>20.83333333</v>
      </c>
      <c r="K83" s="251">
        <f>+SUMIFS('Detail 18-19'!AJ:AJ,'Detail 18-19'!$AA:$AA,$A83)</f>
        <v>20.83333333</v>
      </c>
      <c r="L83" s="251">
        <f>+SUMIFS('Detail 18-19'!AK:AK,'Detail 18-19'!$AA:$AA,$A83)</f>
        <v>20.83333333</v>
      </c>
      <c r="M83" s="251">
        <f>+SUMIFS('Detail 18-19'!AL:AL,'Detail 18-19'!$AA:$AA,$A83)</f>
        <v>20.83333333</v>
      </c>
      <c r="N83" s="251">
        <f>+SUMIFS('Detail 18-19'!AM:AM,'Detail 18-19'!$AA:$AA,$A83)</f>
        <v>20.83333333</v>
      </c>
      <c r="O83" s="251">
        <f>+SUMIFS('Detail 18-19'!AN:AN,'Detail 18-19'!$AA:$AA,$A83)</f>
        <v>20.83333333</v>
      </c>
      <c r="P83" s="252">
        <f t="shared" si="18"/>
        <v>250</v>
      </c>
      <c r="Q83" s="227">
        <f>-SUMIF('2019-03'!$E:$E,'Detail 19-20'!$A83,'2019-03'!$D:$D)</f>
        <v>58.93</v>
      </c>
      <c r="R83" s="228" t="s">
        <v>950</v>
      </c>
      <c r="S83" s="227">
        <f t="shared" si="35"/>
        <v>78.57333333</v>
      </c>
      <c r="T83" s="241">
        <v>80.0</v>
      </c>
      <c r="U83" s="252">
        <f t="shared" si="4"/>
        <v>-170</v>
      </c>
      <c r="V83" s="253">
        <f t="shared" si="5"/>
        <v>-0.68</v>
      </c>
      <c r="W83" s="252">
        <f t="shared" si="6"/>
        <v>1.426666667</v>
      </c>
      <c r="X83" s="253">
        <f t="shared" si="7"/>
        <v>0.01815713558</v>
      </c>
      <c r="Y83" s="254" t="s">
        <v>950</v>
      </c>
      <c r="Z83" s="252">
        <f t="shared" ref="Z83:AK83" si="36">+$T83/12</f>
        <v>6.666666667</v>
      </c>
      <c r="AA83" s="252">
        <f t="shared" si="36"/>
        <v>6.666666667</v>
      </c>
      <c r="AB83" s="252">
        <f t="shared" si="36"/>
        <v>6.666666667</v>
      </c>
      <c r="AC83" s="252">
        <f t="shared" si="36"/>
        <v>6.666666667</v>
      </c>
      <c r="AD83" s="252">
        <f t="shared" si="36"/>
        <v>6.666666667</v>
      </c>
      <c r="AE83" s="252">
        <f t="shared" si="36"/>
        <v>6.666666667</v>
      </c>
      <c r="AF83" s="252">
        <f t="shared" si="36"/>
        <v>6.666666667</v>
      </c>
      <c r="AG83" s="252">
        <f t="shared" si="36"/>
        <v>6.666666667</v>
      </c>
      <c r="AH83" s="252">
        <f t="shared" si="36"/>
        <v>6.666666667</v>
      </c>
      <c r="AI83" s="252">
        <f t="shared" si="36"/>
        <v>6.666666667</v>
      </c>
      <c r="AJ83" s="252">
        <f t="shared" si="36"/>
        <v>6.666666667</v>
      </c>
      <c r="AK83" s="252">
        <f t="shared" si="36"/>
        <v>6.666666667</v>
      </c>
      <c r="AL83" s="252">
        <f t="shared" si="2"/>
        <v>80</v>
      </c>
      <c r="AM83" s="252">
        <f t="shared" si="9"/>
        <v>0</v>
      </c>
      <c r="AN83" s="8" t="str">
        <f>+VLOOKUP('Detail 19-20'!A83,Map!$B$6:$M$222,12,FALSE)</f>
        <v>Investment Income</v>
      </c>
    </row>
    <row r="84" ht="15.75" customHeight="1">
      <c r="A84" s="170" t="s">
        <v>1023</v>
      </c>
      <c r="B84" s="170" t="s">
        <v>949</v>
      </c>
      <c r="C84" s="250" t="s">
        <v>1024</v>
      </c>
      <c r="D84" s="251">
        <f>+SUMIFS('Detail 18-19'!AC:AC,'Detail 18-19'!$AA:$AA,$A84)</f>
        <v>0</v>
      </c>
      <c r="E84" s="251">
        <f>+SUMIFS('Detail 18-19'!AD:AD,'Detail 18-19'!$AA:$AA,$A84)</f>
        <v>0</v>
      </c>
      <c r="F84" s="251">
        <f>+SUMIFS('Detail 18-19'!AE:AE,'Detail 18-19'!$AA:$AA,$A84)</f>
        <v>0</v>
      </c>
      <c r="G84" s="251">
        <f>+SUMIFS('Detail 18-19'!AF:AF,'Detail 18-19'!$AA:$AA,$A84)</f>
        <v>0</v>
      </c>
      <c r="H84" s="251">
        <f>+SUMIFS('Detail 18-19'!AG:AG,'Detail 18-19'!$AA:$AA,$A84)</f>
        <v>0</v>
      </c>
      <c r="I84" s="251">
        <f>+SUMIFS('Detail 18-19'!AH:AH,'Detail 18-19'!$AA:$AA,$A84)</f>
        <v>0</v>
      </c>
      <c r="J84" s="251">
        <f>+SUMIFS('Detail 18-19'!AI:AI,'Detail 18-19'!$AA:$AA,$A84)</f>
        <v>0</v>
      </c>
      <c r="K84" s="251">
        <f>+SUMIFS('Detail 18-19'!AJ:AJ,'Detail 18-19'!$AA:$AA,$A84)</f>
        <v>0</v>
      </c>
      <c r="L84" s="251">
        <f>+SUMIFS('Detail 18-19'!AK:AK,'Detail 18-19'!$AA:$AA,$A84)</f>
        <v>0</v>
      </c>
      <c r="M84" s="251">
        <f>+SUMIFS('Detail 18-19'!AL:AL,'Detail 18-19'!$AA:$AA,$A84)</f>
        <v>0</v>
      </c>
      <c r="N84" s="251">
        <f>+SUMIFS('Detail 18-19'!AM:AM,'Detail 18-19'!$AA:$AA,$A84)</f>
        <v>0</v>
      </c>
      <c r="O84" s="251">
        <f>+SUMIFS('Detail 18-19'!AN:AN,'Detail 18-19'!$AA:$AA,$A84)</f>
        <v>0</v>
      </c>
      <c r="P84" s="252">
        <f t="shared" si="18"/>
        <v>0</v>
      </c>
      <c r="Q84" s="227">
        <f>-SUMIF('2019-03'!$E:$E,'Detail 19-20'!$A84,'2019-03'!$D:$D)</f>
        <v>251.27</v>
      </c>
      <c r="R84" s="228" t="s">
        <v>950</v>
      </c>
      <c r="S84" s="227">
        <f t="shared" si="35"/>
        <v>335.0266667</v>
      </c>
      <c r="T84" s="241">
        <v>350.0</v>
      </c>
      <c r="U84" s="252">
        <f t="shared" si="4"/>
        <v>350</v>
      </c>
      <c r="V84" s="253">
        <f t="shared" si="5"/>
        <v>0</v>
      </c>
      <c r="W84" s="252">
        <f t="shared" si="6"/>
        <v>14.97333333</v>
      </c>
      <c r="X84" s="253">
        <f t="shared" si="7"/>
        <v>0.04469295976</v>
      </c>
      <c r="Y84" s="254" t="s">
        <v>950</v>
      </c>
      <c r="Z84" s="252">
        <f t="shared" ref="Z84:AK84" si="37">+$T84/12</f>
        <v>29.16666667</v>
      </c>
      <c r="AA84" s="252">
        <f t="shared" si="37"/>
        <v>29.16666667</v>
      </c>
      <c r="AB84" s="252">
        <f t="shared" si="37"/>
        <v>29.16666667</v>
      </c>
      <c r="AC84" s="252">
        <f t="shared" si="37"/>
        <v>29.16666667</v>
      </c>
      <c r="AD84" s="252">
        <f t="shared" si="37"/>
        <v>29.16666667</v>
      </c>
      <c r="AE84" s="252">
        <f t="shared" si="37"/>
        <v>29.16666667</v>
      </c>
      <c r="AF84" s="252">
        <f t="shared" si="37"/>
        <v>29.16666667</v>
      </c>
      <c r="AG84" s="252">
        <f t="shared" si="37"/>
        <v>29.16666667</v>
      </c>
      <c r="AH84" s="252">
        <f t="shared" si="37"/>
        <v>29.16666667</v>
      </c>
      <c r="AI84" s="252">
        <f t="shared" si="37"/>
        <v>29.16666667</v>
      </c>
      <c r="AJ84" s="252">
        <f t="shared" si="37"/>
        <v>29.16666667</v>
      </c>
      <c r="AK84" s="252">
        <f t="shared" si="37"/>
        <v>29.16666667</v>
      </c>
      <c r="AL84" s="252">
        <f t="shared" si="2"/>
        <v>350</v>
      </c>
      <c r="AM84" s="252">
        <f t="shared" si="9"/>
        <v>0</v>
      </c>
      <c r="AN84" s="8" t="str">
        <f>+VLOOKUP('Detail 19-20'!A84,Map!$B$6:$M$222,12,FALSE)</f>
        <v>Investment Income</v>
      </c>
    </row>
    <row r="85" ht="15.75" customHeight="1">
      <c r="A85" s="170" t="s">
        <v>1025</v>
      </c>
      <c r="B85" s="170" t="s">
        <v>949</v>
      </c>
      <c r="C85" s="250" t="s">
        <v>239</v>
      </c>
      <c r="D85" s="251">
        <f>+SUMIFS('Detail 18-19'!AC:AC,'Detail 18-19'!$AA:$AA,$A85)</f>
        <v>0</v>
      </c>
      <c r="E85" s="251">
        <f>+SUMIFS('Detail 18-19'!AD:AD,'Detail 18-19'!$AA:$AA,$A85)</f>
        <v>0</v>
      </c>
      <c r="F85" s="251">
        <f>+SUMIFS('Detail 18-19'!AE:AE,'Detail 18-19'!$AA:$AA,$A85)</f>
        <v>0</v>
      </c>
      <c r="G85" s="251">
        <f>+SUMIFS('Detail 18-19'!AF:AF,'Detail 18-19'!$AA:$AA,$A85)</f>
        <v>0</v>
      </c>
      <c r="H85" s="251">
        <f>+SUMIFS('Detail 18-19'!AG:AG,'Detail 18-19'!$AA:$AA,$A85)</f>
        <v>0</v>
      </c>
      <c r="I85" s="251">
        <f>+SUMIFS('Detail 18-19'!AH:AH,'Detail 18-19'!$AA:$AA,$A85)</f>
        <v>0</v>
      </c>
      <c r="J85" s="251">
        <f>+SUMIFS('Detail 18-19'!AI:AI,'Detail 18-19'!$AA:$AA,$A85)</f>
        <v>0</v>
      </c>
      <c r="K85" s="251">
        <f>+SUMIFS('Detail 18-19'!AJ:AJ,'Detail 18-19'!$AA:$AA,$A85)</f>
        <v>1500</v>
      </c>
      <c r="L85" s="251">
        <f>+SUMIFS('Detail 18-19'!AK:AK,'Detail 18-19'!$AA:$AA,$A85)</f>
        <v>8500</v>
      </c>
      <c r="M85" s="251">
        <f>+SUMIFS('Detail 18-19'!AL:AL,'Detail 18-19'!$AA:$AA,$A85)</f>
        <v>0</v>
      </c>
      <c r="N85" s="251">
        <f>+SUMIFS('Detail 18-19'!AM:AM,'Detail 18-19'!$AA:$AA,$A85)</f>
        <v>0</v>
      </c>
      <c r="O85" s="251">
        <f>+SUMIFS('Detail 18-19'!AN:AN,'Detail 18-19'!$AA:$AA,$A85)</f>
        <v>0</v>
      </c>
      <c r="P85" s="252">
        <f t="shared" si="18"/>
        <v>10000</v>
      </c>
      <c r="Q85" s="227">
        <f>-SUMIF('2019-03'!$E:$E,'Detail 19-20'!$A85,'2019-03'!$D:$D)</f>
        <v>14143.46</v>
      </c>
      <c r="R85" s="228" t="s">
        <v>954</v>
      </c>
      <c r="S85" s="227">
        <f t="shared" si="35"/>
        <v>14143.46</v>
      </c>
      <c r="T85" s="241">
        <v>14200.0</v>
      </c>
      <c r="U85" s="252">
        <f t="shared" si="4"/>
        <v>4200</v>
      </c>
      <c r="V85" s="253">
        <f t="shared" si="5"/>
        <v>0.42</v>
      </c>
      <c r="W85" s="252">
        <f t="shared" si="6"/>
        <v>56.54</v>
      </c>
      <c r="X85" s="253">
        <f t="shared" si="7"/>
        <v>0.003997607375</v>
      </c>
      <c r="Y85" s="254" t="s">
        <v>1459</v>
      </c>
      <c r="Z85" s="252">
        <v>0.0</v>
      </c>
      <c r="AA85" s="252">
        <v>0.0</v>
      </c>
      <c r="AB85" s="252">
        <v>0.0</v>
      </c>
      <c r="AC85" s="252">
        <v>0.0</v>
      </c>
      <c r="AD85" s="252">
        <v>0.0</v>
      </c>
      <c r="AE85" s="252">
        <v>0.0</v>
      </c>
      <c r="AF85" s="252">
        <v>0.0</v>
      </c>
      <c r="AG85" s="252">
        <f>+$T85*0.25</f>
        <v>3550</v>
      </c>
      <c r="AH85" s="252">
        <f>+$T85*0.75</f>
        <v>10650</v>
      </c>
      <c r="AI85" s="252">
        <v>0.0</v>
      </c>
      <c r="AJ85" s="252">
        <v>0.0</v>
      </c>
      <c r="AK85" s="252">
        <v>0.0</v>
      </c>
      <c r="AL85" s="252">
        <f t="shared" si="2"/>
        <v>14200</v>
      </c>
      <c r="AM85" s="252">
        <f t="shared" si="9"/>
        <v>0</v>
      </c>
      <c r="AN85" s="8" t="str">
        <f>+VLOOKUP('Detail 19-20'!A85,Map!$B$6:$M$222,12,FALSE)</f>
        <v>Fundraising</v>
      </c>
    </row>
    <row r="86" ht="15.75" customHeight="1">
      <c r="A86" s="170" t="s">
        <v>1026</v>
      </c>
      <c r="B86" s="170" t="s">
        <v>949</v>
      </c>
      <c r="C86" s="250" t="s">
        <v>241</v>
      </c>
      <c r="D86" s="251">
        <f>+SUMIFS('Detail 18-19'!AC:AC,'Detail 18-19'!$AA:$AA,$A86)</f>
        <v>0</v>
      </c>
      <c r="E86" s="251">
        <f>+SUMIFS('Detail 18-19'!AD:AD,'Detail 18-19'!$AA:$AA,$A86)</f>
        <v>0</v>
      </c>
      <c r="F86" s="251">
        <f>+SUMIFS('Detail 18-19'!AE:AE,'Detail 18-19'!$AA:$AA,$A86)</f>
        <v>0</v>
      </c>
      <c r="G86" s="251">
        <f>+SUMIFS('Detail 18-19'!AF:AF,'Detail 18-19'!$AA:$AA,$A86)</f>
        <v>0</v>
      </c>
      <c r="H86" s="251">
        <f>+SUMIFS('Detail 18-19'!AG:AG,'Detail 18-19'!$AA:$AA,$A86)</f>
        <v>4000</v>
      </c>
      <c r="I86" s="251">
        <f>+SUMIFS('Detail 18-19'!AH:AH,'Detail 18-19'!$AA:$AA,$A86)</f>
        <v>2500</v>
      </c>
      <c r="J86" s="251">
        <f>+SUMIFS('Detail 18-19'!AI:AI,'Detail 18-19'!$AA:$AA,$A86)</f>
        <v>0</v>
      </c>
      <c r="K86" s="251">
        <f>+SUMIFS('Detail 18-19'!AJ:AJ,'Detail 18-19'!$AA:$AA,$A86)</f>
        <v>0</v>
      </c>
      <c r="L86" s="251">
        <f>+SUMIFS('Detail 18-19'!AK:AK,'Detail 18-19'!$AA:$AA,$A86)</f>
        <v>0</v>
      </c>
      <c r="M86" s="251">
        <f>+SUMIFS('Detail 18-19'!AL:AL,'Detail 18-19'!$AA:$AA,$A86)</f>
        <v>0</v>
      </c>
      <c r="N86" s="251">
        <f>+SUMIFS('Detail 18-19'!AM:AM,'Detail 18-19'!$AA:$AA,$A86)</f>
        <v>0</v>
      </c>
      <c r="O86" s="251">
        <f>+SUMIFS('Detail 18-19'!AN:AN,'Detail 18-19'!$AA:$AA,$A86)</f>
        <v>0</v>
      </c>
      <c r="P86" s="252">
        <f t="shared" si="18"/>
        <v>6500</v>
      </c>
      <c r="Q86" s="227">
        <f>-SUMIF('2019-03'!$E:$E,'Detail 19-20'!$A86,'2019-03'!$D:$D)</f>
        <v>5563.75</v>
      </c>
      <c r="R86" s="228" t="s">
        <v>954</v>
      </c>
      <c r="S86" s="227">
        <f t="shared" si="35"/>
        <v>5563.75</v>
      </c>
      <c r="T86" s="241">
        <v>5600.0</v>
      </c>
      <c r="U86" s="252">
        <f t="shared" si="4"/>
        <v>-900</v>
      </c>
      <c r="V86" s="253">
        <f t="shared" si="5"/>
        <v>-0.1384615385</v>
      </c>
      <c r="W86" s="252">
        <f t="shared" si="6"/>
        <v>36.25</v>
      </c>
      <c r="X86" s="253">
        <f t="shared" si="7"/>
        <v>0.0065153898</v>
      </c>
      <c r="Y86" s="254" t="s">
        <v>1460</v>
      </c>
      <c r="Z86" s="252">
        <v>0.0</v>
      </c>
      <c r="AA86" s="252">
        <v>0.0</v>
      </c>
      <c r="AB86" s="252">
        <v>0.0</v>
      </c>
      <c r="AC86" s="252">
        <v>0.0</v>
      </c>
      <c r="AD86" s="252">
        <v>0.0</v>
      </c>
      <c r="AE86" s="252">
        <v>0.0</v>
      </c>
      <c r="AF86" s="252">
        <v>0.0</v>
      </c>
      <c r="AG86" s="252">
        <v>0.0</v>
      </c>
      <c r="AH86" s="252">
        <f t="shared" ref="AH86:AH90" si="38">+$T86</f>
        <v>5600</v>
      </c>
      <c r="AI86" s="252">
        <v>0.0</v>
      </c>
      <c r="AJ86" s="252">
        <v>0.0</v>
      </c>
      <c r="AK86" s="252">
        <v>0.0</v>
      </c>
      <c r="AL86" s="252">
        <f t="shared" si="2"/>
        <v>5600</v>
      </c>
      <c r="AM86" s="252">
        <f t="shared" si="9"/>
        <v>0</v>
      </c>
      <c r="AN86" s="8" t="str">
        <f>+VLOOKUP('Detail 19-20'!A86,Map!$B$6:$M$222,12,FALSE)</f>
        <v>Fundraising</v>
      </c>
    </row>
    <row r="87" ht="15.75" customHeight="1">
      <c r="A87" s="170" t="s">
        <v>1027</v>
      </c>
      <c r="B87" s="170" t="s">
        <v>949</v>
      </c>
      <c r="C87" s="250" t="s">
        <v>244</v>
      </c>
      <c r="D87" s="251">
        <f>+SUMIFS('Detail 18-19'!AC:AC,'Detail 18-19'!$AA:$AA,$A87)</f>
        <v>0</v>
      </c>
      <c r="E87" s="251">
        <f>+SUMIFS('Detail 18-19'!AD:AD,'Detail 18-19'!$AA:$AA,$A87)</f>
        <v>0</v>
      </c>
      <c r="F87" s="251">
        <f>+SUMIFS('Detail 18-19'!AE:AE,'Detail 18-19'!$AA:$AA,$A87)</f>
        <v>0</v>
      </c>
      <c r="G87" s="251">
        <f>+SUMIFS('Detail 18-19'!AF:AF,'Detail 18-19'!$AA:$AA,$A87)</f>
        <v>0</v>
      </c>
      <c r="H87" s="251">
        <f>+SUMIFS('Detail 18-19'!AG:AG,'Detail 18-19'!$AA:$AA,$A87)</f>
        <v>0</v>
      </c>
      <c r="I87" s="251">
        <f>+SUMIFS('Detail 18-19'!AH:AH,'Detail 18-19'!$AA:$AA,$A87)</f>
        <v>0</v>
      </c>
      <c r="J87" s="251">
        <f>+SUMIFS('Detail 18-19'!AI:AI,'Detail 18-19'!$AA:$AA,$A87)</f>
        <v>0</v>
      </c>
      <c r="K87" s="251">
        <f>+SUMIFS('Detail 18-19'!AJ:AJ,'Detail 18-19'!$AA:$AA,$A87)</f>
        <v>0</v>
      </c>
      <c r="L87" s="251">
        <f>+SUMIFS('Detail 18-19'!AK:AK,'Detail 18-19'!$AA:$AA,$A87)</f>
        <v>7000</v>
      </c>
      <c r="M87" s="251">
        <f>+SUMIFS('Detail 18-19'!AL:AL,'Detail 18-19'!$AA:$AA,$A87)</f>
        <v>0</v>
      </c>
      <c r="N87" s="251">
        <f>+SUMIFS('Detail 18-19'!AM:AM,'Detail 18-19'!$AA:$AA,$A87)</f>
        <v>0</v>
      </c>
      <c r="O87" s="251">
        <f>+SUMIFS('Detail 18-19'!AN:AN,'Detail 18-19'!$AA:$AA,$A87)</f>
        <v>0</v>
      </c>
      <c r="P87" s="252">
        <f t="shared" si="18"/>
        <v>7000</v>
      </c>
      <c r="Q87" s="227">
        <f>-SUMIF('2019-03'!$E:$E,'Detail 19-20'!$A87,'2019-03'!$D:$D)</f>
        <v>9565.88</v>
      </c>
      <c r="R87" s="228" t="s">
        <v>954</v>
      </c>
      <c r="S87" s="227">
        <f t="shared" si="35"/>
        <v>9565.88</v>
      </c>
      <c r="T87" s="241">
        <v>9500.0</v>
      </c>
      <c r="U87" s="252">
        <f t="shared" si="4"/>
        <v>2500</v>
      </c>
      <c r="V87" s="253">
        <f t="shared" si="5"/>
        <v>0.3571428571</v>
      </c>
      <c r="W87" s="252">
        <f t="shared" si="6"/>
        <v>-65.88</v>
      </c>
      <c r="X87" s="253">
        <f t="shared" si="7"/>
        <v>-0.006886977466</v>
      </c>
      <c r="Y87" s="254" t="s">
        <v>1460</v>
      </c>
      <c r="Z87" s="252">
        <v>0.0</v>
      </c>
      <c r="AA87" s="252">
        <v>0.0</v>
      </c>
      <c r="AB87" s="252">
        <v>0.0</v>
      </c>
      <c r="AC87" s="252">
        <v>0.0</v>
      </c>
      <c r="AD87" s="252">
        <v>0.0</v>
      </c>
      <c r="AE87" s="252">
        <v>0.0</v>
      </c>
      <c r="AF87" s="252">
        <v>0.0</v>
      </c>
      <c r="AG87" s="252">
        <v>0.0</v>
      </c>
      <c r="AH87" s="252">
        <f t="shared" si="38"/>
        <v>9500</v>
      </c>
      <c r="AI87" s="252">
        <v>0.0</v>
      </c>
      <c r="AJ87" s="252">
        <v>0.0</v>
      </c>
      <c r="AK87" s="252">
        <v>0.0</v>
      </c>
      <c r="AL87" s="252">
        <f t="shared" si="2"/>
        <v>9500</v>
      </c>
      <c r="AM87" s="252">
        <f t="shared" si="9"/>
        <v>0</v>
      </c>
      <c r="AN87" s="8" t="str">
        <f>+VLOOKUP('Detail 19-20'!A87,Map!$B$6:$M$222,12,FALSE)</f>
        <v>Fundraising</v>
      </c>
    </row>
    <row r="88" ht="15.75" customHeight="1">
      <c r="A88" s="170" t="s">
        <v>1028</v>
      </c>
      <c r="B88" s="170" t="s">
        <v>949</v>
      </c>
      <c r="C88" s="250" t="s">
        <v>248</v>
      </c>
      <c r="D88" s="251">
        <f>+SUMIFS('Detail 18-19'!AC:AC,'Detail 18-19'!$AA:$AA,$A88)</f>
        <v>0</v>
      </c>
      <c r="E88" s="251">
        <f>+SUMIFS('Detail 18-19'!AD:AD,'Detail 18-19'!$AA:$AA,$A88)</f>
        <v>0</v>
      </c>
      <c r="F88" s="251">
        <f>+SUMIFS('Detail 18-19'!AE:AE,'Detail 18-19'!$AA:$AA,$A88)</f>
        <v>0</v>
      </c>
      <c r="G88" s="251">
        <f>+SUMIFS('Detail 18-19'!AF:AF,'Detail 18-19'!$AA:$AA,$A88)</f>
        <v>0</v>
      </c>
      <c r="H88" s="251">
        <f>+SUMIFS('Detail 18-19'!AG:AG,'Detail 18-19'!$AA:$AA,$A88)</f>
        <v>0</v>
      </c>
      <c r="I88" s="251">
        <f>+SUMIFS('Detail 18-19'!AH:AH,'Detail 18-19'!$AA:$AA,$A88)</f>
        <v>0</v>
      </c>
      <c r="J88" s="251">
        <f>+SUMIFS('Detail 18-19'!AI:AI,'Detail 18-19'!$AA:$AA,$A88)</f>
        <v>0</v>
      </c>
      <c r="K88" s="251">
        <f>+SUMIFS('Detail 18-19'!AJ:AJ,'Detail 18-19'!$AA:$AA,$A88)</f>
        <v>2000</v>
      </c>
      <c r="L88" s="251">
        <f>+SUMIFS('Detail 18-19'!AK:AK,'Detail 18-19'!$AA:$AA,$A88)</f>
        <v>750</v>
      </c>
      <c r="M88" s="251">
        <f>+SUMIFS('Detail 18-19'!AL:AL,'Detail 18-19'!$AA:$AA,$A88)</f>
        <v>0</v>
      </c>
      <c r="N88" s="251">
        <f>+SUMIFS('Detail 18-19'!AM:AM,'Detail 18-19'!$AA:$AA,$A88)</f>
        <v>0</v>
      </c>
      <c r="O88" s="251">
        <f>+SUMIFS('Detail 18-19'!AN:AN,'Detail 18-19'!$AA:$AA,$A88)</f>
        <v>0</v>
      </c>
      <c r="P88" s="252">
        <f t="shared" si="18"/>
        <v>2750</v>
      </c>
      <c r="Q88" s="227">
        <f>-SUMIF('2019-03'!$E:$E,'Detail 19-20'!$A88,'2019-03'!$D:$D)</f>
        <v>16500</v>
      </c>
      <c r="R88" s="228" t="s">
        <v>954</v>
      </c>
      <c r="S88" s="227">
        <f t="shared" si="35"/>
        <v>16500</v>
      </c>
      <c r="T88" s="241">
        <v>26000.0</v>
      </c>
      <c r="U88" s="252">
        <f t="shared" si="4"/>
        <v>23250</v>
      </c>
      <c r="V88" s="253">
        <f t="shared" si="5"/>
        <v>8.454545455</v>
      </c>
      <c r="W88" s="252">
        <f t="shared" si="6"/>
        <v>9500</v>
      </c>
      <c r="X88" s="253">
        <f t="shared" si="7"/>
        <v>0.5757575758</v>
      </c>
      <c r="Y88" s="254" t="s">
        <v>1460</v>
      </c>
      <c r="Z88" s="252">
        <v>0.0</v>
      </c>
      <c r="AA88" s="252">
        <v>0.0</v>
      </c>
      <c r="AB88" s="252">
        <v>0.0</v>
      </c>
      <c r="AC88" s="252">
        <v>0.0</v>
      </c>
      <c r="AD88" s="252">
        <v>0.0</v>
      </c>
      <c r="AE88" s="252">
        <v>0.0</v>
      </c>
      <c r="AF88" s="252">
        <v>0.0</v>
      </c>
      <c r="AG88" s="252">
        <v>0.0</v>
      </c>
      <c r="AH88" s="252">
        <f t="shared" si="38"/>
        <v>26000</v>
      </c>
      <c r="AI88" s="252">
        <v>0.0</v>
      </c>
      <c r="AJ88" s="252">
        <v>0.0</v>
      </c>
      <c r="AK88" s="252">
        <v>0.0</v>
      </c>
      <c r="AL88" s="252">
        <f t="shared" si="2"/>
        <v>26000</v>
      </c>
      <c r="AM88" s="252">
        <f t="shared" si="9"/>
        <v>0</v>
      </c>
      <c r="AN88" s="8" t="str">
        <f>+VLOOKUP('Detail 19-20'!A88,Map!$B$6:$M$222,12,FALSE)</f>
        <v>Fundraising</v>
      </c>
    </row>
    <row r="89" ht="15.75" customHeight="1">
      <c r="A89" s="170" t="s">
        <v>1029</v>
      </c>
      <c r="B89" s="170" t="s">
        <v>949</v>
      </c>
      <c r="C89" s="250" t="s">
        <v>252</v>
      </c>
      <c r="D89" s="251">
        <f>+SUMIFS('Detail 18-19'!AC:AC,'Detail 18-19'!$AA:$AA,$A89)</f>
        <v>0</v>
      </c>
      <c r="E89" s="251">
        <f>+SUMIFS('Detail 18-19'!AD:AD,'Detail 18-19'!$AA:$AA,$A89)</f>
        <v>0</v>
      </c>
      <c r="F89" s="251">
        <f>+SUMIFS('Detail 18-19'!AE:AE,'Detail 18-19'!$AA:$AA,$A89)</f>
        <v>0</v>
      </c>
      <c r="G89" s="251">
        <f>+SUMIFS('Detail 18-19'!AF:AF,'Detail 18-19'!$AA:$AA,$A89)</f>
        <v>0</v>
      </c>
      <c r="H89" s="251">
        <f>+SUMIFS('Detail 18-19'!AG:AG,'Detail 18-19'!$AA:$AA,$A89)</f>
        <v>0</v>
      </c>
      <c r="I89" s="251">
        <f>+SUMIFS('Detail 18-19'!AH:AH,'Detail 18-19'!$AA:$AA,$A89)</f>
        <v>0</v>
      </c>
      <c r="J89" s="251">
        <f>+SUMIFS('Detail 18-19'!AI:AI,'Detail 18-19'!$AA:$AA,$A89)</f>
        <v>0</v>
      </c>
      <c r="K89" s="251">
        <f>+SUMIFS('Detail 18-19'!AJ:AJ,'Detail 18-19'!$AA:$AA,$A89)</f>
        <v>4000</v>
      </c>
      <c r="L89" s="251">
        <f>+SUMIFS('Detail 18-19'!AK:AK,'Detail 18-19'!$AA:$AA,$A89)</f>
        <v>8000</v>
      </c>
      <c r="M89" s="251">
        <f>+SUMIFS('Detail 18-19'!AL:AL,'Detail 18-19'!$AA:$AA,$A89)</f>
        <v>0</v>
      </c>
      <c r="N89" s="251">
        <f>+SUMIFS('Detail 18-19'!AM:AM,'Detail 18-19'!$AA:$AA,$A89)</f>
        <v>0</v>
      </c>
      <c r="O89" s="251">
        <f>+SUMIFS('Detail 18-19'!AN:AN,'Detail 18-19'!$AA:$AA,$A89)</f>
        <v>0</v>
      </c>
      <c r="P89" s="252">
        <f t="shared" si="18"/>
        <v>12000</v>
      </c>
      <c r="Q89" s="227">
        <f>-SUMIF('2019-03'!$E:$E,'Detail 19-20'!$A89,'2019-03'!$D:$D)</f>
        <v>6398.77</v>
      </c>
      <c r="R89" s="228" t="s">
        <v>954</v>
      </c>
      <c r="S89" s="227">
        <f t="shared" si="35"/>
        <v>6398.77</v>
      </c>
      <c r="T89" s="241">
        <v>6400.0</v>
      </c>
      <c r="U89" s="252">
        <f t="shared" si="4"/>
        <v>-5600</v>
      </c>
      <c r="V89" s="253">
        <f t="shared" si="5"/>
        <v>-0.4666666667</v>
      </c>
      <c r="W89" s="252">
        <f t="shared" si="6"/>
        <v>1.23</v>
      </c>
      <c r="X89" s="253">
        <f t="shared" si="7"/>
        <v>0.0001922244431</v>
      </c>
      <c r="Y89" s="254" t="s">
        <v>1460</v>
      </c>
      <c r="Z89" s="252">
        <v>0.0</v>
      </c>
      <c r="AA89" s="252">
        <v>0.0</v>
      </c>
      <c r="AB89" s="252">
        <v>0.0</v>
      </c>
      <c r="AC89" s="252">
        <v>0.0</v>
      </c>
      <c r="AD89" s="252">
        <v>0.0</v>
      </c>
      <c r="AE89" s="252">
        <v>0.0</v>
      </c>
      <c r="AF89" s="252">
        <v>0.0</v>
      </c>
      <c r="AG89" s="252">
        <v>0.0</v>
      </c>
      <c r="AH89" s="252">
        <f t="shared" si="38"/>
        <v>6400</v>
      </c>
      <c r="AI89" s="252">
        <v>0.0</v>
      </c>
      <c r="AJ89" s="252">
        <v>0.0</v>
      </c>
      <c r="AK89" s="252">
        <v>0.0</v>
      </c>
      <c r="AL89" s="252">
        <f t="shared" si="2"/>
        <v>6400</v>
      </c>
      <c r="AM89" s="252">
        <f t="shared" si="9"/>
        <v>0</v>
      </c>
      <c r="AN89" s="8" t="str">
        <f>+VLOOKUP('Detail 19-20'!A89,Map!$B$6:$M$222,12,FALSE)</f>
        <v>Fundraising</v>
      </c>
    </row>
    <row r="90" ht="15.75" customHeight="1">
      <c r="A90" s="170" t="s">
        <v>1030</v>
      </c>
      <c r="B90" s="170" t="s">
        <v>949</v>
      </c>
      <c r="C90" s="250" t="s">
        <v>254</v>
      </c>
      <c r="D90" s="251">
        <f>+SUMIFS('Detail 18-19'!AC:AC,'Detail 18-19'!$AA:$AA,$A90)</f>
        <v>0</v>
      </c>
      <c r="E90" s="251">
        <f>+SUMIFS('Detail 18-19'!AD:AD,'Detail 18-19'!$AA:$AA,$A90)</f>
        <v>0</v>
      </c>
      <c r="F90" s="251">
        <f>+SUMIFS('Detail 18-19'!AE:AE,'Detail 18-19'!$AA:$AA,$A90)</f>
        <v>0</v>
      </c>
      <c r="G90" s="251">
        <f>+SUMIFS('Detail 18-19'!AF:AF,'Detail 18-19'!$AA:$AA,$A90)</f>
        <v>0</v>
      </c>
      <c r="H90" s="251">
        <f>+SUMIFS('Detail 18-19'!AG:AG,'Detail 18-19'!$AA:$AA,$A90)</f>
        <v>0</v>
      </c>
      <c r="I90" s="251">
        <f>+SUMIFS('Detail 18-19'!AH:AH,'Detail 18-19'!$AA:$AA,$A90)</f>
        <v>0</v>
      </c>
      <c r="J90" s="251">
        <f>+SUMIFS('Detail 18-19'!AI:AI,'Detail 18-19'!$AA:$AA,$A90)</f>
        <v>0</v>
      </c>
      <c r="K90" s="251">
        <f>+SUMIFS('Detail 18-19'!AJ:AJ,'Detail 18-19'!$AA:$AA,$A90)</f>
        <v>0</v>
      </c>
      <c r="L90" s="251">
        <f>+SUMIFS('Detail 18-19'!AK:AK,'Detail 18-19'!$AA:$AA,$A90)</f>
        <v>1500</v>
      </c>
      <c r="M90" s="251">
        <f>+SUMIFS('Detail 18-19'!AL:AL,'Detail 18-19'!$AA:$AA,$A90)</f>
        <v>0</v>
      </c>
      <c r="N90" s="251">
        <f>+SUMIFS('Detail 18-19'!AM:AM,'Detail 18-19'!$AA:$AA,$A90)</f>
        <v>0</v>
      </c>
      <c r="O90" s="251">
        <f>+SUMIFS('Detail 18-19'!AN:AN,'Detail 18-19'!$AA:$AA,$A90)</f>
        <v>0</v>
      </c>
      <c r="P90" s="252">
        <f t="shared" si="18"/>
        <v>1500</v>
      </c>
      <c r="Q90" s="227">
        <f>-SUMIF('2019-03'!$E:$E,'Detail 19-20'!$A90,'2019-03'!$D:$D)</f>
        <v>1560</v>
      </c>
      <c r="R90" s="228" t="s">
        <v>954</v>
      </c>
      <c r="S90" s="227">
        <f t="shared" si="35"/>
        <v>1560</v>
      </c>
      <c r="T90" s="241">
        <v>1500.0</v>
      </c>
      <c r="U90" s="252">
        <f t="shared" si="4"/>
        <v>0</v>
      </c>
      <c r="V90" s="253">
        <f t="shared" si="5"/>
        <v>0</v>
      </c>
      <c r="W90" s="252">
        <f t="shared" si="6"/>
        <v>-60</v>
      </c>
      <c r="X90" s="253">
        <f t="shared" si="7"/>
        <v>-0.03846153846</v>
      </c>
      <c r="Y90" s="254" t="s">
        <v>1460</v>
      </c>
      <c r="Z90" s="252">
        <v>0.0</v>
      </c>
      <c r="AA90" s="252">
        <v>0.0</v>
      </c>
      <c r="AB90" s="252">
        <v>0.0</v>
      </c>
      <c r="AC90" s="252">
        <v>0.0</v>
      </c>
      <c r="AD90" s="252">
        <v>0.0</v>
      </c>
      <c r="AE90" s="252">
        <v>0.0</v>
      </c>
      <c r="AF90" s="252">
        <v>0.0</v>
      </c>
      <c r="AG90" s="252">
        <v>0.0</v>
      </c>
      <c r="AH90" s="252">
        <f t="shared" si="38"/>
        <v>1500</v>
      </c>
      <c r="AI90" s="252">
        <v>0.0</v>
      </c>
      <c r="AJ90" s="252">
        <v>0.0</v>
      </c>
      <c r="AK90" s="252">
        <v>0.0</v>
      </c>
      <c r="AL90" s="252">
        <f t="shared" si="2"/>
        <v>1500</v>
      </c>
      <c r="AM90" s="252">
        <f t="shared" si="9"/>
        <v>0</v>
      </c>
      <c r="AN90" s="8" t="str">
        <f>+VLOOKUP('Detail 19-20'!A90,Map!$B$6:$M$222,12,FALSE)</f>
        <v>Fundraising</v>
      </c>
    </row>
    <row r="91" ht="15.75" customHeight="1">
      <c r="A91" s="170" t="s">
        <v>1031</v>
      </c>
      <c r="B91" s="170" t="s">
        <v>949</v>
      </c>
      <c r="C91" s="250" t="s">
        <v>277</v>
      </c>
      <c r="D91" s="251">
        <f>+SUMIFS('Detail 18-19'!AC:AC,'Detail 18-19'!$AA:$AA,$A91)</f>
        <v>0</v>
      </c>
      <c r="E91" s="251">
        <f>+SUMIFS('Detail 18-19'!AD:AD,'Detail 18-19'!$AA:$AA,$A91)</f>
        <v>2500</v>
      </c>
      <c r="F91" s="251">
        <f>+SUMIFS('Detail 18-19'!AE:AE,'Detail 18-19'!$AA:$AA,$A91)</f>
        <v>2500</v>
      </c>
      <c r="G91" s="251">
        <f>+SUMIFS('Detail 18-19'!AF:AF,'Detail 18-19'!$AA:$AA,$A91)</f>
        <v>1000</v>
      </c>
      <c r="H91" s="251">
        <f>+SUMIFS('Detail 18-19'!AG:AG,'Detail 18-19'!$AA:$AA,$A91)</f>
        <v>1000</v>
      </c>
      <c r="I91" s="251">
        <f>+SUMIFS('Detail 18-19'!AH:AH,'Detail 18-19'!$AA:$AA,$A91)</f>
        <v>1000</v>
      </c>
      <c r="J91" s="251">
        <f>+SUMIFS('Detail 18-19'!AI:AI,'Detail 18-19'!$AA:$AA,$A91)</f>
        <v>250</v>
      </c>
      <c r="K91" s="251">
        <f>+SUMIFS('Detail 18-19'!AJ:AJ,'Detail 18-19'!$AA:$AA,$A91)</f>
        <v>250</v>
      </c>
      <c r="L91" s="251">
        <f>+SUMIFS('Detail 18-19'!AK:AK,'Detail 18-19'!$AA:$AA,$A91)</f>
        <v>250</v>
      </c>
      <c r="M91" s="251">
        <f>+SUMIFS('Detail 18-19'!AL:AL,'Detail 18-19'!$AA:$AA,$A91)</f>
        <v>1000</v>
      </c>
      <c r="N91" s="251">
        <f>+SUMIFS('Detail 18-19'!AM:AM,'Detail 18-19'!$AA:$AA,$A91)</f>
        <v>250</v>
      </c>
      <c r="O91" s="251">
        <f>+SUMIFS('Detail 18-19'!AN:AN,'Detail 18-19'!$AA:$AA,$A91)</f>
        <v>0</v>
      </c>
      <c r="P91" s="252">
        <f t="shared" si="18"/>
        <v>10000</v>
      </c>
      <c r="Q91" s="227">
        <f>-SUMIF('2019-03'!$E:$E,'Detail 19-20'!$A91,'2019-03'!$D:$D)</f>
        <v>18882.99</v>
      </c>
      <c r="R91" s="228" t="s">
        <v>954</v>
      </c>
      <c r="S91" s="227">
        <f t="shared" si="35"/>
        <v>18882.99</v>
      </c>
      <c r="T91" s="241">
        <v>8000.0</v>
      </c>
      <c r="U91" s="252">
        <f t="shared" si="4"/>
        <v>-2000</v>
      </c>
      <c r="V91" s="253">
        <f t="shared" si="5"/>
        <v>-0.2</v>
      </c>
      <c r="W91" s="252">
        <f t="shared" si="6"/>
        <v>-10882.99</v>
      </c>
      <c r="X91" s="253">
        <f t="shared" si="7"/>
        <v>-0.5763382812</v>
      </c>
      <c r="Y91" s="254" t="s">
        <v>992</v>
      </c>
      <c r="Z91" s="251">
        <f t="shared" ref="Z91:Z92" si="40">+$T91*0</f>
        <v>0</v>
      </c>
      <c r="AA91" s="252">
        <f t="shared" ref="AA91:AA92" si="41">+$T91*0.5/9.5</f>
        <v>421.0526316</v>
      </c>
      <c r="AB91" s="252">
        <f t="shared" ref="AB91:AJ91" si="39">+$T91*1/9.5</f>
        <v>842.1052632</v>
      </c>
      <c r="AC91" s="252">
        <f t="shared" si="39"/>
        <v>842.1052632</v>
      </c>
      <c r="AD91" s="252">
        <f t="shared" si="39"/>
        <v>842.1052632</v>
      </c>
      <c r="AE91" s="252">
        <f t="shared" si="39"/>
        <v>842.1052632</v>
      </c>
      <c r="AF91" s="252">
        <f t="shared" si="39"/>
        <v>842.1052632</v>
      </c>
      <c r="AG91" s="252">
        <f t="shared" si="39"/>
        <v>842.1052632</v>
      </c>
      <c r="AH91" s="252">
        <f t="shared" si="39"/>
        <v>842.1052632</v>
      </c>
      <c r="AI91" s="252">
        <f t="shared" si="39"/>
        <v>842.1052632</v>
      </c>
      <c r="AJ91" s="252">
        <f t="shared" si="39"/>
        <v>842.1052632</v>
      </c>
      <c r="AK91" s="251">
        <f t="shared" ref="AK91:AK92" si="43">+$T91*0</f>
        <v>0</v>
      </c>
      <c r="AL91" s="252">
        <f t="shared" si="2"/>
        <v>8000</v>
      </c>
      <c r="AM91" s="252">
        <f t="shared" si="9"/>
        <v>0</v>
      </c>
      <c r="AN91" s="8" t="str">
        <f>+VLOOKUP('Detail 19-20'!A91,Map!$B$6:$M$222,12,FALSE)</f>
        <v>Restricted Released</v>
      </c>
    </row>
    <row r="92" ht="15.75" customHeight="1">
      <c r="A92" s="170" t="s">
        <v>1032</v>
      </c>
      <c r="B92" s="170" t="s">
        <v>949</v>
      </c>
      <c r="C92" s="250" t="s">
        <v>356</v>
      </c>
      <c r="D92" s="251">
        <f>+SUMIFS('Detail 18-19'!AC:AC,'Detail 18-19'!$AA:$AA,$A92)</f>
        <v>0</v>
      </c>
      <c r="E92" s="251">
        <f>+SUMIFS('Detail 18-19'!AD:AD,'Detail 18-19'!$AA:$AA,$A92)</f>
        <v>0</v>
      </c>
      <c r="F92" s="251">
        <f>+SUMIFS('Detail 18-19'!AE:AE,'Detail 18-19'!$AA:$AA,$A92)</f>
        <v>0</v>
      </c>
      <c r="G92" s="251">
        <f>+SUMIFS('Detail 18-19'!AF:AF,'Detail 18-19'!$AA:$AA,$A92)</f>
        <v>0</v>
      </c>
      <c r="H92" s="251">
        <f>+SUMIFS('Detail 18-19'!AG:AG,'Detail 18-19'!$AA:$AA,$A92)</f>
        <v>0</v>
      </c>
      <c r="I92" s="251">
        <f>+SUMIFS('Detail 18-19'!AH:AH,'Detail 18-19'!$AA:$AA,$A92)</f>
        <v>0</v>
      </c>
      <c r="J92" s="251">
        <f>+SUMIFS('Detail 18-19'!AI:AI,'Detail 18-19'!$AA:$AA,$A92)</f>
        <v>0</v>
      </c>
      <c r="K92" s="251">
        <f>+SUMIFS('Detail 18-19'!AJ:AJ,'Detail 18-19'!$AA:$AA,$A92)</f>
        <v>0</v>
      </c>
      <c r="L92" s="251">
        <f>+SUMIFS('Detail 18-19'!AK:AK,'Detail 18-19'!$AA:$AA,$A92)</f>
        <v>0</v>
      </c>
      <c r="M92" s="251">
        <f>+SUMIFS('Detail 18-19'!AL:AL,'Detail 18-19'!$AA:$AA,$A92)</f>
        <v>0</v>
      </c>
      <c r="N92" s="251">
        <f>+SUMIFS('Detail 18-19'!AM:AM,'Detail 18-19'!$AA:$AA,$A92)</f>
        <v>0</v>
      </c>
      <c r="O92" s="251">
        <f>+SUMIFS('Detail 18-19'!AN:AN,'Detail 18-19'!$AA:$AA,$A92)</f>
        <v>0</v>
      </c>
      <c r="P92" s="252">
        <f t="shared" si="18"/>
        <v>0</v>
      </c>
      <c r="Q92" s="227">
        <f>-SUMIF('2019-03'!$E:$E,'Detail 19-20'!$A92,'2019-03'!$D:$D)</f>
        <v>-18882.99</v>
      </c>
      <c r="R92" s="228" t="s">
        <v>954</v>
      </c>
      <c r="S92" s="227"/>
      <c r="T92" s="241"/>
      <c r="U92" s="252">
        <f t="shared" si="4"/>
        <v>0</v>
      </c>
      <c r="V92" s="253">
        <f t="shared" si="5"/>
        <v>0</v>
      </c>
      <c r="W92" s="252">
        <f t="shared" si="6"/>
        <v>0</v>
      </c>
      <c r="X92" s="253">
        <f t="shared" si="7"/>
        <v>0</v>
      </c>
      <c r="Y92" s="254" t="s">
        <v>992</v>
      </c>
      <c r="Z92" s="251">
        <f t="shared" si="40"/>
        <v>0</v>
      </c>
      <c r="AA92" s="252">
        <f t="shared" si="41"/>
        <v>0</v>
      </c>
      <c r="AB92" s="252">
        <f t="shared" ref="AB92:AJ92" si="42">+$T92*1/9.5</f>
        <v>0</v>
      </c>
      <c r="AC92" s="252">
        <f t="shared" si="42"/>
        <v>0</v>
      </c>
      <c r="AD92" s="252">
        <f t="shared" si="42"/>
        <v>0</v>
      </c>
      <c r="AE92" s="252">
        <f t="shared" si="42"/>
        <v>0</v>
      </c>
      <c r="AF92" s="252">
        <f t="shared" si="42"/>
        <v>0</v>
      </c>
      <c r="AG92" s="252">
        <f t="shared" si="42"/>
        <v>0</v>
      </c>
      <c r="AH92" s="252">
        <f t="shared" si="42"/>
        <v>0</v>
      </c>
      <c r="AI92" s="252">
        <f t="shared" si="42"/>
        <v>0</v>
      </c>
      <c r="AJ92" s="252">
        <f t="shared" si="42"/>
        <v>0</v>
      </c>
      <c r="AK92" s="251">
        <f t="shared" si="43"/>
        <v>0</v>
      </c>
      <c r="AL92" s="252">
        <f t="shared" si="2"/>
        <v>0</v>
      </c>
      <c r="AM92" s="252">
        <f t="shared" si="9"/>
        <v>0</v>
      </c>
      <c r="AN92" s="8" t="str">
        <f>+VLOOKUP('Detail 19-20'!A92,Map!$B$6:$M$222,12,FALSE)</f>
        <v>Restricted Released</v>
      </c>
    </row>
    <row r="93" ht="15.75" customHeight="1">
      <c r="A93" s="168" t="s">
        <v>1033</v>
      </c>
      <c r="B93" s="168" t="s">
        <v>1189</v>
      </c>
      <c r="C93" s="244" t="s">
        <v>289</v>
      </c>
      <c r="D93" s="269">
        <f>+SUMIFS('Detail 18-19'!AC:AC,'Detail 18-19'!$AA:$AA,$A93)</f>
        <v>0</v>
      </c>
      <c r="E93" s="269">
        <f>+SUMIFS('Detail 18-19'!AD:AD,'Detail 18-19'!$AA:$AA,$A93)</f>
        <v>0</v>
      </c>
      <c r="F93" s="269">
        <f>+SUMIFS('Detail 18-19'!AE:AE,'Detail 18-19'!$AA:$AA,$A93)</f>
        <v>0</v>
      </c>
      <c r="G93" s="269">
        <f>+SUMIFS('Detail 18-19'!AF:AF,'Detail 18-19'!$AA:$AA,$A93)</f>
        <v>0</v>
      </c>
      <c r="H93" s="269">
        <f>+SUMIFS('Detail 18-19'!AG:AG,'Detail 18-19'!$AA:$AA,$A93)</f>
        <v>0</v>
      </c>
      <c r="I93" s="269">
        <f>+SUMIFS('Detail 18-19'!AH:AH,'Detail 18-19'!$AA:$AA,$A93)</f>
        <v>0</v>
      </c>
      <c r="J93" s="269">
        <f>+SUMIFS('Detail 18-19'!AI:AI,'Detail 18-19'!$AA:$AA,$A93)</f>
        <v>0</v>
      </c>
      <c r="K93" s="269">
        <f>+SUMIFS('Detail 18-19'!AJ:AJ,'Detail 18-19'!$AA:$AA,$A93)</f>
        <v>0</v>
      </c>
      <c r="L93" s="269">
        <f>+SUMIFS('Detail 18-19'!AK:AK,'Detail 18-19'!$AA:$AA,$A93)</f>
        <v>0</v>
      </c>
      <c r="M93" s="269">
        <f>+SUMIFS('Detail 18-19'!AL:AL,'Detail 18-19'!$AA:$AA,$A93)</f>
        <v>0</v>
      </c>
      <c r="N93" s="269">
        <f>+SUMIFS('Detail 18-19'!AM:AM,'Detail 18-19'!$AA:$AA,$A93)</f>
        <v>0</v>
      </c>
      <c r="O93" s="269">
        <f>+SUMIFS('Detail 18-19'!AN:AN,'Detail 18-19'!$AA:$AA,$A93)</f>
        <v>0</v>
      </c>
      <c r="P93" s="246">
        <f t="shared" si="18"/>
        <v>0</v>
      </c>
      <c r="Q93" s="270">
        <f>SUMIF('2019-03'!$E:$E,'Detail 19-20'!$A93,'2019-03'!$D:$D)</f>
        <v>104.38</v>
      </c>
      <c r="R93" s="271" t="s">
        <v>954</v>
      </c>
      <c r="S93" s="270">
        <f t="shared" ref="S93:S102" si="44">IF(R93="Simple",Q93*1.33333333333333,IF(R93="None",Q93,IF(R93="Ten Month",(Q93+(Q93/8*2)))))</f>
        <v>104.38</v>
      </c>
      <c r="T93" s="272">
        <v>0.0</v>
      </c>
      <c r="U93" s="246">
        <f t="shared" si="4"/>
        <v>0</v>
      </c>
      <c r="V93" s="273">
        <f t="shared" si="5"/>
        <v>0</v>
      </c>
      <c r="W93" s="246">
        <f t="shared" si="6"/>
        <v>-104.38</v>
      </c>
      <c r="X93" s="273">
        <f t="shared" si="7"/>
        <v>-1</v>
      </c>
      <c r="Y93" s="247" t="s">
        <v>594</v>
      </c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46">
        <f t="shared" si="2"/>
        <v>0</v>
      </c>
      <c r="AM93" s="246">
        <f t="shared" si="9"/>
        <v>0</v>
      </c>
      <c r="AN93" s="8" t="str">
        <f>+VLOOKUP('Detail 19-20'!A93,Map!$B$6:$M$222,12,FALSE)</f>
        <v>Cost of Fundraising</v>
      </c>
    </row>
    <row r="94" ht="15.75" customHeight="1">
      <c r="A94" s="168" t="s">
        <v>1034</v>
      </c>
      <c r="B94" s="168" t="s">
        <v>1189</v>
      </c>
      <c r="C94" s="244" t="s">
        <v>1462</v>
      </c>
      <c r="D94" s="269">
        <f>+SUMIFS('Detail 18-19'!AC:AC,'Detail 18-19'!$AA:$AA,$A94)</f>
        <v>0</v>
      </c>
      <c r="E94" s="269">
        <f>+SUMIFS('Detail 18-19'!AD:AD,'Detail 18-19'!$AA:$AA,$A94)</f>
        <v>0</v>
      </c>
      <c r="F94" s="269">
        <f>+SUMIFS('Detail 18-19'!AE:AE,'Detail 18-19'!$AA:$AA,$A94)</f>
        <v>0</v>
      </c>
      <c r="G94" s="269">
        <f>+SUMIFS('Detail 18-19'!AF:AF,'Detail 18-19'!$AA:$AA,$A94)</f>
        <v>0</v>
      </c>
      <c r="H94" s="269">
        <f>+SUMIFS('Detail 18-19'!AG:AG,'Detail 18-19'!$AA:$AA,$A94)</f>
        <v>2000</v>
      </c>
      <c r="I94" s="269">
        <f>+SUMIFS('Detail 18-19'!AH:AH,'Detail 18-19'!$AA:$AA,$A94)</f>
        <v>2500</v>
      </c>
      <c r="J94" s="269">
        <f>+SUMIFS('Detail 18-19'!AI:AI,'Detail 18-19'!$AA:$AA,$A94)</f>
        <v>1000</v>
      </c>
      <c r="K94" s="269">
        <f>+SUMIFS('Detail 18-19'!AJ:AJ,'Detail 18-19'!$AA:$AA,$A94)</f>
        <v>1500</v>
      </c>
      <c r="L94" s="269">
        <f>+SUMIFS('Detail 18-19'!AK:AK,'Detail 18-19'!$AA:$AA,$A94)</f>
        <v>12500</v>
      </c>
      <c r="M94" s="269">
        <f>+SUMIFS('Detail 18-19'!AL:AL,'Detail 18-19'!$AA:$AA,$A94)</f>
        <v>0</v>
      </c>
      <c r="N94" s="269">
        <f>+SUMIFS('Detail 18-19'!AM:AM,'Detail 18-19'!$AA:$AA,$A94)</f>
        <v>0</v>
      </c>
      <c r="O94" s="269">
        <f>+SUMIFS('Detail 18-19'!AN:AN,'Detail 18-19'!$AA:$AA,$A94)</f>
        <v>0</v>
      </c>
      <c r="P94" s="246">
        <f t="shared" si="18"/>
        <v>19500</v>
      </c>
      <c r="Q94" s="270">
        <f>SUMIF('2019-03'!$E:$E,'Detail 19-20'!$A94,'2019-03'!$D:$D)</f>
        <v>17171.47</v>
      </c>
      <c r="R94" s="271" t="s">
        <v>954</v>
      </c>
      <c r="S94" s="270">
        <f t="shared" si="44"/>
        <v>17171.47</v>
      </c>
      <c r="T94" s="272">
        <v>19500.0</v>
      </c>
      <c r="U94" s="246">
        <f t="shared" si="4"/>
        <v>0</v>
      </c>
      <c r="V94" s="273">
        <f t="shared" si="5"/>
        <v>0</v>
      </c>
      <c r="W94" s="246">
        <f t="shared" si="6"/>
        <v>2328.53</v>
      </c>
      <c r="X94" s="273">
        <f t="shared" si="7"/>
        <v>0.1356045813</v>
      </c>
      <c r="Y94" s="247" t="s">
        <v>1460</v>
      </c>
      <c r="Z94" s="246">
        <v>0.0</v>
      </c>
      <c r="AA94" s="246">
        <v>0.0</v>
      </c>
      <c r="AB94" s="246">
        <v>0.0</v>
      </c>
      <c r="AC94" s="246">
        <v>0.0</v>
      </c>
      <c r="AD94" s="246">
        <v>0.0</v>
      </c>
      <c r="AE94" s="246">
        <v>0.0</v>
      </c>
      <c r="AF94" s="246">
        <v>0.0</v>
      </c>
      <c r="AG94" s="246">
        <v>0.0</v>
      </c>
      <c r="AH94" s="246">
        <f>+$T94</f>
        <v>19500</v>
      </c>
      <c r="AI94" s="246">
        <v>0.0</v>
      </c>
      <c r="AJ94" s="246">
        <v>0.0</v>
      </c>
      <c r="AK94" s="246">
        <v>0.0</v>
      </c>
      <c r="AL94" s="246">
        <f t="shared" si="2"/>
        <v>19500</v>
      </c>
      <c r="AM94" s="246">
        <f t="shared" si="9"/>
        <v>0</v>
      </c>
      <c r="AN94" s="8" t="str">
        <f>+VLOOKUP('Detail 19-20'!A94,Map!$B$6:$M$222,12,FALSE)</f>
        <v>Cost of Fundraising</v>
      </c>
    </row>
    <row r="95" ht="15.75" customHeight="1">
      <c r="A95" s="168" t="s">
        <v>1035</v>
      </c>
      <c r="B95" s="168" t="s">
        <v>1189</v>
      </c>
      <c r="C95" s="244" t="s">
        <v>309</v>
      </c>
      <c r="D95" s="269">
        <f>+SUMIFS('Detail 18-19'!AC:AC,'Detail 18-19'!$AA:$AA,$A95)</f>
        <v>0</v>
      </c>
      <c r="E95" s="269">
        <f>+SUMIFS('Detail 18-19'!AD:AD,'Detail 18-19'!$AA:$AA,$A95)</f>
        <v>375</v>
      </c>
      <c r="F95" s="269">
        <f>+SUMIFS('Detail 18-19'!AE:AE,'Detail 18-19'!$AA:$AA,$A95)</f>
        <v>0</v>
      </c>
      <c r="G95" s="269">
        <f>+SUMIFS('Detail 18-19'!AF:AF,'Detail 18-19'!$AA:$AA,$A95)</f>
        <v>0</v>
      </c>
      <c r="H95" s="269">
        <f>+SUMIFS('Detail 18-19'!AG:AG,'Detail 18-19'!$AA:$AA,$A95)</f>
        <v>0</v>
      </c>
      <c r="I95" s="269">
        <f>+SUMIFS('Detail 18-19'!AH:AH,'Detail 18-19'!$AA:$AA,$A95)</f>
        <v>0</v>
      </c>
      <c r="J95" s="269">
        <f>+SUMIFS('Detail 18-19'!AI:AI,'Detail 18-19'!$AA:$AA,$A95)</f>
        <v>375</v>
      </c>
      <c r="K95" s="269">
        <f>+SUMIFS('Detail 18-19'!AJ:AJ,'Detail 18-19'!$AA:$AA,$A95)</f>
        <v>0</v>
      </c>
      <c r="L95" s="269">
        <f>+SUMIFS('Detail 18-19'!AK:AK,'Detail 18-19'!$AA:$AA,$A95)</f>
        <v>0</v>
      </c>
      <c r="M95" s="269">
        <f>+SUMIFS('Detail 18-19'!AL:AL,'Detail 18-19'!$AA:$AA,$A95)</f>
        <v>0</v>
      </c>
      <c r="N95" s="269">
        <f>+SUMIFS('Detail 18-19'!AM:AM,'Detail 18-19'!$AA:$AA,$A95)</f>
        <v>0</v>
      </c>
      <c r="O95" s="269">
        <f>+SUMIFS('Detail 18-19'!AN:AN,'Detail 18-19'!$AA:$AA,$A95)</f>
        <v>0</v>
      </c>
      <c r="P95" s="246">
        <f t="shared" si="18"/>
        <v>750</v>
      </c>
      <c r="Q95" s="270">
        <f>SUMIF('2019-03'!$E:$E,'Detail 19-20'!$A95,'2019-03'!$D:$D)</f>
        <v>129.31</v>
      </c>
      <c r="R95" s="271" t="s">
        <v>950</v>
      </c>
      <c r="S95" s="270">
        <f t="shared" si="44"/>
        <v>172.4133333</v>
      </c>
      <c r="T95" s="272">
        <f>+T74*0.75</f>
        <v>187.5</v>
      </c>
      <c r="U95" s="246">
        <f t="shared" si="4"/>
        <v>-562.5</v>
      </c>
      <c r="V95" s="273">
        <f t="shared" si="5"/>
        <v>-0.75</v>
      </c>
      <c r="W95" s="246">
        <f t="shared" si="6"/>
        <v>15.08666667</v>
      </c>
      <c r="X95" s="273">
        <f t="shared" si="7"/>
        <v>0.08750290001</v>
      </c>
      <c r="Y95" s="247" t="s">
        <v>1137</v>
      </c>
      <c r="Z95" s="246">
        <v>0.0</v>
      </c>
      <c r="AA95" s="246">
        <f>+$T95*0.5</f>
        <v>93.75</v>
      </c>
      <c r="AB95" s="246">
        <v>0.0</v>
      </c>
      <c r="AC95" s="246">
        <v>0.0</v>
      </c>
      <c r="AD95" s="246">
        <v>0.0</v>
      </c>
      <c r="AE95" s="246">
        <v>0.0</v>
      </c>
      <c r="AF95" s="246">
        <f>+$T95*0.5</f>
        <v>93.75</v>
      </c>
      <c r="AG95" s="246">
        <v>0.0</v>
      </c>
      <c r="AH95" s="246">
        <v>0.0</v>
      </c>
      <c r="AI95" s="246">
        <v>0.0</v>
      </c>
      <c r="AJ95" s="246">
        <v>0.0</v>
      </c>
      <c r="AK95" s="246">
        <v>0.0</v>
      </c>
      <c r="AL95" s="246">
        <f t="shared" si="2"/>
        <v>187.5</v>
      </c>
      <c r="AM95" s="246">
        <f t="shared" si="9"/>
        <v>0</v>
      </c>
      <c r="AN95" s="8" t="str">
        <f>+VLOOKUP('Detail 19-20'!A95,Map!$B$6:$M$222,12,FALSE)</f>
        <v>Cost of Merchandise</v>
      </c>
    </row>
    <row r="96" ht="15.75" customHeight="1">
      <c r="A96" s="168" t="s">
        <v>1036</v>
      </c>
      <c r="B96" s="168" t="s">
        <v>1189</v>
      </c>
      <c r="C96" s="244" t="s">
        <v>340</v>
      </c>
      <c r="D96" s="269">
        <f>+SUMIFS('Detail 18-19'!AC:AC,'Detail 18-19'!$AA:$AA,$A96)</f>
        <v>0</v>
      </c>
      <c r="E96" s="269">
        <f>+SUMIFS('Detail 18-19'!AD:AD,'Detail 18-19'!$AA:$AA,$A96)</f>
        <v>973.6842105</v>
      </c>
      <c r="F96" s="269">
        <f>+SUMIFS('Detail 18-19'!AE:AE,'Detail 18-19'!$AA:$AA,$A96)</f>
        <v>1947.368421</v>
      </c>
      <c r="G96" s="269">
        <f>+SUMIFS('Detail 18-19'!AF:AF,'Detail 18-19'!$AA:$AA,$A96)</f>
        <v>1947.368421</v>
      </c>
      <c r="H96" s="269">
        <f>+SUMIFS('Detail 18-19'!AG:AG,'Detail 18-19'!$AA:$AA,$A96)</f>
        <v>1947.368421</v>
      </c>
      <c r="I96" s="269">
        <f>+SUMIFS('Detail 18-19'!AH:AH,'Detail 18-19'!$AA:$AA,$A96)</f>
        <v>1947.368421</v>
      </c>
      <c r="J96" s="269">
        <f>+SUMIFS('Detail 18-19'!AI:AI,'Detail 18-19'!$AA:$AA,$A96)</f>
        <v>1947.368421</v>
      </c>
      <c r="K96" s="269">
        <f>+SUMIFS('Detail 18-19'!AJ:AJ,'Detail 18-19'!$AA:$AA,$A96)</f>
        <v>1947.368421</v>
      </c>
      <c r="L96" s="269">
        <f>+SUMIFS('Detail 18-19'!AK:AK,'Detail 18-19'!$AA:$AA,$A96)</f>
        <v>1947.368421</v>
      </c>
      <c r="M96" s="269">
        <f>+SUMIFS('Detail 18-19'!AL:AL,'Detail 18-19'!$AA:$AA,$A96)</f>
        <v>1947.368421</v>
      </c>
      <c r="N96" s="269">
        <f>+SUMIFS('Detail 18-19'!AM:AM,'Detail 18-19'!$AA:$AA,$A96)</f>
        <v>1947.368421</v>
      </c>
      <c r="O96" s="269">
        <f>+SUMIFS('Detail 18-19'!AN:AN,'Detail 18-19'!$AA:$AA,$A96)</f>
        <v>0</v>
      </c>
      <c r="P96" s="246">
        <f t="shared" si="18"/>
        <v>18500</v>
      </c>
      <c r="Q96" s="270">
        <f>SUMIF('2019-03'!$E:$E,'Detail 19-20'!$A96,'2019-03'!$D:$D)</f>
        <v>14046.69</v>
      </c>
      <c r="R96" s="271" t="s">
        <v>992</v>
      </c>
      <c r="S96" s="270">
        <f t="shared" si="44"/>
        <v>17558.3625</v>
      </c>
      <c r="T96" s="272">
        <f>+T76*0.75</f>
        <v>17250</v>
      </c>
      <c r="U96" s="246">
        <f t="shared" si="4"/>
        <v>-1250</v>
      </c>
      <c r="V96" s="273">
        <f t="shared" si="5"/>
        <v>-0.06756756757</v>
      </c>
      <c r="W96" s="246">
        <f t="shared" si="6"/>
        <v>-308.3625</v>
      </c>
      <c r="X96" s="273">
        <f t="shared" si="7"/>
        <v>-0.01756214453</v>
      </c>
      <c r="Y96" s="247" t="s">
        <v>992</v>
      </c>
      <c r="Z96" s="246">
        <f>+$T96*0</f>
        <v>0</v>
      </c>
      <c r="AA96" s="246">
        <f>+$T96*0.5/9.5</f>
        <v>907.8947368</v>
      </c>
      <c r="AB96" s="246">
        <f t="shared" ref="AB96:AJ96" si="45">+$T96*1/9.5</f>
        <v>1815.789474</v>
      </c>
      <c r="AC96" s="246">
        <f t="shared" si="45"/>
        <v>1815.789474</v>
      </c>
      <c r="AD96" s="246">
        <f t="shared" si="45"/>
        <v>1815.789474</v>
      </c>
      <c r="AE96" s="246">
        <f t="shared" si="45"/>
        <v>1815.789474</v>
      </c>
      <c r="AF96" s="246">
        <f t="shared" si="45"/>
        <v>1815.789474</v>
      </c>
      <c r="AG96" s="246">
        <f t="shared" si="45"/>
        <v>1815.789474</v>
      </c>
      <c r="AH96" s="246">
        <f t="shared" si="45"/>
        <v>1815.789474</v>
      </c>
      <c r="AI96" s="246">
        <f t="shared" si="45"/>
        <v>1815.789474</v>
      </c>
      <c r="AJ96" s="246">
        <f t="shared" si="45"/>
        <v>1815.789474</v>
      </c>
      <c r="AK96" s="246">
        <f>+$T96*0</f>
        <v>0</v>
      </c>
      <c r="AL96" s="246">
        <f t="shared" si="2"/>
        <v>17250</v>
      </c>
      <c r="AM96" s="246">
        <f t="shared" si="9"/>
        <v>0</v>
      </c>
      <c r="AN96" s="8" t="str">
        <f>+VLOOKUP('Detail 19-20'!A96,Map!$B$6:$M$222,12,FALSE)</f>
        <v>Cost of Merchandise</v>
      </c>
    </row>
    <row r="97" ht="15.75" customHeight="1">
      <c r="A97" s="168" t="s">
        <v>1037</v>
      </c>
      <c r="B97" s="168" t="s">
        <v>1189</v>
      </c>
      <c r="C97" s="244" t="s">
        <v>343</v>
      </c>
      <c r="D97" s="269">
        <f>+SUMIFS('Detail 18-19'!AC:AC,'Detail 18-19'!$AA:$AA,$A97)</f>
        <v>0</v>
      </c>
      <c r="E97" s="269">
        <f>+SUMIFS('Detail 18-19'!AD:AD,'Detail 18-19'!$AA:$AA,$A97)</f>
        <v>0</v>
      </c>
      <c r="F97" s="269">
        <f>+SUMIFS('Detail 18-19'!AE:AE,'Detail 18-19'!$AA:$AA,$A97)</f>
        <v>0</v>
      </c>
      <c r="G97" s="269">
        <f>+SUMIFS('Detail 18-19'!AF:AF,'Detail 18-19'!$AA:$AA,$A97)</f>
        <v>0</v>
      </c>
      <c r="H97" s="269">
        <f>+SUMIFS('Detail 18-19'!AG:AG,'Detail 18-19'!$AA:$AA,$A97)</f>
        <v>0</v>
      </c>
      <c r="I97" s="269">
        <f>+SUMIFS('Detail 18-19'!AH:AH,'Detail 18-19'!$AA:$AA,$A97)</f>
        <v>0</v>
      </c>
      <c r="J97" s="269">
        <f>+SUMIFS('Detail 18-19'!AI:AI,'Detail 18-19'!$AA:$AA,$A97)</f>
        <v>0</v>
      </c>
      <c r="K97" s="269">
        <f>+SUMIFS('Detail 18-19'!AJ:AJ,'Detail 18-19'!$AA:$AA,$A97)</f>
        <v>0</v>
      </c>
      <c r="L97" s="269">
        <f>+SUMIFS('Detail 18-19'!AK:AK,'Detail 18-19'!$AA:$AA,$A97)</f>
        <v>0</v>
      </c>
      <c r="M97" s="269">
        <f>+SUMIFS('Detail 18-19'!AL:AL,'Detail 18-19'!$AA:$AA,$A97)</f>
        <v>0</v>
      </c>
      <c r="N97" s="269">
        <f>+SUMIFS('Detail 18-19'!AM:AM,'Detail 18-19'!$AA:$AA,$A97)</f>
        <v>0</v>
      </c>
      <c r="O97" s="269">
        <f>+SUMIFS('Detail 18-19'!AN:AN,'Detail 18-19'!$AA:$AA,$A97)</f>
        <v>0</v>
      </c>
      <c r="P97" s="246">
        <f t="shared" si="18"/>
        <v>0</v>
      </c>
      <c r="Q97" s="270">
        <f>SUMIF('2019-03'!$E:$E,'Detail 19-20'!$A97,'2019-03'!$D:$D)</f>
        <v>0</v>
      </c>
      <c r="R97" s="271" t="s">
        <v>950</v>
      </c>
      <c r="S97" s="270">
        <f t="shared" si="44"/>
        <v>0</v>
      </c>
      <c r="T97" s="272">
        <v>0.0</v>
      </c>
      <c r="U97" s="246">
        <f t="shared" si="4"/>
        <v>0</v>
      </c>
      <c r="V97" s="273">
        <f t="shared" si="5"/>
        <v>0</v>
      </c>
      <c r="W97" s="246">
        <f t="shared" si="6"/>
        <v>0</v>
      </c>
      <c r="X97" s="273">
        <f t="shared" si="7"/>
        <v>0</v>
      </c>
      <c r="Y97" s="247" t="s">
        <v>1339</v>
      </c>
      <c r="Z97" s="246">
        <v>0.0</v>
      </c>
      <c r="AA97" s="246">
        <v>0.0</v>
      </c>
      <c r="AB97" s="246">
        <v>0.0</v>
      </c>
      <c r="AC97" s="246">
        <v>0.0</v>
      </c>
      <c r="AD97" s="246">
        <v>0.0</v>
      </c>
      <c r="AE97" s="246">
        <v>0.0</v>
      </c>
      <c r="AF97" s="246">
        <v>0.0</v>
      </c>
      <c r="AG97" s="246">
        <v>0.0</v>
      </c>
      <c r="AH97" s="246">
        <v>0.0</v>
      </c>
      <c r="AI97" s="246">
        <f t="shared" ref="AI97:AJ97" si="46">+$T97*0.5</f>
        <v>0</v>
      </c>
      <c r="AJ97" s="246">
        <f t="shared" si="46"/>
        <v>0</v>
      </c>
      <c r="AK97" s="246">
        <v>0.0</v>
      </c>
      <c r="AL97" s="246">
        <f t="shared" si="2"/>
        <v>0</v>
      </c>
      <c r="AM97" s="246">
        <f t="shared" si="9"/>
        <v>0</v>
      </c>
      <c r="AN97" s="8" t="str">
        <f>+VLOOKUP('Detail 19-20'!A97,Map!$B$6:$M$222,12,FALSE)</f>
        <v>Cost of Merchandise</v>
      </c>
    </row>
    <row r="98" ht="15.75" customHeight="1">
      <c r="A98" s="168" t="s">
        <v>1038</v>
      </c>
      <c r="B98" s="168" t="s">
        <v>1189</v>
      </c>
      <c r="C98" s="244" t="s">
        <v>363</v>
      </c>
      <c r="D98" s="269">
        <f>+SUMIFS('Detail 18-19'!AC:AC,'Detail 18-19'!$AA:$AA,$A98)</f>
        <v>0</v>
      </c>
      <c r="E98" s="269">
        <f>+SUMIFS('Detail 18-19'!AD:AD,'Detail 18-19'!$AA:$AA,$A98)</f>
        <v>1894.736842</v>
      </c>
      <c r="F98" s="269">
        <f>+SUMIFS('Detail 18-19'!AE:AE,'Detail 18-19'!$AA:$AA,$A98)</f>
        <v>3789.473684</v>
      </c>
      <c r="G98" s="269">
        <f>+SUMIFS('Detail 18-19'!AF:AF,'Detail 18-19'!$AA:$AA,$A98)</f>
        <v>3789.473684</v>
      </c>
      <c r="H98" s="269">
        <f>+SUMIFS('Detail 18-19'!AG:AG,'Detail 18-19'!$AA:$AA,$A98)</f>
        <v>3789.473684</v>
      </c>
      <c r="I98" s="269">
        <f>+SUMIFS('Detail 18-19'!AH:AH,'Detail 18-19'!$AA:$AA,$A98)</f>
        <v>3789.473684</v>
      </c>
      <c r="J98" s="269">
        <f>+SUMIFS('Detail 18-19'!AI:AI,'Detail 18-19'!$AA:$AA,$A98)</f>
        <v>3789.473684</v>
      </c>
      <c r="K98" s="269">
        <f>+SUMIFS('Detail 18-19'!AJ:AJ,'Detail 18-19'!$AA:$AA,$A98)</f>
        <v>3789.473684</v>
      </c>
      <c r="L98" s="269">
        <f>+SUMIFS('Detail 18-19'!AK:AK,'Detail 18-19'!$AA:$AA,$A98)</f>
        <v>3789.473684</v>
      </c>
      <c r="M98" s="269">
        <f>+SUMIFS('Detail 18-19'!AL:AL,'Detail 18-19'!$AA:$AA,$A98)</f>
        <v>3789.473684</v>
      </c>
      <c r="N98" s="269">
        <f>+SUMIFS('Detail 18-19'!AM:AM,'Detail 18-19'!$AA:$AA,$A98)</f>
        <v>3789.473684</v>
      </c>
      <c r="O98" s="269">
        <f>+SUMIFS('Detail 18-19'!AN:AN,'Detail 18-19'!$AA:$AA,$A98)</f>
        <v>0</v>
      </c>
      <c r="P98" s="246">
        <f t="shared" si="18"/>
        <v>36000</v>
      </c>
      <c r="Q98" s="270">
        <f>SUMIF('2019-03'!$E:$E,'Detail 19-20'!$A98,'2019-03'!$D:$D)</f>
        <v>33823.75</v>
      </c>
      <c r="R98" s="271" t="s">
        <v>992</v>
      </c>
      <c r="S98" s="270">
        <f t="shared" si="44"/>
        <v>42279.6875</v>
      </c>
      <c r="T98" s="272">
        <v>43000.0</v>
      </c>
      <c r="U98" s="246">
        <f t="shared" si="4"/>
        <v>7000</v>
      </c>
      <c r="V98" s="273">
        <f t="shared" si="5"/>
        <v>0.1944444444</v>
      </c>
      <c r="W98" s="246">
        <f t="shared" si="6"/>
        <v>720.3125</v>
      </c>
      <c r="X98" s="273">
        <f t="shared" si="7"/>
        <v>0.01703684541</v>
      </c>
      <c r="Y98" s="247" t="s">
        <v>992</v>
      </c>
      <c r="Z98" s="246">
        <f t="shared" ref="Z98:Z99" si="48">+$T98*0</f>
        <v>0</v>
      </c>
      <c r="AA98" s="246">
        <f t="shared" ref="AA98:AA99" si="49">+$T98*0.5/9.5</f>
        <v>2263.157895</v>
      </c>
      <c r="AB98" s="246">
        <f t="shared" ref="AB98:AJ98" si="47">+$T98*1/9.5</f>
        <v>4526.315789</v>
      </c>
      <c r="AC98" s="246">
        <f t="shared" si="47"/>
        <v>4526.315789</v>
      </c>
      <c r="AD98" s="246">
        <f t="shared" si="47"/>
        <v>4526.315789</v>
      </c>
      <c r="AE98" s="246">
        <f t="shared" si="47"/>
        <v>4526.315789</v>
      </c>
      <c r="AF98" s="246">
        <f t="shared" si="47"/>
        <v>4526.315789</v>
      </c>
      <c r="AG98" s="246">
        <f t="shared" si="47"/>
        <v>4526.315789</v>
      </c>
      <c r="AH98" s="246">
        <f t="shared" si="47"/>
        <v>4526.315789</v>
      </c>
      <c r="AI98" s="246">
        <f t="shared" si="47"/>
        <v>4526.315789</v>
      </c>
      <c r="AJ98" s="246">
        <f t="shared" si="47"/>
        <v>4526.315789</v>
      </c>
      <c r="AK98" s="246">
        <f t="shared" ref="AK98:AK99" si="51">+$T98*0</f>
        <v>0</v>
      </c>
      <c r="AL98" s="246">
        <f t="shared" si="2"/>
        <v>43000</v>
      </c>
      <c r="AM98" s="246">
        <f t="shared" si="9"/>
        <v>0</v>
      </c>
      <c r="AN98" s="8" t="str">
        <f>+VLOOKUP('Detail 19-20'!A98,Map!$B$6:$M$222,12,FALSE)</f>
        <v>Scholarships and Discounts</v>
      </c>
    </row>
    <row r="99" ht="15.75" customHeight="1">
      <c r="A99" s="168" t="s">
        <v>1039</v>
      </c>
      <c r="B99" s="168" t="s">
        <v>1189</v>
      </c>
      <c r="C99" s="244" t="s">
        <v>369</v>
      </c>
      <c r="D99" s="269">
        <f>+SUMIFS('Detail 18-19'!AC:AC,'Detail 18-19'!$AA:$AA,$A99)</f>
        <v>0</v>
      </c>
      <c r="E99" s="269">
        <f>+SUMIFS('Detail 18-19'!AD:AD,'Detail 18-19'!$AA:$AA,$A99)</f>
        <v>526.3157895</v>
      </c>
      <c r="F99" s="269">
        <f>+SUMIFS('Detail 18-19'!AE:AE,'Detail 18-19'!$AA:$AA,$A99)</f>
        <v>1052.631579</v>
      </c>
      <c r="G99" s="269">
        <f>+SUMIFS('Detail 18-19'!AF:AF,'Detail 18-19'!$AA:$AA,$A99)</f>
        <v>1052.631579</v>
      </c>
      <c r="H99" s="269">
        <f>+SUMIFS('Detail 18-19'!AG:AG,'Detail 18-19'!$AA:$AA,$A99)</f>
        <v>1052.631579</v>
      </c>
      <c r="I99" s="269">
        <f>+SUMIFS('Detail 18-19'!AH:AH,'Detail 18-19'!$AA:$AA,$A99)</f>
        <v>1052.631579</v>
      </c>
      <c r="J99" s="269">
        <f>+SUMIFS('Detail 18-19'!AI:AI,'Detail 18-19'!$AA:$AA,$A99)</f>
        <v>1052.631579</v>
      </c>
      <c r="K99" s="269">
        <f>+SUMIFS('Detail 18-19'!AJ:AJ,'Detail 18-19'!$AA:$AA,$A99)</f>
        <v>1052.631579</v>
      </c>
      <c r="L99" s="269">
        <f>+SUMIFS('Detail 18-19'!AK:AK,'Detail 18-19'!$AA:$AA,$A99)</f>
        <v>1052.631579</v>
      </c>
      <c r="M99" s="269">
        <f>+SUMIFS('Detail 18-19'!AL:AL,'Detail 18-19'!$AA:$AA,$A99)</f>
        <v>1052.631579</v>
      </c>
      <c r="N99" s="269">
        <f>+SUMIFS('Detail 18-19'!AM:AM,'Detail 18-19'!$AA:$AA,$A99)</f>
        <v>1052.631579</v>
      </c>
      <c r="O99" s="269">
        <f>+SUMIFS('Detail 18-19'!AN:AN,'Detail 18-19'!$AA:$AA,$A99)</f>
        <v>0</v>
      </c>
      <c r="P99" s="246">
        <f t="shared" si="18"/>
        <v>10000</v>
      </c>
      <c r="Q99" s="270">
        <f>SUMIF('2019-03'!$E:$E,'Detail 19-20'!$A99,'2019-03'!$D:$D)</f>
        <v>7667.82</v>
      </c>
      <c r="R99" s="271" t="s">
        <v>992</v>
      </c>
      <c r="S99" s="270">
        <f t="shared" si="44"/>
        <v>9584.775</v>
      </c>
      <c r="T99" s="272">
        <v>10000.0</v>
      </c>
      <c r="U99" s="246">
        <f t="shared" si="4"/>
        <v>0</v>
      </c>
      <c r="V99" s="273">
        <f t="shared" si="5"/>
        <v>0</v>
      </c>
      <c r="W99" s="246">
        <f t="shared" si="6"/>
        <v>415.225</v>
      </c>
      <c r="X99" s="273">
        <f t="shared" si="7"/>
        <v>0.04332130906</v>
      </c>
      <c r="Y99" s="247" t="s">
        <v>992</v>
      </c>
      <c r="Z99" s="246">
        <f t="shared" si="48"/>
        <v>0</v>
      </c>
      <c r="AA99" s="246">
        <f t="shared" si="49"/>
        <v>526.3157895</v>
      </c>
      <c r="AB99" s="246">
        <f t="shared" ref="AB99:AJ99" si="50">+$T99*1/9.5</f>
        <v>1052.631579</v>
      </c>
      <c r="AC99" s="246">
        <f t="shared" si="50"/>
        <v>1052.631579</v>
      </c>
      <c r="AD99" s="246">
        <f t="shared" si="50"/>
        <v>1052.631579</v>
      </c>
      <c r="AE99" s="246">
        <f t="shared" si="50"/>
        <v>1052.631579</v>
      </c>
      <c r="AF99" s="246">
        <f t="shared" si="50"/>
        <v>1052.631579</v>
      </c>
      <c r="AG99" s="246">
        <f t="shared" si="50"/>
        <v>1052.631579</v>
      </c>
      <c r="AH99" s="246">
        <f t="shared" si="50"/>
        <v>1052.631579</v>
      </c>
      <c r="AI99" s="246">
        <f t="shared" si="50"/>
        <v>1052.631579</v>
      </c>
      <c r="AJ99" s="246">
        <f t="shared" si="50"/>
        <v>1052.631579</v>
      </c>
      <c r="AK99" s="246">
        <f t="shared" si="51"/>
        <v>0</v>
      </c>
      <c r="AL99" s="246">
        <f t="shared" si="2"/>
        <v>10000</v>
      </c>
      <c r="AM99" s="246">
        <f t="shared" si="9"/>
        <v>0</v>
      </c>
      <c r="AN99" s="8" t="str">
        <f>+VLOOKUP('Detail 19-20'!A99,Map!$B$6:$M$222,12,FALSE)</f>
        <v>Scholarships and Discounts</v>
      </c>
    </row>
    <row r="100" ht="15.75" customHeight="1">
      <c r="A100" s="274" t="s">
        <v>1040</v>
      </c>
      <c r="B100" s="274" t="s">
        <v>1189</v>
      </c>
      <c r="C100" s="275" t="s">
        <v>374</v>
      </c>
      <c r="D100" s="276">
        <f>+SUMIFS('Detail 18-19'!AC:AC,'Detail 18-19'!$AA:$AA,$A100)</f>
        <v>126.6666667</v>
      </c>
      <c r="E100" s="276">
        <f>+SUMIFS('Detail 18-19'!AD:AD,'Detail 18-19'!$AA:$AA,$A100)</f>
        <v>126.6666667</v>
      </c>
      <c r="F100" s="276">
        <f>+SUMIFS('Detail 18-19'!AE:AE,'Detail 18-19'!$AA:$AA,$A100)</f>
        <v>126.6666667</v>
      </c>
      <c r="G100" s="276">
        <f>+SUMIFS('Detail 18-19'!AF:AF,'Detail 18-19'!$AA:$AA,$A100)</f>
        <v>126.6666667</v>
      </c>
      <c r="H100" s="276">
        <f>+SUMIFS('Detail 18-19'!AG:AG,'Detail 18-19'!$AA:$AA,$A100)</f>
        <v>126.6666667</v>
      </c>
      <c r="I100" s="276">
        <f>+SUMIFS('Detail 18-19'!AH:AH,'Detail 18-19'!$AA:$AA,$A100)</f>
        <v>126.6666667</v>
      </c>
      <c r="J100" s="276">
        <f>+SUMIFS('Detail 18-19'!AI:AI,'Detail 18-19'!$AA:$AA,$A100)</f>
        <v>126.6666667</v>
      </c>
      <c r="K100" s="276">
        <f>+SUMIFS('Detail 18-19'!AJ:AJ,'Detail 18-19'!$AA:$AA,$A100)</f>
        <v>126.6666667</v>
      </c>
      <c r="L100" s="276">
        <f>+SUMIFS('Detail 18-19'!AK:AK,'Detail 18-19'!$AA:$AA,$A100)</f>
        <v>126.6666667</v>
      </c>
      <c r="M100" s="276">
        <f>+SUMIFS('Detail 18-19'!AL:AL,'Detail 18-19'!$AA:$AA,$A100)</f>
        <v>126.6666667</v>
      </c>
      <c r="N100" s="276">
        <f>+SUMIFS('Detail 18-19'!AM:AM,'Detail 18-19'!$AA:$AA,$A100)</f>
        <v>126.6666667</v>
      </c>
      <c r="O100" s="276">
        <f>+SUMIFS('Detail 18-19'!AN:AN,'Detail 18-19'!$AA:$AA,$A100)</f>
        <v>126.6666667</v>
      </c>
      <c r="P100" s="277">
        <f t="shared" si="18"/>
        <v>1520</v>
      </c>
      <c r="Q100" s="270">
        <f>SUMIF('2019-03'!$E:$E,'Detail 19-20'!$A100,'2019-03'!$D:$D)</f>
        <v>1170</v>
      </c>
      <c r="R100" s="271" t="s">
        <v>950</v>
      </c>
      <c r="S100" s="270">
        <f t="shared" si="44"/>
        <v>1560</v>
      </c>
      <c r="T100" s="272">
        <v>1600.0</v>
      </c>
      <c r="U100" s="277">
        <f t="shared" si="4"/>
        <v>80</v>
      </c>
      <c r="V100" s="278">
        <f t="shared" si="5"/>
        <v>0.05263157895</v>
      </c>
      <c r="W100" s="277">
        <f t="shared" si="6"/>
        <v>40</v>
      </c>
      <c r="X100" s="278">
        <f t="shared" si="7"/>
        <v>0.02564102564</v>
      </c>
      <c r="Y100" s="279" t="s">
        <v>950</v>
      </c>
      <c r="Z100" s="277">
        <f t="shared" ref="Z100:AK100" si="52">+$T100/12</f>
        <v>133.3333333</v>
      </c>
      <c r="AA100" s="277">
        <f t="shared" si="52"/>
        <v>133.3333333</v>
      </c>
      <c r="AB100" s="277">
        <f t="shared" si="52"/>
        <v>133.3333333</v>
      </c>
      <c r="AC100" s="277">
        <f t="shared" si="52"/>
        <v>133.3333333</v>
      </c>
      <c r="AD100" s="277">
        <f t="shared" si="52"/>
        <v>133.3333333</v>
      </c>
      <c r="AE100" s="277">
        <f t="shared" si="52"/>
        <v>133.3333333</v>
      </c>
      <c r="AF100" s="277">
        <f t="shared" si="52"/>
        <v>133.3333333</v>
      </c>
      <c r="AG100" s="277">
        <f t="shared" si="52"/>
        <v>133.3333333</v>
      </c>
      <c r="AH100" s="277">
        <f t="shared" si="52"/>
        <v>133.3333333</v>
      </c>
      <c r="AI100" s="277">
        <f t="shared" si="52"/>
        <v>133.3333333</v>
      </c>
      <c r="AJ100" s="277">
        <f t="shared" si="52"/>
        <v>133.3333333</v>
      </c>
      <c r="AK100" s="277">
        <f t="shared" si="52"/>
        <v>133.3333333</v>
      </c>
      <c r="AL100" s="277">
        <f t="shared" si="2"/>
        <v>1600</v>
      </c>
      <c r="AM100" s="277">
        <f t="shared" si="9"/>
        <v>0</v>
      </c>
      <c r="AN100" s="8" t="str">
        <f>+VLOOKUP('Detail 19-20'!A100,Map!$B$6:$M$222,12,FALSE)</f>
        <v>Office Supplies</v>
      </c>
    </row>
    <row r="101" ht="15.75" customHeight="1">
      <c r="A101" s="274" t="s">
        <v>1041</v>
      </c>
      <c r="B101" s="274" t="s">
        <v>1189</v>
      </c>
      <c r="C101" s="275" t="s">
        <v>376</v>
      </c>
      <c r="D101" s="276">
        <f>+SUMIFS('Detail 18-19'!AC:AC,'Detail 18-19'!$AA:$AA,$A101)</f>
        <v>0</v>
      </c>
      <c r="E101" s="276">
        <f>+SUMIFS('Detail 18-19'!AD:AD,'Detail 18-19'!$AA:$AA,$A101)</f>
        <v>236.8421053</v>
      </c>
      <c r="F101" s="276">
        <f>+SUMIFS('Detail 18-19'!AE:AE,'Detail 18-19'!$AA:$AA,$A101)</f>
        <v>473.6842105</v>
      </c>
      <c r="G101" s="276">
        <f>+SUMIFS('Detail 18-19'!AF:AF,'Detail 18-19'!$AA:$AA,$A101)</f>
        <v>473.6842105</v>
      </c>
      <c r="H101" s="276">
        <f>+SUMIFS('Detail 18-19'!AG:AG,'Detail 18-19'!$AA:$AA,$A101)</f>
        <v>473.6842105</v>
      </c>
      <c r="I101" s="276">
        <f>+SUMIFS('Detail 18-19'!AH:AH,'Detail 18-19'!$AA:$AA,$A101)</f>
        <v>473.6842105</v>
      </c>
      <c r="J101" s="276">
        <f>+SUMIFS('Detail 18-19'!AI:AI,'Detail 18-19'!$AA:$AA,$A101)</f>
        <v>473.6842105</v>
      </c>
      <c r="K101" s="276">
        <f>+SUMIFS('Detail 18-19'!AJ:AJ,'Detail 18-19'!$AA:$AA,$A101)</f>
        <v>473.6842105</v>
      </c>
      <c r="L101" s="276">
        <f>+SUMIFS('Detail 18-19'!AK:AK,'Detail 18-19'!$AA:$AA,$A101)</f>
        <v>473.6842105</v>
      </c>
      <c r="M101" s="276">
        <f>+SUMIFS('Detail 18-19'!AL:AL,'Detail 18-19'!$AA:$AA,$A101)</f>
        <v>473.6842105</v>
      </c>
      <c r="N101" s="276">
        <f>+SUMIFS('Detail 18-19'!AM:AM,'Detail 18-19'!$AA:$AA,$A101)</f>
        <v>473.6842105</v>
      </c>
      <c r="O101" s="276">
        <f>+SUMIFS('Detail 18-19'!AN:AN,'Detail 18-19'!$AA:$AA,$A101)</f>
        <v>0</v>
      </c>
      <c r="P101" s="277">
        <f t="shared" si="18"/>
        <v>4500</v>
      </c>
      <c r="Q101" s="270">
        <f>SUMIF('2019-03'!$E:$E,'Detail 19-20'!$A101,'2019-03'!$D:$D)</f>
        <v>3003</v>
      </c>
      <c r="R101" s="271" t="s">
        <v>992</v>
      </c>
      <c r="S101" s="270">
        <f t="shared" si="44"/>
        <v>3753.75</v>
      </c>
      <c r="T101" s="280">
        <f>+'Salaries 2019-20'!U238</f>
        <v>4774.05</v>
      </c>
      <c r="U101" s="277">
        <f t="shared" si="4"/>
        <v>274.05</v>
      </c>
      <c r="V101" s="278">
        <f t="shared" si="5"/>
        <v>0.0609</v>
      </c>
      <c r="W101" s="277">
        <f t="shared" si="6"/>
        <v>1020.3</v>
      </c>
      <c r="X101" s="278">
        <f t="shared" si="7"/>
        <v>0.2718081918</v>
      </c>
      <c r="Y101" s="279" t="s">
        <v>992</v>
      </c>
      <c r="Z101" s="277">
        <f t="shared" ref="Z101:Z103" si="54">+$T101*0</f>
        <v>0</v>
      </c>
      <c r="AA101" s="277">
        <f t="shared" ref="AA101:AA103" si="55">+$T101*0.5/9.5</f>
        <v>251.2657895</v>
      </c>
      <c r="AB101" s="277">
        <f t="shared" ref="AB101:AJ101" si="53">+$T101*1/9.5</f>
        <v>502.5315789</v>
      </c>
      <c r="AC101" s="277">
        <f t="shared" si="53"/>
        <v>502.5315789</v>
      </c>
      <c r="AD101" s="277">
        <f t="shared" si="53"/>
        <v>502.5315789</v>
      </c>
      <c r="AE101" s="277">
        <f t="shared" si="53"/>
        <v>502.5315789</v>
      </c>
      <c r="AF101" s="277">
        <f t="shared" si="53"/>
        <v>502.5315789</v>
      </c>
      <c r="AG101" s="277">
        <f t="shared" si="53"/>
        <v>502.5315789</v>
      </c>
      <c r="AH101" s="277">
        <f t="shared" si="53"/>
        <v>502.5315789</v>
      </c>
      <c r="AI101" s="277">
        <f t="shared" si="53"/>
        <v>502.5315789</v>
      </c>
      <c r="AJ101" s="277">
        <f t="shared" si="53"/>
        <v>502.5315789</v>
      </c>
      <c r="AK101" s="277">
        <f t="shared" ref="AK101:AK103" si="57">+$T101*0</f>
        <v>0</v>
      </c>
      <c r="AL101" s="277">
        <f t="shared" si="2"/>
        <v>4774.05</v>
      </c>
      <c r="AM101" s="277">
        <f t="shared" si="9"/>
        <v>0</v>
      </c>
      <c r="AN101" s="8" t="str">
        <f>+VLOOKUP('Detail 19-20'!A101,Map!$B$6:$M$222,12,FALSE)</f>
        <v>Salaries and Wages</v>
      </c>
    </row>
    <row r="102" ht="15.75" customHeight="1">
      <c r="A102" s="274" t="s">
        <v>1042</v>
      </c>
      <c r="B102" s="274" t="s">
        <v>1189</v>
      </c>
      <c r="C102" s="275" t="s">
        <v>1043</v>
      </c>
      <c r="D102" s="276">
        <f>+SUMIFS('Detail 18-19'!AC:AC,'Detail 18-19'!$AA:$AA,$A102)</f>
        <v>0</v>
      </c>
      <c r="E102" s="276">
        <f>+SUMIFS('Detail 18-19'!AD:AD,'Detail 18-19'!$AA:$AA,$A102)</f>
        <v>842.1052632</v>
      </c>
      <c r="F102" s="276">
        <f>+SUMIFS('Detail 18-19'!AE:AE,'Detail 18-19'!$AA:$AA,$A102)</f>
        <v>1684.210526</v>
      </c>
      <c r="G102" s="276">
        <f>+SUMIFS('Detail 18-19'!AF:AF,'Detail 18-19'!$AA:$AA,$A102)</f>
        <v>1684.210526</v>
      </c>
      <c r="H102" s="276">
        <f>+SUMIFS('Detail 18-19'!AG:AG,'Detail 18-19'!$AA:$AA,$A102)</f>
        <v>1684.210526</v>
      </c>
      <c r="I102" s="276">
        <f>+SUMIFS('Detail 18-19'!AH:AH,'Detail 18-19'!$AA:$AA,$A102)</f>
        <v>1684.210526</v>
      </c>
      <c r="J102" s="276">
        <f>+SUMIFS('Detail 18-19'!AI:AI,'Detail 18-19'!$AA:$AA,$A102)</f>
        <v>1684.210526</v>
      </c>
      <c r="K102" s="276">
        <f>+SUMIFS('Detail 18-19'!AJ:AJ,'Detail 18-19'!$AA:$AA,$A102)</f>
        <v>1684.210526</v>
      </c>
      <c r="L102" s="276">
        <f>+SUMIFS('Detail 18-19'!AK:AK,'Detail 18-19'!$AA:$AA,$A102)</f>
        <v>1684.210526</v>
      </c>
      <c r="M102" s="276">
        <f>+SUMIFS('Detail 18-19'!AL:AL,'Detail 18-19'!$AA:$AA,$A102)</f>
        <v>1684.210526</v>
      </c>
      <c r="N102" s="276">
        <f>+SUMIFS('Detail 18-19'!AM:AM,'Detail 18-19'!$AA:$AA,$A102)</f>
        <v>1684.210526</v>
      </c>
      <c r="O102" s="276">
        <f>+SUMIFS('Detail 18-19'!AN:AN,'Detail 18-19'!$AA:$AA,$A102)</f>
        <v>0</v>
      </c>
      <c r="P102" s="277">
        <f t="shared" si="18"/>
        <v>16000</v>
      </c>
      <c r="Q102" s="270">
        <f>SUMIF('2019-03'!$E:$E,'Detail 19-20'!$A102,'2019-03'!$D:$D)</f>
        <v>12060</v>
      </c>
      <c r="R102" s="271" t="s">
        <v>992</v>
      </c>
      <c r="S102" s="270">
        <f t="shared" si="44"/>
        <v>15075</v>
      </c>
      <c r="T102" s="280">
        <f>+'Salaries 2019-20'!V217</f>
        <v>15600</v>
      </c>
      <c r="U102" s="277">
        <f t="shared" si="4"/>
        <v>-400</v>
      </c>
      <c r="V102" s="278">
        <f t="shared" si="5"/>
        <v>-0.025</v>
      </c>
      <c r="W102" s="277">
        <f t="shared" si="6"/>
        <v>525</v>
      </c>
      <c r="X102" s="278">
        <f t="shared" si="7"/>
        <v>0.03482587065</v>
      </c>
      <c r="Y102" s="279" t="s">
        <v>992</v>
      </c>
      <c r="Z102" s="277">
        <f t="shared" si="54"/>
        <v>0</v>
      </c>
      <c r="AA102" s="277">
        <f t="shared" si="55"/>
        <v>821.0526316</v>
      </c>
      <c r="AB102" s="277">
        <f t="shared" ref="AB102:AJ102" si="56">+$T102*1/9.5</f>
        <v>1642.105263</v>
      </c>
      <c r="AC102" s="277">
        <f t="shared" si="56"/>
        <v>1642.105263</v>
      </c>
      <c r="AD102" s="277">
        <f t="shared" si="56"/>
        <v>1642.105263</v>
      </c>
      <c r="AE102" s="277">
        <f t="shared" si="56"/>
        <v>1642.105263</v>
      </c>
      <c r="AF102" s="277">
        <f t="shared" si="56"/>
        <v>1642.105263</v>
      </c>
      <c r="AG102" s="277">
        <f t="shared" si="56"/>
        <v>1642.105263</v>
      </c>
      <c r="AH102" s="277">
        <f t="shared" si="56"/>
        <v>1642.105263</v>
      </c>
      <c r="AI102" s="277">
        <f t="shared" si="56"/>
        <v>1642.105263</v>
      </c>
      <c r="AJ102" s="277">
        <f t="shared" si="56"/>
        <v>1642.105263</v>
      </c>
      <c r="AK102" s="277">
        <f t="shared" si="57"/>
        <v>0</v>
      </c>
      <c r="AL102" s="277">
        <f t="shared" si="2"/>
        <v>15600</v>
      </c>
      <c r="AM102" s="277">
        <f t="shared" si="9"/>
        <v>0</v>
      </c>
      <c r="AN102" s="8" t="str">
        <f>+VLOOKUP('Detail 19-20'!A102,Map!$B$6:$M$222,12,FALSE)</f>
        <v>Salaries and Wages</v>
      </c>
    </row>
    <row r="103" ht="15.75" customHeight="1">
      <c r="A103" s="274" t="s">
        <v>1044</v>
      </c>
      <c r="B103" s="274" t="s">
        <v>1189</v>
      </c>
      <c r="C103" s="275" t="s">
        <v>384</v>
      </c>
      <c r="D103" s="276">
        <f>+SUMIFS('Detail 18-19'!AC:AC,'Detail 18-19'!$AA:$AA,$A103)</f>
        <v>0</v>
      </c>
      <c r="E103" s="276">
        <f>+SUMIFS('Detail 18-19'!AD:AD,'Detail 18-19'!$AA:$AA,$A103)</f>
        <v>17234.0424</v>
      </c>
      <c r="F103" s="276">
        <f>+SUMIFS('Detail 18-19'!AE:AE,'Detail 18-19'!$AA:$AA,$A103)</f>
        <v>34468.0848</v>
      </c>
      <c r="G103" s="276">
        <f>+SUMIFS('Detail 18-19'!AF:AF,'Detail 18-19'!$AA:$AA,$A103)</f>
        <v>34468.0848</v>
      </c>
      <c r="H103" s="276">
        <f>+SUMIFS('Detail 18-19'!AG:AG,'Detail 18-19'!$AA:$AA,$A103)</f>
        <v>34468.0848</v>
      </c>
      <c r="I103" s="276">
        <f>+SUMIFS('Detail 18-19'!AH:AH,'Detail 18-19'!$AA:$AA,$A103)</f>
        <v>34468.0848</v>
      </c>
      <c r="J103" s="276">
        <f>+SUMIFS('Detail 18-19'!AI:AI,'Detail 18-19'!$AA:$AA,$A103)</f>
        <v>34468.0848</v>
      </c>
      <c r="K103" s="276">
        <f>+SUMIFS('Detail 18-19'!AJ:AJ,'Detail 18-19'!$AA:$AA,$A103)</f>
        <v>34468.0848</v>
      </c>
      <c r="L103" s="276">
        <f>+SUMIFS('Detail 18-19'!AK:AK,'Detail 18-19'!$AA:$AA,$A103)</f>
        <v>34468.0848</v>
      </c>
      <c r="M103" s="276">
        <f>+SUMIFS('Detail 18-19'!AL:AL,'Detail 18-19'!$AA:$AA,$A103)</f>
        <v>34468.0848</v>
      </c>
      <c r="N103" s="276">
        <f>+SUMIFS('Detail 18-19'!AM:AM,'Detail 18-19'!$AA:$AA,$A103)</f>
        <v>34468.0848</v>
      </c>
      <c r="O103" s="276">
        <f>+SUMIFS('Detail 18-19'!AN:AN,'Detail 18-19'!$AA:$AA,$A103)</f>
        <v>0</v>
      </c>
      <c r="P103" s="277">
        <f t="shared" si="18"/>
        <v>327446.8056</v>
      </c>
      <c r="Q103" s="270">
        <f>SUMIF('2019-03'!$E:$E,'Detail 19-20'!$A103,'2019-03'!$D:$D)</f>
        <v>252694.93</v>
      </c>
      <c r="R103" s="271" t="s">
        <v>992</v>
      </c>
      <c r="S103" s="270">
        <f>IF(R103="Simple",Q103*1.33333333333333,IF(R103="None",Q103,IF(R103="Ten Month",(Q103+(Q103/8*2)))))+4500</f>
        <v>320368.6625</v>
      </c>
      <c r="T103" s="280">
        <f>+'Salaries 2019-20'!V221</f>
        <v>328499.9493</v>
      </c>
      <c r="U103" s="277">
        <f t="shared" si="4"/>
        <v>1053.143688</v>
      </c>
      <c r="V103" s="278">
        <f t="shared" si="5"/>
        <v>0.003216228316</v>
      </c>
      <c r="W103" s="277">
        <f t="shared" si="6"/>
        <v>8131.286788</v>
      </c>
      <c r="X103" s="278">
        <f t="shared" si="7"/>
        <v>0.02538103048</v>
      </c>
      <c r="Y103" s="279" t="s">
        <v>992</v>
      </c>
      <c r="Z103" s="277">
        <f t="shared" si="54"/>
        <v>0</v>
      </c>
      <c r="AA103" s="277">
        <f t="shared" si="55"/>
        <v>17289.47102</v>
      </c>
      <c r="AB103" s="277">
        <f t="shared" ref="AB103:AJ103" si="58">+$T103*1/9.5</f>
        <v>34578.94203</v>
      </c>
      <c r="AC103" s="277">
        <f t="shared" si="58"/>
        <v>34578.94203</v>
      </c>
      <c r="AD103" s="277">
        <f t="shared" si="58"/>
        <v>34578.94203</v>
      </c>
      <c r="AE103" s="277">
        <f t="shared" si="58"/>
        <v>34578.94203</v>
      </c>
      <c r="AF103" s="277">
        <f t="shared" si="58"/>
        <v>34578.94203</v>
      </c>
      <c r="AG103" s="277">
        <f t="shared" si="58"/>
        <v>34578.94203</v>
      </c>
      <c r="AH103" s="277">
        <f t="shared" si="58"/>
        <v>34578.94203</v>
      </c>
      <c r="AI103" s="277">
        <f t="shared" si="58"/>
        <v>34578.94203</v>
      </c>
      <c r="AJ103" s="277">
        <f t="shared" si="58"/>
        <v>34578.94203</v>
      </c>
      <c r="AK103" s="277">
        <f t="shared" si="57"/>
        <v>0</v>
      </c>
      <c r="AL103" s="277">
        <f t="shared" si="2"/>
        <v>328499.9493</v>
      </c>
      <c r="AM103" s="277">
        <f t="shared" si="9"/>
        <v>0</v>
      </c>
      <c r="AN103" s="8" t="str">
        <f>+VLOOKUP('Detail 19-20'!A103,Map!$B$6:$M$222,12,FALSE)</f>
        <v>Salaries and Wages</v>
      </c>
    </row>
    <row r="104" ht="15.75" customHeight="1">
      <c r="A104" s="274" t="s">
        <v>1045</v>
      </c>
      <c r="B104" s="274" t="s">
        <v>1189</v>
      </c>
      <c r="C104" s="275" t="s">
        <v>390</v>
      </c>
      <c r="D104" s="276">
        <f>+SUMIFS('Detail 18-19'!AC:AC,'Detail 18-19'!$AA:$AA,$A104)</f>
        <v>19233.705</v>
      </c>
      <c r="E104" s="276">
        <f>+SUMIFS('Detail 18-19'!AD:AD,'Detail 18-19'!$AA:$AA,$A104)</f>
        <v>19233.705</v>
      </c>
      <c r="F104" s="276">
        <f>+SUMIFS('Detail 18-19'!AE:AE,'Detail 18-19'!$AA:$AA,$A104)</f>
        <v>19233.705</v>
      </c>
      <c r="G104" s="276">
        <f>+SUMIFS('Detail 18-19'!AF:AF,'Detail 18-19'!$AA:$AA,$A104)</f>
        <v>19233.705</v>
      </c>
      <c r="H104" s="276">
        <f>+SUMIFS('Detail 18-19'!AG:AG,'Detail 18-19'!$AA:$AA,$A104)</f>
        <v>19233.705</v>
      </c>
      <c r="I104" s="276">
        <f>+SUMIFS('Detail 18-19'!AH:AH,'Detail 18-19'!$AA:$AA,$A104)</f>
        <v>19233.705</v>
      </c>
      <c r="J104" s="276">
        <f>+SUMIFS('Detail 18-19'!AI:AI,'Detail 18-19'!$AA:$AA,$A104)</f>
        <v>19233.705</v>
      </c>
      <c r="K104" s="276">
        <f>+SUMIFS('Detail 18-19'!AJ:AJ,'Detail 18-19'!$AA:$AA,$A104)</f>
        <v>19233.705</v>
      </c>
      <c r="L104" s="276">
        <f>+SUMIFS('Detail 18-19'!AK:AK,'Detail 18-19'!$AA:$AA,$A104)</f>
        <v>19233.705</v>
      </c>
      <c r="M104" s="276">
        <f>+SUMIFS('Detail 18-19'!AL:AL,'Detail 18-19'!$AA:$AA,$A104)</f>
        <v>19233.705</v>
      </c>
      <c r="N104" s="276">
        <f>+SUMIFS('Detail 18-19'!AM:AM,'Detail 18-19'!$AA:$AA,$A104)</f>
        <v>19233.705</v>
      </c>
      <c r="O104" s="276">
        <f>+SUMIFS('Detail 18-19'!AN:AN,'Detail 18-19'!$AA:$AA,$A104)</f>
        <v>19233.705</v>
      </c>
      <c r="P104" s="277">
        <f t="shared" si="18"/>
        <v>230804.46</v>
      </c>
      <c r="Q104" s="270">
        <f>SUMIF('2019-03'!$E:$E,'Detail 19-20'!$A104,'2019-03'!$D:$D)</f>
        <v>178311.88</v>
      </c>
      <c r="R104" s="271" t="s">
        <v>950</v>
      </c>
      <c r="S104" s="270">
        <f>IF(R104="Simple",Q104*1.33333333333333,IF(R104="None",Q104,IF(R104="Ten Month",(Q104+(Q104/8*2)))))+3500</f>
        <v>241249.1733</v>
      </c>
      <c r="T104" s="280">
        <f>+'Salaries 2019-20'!V224</f>
        <v>287595.8357</v>
      </c>
      <c r="U104" s="277">
        <f t="shared" si="4"/>
        <v>56791.37573</v>
      </c>
      <c r="V104" s="278">
        <f t="shared" si="5"/>
        <v>0.2460583982</v>
      </c>
      <c r="W104" s="277">
        <f t="shared" si="6"/>
        <v>46346.66239</v>
      </c>
      <c r="X104" s="278">
        <f t="shared" si="7"/>
        <v>0.192111176</v>
      </c>
      <c r="Y104" s="279" t="s">
        <v>950</v>
      </c>
      <c r="Z104" s="277">
        <f t="shared" ref="Z104:AK104" si="59">+$T104/12</f>
        <v>23966.31964</v>
      </c>
      <c r="AA104" s="277">
        <f t="shared" si="59"/>
        <v>23966.31964</v>
      </c>
      <c r="AB104" s="277">
        <f t="shared" si="59"/>
        <v>23966.31964</v>
      </c>
      <c r="AC104" s="277">
        <f t="shared" si="59"/>
        <v>23966.31964</v>
      </c>
      <c r="AD104" s="277">
        <f t="shared" si="59"/>
        <v>23966.31964</v>
      </c>
      <c r="AE104" s="277">
        <f t="shared" si="59"/>
        <v>23966.31964</v>
      </c>
      <c r="AF104" s="277">
        <f t="shared" si="59"/>
        <v>23966.31964</v>
      </c>
      <c r="AG104" s="277">
        <f t="shared" si="59"/>
        <v>23966.31964</v>
      </c>
      <c r="AH104" s="277">
        <f t="shared" si="59"/>
        <v>23966.31964</v>
      </c>
      <c r="AI104" s="277">
        <f t="shared" si="59"/>
        <v>23966.31964</v>
      </c>
      <c r="AJ104" s="277">
        <f t="shared" si="59"/>
        <v>23966.31964</v>
      </c>
      <c r="AK104" s="277">
        <f t="shared" si="59"/>
        <v>23966.31964</v>
      </c>
      <c r="AL104" s="277">
        <f t="shared" si="2"/>
        <v>287595.8357</v>
      </c>
      <c r="AM104" s="277">
        <f t="shared" si="9"/>
        <v>0</v>
      </c>
      <c r="AN104" s="8" t="str">
        <f>+VLOOKUP('Detail 19-20'!A104,Map!$B$6:$M$222,12,FALSE)</f>
        <v>Salaries and Wages</v>
      </c>
    </row>
    <row r="105" ht="15.75" customHeight="1">
      <c r="A105" s="274" t="s">
        <v>1046</v>
      </c>
      <c r="B105" s="274" t="s">
        <v>1189</v>
      </c>
      <c r="C105" s="275" t="s">
        <v>392</v>
      </c>
      <c r="D105" s="276">
        <f>+SUMIFS('Detail 18-19'!AC:AC,'Detail 18-19'!$AA:$AA,$A105)</f>
        <v>0</v>
      </c>
      <c r="E105" s="276">
        <f>+SUMIFS('Detail 18-19'!AD:AD,'Detail 18-19'!$AA:$AA,$A105)</f>
        <v>0</v>
      </c>
      <c r="F105" s="276">
        <f>+SUMIFS('Detail 18-19'!AE:AE,'Detail 18-19'!$AA:$AA,$A105)</f>
        <v>0</v>
      </c>
      <c r="G105" s="276">
        <f>+SUMIFS('Detail 18-19'!AF:AF,'Detail 18-19'!$AA:$AA,$A105)</f>
        <v>0</v>
      </c>
      <c r="H105" s="276">
        <f>+SUMIFS('Detail 18-19'!AG:AG,'Detail 18-19'!$AA:$AA,$A105)</f>
        <v>0</v>
      </c>
      <c r="I105" s="276">
        <f>+SUMIFS('Detail 18-19'!AH:AH,'Detail 18-19'!$AA:$AA,$A105)</f>
        <v>0</v>
      </c>
      <c r="J105" s="276">
        <f>+SUMIFS('Detail 18-19'!AI:AI,'Detail 18-19'!$AA:$AA,$A105)</f>
        <v>0</v>
      </c>
      <c r="K105" s="276">
        <f>+SUMIFS('Detail 18-19'!AJ:AJ,'Detail 18-19'!$AA:$AA,$A105)</f>
        <v>0</v>
      </c>
      <c r="L105" s="276">
        <f>+SUMIFS('Detail 18-19'!AK:AK,'Detail 18-19'!$AA:$AA,$A105)</f>
        <v>0</v>
      </c>
      <c r="M105" s="276">
        <f>+SUMIFS('Detail 18-19'!AL:AL,'Detail 18-19'!$AA:$AA,$A105)</f>
        <v>0</v>
      </c>
      <c r="N105" s="276">
        <f>+SUMIFS('Detail 18-19'!AM:AM,'Detail 18-19'!$AA:$AA,$A105)</f>
        <v>0</v>
      </c>
      <c r="O105" s="276">
        <f>+SUMIFS('Detail 18-19'!AN:AN,'Detail 18-19'!$AA:$AA,$A105)</f>
        <v>0</v>
      </c>
      <c r="P105" s="277">
        <f t="shared" si="18"/>
        <v>0</v>
      </c>
      <c r="Q105" s="270">
        <f>SUMIF('2019-03'!$E:$E,'Detail 19-20'!$A105,'2019-03'!$D:$D)</f>
        <v>0</v>
      </c>
      <c r="R105" s="271" t="s">
        <v>992</v>
      </c>
      <c r="S105" s="270">
        <f t="shared" ref="S105:S125" si="61">IF(R105="Simple",Q105*1.33333333333333,IF(R105="None",Q105,IF(R105="Ten Month",(Q105+(Q105/8*2)))))</f>
        <v>0</v>
      </c>
      <c r="T105" s="272">
        <v>0.0</v>
      </c>
      <c r="U105" s="277">
        <f t="shared" si="4"/>
        <v>0</v>
      </c>
      <c r="V105" s="278">
        <f t="shared" si="5"/>
        <v>0</v>
      </c>
      <c r="W105" s="277">
        <f t="shared" si="6"/>
        <v>0</v>
      </c>
      <c r="X105" s="278">
        <f t="shared" si="7"/>
        <v>0</v>
      </c>
      <c r="Y105" s="279" t="s">
        <v>950</v>
      </c>
      <c r="Z105" s="277">
        <f t="shared" ref="Z105:AK105" si="60">+$T105/12</f>
        <v>0</v>
      </c>
      <c r="AA105" s="277">
        <f t="shared" si="60"/>
        <v>0</v>
      </c>
      <c r="AB105" s="277">
        <f t="shared" si="60"/>
        <v>0</v>
      </c>
      <c r="AC105" s="277">
        <f t="shared" si="60"/>
        <v>0</v>
      </c>
      <c r="AD105" s="277">
        <f t="shared" si="60"/>
        <v>0</v>
      </c>
      <c r="AE105" s="277">
        <f t="shared" si="60"/>
        <v>0</v>
      </c>
      <c r="AF105" s="277">
        <f t="shared" si="60"/>
        <v>0</v>
      </c>
      <c r="AG105" s="277">
        <f t="shared" si="60"/>
        <v>0</v>
      </c>
      <c r="AH105" s="277">
        <f t="shared" si="60"/>
        <v>0</v>
      </c>
      <c r="AI105" s="277">
        <f t="shared" si="60"/>
        <v>0</v>
      </c>
      <c r="AJ105" s="277">
        <f t="shared" si="60"/>
        <v>0</v>
      </c>
      <c r="AK105" s="277">
        <f t="shared" si="60"/>
        <v>0</v>
      </c>
      <c r="AL105" s="277">
        <f t="shared" si="2"/>
        <v>0</v>
      </c>
      <c r="AM105" s="277">
        <f t="shared" si="9"/>
        <v>0</v>
      </c>
      <c r="AN105" s="8" t="str">
        <f>+VLOOKUP('Detail 19-20'!A105,Map!$B$6:$M$222,12,FALSE)</f>
        <v>Salaries and Wages</v>
      </c>
    </row>
    <row r="106" ht="15.75" customHeight="1">
      <c r="A106" s="274" t="s">
        <v>1047</v>
      </c>
      <c r="B106" s="274" t="s">
        <v>1189</v>
      </c>
      <c r="C106" s="275" t="s">
        <v>396</v>
      </c>
      <c r="D106" s="276">
        <f>+SUMIFS('Detail 18-19'!AC:AC,'Detail 18-19'!$AA:$AA,$A106)</f>
        <v>0</v>
      </c>
      <c r="E106" s="276">
        <f>+SUMIFS('Detail 18-19'!AD:AD,'Detail 18-19'!$AA:$AA,$A106)</f>
        <v>0</v>
      </c>
      <c r="F106" s="276">
        <f>+SUMIFS('Detail 18-19'!AE:AE,'Detail 18-19'!$AA:$AA,$A106)</f>
        <v>0</v>
      </c>
      <c r="G106" s="276">
        <f>+SUMIFS('Detail 18-19'!AF:AF,'Detail 18-19'!$AA:$AA,$A106)</f>
        <v>0</v>
      </c>
      <c r="H106" s="276">
        <f>+SUMIFS('Detail 18-19'!AG:AG,'Detail 18-19'!$AA:$AA,$A106)</f>
        <v>0</v>
      </c>
      <c r="I106" s="276">
        <f>+SUMIFS('Detail 18-19'!AH:AH,'Detail 18-19'!$AA:$AA,$A106)</f>
        <v>0</v>
      </c>
      <c r="J106" s="276">
        <f>+SUMIFS('Detail 18-19'!AI:AI,'Detail 18-19'!$AA:$AA,$A106)</f>
        <v>0</v>
      </c>
      <c r="K106" s="276">
        <f>+SUMIFS('Detail 18-19'!AJ:AJ,'Detail 18-19'!$AA:$AA,$A106)</f>
        <v>0</v>
      </c>
      <c r="L106" s="276">
        <f>+SUMIFS('Detail 18-19'!AK:AK,'Detail 18-19'!$AA:$AA,$A106)</f>
        <v>0</v>
      </c>
      <c r="M106" s="276">
        <f>+SUMIFS('Detail 18-19'!AL:AL,'Detail 18-19'!$AA:$AA,$A106)</f>
        <v>0</v>
      </c>
      <c r="N106" s="276">
        <f>+SUMIFS('Detail 18-19'!AM:AM,'Detail 18-19'!$AA:$AA,$A106)</f>
        <v>0</v>
      </c>
      <c r="O106" s="276">
        <f>+SUMIFS('Detail 18-19'!AN:AN,'Detail 18-19'!$AA:$AA,$A106)</f>
        <v>0</v>
      </c>
      <c r="P106" s="277">
        <f t="shared" si="18"/>
        <v>0</v>
      </c>
      <c r="Q106" s="270">
        <f>SUMIF('2019-03'!$E:$E,'Detail 19-20'!$A106,'2019-03'!$D:$D)</f>
        <v>5228.02</v>
      </c>
      <c r="R106" s="271" t="s">
        <v>992</v>
      </c>
      <c r="S106" s="270">
        <f t="shared" si="61"/>
        <v>6535.025</v>
      </c>
      <c r="T106" s="280">
        <f>+'Salaries 2019-20'!V227</f>
        <v>12100</v>
      </c>
      <c r="U106" s="277">
        <f t="shared" si="4"/>
        <v>12100</v>
      </c>
      <c r="V106" s="278">
        <f t="shared" si="5"/>
        <v>0</v>
      </c>
      <c r="W106" s="277">
        <f t="shared" si="6"/>
        <v>5564.975</v>
      </c>
      <c r="X106" s="278">
        <f t="shared" si="7"/>
        <v>0.8515613942</v>
      </c>
      <c r="Y106" s="279" t="s">
        <v>992</v>
      </c>
      <c r="Z106" s="277">
        <f t="shared" ref="Z106:Z111" si="63">+$T106*0</f>
        <v>0</v>
      </c>
      <c r="AA106" s="277">
        <f t="shared" ref="AA106:AA111" si="64">+$T106*0.5/9.5</f>
        <v>636.8421053</v>
      </c>
      <c r="AB106" s="277">
        <f t="shared" ref="AB106:AJ106" si="62">+$T106*1/9.5</f>
        <v>1273.684211</v>
      </c>
      <c r="AC106" s="277">
        <f t="shared" si="62"/>
        <v>1273.684211</v>
      </c>
      <c r="AD106" s="277">
        <f t="shared" si="62"/>
        <v>1273.684211</v>
      </c>
      <c r="AE106" s="277">
        <f t="shared" si="62"/>
        <v>1273.684211</v>
      </c>
      <c r="AF106" s="277">
        <f t="shared" si="62"/>
        <v>1273.684211</v>
      </c>
      <c r="AG106" s="277">
        <f t="shared" si="62"/>
        <v>1273.684211</v>
      </c>
      <c r="AH106" s="277">
        <f t="shared" si="62"/>
        <v>1273.684211</v>
      </c>
      <c r="AI106" s="277">
        <f t="shared" si="62"/>
        <v>1273.684211</v>
      </c>
      <c r="AJ106" s="277">
        <f t="shared" si="62"/>
        <v>1273.684211</v>
      </c>
      <c r="AK106" s="277">
        <f t="shared" ref="AK106:AK111" si="66">+$T106*0</f>
        <v>0</v>
      </c>
      <c r="AL106" s="277">
        <f t="shared" si="2"/>
        <v>12100</v>
      </c>
      <c r="AM106" s="277">
        <f t="shared" si="9"/>
        <v>0</v>
      </c>
      <c r="AN106" s="8" t="str">
        <f>+VLOOKUP('Detail 19-20'!A106,Map!$B$6:$M$222,12,FALSE)</f>
        <v>Salaries and Wages</v>
      </c>
    </row>
    <row r="107" ht="15.75" customHeight="1">
      <c r="A107" s="274" t="s">
        <v>1048</v>
      </c>
      <c r="B107" s="274" t="s">
        <v>1189</v>
      </c>
      <c r="C107" s="275" t="s">
        <v>398</v>
      </c>
      <c r="D107" s="276">
        <f>+SUMIFS('Detail 18-19'!AC:AC,'Detail 18-19'!$AA:$AA,$A107)</f>
        <v>0</v>
      </c>
      <c r="E107" s="276">
        <f>+SUMIFS('Detail 18-19'!AD:AD,'Detail 18-19'!$AA:$AA,$A107)</f>
        <v>243.9473684</v>
      </c>
      <c r="F107" s="276">
        <f>+SUMIFS('Detail 18-19'!AE:AE,'Detail 18-19'!$AA:$AA,$A107)</f>
        <v>487.8947368</v>
      </c>
      <c r="G107" s="276">
        <f>+SUMIFS('Detail 18-19'!AF:AF,'Detail 18-19'!$AA:$AA,$A107)</f>
        <v>487.8947368</v>
      </c>
      <c r="H107" s="276">
        <f>+SUMIFS('Detail 18-19'!AG:AG,'Detail 18-19'!$AA:$AA,$A107)</f>
        <v>487.8947368</v>
      </c>
      <c r="I107" s="276">
        <f>+SUMIFS('Detail 18-19'!AH:AH,'Detail 18-19'!$AA:$AA,$A107)</f>
        <v>487.8947368</v>
      </c>
      <c r="J107" s="276">
        <f>+SUMIFS('Detail 18-19'!AI:AI,'Detail 18-19'!$AA:$AA,$A107)</f>
        <v>487.8947368</v>
      </c>
      <c r="K107" s="276">
        <f>+SUMIFS('Detail 18-19'!AJ:AJ,'Detail 18-19'!$AA:$AA,$A107)</f>
        <v>487.8947368</v>
      </c>
      <c r="L107" s="276">
        <f>+SUMIFS('Detail 18-19'!AK:AK,'Detail 18-19'!$AA:$AA,$A107)</f>
        <v>487.8947368</v>
      </c>
      <c r="M107" s="276">
        <f>+SUMIFS('Detail 18-19'!AL:AL,'Detail 18-19'!$AA:$AA,$A107)</f>
        <v>487.8947368</v>
      </c>
      <c r="N107" s="276">
        <f>+SUMIFS('Detail 18-19'!AM:AM,'Detail 18-19'!$AA:$AA,$A107)</f>
        <v>487.8947368</v>
      </c>
      <c r="O107" s="276">
        <f>+SUMIFS('Detail 18-19'!AN:AN,'Detail 18-19'!$AA:$AA,$A107)</f>
        <v>0</v>
      </c>
      <c r="P107" s="277">
        <f t="shared" si="18"/>
        <v>4635</v>
      </c>
      <c r="Q107" s="270">
        <f>SUMIF('2019-03'!$E:$E,'Detail 19-20'!$A107,'2019-03'!$D:$D)</f>
        <v>3552.6</v>
      </c>
      <c r="R107" s="271" t="s">
        <v>992</v>
      </c>
      <c r="S107" s="270">
        <f t="shared" si="61"/>
        <v>4440.75</v>
      </c>
      <c r="T107" s="280">
        <f>+'Salaries 2019-20'!V228</f>
        <v>4635</v>
      </c>
      <c r="U107" s="277">
        <f t="shared" si="4"/>
        <v>0</v>
      </c>
      <c r="V107" s="278">
        <f t="shared" si="5"/>
        <v>0</v>
      </c>
      <c r="W107" s="277">
        <f t="shared" si="6"/>
        <v>194.25</v>
      </c>
      <c r="X107" s="278">
        <f t="shared" si="7"/>
        <v>0.04374261105</v>
      </c>
      <c r="Y107" s="279" t="s">
        <v>992</v>
      </c>
      <c r="Z107" s="277">
        <f t="shared" si="63"/>
        <v>0</v>
      </c>
      <c r="AA107" s="277">
        <f t="shared" si="64"/>
        <v>243.9473684</v>
      </c>
      <c r="AB107" s="277">
        <f t="shared" ref="AB107:AJ107" si="65">+$T107*1/9.5</f>
        <v>487.8947368</v>
      </c>
      <c r="AC107" s="277">
        <f t="shared" si="65"/>
        <v>487.8947368</v>
      </c>
      <c r="AD107" s="277">
        <f t="shared" si="65"/>
        <v>487.8947368</v>
      </c>
      <c r="AE107" s="277">
        <f t="shared" si="65"/>
        <v>487.8947368</v>
      </c>
      <c r="AF107" s="277">
        <f t="shared" si="65"/>
        <v>487.8947368</v>
      </c>
      <c r="AG107" s="277">
        <f t="shared" si="65"/>
        <v>487.8947368</v>
      </c>
      <c r="AH107" s="277">
        <f t="shared" si="65"/>
        <v>487.8947368</v>
      </c>
      <c r="AI107" s="277">
        <f t="shared" si="65"/>
        <v>487.8947368</v>
      </c>
      <c r="AJ107" s="277">
        <f t="shared" si="65"/>
        <v>487.8947368</v>
      </c>
      <c r="AK107" s="277">
        <f t="shared" si="66"/>
        <v>0</v>
      </c>
      <c r="AL107" s="277">
        <f t="shared" si="2"/>
        <v>4635</v>
      </c>
      <c r="AM107" s="277">
        <f t="shared" si="9"/>
        <v>0</v>
      </c>
      <c r="AN107" s="8" t="str">
        <f>+VLOOKUP('Detail 19-20'!A107,Map!$B$6:$M$222,12,FALSE)</f>
        <v>Salaries and Wages</v>
      </c>
    </row>
    <row r="108" ht="15.75" customHeight="1">
      <c r="A108" s="274" t="s">
        <v>1049</v>
      </c>
      <c r="B108" s="274" t="s">
        <v>1189</v>
      </c>
      <c r="C108" s="275" t="s">
        <v>402</v>
      </c>
      <c r="D108" s="276">
        <f>+SUMIFS('Detail 18-19'!AC:AC,'Detail 18-19'!$AA:$AA,$A108)</f>
        <v>0</v>
      </c>
      <c r="E108" s="276">
        <f>+SUMIFS('Detail 18-19'!AD:AD,'Detail 18-19'!$AA:$AA,$A108)</f>
        <v>483.5526316</v>
      </c>
      <c r="F108" s="276">
        <f>+SUMIFS('Detail 18-19'!AE:AE,'Detail 18-19'!$AA:$AA,$A108)</f>
        <v>967.1052632</v>
      </c>
      <c r="G108" s="276">
        <f>+SUMIFS('Detail 18-19'!AF:AF,'Detail 18-19'!$AA:$AA,$A108)</f>
        <v>967.1052632</v>
      </c>
      <c r="H108" s="276">
        <f>+SUMIFS('Detail 18-19'!AG:AG,'Detail 18-19'!$AA:$AA,$A108)</f>
        <v>967.1052632</v>
      </c>
      <c r="I108" s="276">
        <f>+SUMIFS('Detail 18-19'!AH:AH,'Detail 18-19'!$AA:$AA,$A108)</f>
        <v>967.1052632</v>
      </c>
      <c r="J108" s="276">
        <f>+SUMIFS('Detail 18-19'!AI:AI,'Detail 18-19'!$AA:$AA,$A108)</f>
        <v>967.1052632</v>
      </c>
      <c r="K108" s="276">
        <f>+SUMIFS('Detail 18-19'!AJ:AJ,'Detail 18-19'!$AA:$AA,$A108)</f>
        <v>967.1052632</v>
      </c>
      <c r="L108" s="276">
        <f>+SUMIFS('Detail 18-19'!AK:AK,'Detail 18-19'!$AA:$AA,$A108)</f>
        <v>967.1052632</v>
      </c>
      <c r="M108" s="276">
        <f>+SUMIFS('Detail 18-19'!AL:AL,'Detail 18-19'!$AA:$AA,$A108)</f>
        <v>967.1052632</v>
      </c>
      <c r="N108" s="276">
        <f>+SUMIFS('Detail 18-19'!AM:AM,'Detail 18-19'!$AA:$AA,$A108)</f>
        <v>967.1052632</v>
      </c>
      <c r="O108" s="276">
        <f>+SUMIFS('Detail 18-19'!AN:AN,'Detail 18-19'!$AA:$AA,$A108)</f>
        <v>0</v>
      </c>
      <c r="P108" s="277">
        <f t="shared" si="18"/>
        <v>9187.5</v>
      </c>
      <c r="Q108" s="270">
        <f>SUMIF('2019-03'!$E:$E,'Detail 19-20'!$A108,'2019-03'!$D:$D)</f>
        <v>6973.3</v>
      </c>
      <c r="R108" s="271" t="s">
        <v>992</v>
      </c>
      <c r="S108" s="270">
        <f t="shared" si="61"/>
        <v>8716.625</v>
      </c>
      <c r="T108" s="280">
        <f>+'Salaries 2019-20'!V230</f>
        <v>8700</v>
      </c>
      <c r="U108" s="277">
        <f t="shared" si="4"/>
        <v>-487.5</v>
      </c>
      <c r="V108" s="278">
        <f t="shared" si="5"/>
        <v>-0.05306122449</v>
      </c>
      <c r="W108" s="277">
        <f t="shared" si="6"/>
        <v>-16.625</v>
      </c>
      <c r="X108" s="278">
        <f t="shared" si="7"/>
        <v>-0.001907274891</v>
      </c>
      <c r="Y108" s="279" t="s">
        <v>992</v>
      </c>
      <c r="Z108" s="277">
        <f t="shared" si="63"/>
        <v>0</v>
      </c>
      <c r="AA108" s="277">
        <f t="shared" si="64"/>
        <v>457.8947368</v>
      </c>
      <c r="AB108" s="277">
        <f t="shared" ref="AB108:AJ108" si="67">+$T108*1/9.5</f>
        <v>915.7894737</v>
      </c>
      <c r="AC108" s="277">
        <f t="shared" si="67"/>
        <v>915.7894737</v>
      </c>
      <c r="AD108" s="277">
        <f t="shared" si="67"/>
        <v>915.7894737</v>
      </c>
      <c r="AE108" s="277">
        <f t="shared" si="67"/>
        <v>915.7894737</v>
      </c>
      <c r="AF108" s="277">
        <f t="shared" si="67"/>
        <v>915.7894737</v>
      </c>
      <c r="AG108" s="277">
        <f t="shared" si="67"/>
        <v>915.7894737</v>
      </c>
      <c r="AH108" s="277">
        <f t="shared" si="67"/>
        <v>915.7894737</v>
      </c>
      <c r="AI108" s="277">
        <f t="shared" si="67"/>
        <v>915.7894737</v>
      </c>
      <c r="AJ108" s="277">
        <f t="shared" si="67"/>
        <v>915.7894737</v>
      </c>
      <c r="AK108" s="277">
        <f t="shared" si="66"/>
        <v>0</v>
      </c>
      <c r="AL108" s="277">
        <f t="shared" si="2"/>
        <v>8700</v>
      </c>
      <c r="AM108" s="277">
        <f t="shared" si="9"/>
        <v>0</v>
      </c>
      <c r="AN108" s="8" t="str">
        <f>+VLOOKUP('Detail 19-20'!A108,Map!$B$6:$M$222,12,FALSE)</f>
        <v>Salaries and Wages</v>
      </c>
    </row>
    <row r="109" ht="15.75" customHeight="1">
      <c r="A109" s="274" t="s">
        <v>1050</v>
      </c>
      <c r="B109" s="274" t="s">
        <v>1189</v>
      </c>
      <c r="C109" s="275" t="s">
        <v>1051</v>
      </c>
      <c r="D109" s="276">
        <f>+SUMIFS('Detail 18-19'!AC:AC,'Detail 18-19'!$AA:$AA,$A109)</f>
        <v>0</v>
      </c>
      <c r="E109" s="276">
        <f>+SUMIFS('Detail 18-19'!AD:AD,'Detail 18-19'!$AA:$AA,$A109)</f>
        <v>0</v>
      </c>
      <c r="F109" s="276">
        <f>+SUMIFS('Detail 18-19'!AE:AE,'Detail 18-19'!$AA:$AA,$A109)</f>
        <v>0</v>
      </c>
      <c r="G109" s="276">
        <f>+SUMIFS('Detail 18-19'!AF:AF,'Detail 18-19'!$AA:$AA,$A109)</f>
        <v>0</v>
      </c>
      <c r="H109" s="276">
        <f>+SUMIFS('Detail 18-19'!AG:AG,'Detail 18-19'!$AA:$AA,$A109)</f>
        <v>0</v>
      </c>
      <c r="I109" s="276">
        <f>+SUMIFS('Detail 18-19'!AH:AH,'Detail 18-19'!$AA:$AA,$A109)</f>
        <v>0</v>
      </c>
      <c r="J109" s="276">
        <f>+SUMIFS('Detail 18-19'!AI:AI,'Detail 18-19'!$AA:$AA,$A109)</f>
        <v>0</v>
      </c>
      <c r="K109" s="276">
        <f>+SUMIFS('Detail 18-19'!AJ:AJ,'Detail 18-19'!$AA:$AA,$A109)</f>
        <v>0</v>
      </c>
      <c r="L109" s="276">
        <f>+SUMIFS('Detail 18-19'!AK:AK,'Detail 18-19'!$AA:$AA,$A109)</f>
        <v>0</v>
      </c>
      <c r="M109" s="276">
        <f>+SUMIFS('Detail 18-19'!AL:AL,'Detail 18-19'!$AA:$AA,$A109)</f>
        <v>0</v>
      </c>
      <c r="N109" s="276">
        <f>+SUMIFS('Detail 18-19'!AM:AM,'Detail 18-19'!$AA:$AA,$A109)</f>
        <v>0</v>
      </c>
      <c r="O109" s="276">
        <f>+SUMIFS('Detail 18-19'!AN:AN,'Detail 18-19'!$AA:$AA,$A109)</f>
        <v>0</v>
      </c>
      <c r="P109" s="277">
        <f t="shared" si="18"/>
        <v>0</v>
      </c>
      <c r="Q109" s="270">
        <f>SUMIF('2019-03'!$E:$E,'Detail 19-20'!$A109,'2019-03'!$D:$D)</f>
        <v>975</v>
      </c>
      <c r="R109" s="271" t="s">
        <v>992</v>
      </c>
      <c r="S109" s="270">
        <f t="shared" si="61"/>
        <v>1218.75</v>
      </c>
      <c r="T109" s="280">
        <f>+'Salaries 2019-20'!V232</f>
        <v>1000</v>
      </c>
      <c r="U109" s="277">
        <f t="shared" si="4"/>
        <v>1000</v>
      </c>
      <c r="V109" s="278">
        <f t="shared" si="5"/>
        <v>0</v>
      </c>
      <c r="W109" s="277">
        <f t="shared" si="6"/>
        <v>-218.75</v>
      </c>
      <c r="X109" s="278">
        <f t="shared" si="7"/>
        <v>-0.1794871795</v>
      </c>
      <c r="Y109" s="279" t="s">
        <v>992</v>
      </c>
      <c r="Z109" s="277">
        <f t="shared" si="63"/>
        <v>0</v>
      </c>
      <c r="AA109" s="277">
        <f t="shared" si="64"/>
        <v>52.63157895</v>
      </c>
      <c r="AB109" s="277">
        <f t="shared" ref="AB109:AJ109" si="68">+$T109*1/9.5</f>
        <v>105.2631579</v>
      </c>
      <c r="AC109" s="277">
        <f t="shared" si="68"/>
        <v>105.2631579</v>
      </c>
      <c r="AD109" s="277">
        <f t="shared" si="68"/>
        <v>105.2631579</v>
      </c>
      <c r="AE109" s="277">
        <f t="shared" si="68"/>
        <v>105.2631579</v>
      </c>
      <c r="AF109" s="277">
        <f t="shared" si="68"/>
        <v>105.2631579</v>
      </c>
      <c r="AG109" s="277">
        <f t="shared" si="68"/>
        <v>105.2631579</v>
      </c>
      <c r="AH109" s="277">
        <f t="shared" si="68"/>
        <v>105.2631579</v>
      </c>
      <c r="AI109" s="277">
        <f t="shared" si="68"/>
        <v>105.2631579</v>
      </c>
      <c r="AJ109" s="277">
        <f t="shared" si="68"/>
        <v>105.2631579</v>
      </c>
      <c r="AK109" s="277">
        <f t="shared" si="66"/>
        <v>0</v>
      </c>
      <c r="AL109" s="277">
        <f t="shared" si="2"/>
        <v>1000</v>
      </c>
      <c r="AM109" s="277">
        <f t="shared" si="9"/>
        <v>0</v>
      </c>
      <c r="AN109" s="8" t="str">
        <f>+VLOOKUP('Detail 19-20'!A109,Map!$B$6:$M$222,12,FALSE)</f>
        <v>Salaries and Wages</v>
      </c>
    </row>
    <row r="110" ht="15.75" customHeight="1">
      <c r="A110" s="274" t="s">
        <v>1052</v>
      </c>
      <c r="B110" s="274" t="s">
        <v>1189</v>
      </c>
      <c r="C110" s="275" t="s">
        <v>1053</v>
      </c>
      <c r="D110" s="276">
        <f>+SUMIFS('Detail 18-19'!AC:AC,'Detail 18-19'!$AA:$AA,$A110)</f>
        <v>0</v>
      </c>
      <c r="E110" s="276">
        <f>+SUMIFS('Detail 18-19'!AD:AD,'Detail 18-19'!$AA:$AA,$A110)</f>
        <v>0</v>
      </c>
      <c r="F110" s="276">
        <f>+SUMIFS('Detail 18-19'!AE:AE,'Detail 18-19'!$AA:$AA,$A110)</f>
        <v>0</v>
      </c>
      <c r="G110" s="276">
        <f>+SUMIFS('Detail 18-19'!AF:AF,'Detail 18-19'!$AA:$AA,$A110)</f>
        <v>0</v>
      </c>
      <c r="H110" s="276">
        <f>+SUMIFS('Detail 18-19'!AG:AG,'Detail 18-19'!$AA:$AA,$A110)</f>
        <v>0</v>
      </c>
      <c r="I110" s="276">
        <f>+SUMIFS('Detail 18-19'!AH:AH,'Detail 18-19'!$AA:$AA,$A110)</f>
        <v>0</v>
      </c>
      <c r="J110" s="276">
        <f>+SUMIFS('Detail 18-19'!AI:AI,'Detail 18-19'!$AA:$AA,$A110)</f>
        <v>0</v>
      </c>
      <c r="K110" s="276">
        <f>+SUMIFS('Detail 18-19'!AJ:AJ,'Detail 18-19'!$AA:$AA,$A110)</f>
        <v>0</v>
      </c>
      <c r="L110" s="276">
        <f>+SUMIFS('Detail 18-19'!AK:AK,'Detail 18-19'!$AA:$AA,$A110)</f>
        <v>0</v>
      </c>
      <c r="M110" s="276">
        <f>+SUMIFS('Detail 18-19'!AL:AL,'Detail 18-19'!$AA:$AA,$A110)</f>
        <v>0</v>
      </c>
      <c r="N110" s="276">
        <f>+SUMIFS('Detail 18-19'!AM:AM,'Detail 18-19'!$AA:$AA,$A110)</f>
        <v>0</v>
      </c>
      <c r="O110" s="276">
        <f>+SUMIFS('Detail 18-19'!AN:AN,'Detail 18-19'!$AA:$AA,$A110)</f>
        <v>0</v>
      </c>
      <c r="P110" s="277">
        <f t="shared" si="18"/>
        <v>0</v>
      </c>
      <c r="Q110" s="270">
        <f>SUMIF('2019-03'!$E:$E,'Detail 19-20'!$A110,'2019-03'!$D:$D)</f>
        <v>0</v>
      </c>
      <c r="R110" s="271" t="s">
        <v>992</v>
      </c>
      <c r="S110" s="270">
        <f t="shared" si="61"/>
        <v>0</v>
      </c>
      <c r="T110" s="272">
        <v>0.0</v>
      </c>
      <c r="U110" s="277">
        <f t="shared" si="4"/>
        <v>0</v>
      </c>
      <c r="V110" s="278">
        <f t="shared" si="5"/>
        <v>0</v>
      </c>
      <c r="W110" s="277">
        <f t="shared" si="6"/>
        <v>0</v>
      </c>
      <c r="X110" s="278">
        <f t="shared" si="7"/>
        <v>0</v>
      </c>
      <c r="Y110" s="279" t="s">
        <v>992</v>
      </c>
      <c r="Z110" s="277">
        <f t="shared" si="63"/>
        <v>0</v>
      </c>
      <c r="AA110" s="277">
        <f t="shared" si="64"/>
        <v>0</v>
      </c>
      <c r="AB110" s="277">
        <f t="shared" ref="AB110:AJ110" si="69">+$T110*1/9.5</f>
        <v>0</v>
      </c>
      <c r="AC110" s="277">
        <f t="shared" si="69"/>
        <v>0</v>
      </c>
      <c r="AD110" s="277">
        <f t="shared" si="69"/>
        <v>0</v>
      </c>
      <c r="AE110" s="277">
        <f t="shared" si="69"/>
        <v>0</v>
      </c>
      <c r="AF110" s="277">
        <f t="shared" si="69"/>
        <v>0</v>
      </c>
      <c r="AG110" s="277">
        <f t="shared" si="69"/>
        <v>0</v>
      </c>
      <c r="AH110" s="277">
        <f t="shared" si="69"/>
        <v>0</v>
      </c>
      <c r="AI110" s="277">
        <f t="shared" si="69"/>
        <v>0</v>
      </c>
      <c r="AJ110" s="277">
        <f t="shared" si="69"/>
        <v>0</v>
      </c>
      <c r="AK110" s="277">
        <f t="shared" si="66"/>
        <v>0</v>
      </c>
      <c r="AL110" s="277">
        <f t="shared" si="2"/>
        <v>0</v>
      </c>
      <c r="AM110" s="277">
        <f t="shared" si="9"/>
        <v>0</v>
      </c>
      <c r="AN110" s="8" t="str">
        <f>+VLOOKUP('Detail 19-20'!A110,Map!$B$6:$M$222,12,FALSE)</f>
        <v>Salaries and Wages</v>
      </c>
    </row>
    <row r="111" ht="15.75" customHeight="1">
      <c r="A111" s="274" t="s">
        <v>1054</v>
      </c>
      <c r="B111" s="274" t="s">
        <v>1189</v>
      </c>
      <c r="C111" s="275" t="s">
        <v>421</v>
      </c>
      <c r="D111" s="276">
        <f>+SUMIFS('Detail 18-19'!AC:AC,'Detail 18-19'!$AA:$AA,$A111)</f>
        <v>0</v>
      </c>
      <c r="E111" s="276">
        <f>+SUMIFS('Detail 18-19'!AD:AD,'Detail 18-19'!$AA:$AA,$A111)</f>
        <v>315.7894737</v>
      </c>
      <c r="F111" s="276">
        <f>+SUMIFS('Detail 18-19'!AE:AE,'Detail 18-19'!$AA:$AA,$A111)</f>
        <v>631.5789474</v>
      </c>
      <c r="G111" s="276">
        <f>+SUMIFS('Detail 18-19'!AF:AF,'Detail 18-19'!$AA:$AA,$A111)</f>
        <v>631.5789474</v>
      </c>
      <c r="H111" s="276">
        <f>+SUMIFS('Detail 18-19'!AG:AG,'Detail 18-19'!$AA:$AA,$A111)</f>
        <v>631.5789474</v>
      </c>
      <c r="I111" s="276">
        <f>+SUMIFS('Detail 18-19'!AH:AH,'Detail 18-19'!$AA:$AA,$A111)</f>
        <v>631.5789474</v>
      </c>
      <c r="J111" s="276">
        <f>+SUMIFS('Detail 18-19'!AI:AI,'Detail 18-19'!$AA:$AA,$A111)</f>
        <v>631.5789474</v>
      </c>
      <c r="K111" s="276">
        <f>+SUMIFS('Detail 18-19'!AJ:AJ,'Detail 18-19'!$AA:$AA,$A111)</f>
        <v>631.5789474</v>
      </c>
      <c r="L111" s="276">
        <f>+SUMIFS('Detail 18-19'!AK:AK,'Detail 18-19'!$AA:$AA,$A111)</f>
        <v>631.5789474</v>
      </c>
      <c r="M111" s="276">
        <f>+SUMIFS('Detail 18-19'!AL:AL,'Detail 18-19'!$AA:$AA,$A111)</f>
        <v>631.5789474</v>
      </c>
      <c r="N111" s="276">
        <f>+SUMIFS('Detail 18-19'!AM:AM,'Detail 18-19'!$AA:$AA,$A111)</f>
        <v>631.5789474</v>
      </c>
      <c r="O111" s="276">
        <f>+SUMIFS('Detail 18-19'!AN:AN,'Detail 18-19'!$AA:$AA,$A111)</f>
        <v>0</v>
      </c>
      <c r="P111" s="277">
        <f t="shared" si="18"/>
        <v>6000</v>
      </c>
      <c r="Q111" s="270">
        <f>SUMIF('2019-03'!$E:$E,'Detail 19-20'!$A111,'2019-03'!$D:$D)</f>
        <v>4500</v>
      </c>
      <c r="R111" s="271" t="s">
        <v>992</v>
      </c>
      <c r="S111" s="270">
        <f t="shared" si="61"/>
        <v>5625</v>
      </c>
      <c r="T111" s="280">
        <f>+'Salaries 2019-20'!V234</f>
        <v>6000</v>
      </c>
      <c r="U111" s="277">
        <f t="shared" si="4"/>
        <v>0</v>
      </c>
      <c r="V111" s="278">
        <f t="shared" si="5"/>
        <v>0</v>
      </c>
      <c r="W111" s="277">
        <f t="shared" si="6"/>
        <v>375</v>
      </c>
      <c r="X111" s="278">
        <f t="shared" si="7"/>
        <v>0.06666666667</v>
      </c>
      <c r="Y111" s="279" t="s">
        <v>992</v>
      </c>
      <c r="Z111" s="277">
        <f t="shared" si="63"/>
        <v>0</v>
      </c>
      <c r="AA111" s="277">
        <f t="shared" si="64"/>
        <v>315.7894737</v>
      </c>
      <c r="AB111" s="277">
        <f t="shared" ref="AB111:AJ111" si="70">+$T111*1/9.5</f>
        <v>631.5789474</v>
      </c>
      <c r="AC111" s="277">
        <f t="shared" si="70"/>
        <v>631.5789474</v>
      </c>
      <c r="AD111" s="277">
        <f t="shared" si="70"/>
        <v>631.5789474</v>
      </c>
      <c r="AE111" s="277">
        <f t="shared" si="70"/>
        <v>631.5789474</v>
      </c>
      <c r="AF111" s="277">
        <f t="shared" si="70"/>
        <v>631.5789474</v>
      </c>
      <c r="AG111" s="277">
        <f t="shared" si="70"/>
        <v>631.5789474</v>
      </c>
      <c r="AH111" s="277">
        <f t="shared" si="70"/>
        <v>631.5789474</v>
      </c>
      <c r="AI111" s="277">
        <f t="shared" si="70"/>
        <v>631.5789474</v>
      </c>
      <c r="AJ111" s="277">
        <f t="shared" si="70"/>
        <v>631.5789474</v>
      </c>
      <c r="AK111" s="277">
        <f t="shared" si="66"/>
        <v>0</v>
      </c>
      <c r="AL111" s="277">
        <f t="shared" si="2"/>
        <v>6000</v>
      </c>
      <c r="AM111" s="277">
        <f t="shared" si="9"/>
        <v>0</v>
      </c>
      <c r="AN111" s="8" t="str">
        <f>+VLOOKUP('Detail 19-20'!A111,Map!$B$6:$M$222,12,FALSE)</f>
        <v>Salaries and Wages</v>
      </c>
    </row>
    <row r="112" ht="15.75" customHeight="1">
      <c r="A112" s="274" t="s">
        <v>1055</v>
      </c>
      <c r="B112" s="274" t="s">
        <v>1189</v>
      </c>
      <c r="C112" s="275" t="s">
        <v>434</v>
      </c>
      <c r="D112" s="276">
        <f>+SUMIFS('Detail 18-19'!AC:AC,'Detail 18-19'!$AA:$AA,$A112)</f>
        <v>0</v>
      </c>
      <c r="E112" s="276">
        <f>+SUMIFS('Detail 18-19'!AD:AD,'Detail 18-19'!$AA:$AA,$A112)</f>
        <v>0</v>
      </c>
      <c r="F112" s="276">
        <f>+SUMIFS('Detail 18-19'!AE:AE,'Detail 18-19'!$AA:$AA,$A112)</f>
        <v>0</v>
      </c>
      <c r="G112" s="276">
        <f>+SUMIFS('Detail 18-19'!AF:AF,'Detail 18-19'!$AA:$AA,$A112)</f>
        <v>0</v>
      </c>
      <c r="H112" s="276">
        <f>+SUMIFS('Detail 18-19'!AG:AG,'Detail 18-19'!$AA:$AA,$A112)</f>
        <v>0</v>
      </c>
      <c r="I112" s="276">
        <f>+SUMIFS('Detail 18-19'!AH:AH,'Detail 18-19'!$AA:$AA,$A112)</f>
        <v>3734.7866</v>
      </c>
      <c r="J112" s="276">
        <f>+SUMIFS('Detail 18-19'!AI:AI,'Detail 18-19'!$AA:$AA,$A112)</f>
        <v>0</v>
      </c>
      <c r="K112" s="276">
        <f>+SUMIFS('Detail 18-19'!AJ:AJ,'Detail 18-19'!$AA:$AA,$A112)</f>
        <v>0</v>
      </c>
      <c r="L112" s="276">
        <f>+SUMIFS('Detail 18-19'!AK:AK,'Detail 18-19'!$AA:$AA,$A112)</f>
        <v>0</v>
      </c>
      <c r="M112" s="276">
        <f>+SUMIFS('Detail 18-19'!AL:AL,'Detail 18-19'!$AA:$AA,$A112)</f>
        <v>0</v>
      </c>
      <c r="N112" s="276">
        <f>+SUMIFS('Detail 18-19'!AM:AM,'Detail 18-19'!$AA:$AA,$A112)</f>
        <v>0</v>
      </c>
      <c r="O112" s="276">
        <f>+SUMIFS('Detail 18-19'!AN:AN,'Detail 18-19'!$AA:$AA,$A112)</f>
        <v>10000</v>
      </c>
      <c r="P112" s="277">
        <f t="shared" si="18"/>
        <v>13734.7866</v>
      </c>
      <c r="Q112" s="270">
        <f>SUMIF('2019-03'!$E:$E,'Detail 19-20'!$A112,'2019-03'!$D:$D)</f>
        <v>4376.85</v>
      </c>
      <c r="R112" s="271" t="s">
        <v>954</v>
      </c>
      <c r="S112" s="270">
        <f t="shared" si="61"/>
        <v>4376.85</v>
      </c>
      <c r="T112" s="280">
        <f>+'Salaries 2019-20'!V235+'Salaries 2019-20'!V236</f>
        <v>14143.62425</v>
      </c>
      <c r="U112" s="277">
        <f t="shared" si="4"/>
        <v>408.8376523</v>
      </c>
      <c r="V112" s="278">
        <f t="shared" si="5"/>
        <v>0.02976658206</v>
      </c>
      <c r="W112" s="277">
        <f t="shared" si="6"/>
        <v>9766.774252</v>
      </c>
      <c r="X112" s="278">
        <f t="shared" si="7"/>
        <v>2.231461954</v>
      </c>
      <c r="Y112" s="279" t="s">
        <v>594</v>
      </c>
      <c r="Z112" s="277">
        <v>0.0</v>
      </c>
      <c r="AA112" s="277">
        <v>0.0</v>
      </c>
      <c r="AB112" s="277">
        <v>0.0</v>
      </c>
      <c r="AC112" s="277">
        <v>0.0</v>
      </c>
      <c r="AD112" s="277">
        <v>0.0</v>
      </c>
      <c r="AE112" s="277">
        <v>4143.6243</v>
      </c>
      <c r="AF112" s="277">
        <v>0.0</v>
      </c>
      <c r="AG112" s="277">
        <v>0.0</v>
      </c>
      <c r="AH112" s="277">
        <v>0.0</v>
      </c>
      <c r="AI112" s="277">
        <v>0.0</v>
      </c>
      <c r="AJ112" s="277">
        <v>0.0</v>
      </c>
      <c r="AK112" s="277">
        <v>10000.0</v>
      </c>
      <c r="AL112" s="277">
        <f t="shared" si="2"/>
        <v>14143.6243</v>
      </c>
      <c r="AM112" s="277">
        <f t="shared" si="9"/>
        <v>0</v>
      </c>
      <c r="AN112" s="8" t="str">
        <f>+VLOOKUP('Detail 19-20'!A112,Map!$B$6:$M$222,12,FALSE)</f>
        <v>Salaries and Wages</v>
      </c>
    </row>
    <row r="113" ht="15.75" customHeight="1">
      <c r="A113" s="274" t="s">
        <v>1056</v>
      </c>
      <c r="B113" s="274" t="s">
        <v>1189</v>
      </c>
      <c r="C113" s="275" t="s">
        <v>440</v>
      </c>
      <c r="D113" s="276">
        <f>+SUMIFS('Detail 18-19'!AC:AC,'Detail 18-19'!$AA:$AA,$A113)</f>
        <v>0</v>
      </c>
      <c r="E113" s="276">
        <f>+SUMIFS('Detail 18-19'!AD:AD,'Detail 18-19'!$AA:$AA,$A113)</f>
        <v>552.4011659</v>
      </c>
      <c r="F113" s="276">
        <f>+SUMIFS('Detail 18-19'!AE:AE,'Detail 18-19'!$AA:$AA,$A113)</f>
        <v>1104.802332</v>
      </c>
      <c r="G113" s="276">
        <f>+SUMIFS('Detail 18-19'!AF:AF,'Detail 18-19'!$AA:$AA,$A113)</f>
        <v>1104.802332</v>
      </c>
      <c r="H113" s="276">
        <f>+SUMIFS('Detail 18-19'!AG:AG,'Detail 18-19'!$AA:$AA,$A113)</f>
        <v>1104.802332</v>
      </c>
      <c r="I113" s="276">
        <f>+SUMIFS('Detail 18-19'!AH:AH,'Detail 18-19'!$AA:$AA,$A113)</f>
        <v>1104.802332</v>
      </c>
      <c r="J113" s="276">
        <f>+SUMIFS('Detail 18-19'!AI:AI,'Detail 18-19'!$AA:$AA,$A113)</f>
        <v>1104.802332</v>
      </c>
      <c r="K113" s="276">
        <f>+SUMIFS('Detail 18-19'!AJ:AJ,'Detail 18-19'!$AA:$AA,$A113)</f>
        <v>1104.802332</v>
      </c>
      <c r="L113" s="276">
        <f>+SUMIFS('Detail 18-19'!AK:AK,'Detail 18-19'!$AA:$AA,$A113)</f>
        <v>1104.802332</v>
      </c>
      <c r="M113" s="276">
        <f>+SUMIFS('Detail 18-19'!AL:AL,'Detail 18-19'!$AA:$AA,$A113)</f>
        <v>1104.802332</v>
      </c>
      <c r="N113" s="276">
        <f>+SUMIFS('Detail 18-19'!AM:AM,'Detail 18-19'!$AA:$AA,$A113)</f>
        <v>1104.802332</v>
      </c>
      <c r="O113" s="276">
        <f>+SUMIFS('Detail 18-19'!AN:AN,'Detail 18-19'!$AA:$AA,$A113)</f>
        <v>0</v>
      </c>
      <c r="P113" s="277">
        <f t="shared" si="18"/>
        <v>10495.62215</v>
      </c>
      <c r="Q113" s="270">
        <f>SUMIF('2019-03'!$E:$E,'Detail 19-20'!$A113,'2019-03'!$D:$D)</f>
        <v>5446.67</v>
      </c>
      <c r="R113" s="271" t="s">
        <v>950</v>
      </c>
      <c r="S113" s="270">
        <f t="shared" si="61"/>
        <v>7262.226667</v>
      </c>
      <c r="T113" s="280">
        <f>+'Salaries 2019-20'!V242</f>
        <v>18521.35228</v>
      </c>
      <c r="U113" s="277">
        <f t="shared" si="4"/>
        <v>8025.730126</v>
      </c>
      <c r="V113" s="278">
        <f t="shared" si="5"/>
        <v>0.7646740716</v>
      </c>
      <c r="W113" s="277">
        <f t="shared" si="6"/>
        <v>11259.12561</v>
      </c>
      <c r="X113" s="278">
        <f t="shared" si="7"/>
        <v>1.550368245</v>
      </c>
      <c r="Y113" s="279" t="s">
        <v>992</v>
      </c>
      <c r="Z113" s="277">
        <f>+$T113*0</f>
        <v>0</v>
      </c>
      <c r="AA113" s="277">
        <f>+$T113*0.5/9.5</f>
        <v>974.8080146</v>
      </c>
      <c r="AB113" s="277">
        <f t="shared" ref="AB113:AJ113" si="71">+$T113*1/9.5</f>
        <v>1949.616029</v>
      </c>
      <c r="AC113" s="277">
        <f t="shared" si="71"/>
        <v>1949.616029</v>
      </c>
      <c r="AD113" s="277">
        <f t="shared" si="71"/>
        <v>1949.616029</v>
      </c>
      <c r="AE113" s="277">
        <f t="shared" si="71"/>
        <v>1949.616029</v>
      </c>
      <c r="AF113" s="277">
        <f t="shared" si="71"/>
        <v>1949.616029</v>
      </c>
      <c r="AG113" s="277">
        <f t="shared" si="71"/>
        <v>1949.616029</v>
      </c>
      <c r="AH113" s="277">
        <f t="shared" si="71"/>
        <v>1949.616029</v>
      </c>
      <c r="AI113" s="277">
        <f t="shared" si="71"/>
        <v>1949.616029</v>
      </c>
      <c r="AJ113" s="277">
        <f t="shared" si="71"/>
        <v>1949.616029</v>
      </c>
      <c r="AK113" s="277">
        <f>+$T113*0</f>
        <v>0</v>
      </c>
      <c r="AL113" s="277">
        <f t="shared" si="2"/>
        <v>18521.35228</v>
      </c>
      <c r="AM113" s="277">
        <f t="shared" si="9"/>
        <v>0</v>
      </c>
      <c r="AN113" s="8" t="str">
        <f>+VLOOKUP('Detail 19-20'!A113,Map!$B$6:$M$222,12,FALSE)</f>
        <v>Employee Benefits</v>
      </c>
    </row>
    <row r="114" ht="15.75" customHeight="1">
      <c r="A114" s="274" t="s">
        <v>1057</v>
      </c>
      <c r="B114" s="274" t="s">
        <v>1189</v>
      </c>
      <c r="C114" s="275" t="s">
        <v>440</v>
      </c>
      <c r="D114" s="276">
        <f>+SUMIFS('Detail 18-19'!AC:AC,'Detail 18-19'!$AA:$AA,$A114)</f>
        <v>604.886189</v>
      </c>
      <c r="E114" s="276">
        <f>+SUMIFS('Detail 18-19'!AD:AD,'Detail 18-19'!$AA:$AA,$A114)</f>
        <v>604.886189</v>
      </c>
      <c r="F114" s="276">
        <f>+SUMIFS('Detail 18-19'!AE:AE,'Detail 18-19'!$AA:$AA,$A114)</f>
        <v>604.886189</v>
      </c>
      <c r="G114" s="276">
        <f>+SUMIFS('Detail 18-19'!AF:AF,'Detail 18-19'!$AA:$AA,$A114)</f>
        <v>604.886189</v>
      </c>
      <c r="H114" s="276">
        <f>+SUMIFS('Detail 18-19'!AG:AG,'Detail 18-19'!$AA:$AA,$A114)</f>
        <v>604.886189</v>
      </c>
      <c r="I114" s="276">
        <f>+SUMIFS('Detail 18-19'!AH:AH,'Detail 18-19'!$AA:$AA,$A114)</f>
        <v>604.886189</v>
      </c>
      <c r="J114" s="276">
        <f>+SUMIFS('Detail 18-19'!AI:AI,'Detail 18-19'!$AA:$AA,$A114)</f>
        <v>604.886189</v>
      </c>
      <c r="K114" s="276">
        <f>+SUMIFS('Detail 18-19'!AJ:AJ,'Detail 18-19'!$AA:$AA,$A114)</f>
        <v>604.886189</v>
      </c>
      <c r="L114" s="276">
        <f>+SUMIFS('Detail 18-19'!AK:AK,'Detail 18-19'!$AA:$AA,$A114)</f>
        <v>604.886189</v>
      </c>
      <c r="M114" s="276">
        <f>+SUMIFS('Detail 18-19'!AL:AL,'Detail 18-19'!$AA:$AA,$A114)</f>
        <v>604.886189</v>
      </c>
      <c r="N114" s="276">
        <f>+SUMIFS('Detail 18-19'!AM:AM,'Detail 18-19'!$AA:$AA,$A114)</f>
        <v>604.886189</v>
      </c>
      <c r="O114" s="276">
        <f>+SUMIFS('Detail 18-19'!AN:AN,'Detail 18-19'!$AA:$AA,$A114)</f>
        <v>604.886189</v>
      </c>
      <c r="P114" s="277">
        <f t="shared" si="18"/>
        <v>7258.634268</v>
      </c>
      <c r="Q114" s="270">
        <f>SUMIF('2019-03'!$E:$E,'Detail 19-20'!$A114,'2019-03'!$D:$D)</f>
        <v>2981.86</v>
      </c>
      <c r="R114" s="271" t="s">
        <v>950</v>
      </c>
      <c r="S114" s="270">
        <f t="shared" si="61"/>
        <v>3975.813333</v>
      </c>
      <c r="T114" s="272">
        <v>0.0</v>
      </c>
      <c r="U114" s="277">
        <f t="shared" si="4"/>
        <v>-7258.634268</v>
      </c>
      <c r="V114" s="278">
        <f t="shared" si="5"/>
        <v>-1</v>
      </c>
      <c r="W114" s="277">
        <f t="shared" si="6"/>
        <v>-3975.813333</v>
      </c>
      <c r="X114" s="278">
        <f t="shared" si="7"/>
        <v>-1</v>
      </c>
      <c r="Y114" s="279" t="s">
        <v>950</v>
      </c>
      <c r="Z114" s="277">
        <f t="shared" ref="Z114:AK114" si="72">+$T114/12</f>
        <v>0</v>
      </c>
      <c r="AA114" s="277">
        <f t="shared" si="72"/>
        <v>0</v>
      </c>
      <c r="AB114" s="277">
        <f t="shared" si="72"/>
        <v>0</v>
      </c>
      <c r="AC114" s="277">
        <f t="shared" si="72"/>
        <v>0</v>
      </c>
      <c r="AD114" s="277">
        <f t="shared" si="72"/>
        <v>0</v>
      </c>
      <c r="AE114" s="277">
        <f t="shared" si="72"/>
        <v>0</v>
      </c>
      <c r="AF114" s="277">
        <f t="shared" si="72"/>
        <v>0</v>
      </c>
      <c r="AG114" s="277">
        <f t="shared" si="72"/>
        <v>0</v>
      </c>
      <c r="AH114" s="277">
        <f t="shared" si="72"/>
        <v>0</v>
      </c>
      <c r="AI114" s="277">
        <f t="shared" si="72"/>
        <v>0</v>
      </c>
      <c r="AJ114" s="277">
        <f t="shared" si="72"/>
        <v>0</v>
      </c>
      <c r="AK114" s="277">
        <f t="shared" si="72"/>
        <v>0</v>
      </c>
      <c r="AL114" s="277">
        <f t="shared" si="2"/>
        <v>0</v>
      </c>
      <c r="AM114" s="277">
        <f t="shared" si="9"/>
        <v>0</v>
      </c>
      <c r="AN114" s="8" t="str">
        <f>+VLOOKUP('Detail 19-20'!A114,Map!$B$6:$M$222,12,FALSE)</f>
        <v>Employee Benefits</v>
      </c>
    </row>
    <row r="115" ht="15.75" customHeight="1">
      <c r="A115" s="274" t="s">
        <v>1058</v>
      </c>
      <c r="B115" s="274" t="s">
        <v>1189</v>
      </c>
      <c r="C115" s="275" t="s">
        <v>444</v>
      </c>
      <c r="D115" s="276">
        <f>+SUMIFS('Detail 18-19'!AC:AC,'Detail 18-19'!$AA:$AA,$A115)</f>
        <v>0</v>
      </c>
      <c r="E115" s="276">
        <f>+SUMIFS('Detail 18-19'!AD:AD,'Detail 18-19'!$AA:$AA,$A115)</f>
        <v>2250.947368</v>
      </c>
      <c r="F115" s="276">
        <f>+SUMIFS('Detail 18-19'!AE:AE,'Detail 18-19'!$AA:$AA,$A115)</f>
        <v>4501.894737</v>
      </c>
      <c r="G115" s="276">
        <f>+SUMIFS('Detail 18-19'!AF:AF,'Detail 18-19'!$AA:$AA,$A115)</f>
        <v>4501.894737</v>
      </c>
      <c r="H115" s="276">
        <f>+SUMIFS('Detail 18-19'!AG:AG,'Detail 18-19'!$AA:$AA,$A115)</f>
        <v>4501.894737</v>
      </c>
      <c r="I115" s="276">
        <f>+SUMIFS('Detail 18-19'!AH:AH,'Detail 18-19'!$AA:$AA,$A115)</f>
        <v>4501.894737</v>
      </c>
      <c r="J115" s="276">
        <f>+SUMIFS('Detail 18-19'!AI:AI,'Detail 18-19'!$AA:$AA,$A115)</f>
        <v>4501.894737</v>
      </c>
      <c r="K115" s="276">
        <f>+SUMIFS('Detail 18-19'!AJ:AJ,'Detail 18-19'!$AA:$AA,$A115)</f>
        <v>4501.894737</v>
      </c>
      <c r="L115" s="276">
        <f>+SUMIFS('Detail 18-19'!AK:AK,'Detail 18-19'!$AA:$AA,$A115)</f>
        <v>4501.894737</v>
      </c>
      <c r="M115" s="276">
        <f>+SUMIFS('Detail 18-19'!AL:AL,'Detail 18-19'!$AA:$AA,$A115)</f>
        <v>4501.894737</v>
      </c>
      <c r="N115" s="276">
        <f>+SUMIFS('Detail 18-19'!AM:AM,'Detail 18-19'!$AA:$AA,$A115)</f>
        <v>4501.894737</v>
      </c>
      <c r="O115" s="276">
        <f>+SUMIFS('Detail 18-19'!AN:AN,'Detail 18-19'!$AA:$AA,$A115)</f>
        <v>0</v>
      </c>
      <c r="P115" s="277">
        <f t="shared" si="18"/>
        <v>42768</v>
      </c>
      <c r="Q115" s="270">
        <f>SUMIF('2019-03'!$E:$E,'Detail 19-20'!$A115,'2019-03'!$D:$D)</f>
        <v>27647.03</v>
      </c>
      <c r="R115" s="271" t="s">
        <v>950</v>
      </c>
      <c r="S115" s="270">
        <f t="shared" si="61"/>
        <v>36862.70667</v>
      </c>
      <c r="T115" s="280">
        <f>+'Salaries 2019-20'!V240-T116</f>
        <v>19008</v>
      </c>
      <c r="U115" s="277">
        <f t="shared" si="4"/>
        <v>-23760</v>
      </c>
      <c r="V115" s="278">
        <f t="shared" si="5"/>
        <v>-0.5555555556</v>
      </c>
      <c r="W115" s="277">
        <f t="shared" si="6"/>
        <v>-17854.70667</v>
      </c>
      <c r="X115" s="278">
        <f t="shared" si="7"/>
        <v>-0.4843569092</v>
      </c>
      <c r="Y115" s="279" t="s">
        <v>992</v>
      </c>
      <c r="Z115" s="277">
        <f>+$T115*0</f>
        <v>0</v>
      </c>
      <c r="AA115" s="277">
        <f>+$T115*0.5/9.5</f>
        <v>1000.421053</v>
      </c>
      <c r="AB115" s="277">
        <f t="shared" ref="AB115:AJ115" si="73">+$T115*1/9.5</f>
        <v>2000.842105</v>
      </c>
      <c r="AC115" s="277">
        <f t="shared" si="73"/>
        <v>2000.842105</v>
      </c>
      <c r="AD115" s="277">
        <f t="shared" si="73"/>
        <v>2000.842105</v>
      </c>
      <c r="AE115" s="277">
        <f t="shared" si="73"/>
        <v>2000.842105</v>
      </c>
      <c r="AF115" s="277">
        <f t="shared" si="73"/>
        <v>2000.842105</v>
      </c>
      <c r="AG115" s="277">
        <f t="shared" si="73"/>
        <v>2000.842105</v>
      </c>
      <c r="AH115" s="277">
        <f t="shared" si="73"/>
        <v>2000.842105</v>
      </c>
      <c r="AI115" s="277">
        <f t="shared" si="73"/>
        <v>2000.842105</v>
      </c>
      <c r="AJ115" s="277">
        <f t="shared" si="73"/>
        <v>2000.842105</v>
      </c>
      <c r="AK115" s="277">
        <f>+$T115*0</f>
        <v>0</v>
      </c>
      <c r="AL115" s="277">
        <f t="shared" si="2"/>
        <v>19008</v>
      </c>
      <c r="AM115" s="277">
        <f t="shared" si="9"/>
        <v>0</v>
      </c>
      <c r="AN115" s="8" t="str">
        <f>+VLOOKUP('Detail 19-20'!A115,Map!$B$6:$M$222,12,FALSE)</f>
        <v>Employee Benefits</v>
      </c>
    </row>
    <row r="116" ht="15.75" customHeight="1">
      <c r="A116" s="274" t="s">
        <v>1059</v>
      </c>
      <c r="B116" s="274" t="s">
        <v>1189</v>
      </c>
      <c r="C116" s="275" t="s">
        <v>1060</v>
      </c>
      <c r="D116" s="276">
        <f>+SUMIFS('Detail 18-19'!AC:AC,'Detail 18-19'!$AA:$AA,$A116)</f>
        <v>1584</v>
      </c>
      <c r="E116" s="276">
        <f>+SUMIFS('Detail 18-19'!AD:AD,'Detail 18-19'!$AA:$AA,$A116)</f>
        <v>1584</v>
      </c>
      <c r="F116" s="276">
        <f>+SUMIFS('Detail 18-19'!AE:AE,'Detail 18-19'!$AA:$AA,$A116)</f>
        <v>1584</v>
      </c>
      <c r="G116" s="276">
        <f>+SUMIFS('Detail 18-19'!AF:AF,'Detail 18-19'!$AA:$AA,$A116)</f>
        <v>1584</v>
      </c>
      <c r="H116" s="276">
        <f>+SUMIFS('Detail 18-19'!AG:AG,'Detail 18-19'!$AA:$AA,$A116)</f>
        <v>1584</v>
      </c>
      <c r="I116" s="276">
        <f>+SUMIFS('Detail 18-19'!AH:AH,'Detail 18-19'!$AA:$AA,$A116)</f>
        <v>1584</v>
      </c>
      <c r="J116" s="276">
        <f>+SUMIFS('Detail 18-19'!AI:AI,'Detail 18-19'!$AA:$AA,$A116)</f>
        <v>1584</v>
      </c>
      <c r="K116" s="276">
        <f>+SUMIFS('Detail 18-19'!AJ:AJ,'Detail 18-19'!$AA:$AA,$A116)</f>
        <v>1584</v>
      </c>
      <c r="L116" s="276">
        <f>+SUMIFS('Detail 18-19'!AK:AK,'Detail 18-19'!$AA:$AA,$A116)</f>
        <v>1584</v>
      </c>
      <c r="M116" s="276">
        <f>+SUMIFS('Detail 18-19'!AL:AL,'Detail 18-19'!$AA:$AA,$A116)</f>
        <v>1584</v>
      </c>
      <c r="N116" s="276">
        <f>+SUMIFS('Detail 18-19'!AM:AM,'Detail 18-19'!$AA:$AA,$A116)</f>
        <v>1584</v>
      </c>
      <c r="O116" s="276">
        <f>+SUMIFS('Detail 18-19'!AN:AN,'Detail 18-19'!$AA:$AA,$A116)</f>
        <v>1584</v>
      </c>
      <c r="P116" s="277">
        <f t="shared" si="18"/>
        <v>19008</v>
      </c>
      <c r="Q116" s="270">
        <f>SUMIF('2019-03'!$E:$E,'Detail 19-20'!$A116,'2019-03'!$D:$D)</f>
        <v>684</v>
      </c>
      <c r="R116" s="271" t="s">
        <v>950</v>
      </c>
      <c r="S116" s="270">
        <f t="shared" si="61"/>
        <v>912</v>
      </c>
      <c r="T116" s="272">
        <v>23760.0</v>
      </c>
      <c r="U116" s="277">
        <f t="shared" si="4"/>
        <v>4752</v>
      </c>
      <c r="V116" s="278">
        <f t="shared" si="5"/>
        <v>0.25</v>
      </c>
      <c r="W116" s="277">
        <f t="shared" si="6"/>
        <v>22848</v>
      </c>
      <c r="X116" s="278">
        <f t="shared" si="7"/>
        <v>25.05263158</v>
      </c>
      <c r="Y116" s="279" t="s">
        <v>950</v>
      </c>
      <c r="Z116" s="277">
        <f t="shared" ref="Z116:AK116" si="74">+$T116/12</f>
        <v>1980</v>
      </c>
      <c r="AA116" s="277">
        <f t="shared" si="74"/>
        <v>1980</v>
      </c>
      <c r="AB116" s="277">
        <f t="shared" si="74"/>
        <v>1980</v>
      </c>
      <c r="AC116" s="277">
        <f t="shared" si="74"/>
        <v>1980</v>
      </c>
      <c r="AD116" s="277">
        <f t="shared" si="74"/>
        <v>1980</v>
      </c>
      <c r="AE116" s="277">
        <f t="shared" si="74"/>
        <v>1980</v>
      </c>
      <c r="AF116" s="277">
        <f t="shared" si="74"/>
        <v>1980</v>
      </c>
      <c r="AG116" s="277">
        <f t="shared" si="74"/>
        <v>1980</v>
      </c>
      <c r="AH116" s="277">
        <f t="shared" si="74"/>
        <v>1980</v>
      </c>
      <c r="AI116" s="277">
        <f t="shared" si="74"/>
        <v>1980</v>
      </c>
      <c r="AJ116" s="277">
        <f t="shared" si="74"/>
        <v>1980</v>
      </c>
      <c r="AK116" s="277">
        <f t="shared" si="74"/>
        <v>1980</v>
      </c>
      <c r="AL116" s="277">
        <f t="shared" si="2"/>
        <v>23760</v>
      </c>
      <c r="AM116" s="277">
        <f t="shared" si="9"/>
        <v>0</v>
      </c>
      <c r="AN116" s="8" t="str">
        <f>+VLOOKUP('Detail 19-20'!A116,Map!$B$6:$M$222,12,FALSE)</f>
        <v>Employee Benefits</v>
      </c>
    </row>
    <row r="117" ht="15.75" customHeight="1">
      <c r="A117" s="274" t="s">
        <v>1061</v>
      </c>
      <c r="B117" s="274" t="s">
        <v>1189</v>
      </c>
      <c r="C117" s="275" t="s">
        <v>454</v>
      </c>
      <c r="D117" s="276">
        <f>+SUMIFS('Detail 18-19'!AC:AC,'Detail 18-19'!$AA:$AA,$A117)</f>
        <v>71.608131</v>
      </c>
      <c r="E117" s="276">
        <f>+SUMIFS('Detail 18-19'!AD:AD,'Detail 18-19'!$AA:$AA,$A117)</f>
        <v>71.608131</v>
      </c>
      <c r="F117" s="276">
        <f>+SUMIFS('Detail 18-19'!AE:AE,'Detail 18-19'!$AA:$AA,$A117)</f>
        <v>71.608131</v>
      </c>
      <c r="G117" s="276">
        <f>+SUMIFS('Detail 18-19'!AF:AF,'Detail 18-19'!$AA:$AA,$A117)</f>
        <v>71.608131</v>
      </c>
      <c r="H117" s="276">
        <f>+SUMIFS('Detail 18-19'!AG:AG,'Detail 18-19'!$AA:$AA,$A117)</f>
        <v>71.608131</v>
      </c>
      <c r="I117" s="276">
        <f>+SUMIFS('Detail 18-19'!AH:AH,'Detail 18-19'!$AA:$AA,$A117)</f>
        <v>71.608131</v>
      </c>
      <c r="J117" s="276">
        <f>+SUMIFS('Detail 18-19'!AI:AI,'Detail 18-19'!$AA:$AA,$A117)</f>
        <v>71.608131</v>
      </c>
      <c r="K117" s="276">
        <f>+SUMIFS('Detail 18-19'!AJ:AJ,'Detail 18-19'!$AA:$AA,$A117)</f>
        <v>71.608131</v>
      </c>
      <c r="L117" s="276">
        <f>+SUMIFS('Detail 18-19'!AK:AK,'Detail 18-19'!$AA:$AA,$A117)</f>
        <v>71.608131</v>
      </c>
      <c r="M117" s="276">
        <f>+SUMIFS('Detail 18-19'!AL:AL,'Detail 18-19'!$AA:$AA,$A117)</f>
        <v>71.608131</v>
      </c>
      <c r="N117" s="276">
        <f>+SUMIFS('Detail 18-19'!AM:AM,'Detail 18-19'!$AA:$AA,$A117)</f>
        <v>71.608131</v>
      </c>
      <c r="O117" s="276">
        <f>+SUMIFS('Detail 18-19'!AN:AN,'Detail 18-19'!$AA:$AA,$A117)</f>
        <v>71.608131</v>
      </c>
      <c r="P117" s="277">
        <f t="shared" si="18"/>
        <v>859.297572</v>
      </c>
      <c r="Q117" s="270">
        <f>SUMIF('2019-03'!$E:$E,'Detail 19-20'!$A117,'2019-03'!$D:$D)</f>
        <v>684.95</v>
      </c>
      <c r="R117" s="271" t="s">
        <v>950</v>
      </c>
      <c r="S117" s="270">
        <f t="shared" si="61"/>
        <v>913.2666667</v>
      </c>
      <c r="T117" s="280">
        <f>+'Salaries 2019-20'!V245-T118</f>
        <v>864</v>
      </c>
      <c r="U117" s="277">
        <f t="shared" si="4"/>
        <v>4.702428</v>
      </c>
      <c r="V117" s="278">
        <f t="shared" si="5"/>
        <v>0.005472409272</v>
      </c>
      <c r="W117" s="277">
        <f t="shared" si="6"/>
        <v>-49.26666667</v>
      </c>
      <c r="X117" s="278">
        <f t="shared" si="7"/>
        <v>-0.05394554347</v>
      </c>
      <c r="Y117" s="279" t="s">
        <v>992</v>
      </c>
      <c r="Z117" s="277">
        <f>+$T117*0</f>
        <v>0</v>
      </c>
      <c r="AA117" s="277">
        <f>+$T117*0.5/9.5</f>
        <v>45.47368421</v>
      </c>
      <c r="AB117" s="277">
        <f t="shared" ref="AB117:AJ117" si="75">+$T117*1/9.5</f>
        <v>90.94736842</v>
      </c>
      <c r="AC117" s="277">
        <f t="shared" si="75"/>
        <v>90.94736842</v>
      </c>
      <c r="AD117" s="277">
        <f t="shared" si="75"/>
        <v>90.94736842</v>
      </c>
      <c r="AE117" s="277">
        <f t="shared" si="75"/>
        <v>90.94736842</v>
      </c>
      <c r="AF117" s="277">
        <f t="shared" si="75"/>
        <v>90.94736842</v>
      </c>
      <c r="AG117" s="277">
        <f t="shared" si="75"/>
        <v>90.94736842</v>
      </c>
      <c r="AH117" s="277">
        <f t="shared" si="75"/>
        <v>90.94736842</v>
      </c>
      <c r="AI117" s="277">
        <f t="shared" si="75"/>
        <v>90.94736842</v>
      </c>
      <c r="AJ117" s="277">
        <f t="shared" si="75"/>
        <v>90.94736842</v>
      </c>
      <c r="AK117" s="277">
        <f>+$T117*0</f>
        <v>0</v>
      </c>
      <c r="AL117" s="277">
        <f t="shared" si="2"/>
        <v>864</v>
      </c>
      <c r="AM117" s="277">
        <f t="shared" si="9"/>
        <v>0</v>
      </c>
      <c r="AN117" s="8" t="str">
        <f>+VLOOKUP('Detail 19-20'!A117,Map!$B$6:$M$222,12,FALSE)</f>
        <v>Employee Benefits</v>
      </c>
    </row>
    <row r="118" ht="15.75" customHeight="1">
      <c r="A118" s="274" t="s">
        <v>1062</v>
      </c>
      <c r="B118" s="274" t="s">
        <v>1189</v>
      </c>
      <c r="C118" s="275" t="s">
        <v>1063</v>
      </c>
      <c r="D118" s="276">
        <f>+SUMIFS('Detail 18-19'!AC:AC,'Detail 18-19'!$AA:$AA,$A118)</f>
        <v>23.869377</v>
      </c>
      <c r="E118" s="276">
        <f>+SUMIFS('Detail 18-19'!AD:AD,'Detail 18-19'!$AA:$AA,$A118)</f>
        <v>23.869377</v>
      </c>
      <c r="F118" s="276">
        <f>+SUMIFS('Detail 18-19'!AE:AE,'Detail 18-19'!$AA:$AA,$A118)</f>
        <v>23.869377</v>
      </c>
      <c r="G118" s="276">
        <f>+SUMIFS('Detail 18-19'!AF:AF,'Detail 18-19'!$AA:$AA,$A118)</f>
        <v>23.869377</v>
      </c>
      <c r="H118" s="276">
        <f>+SUMIFS('Detail 18-19'!AG:AG,'Detail 18-19'!$AA:$AA,$A118)</f>
        <v>23.869377</v>
      </c>
      <c r="I118" s="276">
        <f>+SUMIFS('Detail 18-19'!AH:AH,'Detail 18-19'!$AA:$AA,$A118)</f>
        <v>23.869377</v>
      </c>
      <c r="J118" s="276">
        <f>+SUMIFS('Detail 18-19'!AI:AI,'Detail 18-19'!$AA:$AA,$A118)</f>
        <v>23.869377</v>
      </c>
      <c r="K118" s="276">
        <f>+SUMIFS('Detail 18-19'!AJ:AJ,'Detail 18-19'!$AA:$AA,$A118)</f>
        <v>23.869377</v>
      </c>
      <c r="L118" s="276">
        <f>+SUMIFS('Detail 18-19'!AK:AK,'Detail 18-19'!$AA:$AA,$A118)</f>
        <v>23.869377</v>
      </c>
      <c r="M118" s="276">
        <f>+SUMIFS('Detail 18-19'!AL:AL,'Detail 18-19'!$AA:$AA,$A118)</f>
        <v>23.869377</v>
      </c>
      <c r="N118" s="276">
        <f>+SUMIFS('Detail 18-19'!AM:AM,'Detail 18-19'!$AA:$AA,$A118)</f>
        <v>23.869377</v>
      </c>
      <c r="O118" s="276">
        <f>+SUMIFS('Detail 18-19'!AN:AN,'Detail 18-19'!$AA:$AA,$A118)</f>
        <v>23.869377</v>
      </c>
      <c r="P118" s="277">
        <f t="shared" si="18"/>
        <v>286.432524</v>
      </c>
      <c r="Q118" s="270">
        <f>SUMIF('2019-03'!$E:$E,'Detail 19-20'!$A118,'2019-03'!$D:$D)</f>
        <v>239.4</v>
      </c>
      <c r="R118" s="271" t="s">
        <v>950</v>
      </c>
      <c r="S118" s="270">
        <f t="shared" si="61"/>
        <v>319.2</v>
      </c>
      <c r="T118" s="272">
        <v>480.0</v>
      </c>
      <c r="U118" s="277">
        <f t="shared" si="4"/>
        <v>193.567476</v>
      </c>
      <c r="V118" s="278">
        <f t="shared" si="5"/>
        <v>0.6757873488</v>
      </c>
      <c r="W118" s="277">
        <f t="shared" si="6"/>
        <v>160.8</v>
      </c>
      <c r="X118" s="278">
        <f t="shared" si="7"/>
        <v>0.5037593985</v>
      </c>
      <c r="Y118" s="279" t="s">
        <v>950</v>
      </c>
      <c r="Z118" s="277">
        <f t="shared" ref="Z118:AK118" si="76">+$T118/12</f>
        <v>40</v>
      </c>
      <c r="AA118" s="277">
        <f t="shared" si="76"/>
        <v>40</v>
      </c>
      <c r="AB118" s="277">
        <f t="shared" si="76"/>
        <v>40</v>
      </c>
      <c r="AC118" s="277">
        <f t="shared" si="76"/>
        <v>40</v>
      </c>
      <c r="AD118" s="277">
        <f t="shared" si="76"/>
        <v>40</v>
      </c>
      <c r="AE118" s="277">
        <f t="shared" si="76"/>
        <v>40</v>
      </c>
      <c r="AF118" s="277">
        <f t="shared" si="76"/>
        <v>40</v>
      </c>
      <c r="AG118" s="277">
        <f t="shared" si="76"/>
        <v>40</v>
      </c>
      <c r="AH118" s="277">
        <f t="shared" si="76"/>
        <v>40</v>
      </c>
      <c r="AI118" s="277">
        <f t="shared" si="76"/>
        <v>40</v>
      </c>
      <c r="AJ118" s="277">
        <f t="shared" si="76"/>
        <v>40</v>
      </c>
      <c r="AK118" s="277">
        <f t="shared" si="76"/>
        <v>40</v>
      </c>
      <c r="AL118" s="277">
        <f t="shared" si="2"/>
        <v>480</v>
      </c>
      <c r="AM118" s="277">
        <f t="shared" si="9"/>
        <v>0</v>
      </c>
      <c r="AN118" s="8" t="str">
        <f>+VLOOKUP('Detail 19-20'!A118,Map!$B$6:$M$222,12,FALSE)</f>
        <v>Employee Benefits</v>
      </c>
    </row>
    <row r="119" ht="15.75" customHeight="1">
      <c r="A119" s="274" t="s">
        <v>1064</v>
      </c>
      <c r="B119" s="274" t="s">
        <v>1189</v>
      </c>
      <c r="C119" s="275" t="s">
        <v>460</v>
      </c>
      <c r="D119" s="276">
        <f>+SUMIFS('Detail 18-19'!AC:AC,'Detail 18-19'!$AA:$AA,$A119)</f>
        <v>0</v>
      </c>
      <c r="E119" s="276">
        <f>+SUMIFS('Detail 18-19'!AD:AD,'Detail 18-19'!$AA:$AA,$A119)</f>
        <v>1207.659076</v>
      </c>
      <c r="F119" s="276">
        <f>+SUMIFS('Detail 18-19'!AE:AE,'Detail 18-19'!$AA:$AA,$A119)</f>
        <v>2415.318152</v>
      </c>
      <c r="G119" s="276">
        <f>+SUMIFS('Detail 18-19'!AF:AF,'Detail 18-19'!$AA:$AA,$A119)</f>
        <v>2415.318152</v>
      </c>
      <c r="H119" s="276">
        <f>+SUMIFS('Detail 18-19'!AG:AG,'Detail 18-19'!$AA:$AA,$A119)</f>
        <v>2415.318152</v>
      </c>
      <c r="I119" s="276">
        <f>+SUMIFS('Detail 18-19'!AH:AH,'Detail 18-19'!$AA:$AA,$A119)</f>
        <v>2415.318152</v>
      </c>
      <c r="J119" s="276">
        <f>+SUMIFS('Detail 18-19'!AI:AI,'Detail 18-19'!$AA:$AA,$A119)</f>
        <v>2415.318152</v>
      </c>
      <c r="K119" s="276">
        <f>+SUMIFS('Detail 18-19'!AJ:AJ,'Detail 18-19'!$AA:$AA,$A119)</f>
        <v>2415.318152</v>
      </c>
      <c r="L119" s="276">
        <f>+SUMIFS('Detail 18-19'!AK:AK,'Detail 18-19'!$AA:$AA,$A119)</f>
        <v>2415.318152</v>
      </c>
      <c r="M119" s="276">
        <f>+SUMIFS('Detail 18-19'!AL:AL,'Detail 18-19'!$AA:$AA,$A119)</f>
        <v>2415.318152</v>
      </c>
      <c r="N119" s="276">
        <f>+SUMIFS('Detail 18-19'!AM:AM,'Detail 18-19'!$AA:$AA,$A119)</f>
        <v>2415.318152</v>
      </c>
      <c r="O119" s="276">
        <f>+SUMIFS('Detail 18-19'!AN:AN,'Detail 18-19'!$AA:$AA,$A119)</f>
        <v>0</v>
      </c>
      <c r="P119" s="277">
        <f t="shared" si="18"/>
        <v>22945.52245</v>
      </c>
      <c r="Q119" s="270">
        <f>SUMIF('2019-03'!$E:$E,'Detail 19-20'!$A119,'2019-03'!$D:$D)</f>
        <v>16354.36</v>
      </c>
      <c r="R119" s="271" t="s">
        <v>950</v>
      </c>
      <c r="S119" s="270">
        <f t="shared" si="61"/>
        <v>21805.81333</v>
      </c>
      <c r="T119" s="280">
        <f>+'Salaries 2019-20'!V247</f>
        <v>19881.39467</v>
      </c>
      <c r="U119" s="277">
        <f t="shared" si="4"/>
        <v>-3064.12778</v>
      </c>
      <c r="V119" s="278">
        <f t="shared" si="5"/>
        <v>-0.1335392466</v>
      </c>
      <c r="W119" s="277">
        <f t="shared" si="6"/>
        <v>-1924.418665</v>
      </c>
      <c r="X119" s="278">
        <f t="shared" si="7"/>
        <v>-0.08825255154</v>
      </c>
      <c r="Y119" s="279" t="s">
        <v>992</v>
      </c>
      <c r="Z119" s="277">
        <f>+$T119*0</f>
        <v>0</v>
      </c>
      <c r="AA119" s="277">
        <f>+$T119*0.5/9.5</f>
        <v>1046.389193</v>
      </c>
      <c r="AB119" s="277">
        <f t="shared" ref="AB119:AJ119" si="77">+$T119*1/9.5</f>
        <v>2092.778386</v>
      </c>
      <c r="AC119" s="277">
        <f t="shared" si="77"/>
        <v>2092.778386</v>
      </c>
      <c r="AD119" s="277">
        <f t="shared" si="77"/>
        <v>2092.778386</v>
      </c>
      <c r="AE119" s="277">
        <f t="shared" si="77"/>
        <v>2092.778386</v>
      </c>
      <c r="AF119" s="277">
        <f t="shared" si="77"/>
        <v>2092.778386</v>
      </c>
      <c r="AG119" s="277">
        <f t="shared" si="77"/>
        <v>2092.778386</v>
      </c>
      <c r="AH119" s="277">
        <f t="shared" si="77"/>
        <v>2092.778386</v>
      </c>
      <c r="AI119" s="277">
        <f t="shared" si="77"/>
        <v>2092.778386</v>
      </c>
      <c r="AJ119" s="277">
        <f t="shared" si="77"/>
        <v>2092.778386</v>
      </c>
      <c r="AK119" s="277">
        <f>+$T119*0</f>
        <v>0</v>
      </c>
      <c r="AL119" s="277">
        <f t="shared" si="2"/>
        <v>19881.39467</v>
      </c>
      <c r="AM119" s="277">
        <f t="shared" si="9"/>
        <v>0</v>
      </c>
      <c r="AN119" s="8" t="str">
        <f>+VLOOKUP('Detail 19-20'!A119,Map!$B$6:$M$222,12,FALSE)</f>
        <v>Payroll Taxes</v>
      </c>
    </row>
    <row r="120" ht="15.75" customHeight="1">
      <c r="A120" s="274" t="s">
        <v>1065</v>
      </c>
      <c r="B120" s="274" t="s">
        <v>1189</v>
      </c>
      <c r="C120" s="275" t="s">
        <v>1066</v>
      </c>
      <c r="D120" s="276">
        <f>+SUMIFS('Detail 18-19'!AC:AC,'Detail 18-19'!$AA:$AA,$A120)</f>
        <v>1250.098124</v>
      </c>
      <c r="E120" s="276">
        <f>+SUMIFS('Detail 18-19'!AD:AD,'Detail 18-19'!$AA:$AA,$A120)</f>
        <v>1250.098124</v>
      </c>
      <c r="F120" s="276">
        <f>+SUMIFS('Detail 18-19'!AE:AE,'Detail 18-19'!$AA:$AA,$A120)</f>
        <v>1250.098124</v>
      </c>
      <c r="G120" s="276">
        <f>+SUMIFS('Detail 18-19'!AF:AF,'Detail 18-19'!$AA:$AA,$A120)</f>
        <v>1250.098124</v>
      </c>
      <c r="H120" s="276">
        <f>+SUMIFS('Detail 18-19'!AG:AG,'Detail 18-19'!$AA:$AA,$A120)</f>
        <v>1250.098124</v>
      </c>
      <c r="I120" s="276">
        <f>+SUMIFS('Detail 18-19'!AH:AH,'Detail 18-19'!$AA:$AA,$A120)</f>
        <v>1250.098124</v>
      </c>
      <c r="J120" s="276">
        <f>+SUMIFS('Detail 18-19'!AI:AI,'Detail 18-19'!$AA:$AA,$A120)</f>
        <v>1250.098124</v>
      </c>
      <c r="K120" s="276">
        <f>+SUMIFS('Detail 18-19'!AJ:AJ,'Detail 18-19'!$AA:$AA,$A120)</f>
        <v>1250.098124</v>
      </c>
      <c r="L120" s="276">
        <f>+SUMIFS('Detail 18-19'!AK:AK,'Detail 18-19'!$AA:$AA,$A120)</f>
        <v>1250.098124</v>
      </c>
      <c r="M120" s="276">
        <f>+SUMIFS('Detail 18-19'!AL:AL,'Detail 18-19'!$AA:$AA,$A120)</f>
        <v>1250.098124</v>
      </c>
      <c r="N120" s="276">
        <f>+SUMIFS('Detail 18-19'!AM:AM,'Detail 18-19'!$AA:$AA,$A120)</f>
        <v>1250.098124</v>
      </c>
      <c r="O120" s="276">
        <f>+SUMIFS('Detail 18-19'!AN:AN,'Detail 18-19'!$AA:$AA,$A120)</f>
        <v>1250.098124</v>
      </c>
      <c r="P120" s="277">
        <f t="shared" si="18"/>
        <v>15001.17749</v>
      </c>
      <c r="Q120" s="270">
        <f>SUMIF('2019-03'!$E:$E,'Detail 19-20'!$A120,'2019-03'!$D:$D)</f>
        <v>9346.73</v>
      </c>
      <c r="R120" s="271" t="s">
        <v>950</v>
      </c>
      <c r="S120" s="270">
        <f t="shared" si="61"/>
        <v>12462.30667</v>
      </c>
      <c r="T120" s="280">
        <f>+'Salaries 2019-20'!V249</f>
        <v>19007.70182</v>
      </c>
      <c r="U120" s="277">
        <f t="shared" si="4"/>
        <v>4006.524328</v>
      </c>
      <c r="V120" s="278">
        <f t="shared" si="5"/>
        <v>0.2670806563</v>
      </c>
      <c r="W120" s="277">
        <f t="shared" si="6"/>
        <v>6545.395148</v>
      </c>
      <c r="X120" s="278">
        <f t="shared" si="7"/>
        <v>0.5252153814</v>
      </c>
      <c r="Y120" s="279" t="s">
        <v>950</v>
      </c>
      <c r="Z120" s="277">
        <f t="shared" ref="Z120:AK120" si="78">+$T120/12</f>
        <v>1583.975151</v>
      </c>
      <c r="AA120" s="277">
        <f t="shared" si="78"/>
        <v>1583.975151</v>
      </c>
      <c r="AB120" s="277">
        <f t="shared" si="78"/>
        <v>1583.975151</v>
      </c>
      <c r="AC120" s="277">
        <f t="shared" si="78"/>
        <v>1583.975151</v>
      </c>
      <c r="AD120" s="277">
        <f t="shared" si="78"/>
        <v>1583.975151</v>
      </c>
      <c r="AE120" s="277">
        <f t="shared" si="78"/>
        <v>1583.975151</v>
      </c>
      <c r="AF120" s="277">
        <f t="shared" si="78"/>
        <v>1583.975151</v>
      </c>
      <c r="AG120" s="277">
        <f t="shared" si="78"/>
        <v>1583.975151</v>
      </c>
      <c r="AH120" s="277">
        <f t="shared" si="78"/>
        <v>1583.975151</v>
      </c>
      <c r="AI120" s="277">
        <f t="shared" si="78"/>
        <v>1583.975151</v>
      </c>
      <c r="AJ120" s="277">
        <f t="shared" si="78"/>
        <v>1583.975151</v>
      </c>
      <c r="AK120" s="277">
        <f t="shared" si="78"/>
        <v>1583.975151</v>
      </c>
      <c r="AL120" s="277">
        <f t="shared" si="2"/>
        <v>19007.70182</v>
      </c>
      <c r="AM120" s="277">
        <f t="shared" si="9"/>
        <v>0</v>
      </c>
      <c r="AN120" s="8" t="str">
        <f>+VLOOKUP('Detail 19-20'!A120,Map!$B$6:$M$222,12,FALSE)</f>
        <v>Payroll Taxes</v>
      </c>
    </row>
    <row r="121" ht="15.75" customHeight="1">
      <c r="A121" s="274" t="s">
        <v>1067</v>
      </c>
      <c r="B121" s="274" t="s">
        <v>1189</v>
      </c>
      <c r="C121" s="275" t="s">
        <v>464</v>
      </c>
      <c r="D121" s="276">
        <f>+SUMIFS('Detail 18-19'!AC:AC,'Detail 18-19'!$AA:$AA,$A121)</f>
        <v>0</v>
      </c>
      <c r="E121" s="276">
        <f>+SUMIFS('Detail 18-19'!AD:AD,'Detail 18-19'!$AA:$AA,$A121)</f>
        <v>282.4363969</v>
      </c>
      <c r="F121" s="276">
        <f>+SUMIFS('Detail 18-19'!AE:AE,'Detail 18-19'!$AA:$AA,$A121)</f>
        <v>564.8727937</v>
      </c>
      <c r="G121" s="276">
        <f>+SUMIFS('Detail 18-19'!AF:AF,'Detail 18-19'!$AA:$AA,$A121)</f>
        <v>564.8727937</v>
      </c>
      <c r="H121" s="276">
        <f>+SUMIFS('Detail 18-19'!AG:AG,'Detail 18-19'!$AA:$AA,$A121)</f>
        <v>564.8727937</v>
      </c>
      <c r="I121" s="276">
        <f>+SUMIFS('Detail 18-19'!AH:AH,'Detail 18-19'!$AA:$AA,$A121)</f>
        <v>564.8727937</v>
      </c>
      <c r="J121" s="276">
        <f>+SUMIFS('Detail 18-19'!AI:AI,'Detail 18-19'!$AA:$AA,$A121)</f>
        <v>564.8727937</v>
      </c>
      <c r="K121" s="276">
        <f>+SUMIFS('Detail 18-19'!AJ:AJ,'Detail 18-19'!$AA:$AA,$A121)</f>
        <v>564.8727937</v>
      </c>
      <c r="L121" s="276">
        <f>+SUMIFS('Detail 18-19'!AK:AK,'Detail 18-19'!$AA:$AA,$A121)</f>
        <v>564.8727937</v>
      </c>
      <c r="M121" s="276">
        <f>+SUMIFS('Detail 18-19'!AL:AL,'Detail 18-19'!$AA:$AA,$A121)</f>
        <v>564.8727937</v>
      </c>
      <c r="N121" s="276">
        <f>+SUMIFS('Detail 18-19'!AM:AM,'Detail 18-19'!$AA:$AA,$A121)</f>
        <v>564.8727937</v>
      </c>
      <c r="O121" s="276">
        <f>+SUMIFS('Detail 18-19'!AN:AN,'Detail 18-19'!$AA:$AA,$A121)</f>
        <v>0</v>
      </c>
      <c r="P121" s="277">
        <f t="shared" si="18"/>
        <v>5366.29154</v>
      </c>
      <c r="Q121" s="270">
        <f>SUMIF('2019-03'!$E:$E,'Detail 19-20'!$A121,'2019-03'!$D:$D)</f>
        <v>3824.56</v>
      </c>
      <c r="R121" s="271" t="s">
        <v>950</v>
      </c>
      <c r="S121" s="270">
        <f t="shared" si="61"/>
        <v>5099.413333</v>
      </c>
      <c r="T121" s="280">
        <f>+'Salaries 2019-20'!V248</f>
        <v>4649.681011</v>
      </c>
      <c r="U121" s="277">
        <f t="shared" si="4"/>
        <v>-716.6105293</v>
      </c>
      <c r="V121" s="278">
        <f t="shared" si="5"/>
        <v>-0.1335392466</v>
      </c>
      <c r="W121" s="277">
        <f t="shared" si="6"/>
        <v>-449.7323222</v>
      </c>
      <c r="X121" s="278">
        <f t="shared" si="7"/>
        <v>-0.08819295335</v>
      </c>
      <c r="Y121" s="279" t="s">
        <v>992</v>
      </c>
      <c r="Z121" s="277">
        <f>+$T121*0</f>
        <v>0</v>
      </c>
      <c r="AA121" s="277">
        <f>+$T121*0.5/9.5</f>
        <v>244.7200532</v>
      </c>
      <c r="AB121" s="277">
        <f t="shared" ref="AB121:AJ121" si="79">+$T121*1/9.5</f>
        <v>489.4401064</v>
      </c>
      <c r="AC121" s="277">
        <f t="shared" si="79"/>
        <v>489.4401064</v>
      </c>
      <c r="AD121" s="277">
        <f t="shared" si="79"/>
        <v>489.4401064</v>
      </c>
      <c r="AE121" s="277">
        <f t="shared" si="79"/>
        <v>489.4401064</v>
      </c>
      <c r="AF121" s="277">
        <f t="shared" si="79"/>
        <v>489.4401064</v>
      </c>
      <c r="AG121" s="277">
        <f t="shared" si="79"/>
        <v>489.4401064</v>
      </c>
      <c r="AH121" s="277">
        <f t="shared" si="79"/>
        <v>489.4401064</v>
      </c>
      <c r="AI121" s="277">
        <f t="shared" si="79"/>
        <v>489.4401064</v>
      </c>
      <c r="AJ121" s="277">
        <f t="shared" si="79"/>
        <v>489.4401064</v>
      </c>
      <c r="AK121" s="277">
        <f>+$T121*0</f>
        <v>0</v>
      </c>
      <c r="AL121" s="277">
        <f t="shared" si="2"/>
        <v>4649.681011</v>
      </c>
      <c r="AM121" s="277">
        <f t="shared" si="9"/>
        <v>0</v>
      </c>
      <c r="AN121" s="8" t="str">
        <f>+VLOOKUP('Detail 19-20'!A121,Map!$B$6:$M$222,12,FALSE)</f>
        <v>Payroll Taxes</v>
      </c>
    </row>
    <row r="122" ht="15.75" customHeight="1">
      <c r="A122" s="274" t="s">
        <v>1068</v>
      </c>
      <c r="B122" s="274" t="s">
        <v>1189</v>
      </c>
      <c r="C122" s="275" t="s">
        <v>1069</v>
      </c>
      <c r="D122" s="276">
        <f>+SUMIFS('Detail 18-19'!AC:AC,'Detail 18-19'!$AA:$AA,$A122)</f>
        <v>292.361658</v>
      </c>
      <c r="E122" s="276">
        <f>+SUMIFS('Detail 18-19'!AD:AD,'Detail 18-19'!$AA:$AA,$A122)</f>
        <v>292.361658</v>
      </c>
      <c r="F122" s="276">
        <f>+SUMIFS('Detail 18-19'!AE:AE,'Detail 18-19'!$AA:$AA,$A122)</f>
        <v>292.361658</v>
      </c>
      <c r="G122" s="276">
        <f>+SUMIFS('Detail 18-19'!AF:AF,'Detail 18-19'!$AA:$AA,$A122)</f>
        <v>292.361658</v>
      </c>
      <c r="H122" s="276">
        <f>+SUMIFS('Detail 18-19'!AG:AG,'Detail 18-19'!$AA:$AA,$A122)</f>
        <v>292.361658</v>
      </c>
      <c r="I122" s="276">
        <f>+SUMIFS('Detail 18-19'!AH:AH,'Detail 18-19'!$AA:$AA,$A122)</f>
        <v>292.361658</v>
      </c>
      <c r="J122" s="276">
        <f>+SUMIFS('Detail 18-19'!AI:AI,'Detail 18-19'!$AA:$AA,$A122)</f>
        <v>292.361658</v>
      </c>
      <c r="K122" s="276">
        <f>+SUMIFS('Detail 18-19'!AJ:AJ,'Detail 18-19'!$AA:$AA,$A122)</f>
        <v>292.361658</v>
      </c>
      <c r="L122" s="276">
        <f>+SUMIFS('Detail 18-19'!AK:AK,'Detail 18-19'!$AA:$AA,$A122)</f>
        <v>292.361658</v>
      </c>
      <c r="M122" s="276">
        <f>+SUMIFS('Detail 18-19'!AL:AL,'Detail 18-19'!$AA:$AA,$A122)</f>
        <v>292.361658</v>
      </c>
      <c r="N122" s="276">
        <f>+SUMIFS('Detail 18-19'!AM:AM,'Detail 18-19'!$AA:$AA,$A122)</f>
        <v>292.361658</v>
      </c>
      <c r="O122" s="276">
        <f>+SUMIFS('Detail 18-19'!AN:AN,'Detail 18-19'!$AA:$AA,$A122)</f>
        <v>292.361658</v>
      </c>
      <c r="P122" s="277">
        <f t="shared" si="18"/>
        <v>3508.339896</v>
      </c>
      <c r="Q122" s="270">
        <f>SUMIF('2019-03'!$E:$E,'Detail 19-20'!$A122,'2019-03'!$D:$D)</f>
        <v>2186.03</v>
      </c>
      <c r="R122" s="271" t="s">
        <v>950</v>
      </c>
      <c r="S122" s="270">
        <f t="shared" si="61"/>
        <v>2914.706667</v>
      </c>
      <c r="T122" s="280">
        <f>+'Salaries 2019-20'!V250</f>
        <v>4445.349618</v>
      </c>
      <c r="U122" s="277">
        <f t="shared" si="4"/>
        <v>937.0097219</v>
      </c>
      <c r="V122" s="278">
        <f t="shared" si="5"/>
        <v>0.2670806563</v>
      </c>
      <c r="W122" s="277">
        <f t="shared" si="6"/>
        <v>1530.642951</v>
      </c>
      <c r="X122" s="278">
        <f t="shared" si="7"/>
        <v>0.5251447663</v>
      </c>
      <c r="Y122" s="279" t="s">
        <v>950</v>
      </c>
      <c r="Z122" s="277">
        <f t="shared" ref="Z122:AK122" si="80">+$T122/12</f>
        <v>370.4458015</v>
      </c>
      <c r="AA122" s="277">
        <f t="shared" si="80"/>
        <v>370.4458015</v>
      </c>
      <c r="AB122" s="277">
        <f t="shared" si="80"/>
        <v>370.4458015</v>
      </c>
      <c r="AC122" s="277">
        <f t="shared" si="80"/>
        <v>370.4458015</v>
      </c>
      <c r="AD122" s="277">
        <f t="shared" si="80"/>
        <v>370.4458015</v>
      </c>
      <c r="AE122" s="277">
        <f t="shared" si="80"/>
        <v>370.4458015</v>
      </c>
      <c r="AF122" s="277">
        <f t="shared" si="80"/>
        <v>370.4458015</v>
      </c>
      <c r="AG122" s="277">
        <f t="shared" si="80"/>
        <v>370.4458015</v>
      </c>
      <c r="AH122" s="277">
        <f t="shared" si="80"/>
        <v>370.4458015</v>
      </c>
      <c r="AI122" s="277">
        <f t="shared" si="80"/>
        <v>370.4458015</v>
      </c>
      <c r="AJ122" s="277">
        <f t="shared" si="80"/>
        <v>370.4458015</v>
      </c>
      <c r="AK122" s="277">
        <f t="shared" si="80"/>
        <v>370.4458015</v>
      </c>
      <c r="AL122" s="277">
        <f t="shared" si="2"/>
        <v>4445.349618</v>
      </c>
      <c r="AM122" s="277">
        <f t="shared" si="9"/>
        <v>0</v>
      </c>
      <c r="AN122" s="8" t="str">
        <f>+VLOOKUP('Detail 19-20'!A122,Map!$B$6:$M$222,12,FALSE)</f>
        <v>Payroll Taxes</v>
      </c>
    </row>
    <row r="123" ht="15.75" customHeight="1">
      <c r="A123" s="274" t="s">
        <v>1070</v>
      </c>
      <c r="B123" s="274" t="s">
        <v>1189</v>
      </c>
      <c r="C123" s="275" t="s">
        <v>472</v>
      </c>
      <c r="D123" s="276">
        <f>+SUMIFS('Detail 18-19'!AC:AC,'Detail 18-19'!$AA:$AA,$A123)</f>
        <v>6000</v>
      </c>
      <c r="E123" s="276">
        <f>+SUMIFS('Detail 18-19'!AD:AD,'Detail 18-19'!$AA:$AA,$A123)</f>
        <v>2000</v>
      </c>
      <c r="F123" s="276">
        <f>+SUMIFS('Detail 18-19'!AE:AE,'Detail 18-19'!$AA:$AA,$A123)</f>
        <v>0</v>
      </c>
      <c r="G123" s="276">
        <f>+SUMIFS('Detail 18-19'!AF:AF,'Detail 18-19'!$AA:$AA,$A123)</f>
        <v>0</v>
      </c>
      <c r="H123" s="276">
        <f>+SUMIFS('Detail 18-19'!AG:AG,'Detail 18-19'!$AA:$AA,$A123)</f>
        <v>0</v>
      </c>
      <c r="I123" s="276">
        <f>+SUMIFS('Detail 18-19'!AH:AH,'Detail 18-19'!$AA:$AA,$A123)</f>
        <v>0</v>
      </c>
      <c r="J123" s="276">
        <f>+SUMIFS('Detail 18-19'!AI:AI,'Detail 18-19'!$AA:$AA,$A123)</f>
        <v>0</v>
      </c>
      <c r="K123" s="276">
        <f>+SUMIFS('Detail 18-19'!AJ:AJ,'Detail 18-19'!$AA:$AA,$A123)</f>
        <v>0</v>
      </c>
      <c r="L123" s="276">
        <f>+SUMIFS('Detail 18-19'!AK:AK,'Detail 18-19'!$AA:$AA,$A123)</f>
        <v>0</v>
      </c>
      <c r="M123" s="276">
        <f>+SUMIFS('Detail 18-19'!AL:AL,'Detail 18-19'!$AA:$AA,$A123)</f>
        <v>0</v>
      </c>
      <c r="N123" s="276">
        <f>+SUMIFS('Detail 18-19'!AM:AM,'Detail 18-19'!$AA:$AA,$A123)</f>
        <v>0</v>
      </c>
      <c r="O123" s="276">
        <f>+SUMIFS('Detail 18-19'!AN:AN,'Detail 18-19'!$AA:$AA,$A123)</f>
        <v>0</v>
      </c>
      <c r="P123" s="277">
        <f t="shared" si="18"/>
        <v>8000</v>
      </c>
      <c r="Q123" s="270">
        <f>SUMIF('2019-03'!$E:$E,'Detail 19-20'!$A123,'2019-03'!$D:$D)</f>
        <v>8400</v>
      </c>
      <c r="R123" s="271" t="s">
        <v>954</v>
      </c>
      <c r="S123" s="270">
        <f t="shared" si="61"/>
        <v>8400</v>
      </c>
      <c r="T123" s="272">
        <v>8500.0</v>
      </c>
      <c r="U123" s="277">
        <f t="shared" si="4"/>
        <v>500</v>
      </c>
      <c r="V123" s="278">
        <f t="shared" si="5"/>
        <v>0.0625</v>
      </c>
      <c r="W123" s="277">
        <f t="shared" si="6"/>
        <v>100</v>
      </c>
      <c r="X123" s="278">
        <f t="shared" si="7"/>
        <v>0.0119047619</v>
      </c>
      <c r="Y123" s="279" t="s">
        <v>1460</v>
      </c>
      <c r="Z123" s="277">
        <v>0.0</v>
      </c>
      <c r="AA123" s="277">
        <v>0.0</v>
      </c>
      <c r="AB123" s="277">
        <v>0.0</v>
      </c>
      <c r="AC123" s="277">
        <v>0.0</v>
      </c>
      <c r="AD123" s="277">
        <v>0.0</v>
      </c>
      <c r="AE123" s="277">
        <v>0.0</v>
      </c>
      <c r="AF123" s="277">
        <v>0.0</v>
      </c>
      <c r="AG123" s="277">
        <v>0.0</v>
      </c>
      <c r="AH123" s="277">
        <f>+$T123</f>
        <v>8500</v>
      </c>
      <c r="AI123" s="277">
        <v>0.0</v>
      </c>
      <c r="AJ123" s="277">
        <v>0.0</v>
      </c>
      <c r="AK123" s="277">
        <v>0.0</v>
      </c>
      <c r="AL123" s="277">
        <f t="shared" si="2"/>
        <v>8500</v>
      </c>
      <c r="AM123" s="277">
        <f t="shared" si="9"/>
        <v>0</v>
      </c>
      <c r="AN123" s="8" t="str">
        <f>+VLOOKUP('Detail 19-20'!A123,Map!$B$6:$M$222,12,FALSE)</f>
        <v>Legal, Accounting, IT</v>
      </c>
    </row>
    <row r="124" ht="15.75" customHeight="1">
      <c r="A124" s="274" t="s">
        <v>1071</v>
      </c>
      <c r="B124" s="274" t="s">
        <v>1189</v>
      </c>
      <c r="C124" s="275" t="s">
        <v>480</v>
      </c>
      <c r="D124" s="276">
        <f>+SUMIFS('Detail 18-19'!AC:AC,'Detail 18-19'!$AA:$AA,$A124)</f>
        <v>191.6666667</v>
      </c>
      <c r="E124" s="276">
        <f>+SUMIFS('Detail 18-19'!AD:AD,'Detail 18-19'!$AA:$AA,$A124)</f>
        <v>191.6666667</v>
      </c>
      <c r="F124" s="276">
        <f>+SUMIFS('Detail 18-19'!AE:AE,'Detail 18-19'!$AA:$AA,$A124)</f>
        <v>191.6666667</v>
      </c>
      <c r="G124" s="276">
        <f>+SUMIFS('Detail 18-19'!AF:AF,'Detail 18-19'!$AA:$AA,$A124)</f>
        <v>191.6666667</v>
      </c>
      <c r="H124" s="276">
        <f>+SUMIFS('Detail 18-19'!AG:AG,'Detail 18-19'!$AA:$AA,$A124)</f>
        <v>191.6666667</v>
      </c>
      <c r="I124" s="276">
        <f>+SUMIFS('Detail 18-19'!AH:AH,'Detail 18-19'!$AA:$AA,$A124)</f>
        <v>191.6666667</v>
      </c>
      <c r="J124" s="276">
        <f>+SUMIFS('Detail 18-19'!AI:AI,'Detail 18-19'!$AA:$AA,$A124)</f>
        <v>191.6666667</v>
      </c>
      <c r="K124" s="276">
        <f>+SUMIFS('Detail 18-19'!AJ:AJ,'Detail 18-19'!$AA:$AA,$A124)</f>
        <v>191.6666667</v>
      </c>
      <c r="L124" s="276">
        <f>+SUMIFS('Detail 18-19'!AK:AK,'Detail 18-19'!$AA:$AA,$A124)</f>
        <v>191.6666667</v>
      </c>
      <c r="M124" s="276">
        <f>+SUMIFS('Detail 18-19'!AL:AL,'Detail 18-19'!$AA:$AA,$A124)</f>
        <v>191.6666667</v>
      </c>
      <c r="N124" s="276">
        <f>+SUMIFS('Detail 18-19'!AM:AM,'Detail 18-19'!$AA:$AA,$A124)</f>
        <v>191.6666667</v>
      </c>
      <c r="O124" s="276">
        <f>+SUMIFS('Detail 18-19'!AN:AN,'Detail 18-19'!$AA:$AA,$A124)</f>
        <v>191.6666667</v>
      </c>
      <c r="P124" s="277">
        <f t="shared" si="18"/>
        <v>2300</v>
      </c>
      <c r="Q124" s="270">
        <f>SUMIF('2019-03'!$E:$E,'Detail 19-20'!$A124,'2019-03'!$D:$D)</f>
        <v>1547.21</v>
      </c>
      <c r="R124" s="271" t="s">
        <v>950</v>
      </c>
      <c r="S124" s="270">
        <f t="shared" si="61"/>
        <v>2062.946667</v>
      </c>
      <c r="T124" s="272">
        <v>3200.0</v>
      </c>
      <c r="U124" s="277">
        <f t="shared" si="4"/>
        <v>900</v>
      </c>
      <c r="V124" s="278">
        <f t="shared" si="5"/>
        <v>0.3913043478</v>
      </c>
      <c r="W124" s="277">
        <f t="shared" si="6"/>
        <v>1137.053333</v>
      </c>
      <c r="X124" s="278">
        <f t="shared" si="7"/>
        <v>0.5511792194</v>
      </c>
      <c r="Y124" s="279" t="s">
        <v>950</v>
      </c>
      <c r="Z124" s="277">
        <f t="shared" ref="Z124:AK124" si="81">+$T124/12</f>
        <v>266.6666667</v>
      </c>
      <c r="AA124" s="277">
        <f t="shared" si="81"/>
        <v>266.6666667</v>
      </c>
      <c r="AB124" s="277">
        <f t="shared" si="81"/>
        <v>266.6666667</v>
      </c>
      <c r="AC124" s="277">
        <f t="shared" si="81"/>
        <v>266.6666667</v>
      </c>
      <c r="AD124" s="277">
        <f t="shared" si="81"/>
        <v>266.6666667</v>
      </c>
      <c r="AE124" s="277">
        <f t="shared" si="81"/>
        <v>266.6666667</v>
      </c>
      <c r="AF124" s="277">
        <f t="shared" si="81"/>
        <v>266.6666667</v>
      </c>
      <c r="AG124" s="277">
        <f t="shared" si="81"/>
        <v>266.6666667</v>
      </c>
      <c r="AH124" s="277">
        <f t="shared" si="81"/>
        <v>266.6666667</v>
      </c>
      <c r="AI124" s="277">
        <f t="shared" si="81"/>
        <v>266.6666667</v>
      </c>
      <c r="AJ124" s="277">
        <f t="shared" si="81"/>
        <v>266.6666667</v>
      </c>
      <c r="AK124" s="277">
        <f t="shared" si="81"/>
        <v>266.6666667</v>
      </c>
      <c r="AL124" s="277">
        <f t="shared" si="2"/>
        <v>3200</v>
      </c>
      <c r="AM124" s="277">
        <f t="shared" si="9"/>
        <v>0</v>
      </c>
      <c r="AN124" s="8" t="str">
        <f>+VLOOKUP('Detail 19-20'!A124,Map!$B$6:$M$222,12,FALSE)</f>
        <v>Legal, Accounting, IT</v>
      </c>
    </row>
    <row r="125" ht="15.75" customHeight="1">
      <c r="A125" s="274" t="s">
        <v>1072</v>
      </c>
      <c r="B125" s="274" t="s">
        <v>1189</v>
      </c>
      <c r="C125" s="275" t="s">
        <v>482</v>
      </c>
      <c r="D125" s="276">
        <f>+SUMIFS('Detail 18-19'!AC:AC,'Detail 18-19'!$AA:$AA,$A125)</f>
        <v>2083.333333</v>
      </c>
      <c r="E125" s="276">
        <f>+SUMIFS('Detail 18-19'!AD:AD,'Detail 18-19'!$AA:$AA,$A125)</f>
        <v>2083.333333</v>
      </c>
      <c r="F125" s="276">
        <f>+SUMIFS('Detail 18-19'!AE:AE,'Detail 18-19'!$AA:$AA,$A125)</f>
        <v>2083.333333</v>
      </c>
      <c r="G125" s="276">
        <f>+SUMIFS('Detail 18-19'!AF:AF,'Detail 18-19'!$AA:$AA,$A125)</f>
        <v>2083.333333</v>
      </c>
      <c r="H125" s="276">
        <f>+SUMIFS('Detail 18-19'!AG:AG,'Detail 18-19'!$AA:$AA,$A125)</f>
        <v>4083.333333</v>
      </c>
      <c r="I125" s="276">
        <f>+SUMIFS('Detail 18-19'!AH:AH,'Detail 18-19'!$AA:$AA,$A125)</f>
        <v>2083.333333</v>
      </c>
      <c r="J125" s="276">
        <f>+SUMIFS('Detail 18-19'!AI:AI,'Detail 18-19'!$AA:$AA,$A125)</f>
        <v>2083.333333</v>
      </c>
      <c r="K125" s="276">
        <f>+SUMIFS('Detail 18-19'!AJ:AJ,'Detail 18-19'!$AA:$AA,$A125)</f>
        <v>2083.333333</v>
      </c>
      <c r="L125" s="276">
        <f>+SUMIFS('Detail 18-19'!AK:AK,'Detail 18-19'!$AA:$AA,$A125)</f>
        <v>2083.333333</v>
      </c>
      <c r="M125" s="276">
        <f>+SUMIFS('Detail 18-19'!AL:AL,'Detail 18-19'!$AA:$AA,$A125)</f>
        <v>2083.333333</v>
      </c>
      <c r="N125" s="276">
        <f>+SUMIFS('Detail 18-19'!AM:AM,'Detail 18-19'!$AA:$AA,$A125)</f>
        <v>2083.333333</v>
      </c>
      <c r="O125" s="276">
        <f>+SUMIFS('Detail 18-19'!AN:AN,'Detail 18-19'!$AA:$AA,$A125)</f>
        <v>2083.333333</v>
      </c>
      <c r="P125" s="277">
        <f t="shared" si="18"/>
        <v>27000</v>
      </c>
      <c r="Q125" s="270">
        <f>SUMIF('2019-03'!$E:$E,'Detail 19-20'!$A125,'2019-03'!$D:$D)</f>
        <v>19320.8</v>
      </c>
      <c r="R125" s="271" t="s">
        <v>950</v>
      </c>
      <c r="S125" s="270">
        <f t="shared" si="61"/>
        <v>25761.06667</v>
      </c>
      <c r="T125" s="280">
        <f>+'Salaries 2019-20'!V218</f>
        <v>15000</v>
      </c>
      <c r="U125" s="277">
        <f t="shared" si="4"/>
        <v>-12000</v>
      </c>
      <c r="V125" s="278">
        <f t="shared" si="5"/>
        <v>-0.4444444444</v>
      </c>
      <c r="W125" s="277">
        <f t="shared" si="6"/>
        <v>-10761.06667</v>
      </c>
      <c r="X125" s="278">
        <f t="shared" si="7"/>
        <v>-0.4177259741</v>
      </c>
      <c r="Y125" s="279" t="s">
        <v>950</v>
      </c>
      <c r="Z125" s="277">
        <f t="shared" ref="Z125:AK125" si="82">+$T125/12</f>
        <v>1250</v>
      </c>
      <c r="AA125" s="277">
        <f t="shared" si="82"/>
        <v>1250</v>
      </c>
      <c r="AB125" s="277">
        <f t="shared" si="82"/>
        <v>1250</v>
      </c>
      <c r="AC125" s="277">
        <f t="shared" si="82"/>
        <v>1250</v>
      </c>
      <c r="AD125" s="277">
        <f t="shared" si="82"/>
        <v>1250</v>
      </c>
      <c r="AE125" s="277">
        <f t="shared" si="82"/>
        <v>1250</v>
      </c>
      <c r="AF125" s="277">
        <f t="shared" si="82"/>
        <v>1250</v>
      </c>
      <c r="AG125" s="277">
        <f t="shared" si="82"/>
        <v>1250</v>
      </c>
      <c r="AH125" s="277">
        <f t="shared" si="82"/>
        <v>1250</v>
      </c>
      <c r="AI125" s="277">
        <f t="shared" si="82"/>
        <v>1250</v>
      </c>
      <c r="AJ125" s="277">
        <f t="shared" si="82"/>
        <v>1250</v>
      </c>
      <c r="AK125" s="277">
        <f t="shared" si="82"/>
        <v>1250</v>
      </c>
      <c r="AL125" s="277">
        <f t="shared" si="2"/>
        <v>15000</v>
      </c>
      <c r="AM125" s="277">
        <f t="shared" si="9"/>
        <v>0</v>
      </c>
      <c r="AN125" s="8" t="str">
        <f>+VLOOKUP('Detail 19-20'!A125,Map!$B$6:$M$222,12,FALSE)</f>
        <v>Legal, Accounting, IT</v>
      </c>
    </row>
    <row r="126" ht="15.75" customHeight="1">
      <c r="A126" s="274" t="s">
        <v>1073</v>
      </c>
      <c r="B126" s="274" t="s">
        <v>1189</v>
      </c>
      <c r="C126" s="275" t="s">
        <v>484</v>
      </c>
      <c r="D126" s="276">
        <f>+SUMIFS('Detail 18-19'!AC:AC,'Detail 18-19'!$AA:$AA,$A126)</f>
        <v>291.6666667</v>
      </c>
      <c r="E126" s="276">
        <f>+SUMIFS('Detail 18-19'!AD:AD,'Detail 18-19'!$AA:$AA,$A126)</f>
        <v>291.6666667</v>
      </c>
      <c r="F126" s="276">
        <f>+SUMIFS('Detail 18-19'!AE:AE,'Detail 18-19'!$AA:$AA,$A126)</f>
        <v>291.6666667</v>
      </c>
      <c r="G126" s="276">
        <f>+SUMIFS('Detail 18-19'!AF:AF,'Detail 18-19'!$AA:$AA,$A126)</f>
        <v>291.6666667</v>
      </c>
      <c r="H126" s="276">
        <f>+SUMIFS('Detail 18-19'!AG:AG,'Detail 18-19'!$AA:$AA,$A126)</f>
        <v>291.6666667</v>
      </c>
      <c r="I126" s="276">
        <f>+SUMIFS('Detail 18-19'!AH:AH,'Detail 18-19'!$AA:$AA,$A126)</f>
        <v>291.6666667</v>
      </c>
      <c r="J126" s="276">
        <f>+SUMIFS('Detail 18-19'!AI:AI,'Detail 18-19'!$AA:$AA,$A126)</f>
        <v>291.6666667</v>
      </c>
      <c r="K126" s="276">
        <f>+SUMIFS('Detail 18-19'!AJ:AJ,'Detail 18-19'!$AA:$AA,$A126)</f>
        <v>291.6666667</v>
      </c>
      <c r="L126" s="276">
        <f>+SUMIFS('Detail 18-19'!AK:AK,'Detail 18-19'!$AA:$AA,$A126)</f>
        <v>291.6666667</v>
      </c>
      <c r="M126" s="276">
        <f>+SUMIFS('Detail 18-19'!AL:AL,'Detail 18-19'!$AA:$AA,$A126)</f>
        <v>291.6666667</v>
      </c>
      <c r="N126" s="276">
        <f>+SUMIFS('Detail 18-19'!AM:AM,'Detail 18-19'!$AA:$AA,$A126)</f>
        <v>291.6666667</v>
      </c>
      <c r="O126" s="276">
        <f>+SUMIFS('Detail 18-19'!AN:AN,'Detail 18-19'!$AA:$AA,$A126)</f>
        <v>291.6666667</v>
      </c>
      <c r="P126" s="277">
        <f t="shared" si="18"/>
        <v>3500</v>
      </c>
      <c r="Q126" s="270">
        <f>SUMIF('2019-03'!$E:$E,'Detail 19-20'!$A126,'2019-03'!$D:$D)</f>
        <v>0</v>
      </c>
      <c r="R126" s="271" t="s">
        <v>594</v>
      </c>
      <c r="S126" s="270">
        <v>2000.0</v>
      </c>
      <c r="T126" s="272">
        <v>2000.0</v>
      </c>
      <c r="U126" s="277">
        <f t="shared" si="4"/>
        <v>-1500</v>
      </c>
      <c r="V126" s="278">
        <f t="shared" si="5"/>
        <v>-0.4285714286</v>
      </c>
      <c r="W126" s="277">
        <f t="shared" si="6"/>
        <v>0</v>
      </c>
      <c r="X126" s="278">
        <f t="shared" si="7"/>
        <v>0</v>
      </c>
      <c r="Y126" s="279" t="s">
        <v>1137</v>
      </c>
      <c r="Z126" s="277">
        <v>0.0</v>
      </c>
      <c r="AA126" s="277">
        <f>+$T126*0.5</f>
        <v>1000</v>
      </c>
      <c r="AB126" s="277">
        <v>0.0</v>
      </c>
      <c r="AC126" s="277">
        <v>0.0</v>
      </c>
      <c r="AD126" s="277">
        <v>0.0</v>
      </c>
      <c r="AE126" s="277">
        <v>0.0</v>
      </c>
      <c r="AF126" s="277">
        <f>+$T126*0.5</f>
        <v>1000</v>
      </c>
      <c r="AG126" s="277">
        <v>0.0</v>
      </c>
      <c r="AH126" s="277">
        <v>0.0</v>
      </c>
      <c r="AI126" s="277">
        <v>0.0</v>
      </c>
      <c r="AJ126" s="277">
        <v>0.0</v>
      </c>
      <c r="AK126" s="277">
        <v>0.0</v>
      </c>
      <c r="AL126" s="277">
        <f t="shared" si="2"/>
        <v>2000</v>
      </c>
      <c r="AM126" s="277">
        <f t="shared" si="9"/>
        <v>0</v>
      </c>
      <c r="AN126" s="8" t="str">
        <f>+VLOOKUP('Detail 19-20'!A126,Map!$B$6:$M$222,12,FALSE)</f>
        <v>Legal, Accounting, IT</v>
      </c>
    </row>
    <row r="127" ht="15.75" customHeight="1">
      <c r="A127" s="274" t="s">
        <v>1074</v>
      </c>
      <c r="B127" s="274" t="s">
        <v>1189</v>
      </c>
      <c r="C127" s="275" t="s">
        <v>486</v>
      </c>
      <c r="D127" s="276">
        <f>+SUMIFS('Detail 18-19'!AC:AC,'Detail 18-19'!$AA:$AA,$A127)</f>
        <v>708.3333333</v>
      </c>
      <c r="E127" s="276">
        <f>+SUMIFS('Detail 18-19'!AD:AD,'Detail 18-19'!$AA:$AA,$A127)</f>
        <v>708.3333333</v>
      </c>
      <c r="F127" s="276">
        <f>+SUMIFS('Detail 18-19'!AE:AE,'Detail 18-19'!$AA:$AA,$A127)</f>
        <v>708.3333333</v>
      </c>
      <c r="G127" s="276">
        <f>+SUMIFS('Detail 18-19'!AF:AF,'Detail 18-19'!$AA:$AA,$A127)</f>
        <v>708.3333333</v>
      </c>
      <c r="H127" s="276">
        <f>+SUMIFS('Detail 18-19'!AG:AG,'Detail 18-19'!$AA:$AA,$A127)</f>
        <v>708.3333333</v>
      </c>
      <c r="I127" s="276">
        <f>+SUMIFS('Detail 18-19'!AH:AH,'Detail 18-19'!$AA:$AA,$A127)</f>
        <v>708.3333333</v>
      </c>
      <c r="J127" s="276">
        <f>+SUMIFS('Detail 18-19'!AI:AI,'Detail 18-19'!$AA:$AA,$A127)</f>
        <v>708.3333333</v>
      </c>
      <c r="K127" s="276">
        <f>+SUMIFS('Detail 18-19'!AJ:AJ,'Detail 18-19'!$AA:$AA,$A127)</f>
        <v>708.3333333</v>
      </c>
      <c r="L127" s="276">
        <f>+SUMIFS('Detail 18-19'!AK:AK,'Detail 18-19'!$AA:$AA,$A127)</f>
        <v>708.3333333</v>
      </c>
      <c r="M127" s="276">
        <f>+SUMIFS('Detail 18-19'!AL:AL,'Detail 18-19'!$AA:$AA,$A127)</f>
        <v>708.3333333</v>
      </c>
      <c r="N127" s="276">
        <f>+SUMIFS('Detail 18-19'!AM:AM,'Detail 18-19'!$AA:$AA,$A127)</f>
        <v>708.3333333</v>
      </c>
      <c r="O127" s="276">
        <f>+SUMIFS('Detail 18-19'!AN:AN,'Detail 18-19'!$AA:$AA,$A127)</f>
        <v>708.3333333</v>
      </c>
      <c r="P127" s="277">
        <f t="shared" si="18"/>
        <v>8500</v>
      </c>
      <c r="Q127" s="270">
        <f>SUMIF('2019-03'!$E:$E,'Detail 19-20'!$A127,'2019-03'!$D:$D)</f>
        <v>0</v>
      </c>
      <c r="R127" s="271" t="s">
        <v>954</v>
      </c>
      <c r="S127" s="270">
        <f t="shared" ref="S127:S142" si="84">IF(R127="Simple",Q127*1.33333333333333,IF(R127="None",Q127,IF(R127="Ten Month",(Q127+(Q127/8*2)))))</f>
        <v>0</v>
      </c>
      <c r="T127" s="272">
        <v>5000.0</v>
      </c>
      <c r="U127" s="277">
        <f t="shared" si="4"/>
        <v>-3500</v>
      </c>
      <c r="V127" s="278">
        <f t="shared" si="5"/>
        <v>-0.4117647059</v>
      </c>
      <c r="W127" s="277">
        <f t="shared" si="6"/>
        <v>5000</v>
      </c>
      <c r="X127" s="278">
        <f t="shared" si="7"/>
        <v>0</v>
      </c>
      <c r="Y127" s="279" t="s">
        <v>950</v>
      </c>
      <c r="Z127" s="277">
        <f t="shared" ref="Z127:AK127" si="83">+$T127/12</f>
        <v>416.6666667</v>
      </c>
      <c r="AA127" s="277">
        <f t="shared" si="83"/>
        <v>416.6666667</v>
      </c>
      <c r="AB127" s="277">
        <f t="shared" si="83"/>
        <v>416.6666667</v>
      </c>
      <c r="AC127" s="277">
        <f t="shared" si="83"/>
        <v>416.6666667</v>
      </c>
      <c r="AD127" s="277">
        <f t="shared" si="83"/>
        <v>416.6666667</v>
      </c>
      <c r="AE127" s="277">
        <f t="shared" si="83"/>
        <v>416.6666667</v>
      </c>
      <c r="AF127" s="277">
        <f t="shared" si="83"/>
        <v>416.6666667</v>
      </c>
      <c r="AG127" s="277">
        <f t="shared" si="83"/>
        <v>416.6666667</v>
      </c>
      <c r="AH127" s="277">
        <f t="shared" si="83"/>
        <v>416.6666667</v>
      </c>
      <c r="AI127" s="277">
        <f t="shared" si="83"/>
        <v>416.6666667</v>
      </c>
      <c r="AJ127" s="277">
        <f t="shared" si="83"/>
        <v>416.6666667</v>
      </c>
      <c r="AK127" s="277">
        <f t="shared" si="83"/>
        <v>416.6666667</v>
      </c>
      <c r="AL127" s="277">
        <f t="shared" si="2"/>
        <v>5000</v>
      </c>
      <c r="AM127" s="277">
        <f t="shared" si="9"/>
        <v>0</v>
      </c>
      <c r="AN127" s="8" t="str">
        <f>+VLOOKUP('Detail 19-20'!A127,Map!$B$6:$M$222,12,FALSE)</f>
        <v>Legal, Accounting, IT</v>
      </c>
    </row>
    <row r="128" ht="15.75" customHeight="1">
      <c r="A128" s="274" t="s">
        <v>1075</v>
      </c>
      <c r="B128" s="274" t="s">
        <v>1189</v>
      </c>
      <c r="C128" s="275" t="s">
        <v>177</v>
      </c>
      <c r="D128" s="276">
        <f>+SUMIFS('Detail 18-19'!AC:AC,'Detail 18-19'!$AA:$AA,$A128)</f>
        <v>2250</v>
      </c>
      <c r="E128" s="276">
        <f>+SUMIFS('Detail 18-19'!AD:AD,'Detail 18-19'!$AA:$AA,$A128)</f>
        <v>1750</v>
      </c>
      <c r="F128" s="276">
        <f>+SUMIFS('Detail 18-19'!AE:AE,'Detail 18-19'!$AA:$AA,$A128)</f>
        <v>0</v>
      </c>
      <c r="G128" s="276">
        <f>+SUMIFS('Detail 18-19'!AF:AF,'Detail 18-19'!$AA:$AA,$A128)</f>
        <v>0</v>
      </c>
      <c r="H128" s="276">
        <f>+SUMIFS('Detail 18-19'!AG:AG,'Detail 18-19'!$AA:$AA,$A128)</f>
        <v>0</v>
      </c>
      <c r="I128" s="276">
        <f>+SUMIFS('Detail 18-19'!AH:AH,'Detail 18-19'!$AA:$AA,$A128)</f>
        <v>0</v>
      </c>
      <c r="J128" s="276">
        <f>+SUMIFS('Detail 18-19'!AI:AI,'Detail 18-19'!$AA:$AA,$A128)</f>
        <v>1750</v>
      </c>
      <c r="K128" s="276">
        <f>+SUMIFS('Detail 18-19'!AJ:AJ,'Detail 18-19'!$AA:$AA,$A128)</f>
        <v>1250</v>
      </c>
      <c r="L128" s="276">
        <f>+SUMIFS('Detail 18-19'!AK:AK,'Detail 18-19'!$AA:$AA,$A128)</f>
        <v>0</v>
      </c>
      <c r="M128" s="276">
        <f>+SUMIFS('Detail 18-19'!AL:AL,'Detail 18-19'!$AA:$AA,$A128)</f>
        <v>0</v>
      </c>
      <c r="N128" s="276">
        <f>+SUMIFS('Detail 18-19'!AM:AM,'Detail 18-19'!$AA:$AA,$A128)</f>
        <v>0</v>
      </c>
      <c r="O128" s="276">
        <f>+SUMIFS('Detail 18-19'!AN:AN,'Detail 18-19'!$AA:$AA,$A128)</f>
        <v>0</v>
      </c>
      <c r="P128" s="277">
        <f t="shared" si="18"/>
        <v>7000</v>
      </c>
      <c r="Q128" s="270">
        <f>SUMIF('2019-03'!$E:$E,'Detail 19-20'!$A128,'2019-03'!$D:$D)</f>
        <v>5015.61</v>
      </c>
      <c r="R128" s="271" t="s">
        <v>992</v>
      </c>
      <c r="S128" s="270">
        <f t="shared" si="84"/>
        <v>6269.5125</v>
      </c>
      <c r="T128" s="272">
        <v>7000.0</v>
      </c>
      <c r="U128" s="277">
        <f t="shared" si="4"/>
        <v>0</v>
      </c>
      <c r="V128" s="278">
        <f t="shared" si="5"/>
        <v>0</v>
      </c>
      <c r="W128" s="277">
        <f t="shared" si="6"/>
        <v>730.4875</v>
      </c>
      <c r="X128" s="278">
        <f t="shared" si="7"/>
        <v>0.1165142425</v>
      </c>
      <c r="Y128" s="279" t="s">
        <v>1137</v>
      </c>
      <c r="Z128" s="277">
        <v>0.0</v>
      </c>
      <c r="AA128" s="277">
        <f>+$T128*0.5</f>
        <v>3500</v>
      </c>
      <c r="AB128" s="277">
        <v>0.0</v>
      </c>
      <c r="AC128" s="277">
        <v>0.0</v>
      </c>
      <c r="AD128" s="277">
        <v>0.0</v>
      </c>
      <c r="AE128" s="277">
        <v>0.0</v>
      </c>
      <c r="AF128" s="277">
        <f>+$T128*0.5</f>
        <v>3500</v>
      </c>
      <c r="AG128" s="277">
        <v>0.0</v>
      </c>
      <c r="AH128" s="277">
        <v>0.0</v>
      </c>
      <c r="AI128" s="277">
        <v>0.0</v>
      </c>
      <c r="AJ128" s="277">
        <v>0.0</v>
      </c>
      <c r="AK128" s="277">
        <v>0.0</v>
      </c>
      <c r="AL128" s="277">
        <f t="shared" si="2"/>
        <v>7000</v>
      </c>
      <c r="AM128" s="277">
        <f t="shared" si="9"/>
        <v>0</v>
      </c>
      <c r="AN128" s="8" t="str">
        <f>+VLOOKUP('Detail 19-20'!A128,Map!$B$6:$M$222,12,FALSE)</f>
        <v>School Supplies</v>
      </c>
    </row>
    <row r="129" ht="15.75" customHeight="1">
      <c r="A129" s="274" t="s">
        <v>1076</v>
      </c>
      <c r="B129" s="274" t="s">
        <v>1189</v>
      </c>
      <c r="C129" s="275" t="s">
        <v>146</v>
      </c>
      <c r="D129" s="276">
        <f>+SUMIFS('Detail 18-19'!AC:AC,'Detail 18-19'!$AA:$AA,$A129)</f>
        <v>837.5</v>
      </c>
      <c r="E129" s="276">
        <f>+SUMIFS('Detail 18-19'!AD:AD,'Detail 18-19'!$AA:$AA,$A129)</f>
        <v>412.5</v>
      </c>
      <c r="F129" s="276">
        <f>+SUMIFS('Detail 18-19'!AE:AE,'Detail 18-19'!$AA:$AA,$A129)</f>
        <v>0</v>
      </c>
      <c r="G129" s="276">
        <f>+SUMIFS('Detail 18-19'!AF:AF,'Detail 18-19'!$AA:$AA,$A129)</f>
        <v>0</v>
      </c>
      <c r="H129" s="276">
        <f>+SUMIFS('Detail 18-19'!AG:AG,'Detail 18-19'!$AA:$AA,$A129)</f>
        <v>0</v>
      </c>
      <c r="I129" s="276">
        <f>+SUMIFS('Detail 18-19'!AH:AH,'Detail 18-19'!$AA:$AA,$A129)</f>
        <v>0</v>
      </c>
      <c r="J129" s="276">
        <f>+SUMIFS('Detail 18-19'!AI:AI,'Detail 18-19'!$AA:$AA,$A129)</f>
        <v>837.5</v>
      </c>
      <c r="K129" s="276">
        <f>+SUMIFS('Detail 18-19'!AJ:AJ,'Detail 18-19'!$AA:$AA,$A129)</f>
        <v>412.5</v>
      </c>
      <c r="L129" s="276">
        <f>+SUMIFS('Detail 18-19'!AK:AK,'Detail 18-19'!$AA:$AA,$A129)</f>
        <v>0</v>
      </c>
      <c r="M129" s="276">
        <f>+SUMIFS('Detail 18-19'!AL:AL,'Detail 18-19'!$AA:$AA,$A129)</f>
        <v>0</v>
      </c>
      <c r="N129" s="276">
        <f>+SUMIFS('Detail 18-19'!AM:AM,'Detail 18-19'!$AA:$AA,$A129)</f>
        <v>0</v>
      </c>
      <c r="O129" s="276">
        <f>+SUMIFS('Detail 18-19'!AN:AN,'Detail 18-19'!$AA:$AA,$A129)</f>
        <v>0</v>
      </c>
      <c r="P129" s="277">
        <f t="shared" si="18"/>
        <v>2500</v>
      </c>
      <c r="Q129" s="270">
        <f>SUMIF('2019-03'!$E:$E,'Detail 19-20'!$A129,'2019-03'!$D:$D)</f>
        <v>2347.82</v>
      </c>
      <c r="R129" s="271" t="s">
        <v>992</v>
      </c>
      <c r="S129" s="270">
        <f t="shared" si="84"/>
        <v>2934.775</v>
      </c>
      <c r="T129" s="272">
        <v>3000.0</v>
      </c>
      <c r="U129" s="277">
        <f t="shared" si="4"/>
        <v>500</v>
      </c>
      <c r="V129" s="278">
        <f t="shared" si="5"/>
        <v>0.2</v>
      </c>
      <c r="W129" s="277">
        <f t="shared" si="6"/>
        <v>65.225</v>
      </c>
      <c r="X129" s="278">
        <f t="shared" si="7"/>
        <v>0.02222487243</v>
      </c>
      <c r="Y129" s="279" t="s">
        <v>992</v>
      </c>
      <c r="Z129" s="277">
        <f>+$T129*0</f>
        <v>0</v>
      </c>
      <c r="AA129" s="277">
        <f>+$T129*0.5/9.5</f>
        <v>157.8947368</v>
      </c>
      <c r="AB129" s="277">
        <f t="shared" ref="AB129:AJ129" si="85">+$T129*1/9.5</f>
        <v>315.7894737</v>
      </c>
      <c r="AC129" s="277">
        <f t="shared" si="85"/>
        <v>315.7894737</v>
      </c>
      <c r="AD129" s="277">
        <f t="shared" si="85"/>
        <v>315.7894737</v>
      </c>
      <c r="AE129" s="277">
        <f t="shared" si="85"/>
        <v>315.7894737</v>
      </c>
      <c r="AF129" s="277">
        <f t="shared" si="85"/>
        <v>315.7894737</v>
      </c>
      <c r="AG129" s="277">
        <f t="shared" si="85"/>
        <v>315.7894737</v>
      </c>
      <c r="AH129" s="277">
        <f t="shared" si="85"/>
        <v>315.7894737</v>
      </c>
      <c r="AI129" s="277">
        <f t="shared" si="85"/>
        <v>315.7894737</v>
      </c>
      <c r="AJ129" s="277">
        <f t="shared" si="85"/>
        <v>315.7894737</v>
      </c>
      <c r="AK129" s="277">
        <f>+$T129*0</f>
        <v>0</v>
      </c>
      <c r="AL129" s="277">
        <f t="shared" si="2"/>
        <v>3000</v>
      </c>
      <c r="AM129" s="277">
        <f t="shared" si="9"/>
        <v>0</v>
      </c>
      <c r="AN129" s="8" t="str">
        <f>+VLOOKUP('Detail 19-20'!A129,Map!$B$6:$M$222,12,FALSE)</f>
        <v>Office Supplies</v>
      </c>
    </row>
    <row r="130" ht="15.75" customHeight="1">
      <c r="A130" s="274" t="s">
        <v>1077</v>
      </c>
      <c r="B130" s="274" t="s">
        <v>1189</v>
      </c>
      <c r="C130" s="275" t="s">
        <v>146</v>
      </c>
      <c r="D130" s="276">
        <f>+SUMIFS('Detail 18-19'!AC:AC,'Detail 18-19'!$AA:$AA,$A130)</f>
        <v>670</v>
      </c>
      <c r="E130" s="276">
        <f>+SUMIFS('Detail 18-19'!AD:AD,'Detail 18-19'!$AA:$AA,$A130)</f>
        <v>330</v>
      </c>
      <c r="F130" s="276">
        <f>+SUMIFS('Detail 18-19'!AE:AE,'Detail 18-19'!$AA:$AA,$A130)</f>
        <v>0</v>
      </c>
      <c r="G130" s="276">
        <f>+SUMIFS('Detail 18-19'!AF:AF,'Detail 18-19'!$AA:$AA,$A130)</f>
        <v>0</v>
      </c>
      <c r="H130" s="276">
        <f>+SUMIFS('Detail 18-19'!AG:AG,'Detail 18-19'!$AA:$AA,$A130)</f>
        <v>0</v>
      </c>
      <c r="I130" s="276">
        <f>+SUMIFS('Detail 18-19'!AH:AH,'Detail 18-19'!$AA:$AA,$A130)</f>
        <v>0</v>
      </c>
      <c r="J130" s="276">
        <f>+SUMIFS('Detail 18-19'!AI:AI,'Detail 18-19'!$AA:$AA,$A130)</f>
        <v>670</v>
      </c>
      <c r="K130" s="276">
        <f>+SUMIFS('Detail 18-19'!AJ:AJ,'Detail 18-19'!$AA:$AA,$A130)</f>
        <v>330</v>
      </c>
      <c r="L130" s="276">
        <f>+SUMIFS('Detail 18-19'!AK:AK,'Detail 18-19'!$AA:$AA,$A130)</f>
        <v>0</v>
      </c>
      <c r="M130" s="276">
        <f>+SUMIFS('Detail 18-19'!AL:AL,'Detail 18-19'!$AA:$AA,$A130)</f>
        <v>0</v>
      </c>
      <c r="N130" s="276">
        <f>+SUMIFS('Detail 18-19'!AM:AM,'Detail 18-19'!$AA:$AA,$A130)</f>
        <v>0</v>
      </c>
      <c r="O130" s="276">
        <f>+SUMIFS('Detail 18-19'!AN:AN,'Detail 18-19'!$AA:$AA,$A130)</f>
        <v>0</v>
      </c>
      <c r="P130" s="277">
        <f t="shared" si="18"/>
        <v>2000</v>
      </c>
      <c r="Q130" s="270">
        <f>SUMIF('2019-03'!$E:$E,'Detail 19-20'!$A130,'2019-03'!$D:$D)</f>
        <v>42.62</v>
      </c>
      <c r="R130" s="271" t="s">
        <v>992</v>
      </c>
      <c r="S130" s="270">
        <f t="shared" si="84"/>
        <v>53.275</v>
      </c>
      <c r="T130" s="272">
        <v>500.0</v>
      </c>
      <c r="U130" s="277">
        <f t="shared" si="4"/>
        <v>-1500</v>
      </c>
      <c r="V130" s="278">
        <f t="shared" si="5"/>
        <v>-0.75</v>
      </c>
      <c r="W130" s="277">
        <f t="shared" si="6"/>
        <v>446.725</v>
      </c>
      <c r="X130" s="278">
        <f t="shared" si="7"/>
        <v>8.385265134</v>
      </c>
      <c r="Y130" s="279" t="s">
        <v>950</v>
      </c>
      <c r="Z130" s="277">
        <f t="shared" ref="Z130:AK130" si="86">+$T130/12</f>
        <v>41.66666667</v>
      </c>
      <c r="AA130" s="277">
        <f t="shared" si="86"/>
        <v>41.66666667</v>
      </c>
      <c r="AB130" s="277">
        <f t="shared" si="86"/>
        <v>41.66666667</v>
      </c>
      <c r="AC130" s="277">
        <f t="shared" si="86"/>
        <v>41.66666667</v>
      </c>
      <c r="AD130" s="277">
        <f t="shared" si="86"/>
        <v>41.66666667</v>
      </c>
      <c r="AE130" s="277">
        <f t="shared" si="86"/>
        <v>41.66666667</v>
      </c>
      <c r="AF130" s="277">
        <f t="shared" si="86"/>
        <v>41.66666667</v>
      </c>
      <c r="AG130" s="277">
        <f t="shared" si="86"/>
        <v>41.66666667</v>
      </c>
      <c r="AH130" s="277">
        <f t="shared" si="86"/>
        <v>41.66666667</v>
      </c>
      <c r="AI130" s="277">
        <f t="shared" si="86"/>
        <v>41.66666667</v>
      </c>
      <c r="AJ130" s="277">
        <f t="shared" si="86"/>
        <v>41.66666667</v>
      </c>
      <c r="AK130" s="277">
        <f t="shared" si="86"/>
        <v>41.66666667</v>
      </c>
      <c r="AL130" s="277">
        <f t="shared" si="2"/>
        <v>500</v>
      </c>
      <c r="AM130" s="277">
        <f t="shared" si="9"/>
        <v>0</v>
      </c>
      <c r="AN130" s="8" t="str">
        <f>+VLOOKUP('Detail 19-20'!A130,Map!$B$6:$M$222,12,FALSE)</f>
        <v>Office Supplies</v>
      </c>
    </row>
    <row r="131" ht="15.75" customHeight="1">
      <c r="A131" s="274" t="s">
        <v>1078</v>
      </c>
      <c r="B131" s="274" t="s">
        <v>1189</v>
      </c>
      <c r="C131" s="275" t="s">
        <v>146</v>
      </c>
      <c r="D131" s="276">
        <f>+SUMIFS('Detail 18-19'!AC:AC,'Detail 18-19'!$AA:$AA,$A131)</f>
        <v>0</v>
      </c>
      <c r="E131" s="276">
        <f>+SUMIFS('Detail 18-19'!AD:AD,'Detail 18-19'!$AA:$AA,$A131)</f>
        <v>0</v>
      </c>
      <c r="F131" s="276">
        <f>+SUMIFS('Detail 18-19'!AE:AE,'Detail 18-19'!$AA:$AA,$A131)</f>
        <v>0</v>
      </c>
      <c r="G131" s="276">
        <f>+SUMIFS('Detail 18-19'!AF:AF,'Detail 18-19'!$AA:$AA,$A131)</f>
        <v>0</v>
      </c>
      <c r="H131" s="276">
        <f>+SUMIFS('Detail 18-19'!AG:AG,'Detail 18-19'!$AA:$AA,$A131)</f>
        <v>0</v>
      </c>
      <c r="I131" s="276">
        <f>+SUMIFS('Detail 18-19'!AH:AH,'Detail 18-19'!$AA:$AA,$A131)</f>
        <v>0</v>
      </c>
      <c r="J131" s="276">
        <f>+SUMIFS('Detail 18-19'!AI:AI,'Detail 18-19'!$AA:$AA,$A131)</f>
        <v>0</v>
      </c>
      <c r="K131" s="276">
        <f>+SUMIFS('Detail 18-19'!AJ:AJ,'Detail 18-19'!$AA:$AA,$A131)</f>
        <v>0</v>
      </c>
      <c r="L131" s="276">
        <f>+SUMIFS('Detail 18-19'!AK:AK,'Detail 18-19'!$AA:$AA,$A131)</f>
        <v>0</v>
      </c>
      <c r="M131" s="276">
        <f>+SUMIFS('Detail 18-19'!AL:AL,'Detail 18-19'!$AA:$AA,$A131)</f>
        <v>0</v>
      </c>
      <c r="N131" s="276">
        <f>+SUMIFS('Detail 18-19'!AM:AM,'Detail 18-19'!$AA:$AA,$A131)</f>
        <v>0</v>
      </c>
      <c r="O131" s="276">
        <f>+SUMIFS('Detail 18-19'!AN:AN,'Detail 18-19'!$AA:$AA,$A131)</f>
        <v>0</v>
      </c>
      <c r="P131" s="277">
        <f t="shared" si="18"/>
        <v>0</v>
      </c>
      <c r="Q131" s="270">
        <f>SUMIF('2019-03'!$E:$E,'Detail 19-20'!$A131,'2019-03'!$D:$D)</f>
        <v>2098</v>
      </c>
      <c r="R131" s="271" t="s">
        <v>992</v>
      </c>
      <c r="S131" s="270">
        <f t="shared" si="84"/>
        <v>2622.5</v>
      </c>
      <c r="T131" s="272">
        <v>500.0</v>
      </c>
      <c r="U131" s="277">
        <f t="shared" si="4"/>
        <v>500</v>
      </c>
      <c r="V131" s="278">
        <f t="shared" si="5"/>
        <v>0</v>
      </c>
      <c r="W131" s="277">
        <f t="shared" si="6"/>
        <v>-2122.5</v>
      </c>
      <c r="X131" s="278">
        <f t="shared" si="7"/>
        <v>-0.8093422307</v>
      </c>
      <c r="Y131" s="279" t="s">
        <v>950</v>
      </c>
      <c r="Z131" s="277">
        <f t="shared" ref="Z131:AK131" si="87">+$T131/12</f>
        <v>41.66666667</v>
      </c>
      <c r="AA131" s="277">
        <f t="shared" si="87"/>
        <v>41.66666667</v>
      </c>
      <c r="AB131" s="277">
        <f t="shared" si="87"/>
        <v>41.66666667</v>
      </c>
      <c r="AC131" s="277">
        <f t="shared" si="87"/>
        <v>41.66666667</v>
      </c>
      <c r="AD131" s="277">
        <f t="shared" si="87"/>
        <v>41.66666667</v>
      </c>
      <c r="AE131" s="277">
        <f t="shared" si="87"/>
        <v>41.66666667</v>
      </c>
      <c r="AF131" s="277">
        <f t="shared" si="87"/>
        <v>41.66666667</v>
      </c>
      <c r="AG131" s="277">
        <f t="shared" si="87"/>
        <v>41.66666667</v>
      </c>
      <c r="AH131" s="277">
        <f t="shared" si="87"/>
        <v>41.66666667</v>
      </c>
      <c r="AI131" s="277">
        <f t="shared" si="87"/>
        <v>41.66666667</v>
      </c>
      <c r="AJ131" s="277">
        <f t="shared" si="87"/>
        <v>41.66666667</v>
      </c>
      <c r="AK131" s="277">
        <f t="shared" si="87"/>
        <v>41.66666667</v>
      </c>
      <c r="AL131" s="277">
        <f t="shared" si="2"/>
        <v>500</v>
      </c>
      <c r="AM131" s="277">
        <f t="shared" si="9"/>
        <v>0</v>
      </c>
      <c r="AN131" s="8" t="str">
        <f>+VLOOKUP('Detail 19-20'!A131,Map!$B$6:$M$222,12,FALSE)</f>
        <v>Office Supplies</v>
      </c>
    </row>
    <row r="132" ht="15.75" customHeight="1">
      <c r="A132" s="274" t="s">
        <v>1079</v>
      </c>
      <c r="B132" s="274" t="s">
        <v>1189</v>
      </c>
      <c r="C132" s="275" t="s">
        <v>496</v>
      </c>
      <c r="D132" s="276">
        <f>+SUMIFS('Detail 18-19'!AC:AC,'Detail 18-19'!$AA:$AA,$A132)</f>
        <v>291.6666667</v>
      </c>
      <c r="E132" s="276">
        <f>+SUMIFS('Detail 18-19'!AD:AD,'Detail 18-19'!$AA:$AA,$A132)</f>
        <v>291.6666667</v>
      </c>
      <c r="F132" s="276">
        <f>+SUMIFS('Detail 18-19'!AE:AE,'Detail 18-19'!$AA:$AA,$A132)</f>
        <v>291.6666667</v>
      </c>
      <c r="G132" s="276">
        <f>+SUMIFS('Detail 18-19'!AF:AF,'Detail 18-19'!$AA:$AA,$A132)</f>
        <v>291.6666667</v>
      </c>
      <c r="H132" s="276">
        <f>+SUMIFS('Detail 18-19'!AG:AG,'Detail 18-19'!$AA:$AA,$A132)</f>
        <v>291.6666667</v>
      </c>
      <c r="I132" s="276">
        <f>+SUMIFS('Detail 18-19'!AH:AH,'Detail 18-19'!$AA:$AA,$A132)</f>
        <v>291.6666667</v>
      </c>
      <c r="J132" s="276">
        <f>+SUMIFS('Detail 18-19'!AI:AI,'Detail 18-19'!$AA:$AA,$A132)</f>
        <v>291.6666667</v>
      </c>
      <c r="K132" s="276">
        <f>+SUMIFS('Detail 18-19'!AJ:AJ,'Detail 18-19'!$AA:$AA,$A132)</f>
        <v>291.6666667</v>
      </c>
      <c r="L132" s="276">
        <f>+SUMIFS('Detail 18-19'!AK:AK,'Detail 18-19'!$AA:$AA,$A132)</f>
        <v>291.6666667</v>
      </c>
      <c r="M132" s="276">
        <f>+SUMIFS('Detail 18-19'!AL:AL,'Detail 18-19'!$AA:$AA,$A132)</f>
        <v>291.6666667</v>
      </c>
      <c r="N132" s="276">
        <f>+SUMIFS('Detail 18-19'!AM:AM,'Detail 18-19'!$AA:$AA,$A132)</f>
        <v>291.6666667</v>
      </c>
      <c r="O132" s="276">
        <f>+SUMIFS('Detail 18-19'!AN:AN,'Detail 18-19'!$AA:$AA,$A132)</f>
        <v>291.6666667</v>
      </c>
      <c r="P132" s="277">
        <f t="shared" si="18"/>
        <v>3500</v>
      </c>
      <c r="Q132" s="270">
        <f>SUMIF('2019-03'!$E:$E,'Detail 19-20'!$A132,'2019-03'!$D:$D)</f>
        <v>2480.51</v>
      </c>
      <c r="R132" s="271" t="s">
        <v>950</v>
      </c>
      <c r="S132" s="270">
        <f t="shared" si="84"/>
        <v>3307.346667</v>
      </c>
      <c r="T132" s="272">
        <v>3500.0</v>
      </c>
      <c r="U132" s="277">
        <f t="shared" si="4"/>
        <v>0</v>
      </c>
      <c r="V132" s="278">
        <f t="shared" si="5"/>
        <v>0</v>
      </c>
      <c r="W132" s="277">
        <f t="shared" si="6"/>
        <v>192.6533333</v>
      </c>
      <c r="X132" s="278">
        <f t="shared" si="7"/>
        <v>0.05825011792</v>
      </c>
      <c r="Y132" s="279" t="s">
        <v>950</v>
      </c>
      <c r="Z132" s="277">
        <f t="shared" ref="Z132:AK132" si="88">+$T132/12</f>
        <v>291.6666667</v>
      </c>
      <c r="AA132" s="277">
        <f t="shared" si="88"/>
        <v>291.6666667</v>
      </c>
      <c r="AB132" s="277">
        <f t="shared" si="88"/>
        <v>291.6666667</v>
      </c>
      <c r="AC132" s="277">
        <f t="shared" si="88"/>
        <v>291.6666667</v>
      </c>
      <c r="AD132" s="277">
        <f t="shared" si="88"/>
        <v>291.6666667</v>
      </c>
      <c r="AE132" s="277">
        <f t="shared" si="88"/>
        <v>291.6666667</v>
      </c>
      <c r="AF132" s="277">
        <f t="shared" si="88"/>
        <v>291.6666667</v>
      </c>
      <c r="AG132" s="277">
        <f t="shared" si="88"/>
        <v>291.6666667</v>
      </c>
      <c r="AH132" s="277">
        <f t="shared" si="88"/>
        <v>291.6666667</v>
      </c>
      <c r="AI132" s="277">
        <f t="shared" si="88"/>
        <v>291.6666667</v>
      </c>
      <c r="AJ132" s="277">
        <f t="shared" si="88"/>
        <v>291.6666667</v>
      </c>
      <c r="AK132" s="277">
        <f t="shared" si="88"/>
        <v>291.6666667</v>
      </c>
      <c r="AL132" s="277">
        <f t="shared" si="2"/>
        <v>3500</v>
      </c>
      <c r="AM132" s="277">
        <f t="shared" si="9"/>
        <v>0</v>
      </c>
      <c r="AN132" s="8" t="str">
        <f>+VLOOKUP('Detail 19-20'!A132,Map!$B$6:$M$222,12,FALSE)</f>
        <v>Dues and Subscriptions</v>
      </c>
    </row>
    <row r="133" ht="15.75" customHeight="1">
      <c r="A133" s="274" t="s">
        <v>1080</v>
      </c>
      <c r="B133" s="274" t="s">
        <v>1189</v>
      </c>
      <c r="C133" s="275" t="s">
        <v>1081</v>
      </c>
      <c r="D133" s="276">
        <f>+SUMIFS('Detail 18-19'!AC:AC,'Detail 18-19'!$AA:$AA,$A133)</f>
        <v>0</v>
      </c>
      <c r="E133" s="276">
        <f>+SUMIFS('Detail 18-19'!AD:AD,'Detail 18-19'!$AA:$AA,$A133)</f>
        <v>0</v>
      </c>
      <c r="F133" s="276">
        <f>+SUMIFS('Detail 18-19'!AE:AE,'Detail 18-19'!$AA:$AA,$A133)</f>
        <v>0</v>
      </c>
      <c r="G133" s="276">
        <f>+SUMIFS('Detail 18-19'!AF:AF,'Detail 18-19'!$AA:$AA,$A133)</f>
        <v>0</v>
      </c>
      <c r="H133" s="276">
        <f>+SUMIFS('Detail 18-19'!AG:AG,'Detail 18-19'!$AA:$AA,$A133)</f>
        <v>0</v>
      </c>
      <c r="I133" s="276">
        <f>+SUMIFS('Detail 18-19'!AH:AH,'Detail 18-19'!$AA:$AA,$A133)</f>
        <v>0</v>
      </c>
      <c r="J133" s="276">
        <f>+SUMIFS('Detail 18-19'!AI:AI,'Detail 18-19'!$AA:$AA,$A133)</f>
        <v>0</v>
      </c>
      <c r="K133" s="276">
        <f>+SUMIFS('Detail 18-19'!AJ:AJ,'Detail 18-19'!$AA:$AA,$A133)</f>
        <v>0</v>
      </c>
      <c r="L133" s="276">
        <f>+SUMIFS('Detail 18-19'!AK:AK,'Detail 18-19'!$AA:$AA,$A133)</f>
        <v>0</v>
      </c>
      <c r="M133" s="276">
        <f>+SUMIFS('Detail 18-19'!AL:AL,'Detail 18-19'!$AA:$AA,$A133)</f>
        <v>0</v>
      </c>
      <c r="N133" s="276">
        <f>+SUMIFS('Detail 18-19'!AM:AM,'Detail 18-19'!$AA:$AA,$A133)</f>
        <v>0</v>
      </c>
      <c r="O133" s="276">
        <f>+SUMIFS('Detail 18-19'!AN:AN,'Detail 18-19'!$AA:$AA,$A133)</f>
        <v>0</v>
      </c>
      <c r="P133" s="277">
        <f t="shared" si="18"/>
        <v>0</v>
      </c>
      <c r="Q133" s="270">
        <f>SUMIF('2019-03'!$E:$E,'Detail 19-20'!$A133,'2019-03'!$D:$D)</f>
        <v>1915.5</v>
      </c>
      <c r="R133" s="271" t="s">
        <v>950</v>
      </c>
      <c r="S133" s="270">
        <f t="shared" si="84"/>
        <v>2554</v>
      </c>
      <c r="T133" s="272">
        <v>2500.0</v>
      </c>
      <c r="U133" s="277">
        <f t="shared" si="4"/>
        <v>2500</v>
      </c>
      <c r="V133" s="278">
        <f t="shared" si="5"/>
        <v>0</v>
      </c>
      <c r="W133" s="277">
        <f t="shared" si="6"/>
        <v>-54</v>
      </c>
      <c r="X133" s="278">
        <f t="shared" si="7"/>
        <v>-0.02114330462</v>
      </c>
      <c r="Y133" s="279" t="s">
        <v>950</v>
      </c>
      <c r="Z133" s="277">
        <f t="shared" ref="Z133:AK133" si="89">+$T133/12</f>
        <v>208.3333333</v>
      </c>
      <c r="AA133" s="277">
        <f t="shared" si="89"/>
        <v>208.3333333</v>
      </c>
      <c r="AB133" s="277">
        <f t="shared" si="89"/>
        <v>208.3333333</v>
      </c>
      <c r="AC133" s="277">
        <f t="shared" si="89"/>
        <v>208.3333333</v>
      </c>
      <c r="AD133" s="277">
        <f t="shared" si="89"/>
        <v>208.3333333</v>
      </c>
      <c r="AE133" s="277">
        <f t="shared" si="89"/>
        <v>208.3333333</v>
      </c>
      <c r="AF133" s="277">
        <f t="shared" si="89"/>
        <v>208.3333333</v>
      </c>
      <c r="AG133" s="277">
        <f t="shared" si="89"/>
        <v>208.3333333</v>
      </c>
      <c r="AH133" s="277">
        <f t="shared" si="89"/>
        <v>208.3333333</v>
      </c>
      <c r="AI133" s="277">
        <f t="shared" si="89"/>
        <v>208.3333333</v>
      </c>
      <c r="AJ133" s="277">
        <f t="shared" si="89"/>
        <v>208.3333333</v>
      </c>
      <c r="AK133" s="277">
        <f t="shared" si="89"/>
        <v>208.3333333</v>
      </c>
      <c r="AL133" s="277">
        <f t="shared" si="2"/>
        <v>2500</v>
      </c>
      <c r="AM133" s="277">
        <f t="shared" si="9"/>
        <v>0</v>
      </c>
      <c r="AN133" s="8" t="str">
        <f>+VLOOKUP('Detail 19-20'!A133,Map!$B$6:$M$222,12,FALSE)</f>
        <v>Dues and Subscriptions</v>
      </c>
    </row>
    <row r="134" ht="15.75" customHeight="1">
      <c r="A134" s="274" t="s">
        <v>1082</v>
      </c>
      <c r="B134" s="274" t="s">
        <v>1189</v>
      </c>
      <c r="C134" s="275" t="s">
        <v>496</v>
      </c>
      <c r="D134" s="276">
        <f>+SUMIFS('Detail 18-19'!AC:AC,'Detail 18-19'!$AA:$AA,$A134)</f>
        <v>125</v>
      </c>
      <c r="E134" s="276">
        <f>+SUMIFS('Detail 18-19'!AD:AD,'Detail 18-19'!$AA:$AA,$A134)</f>
        <v>125</v>
      </c>
      <c r="F134" s="276">
        <f>+SUMIFS('Detail 18-19'!AE:AE,'Detail 18-19'!$AA:$AA,$A134)</f>
        <v>125</v>
      </c>
      <c r="G134" s="276">
        <f>+SUMIFS('Detail 18-19'!AF:AF,'Detail 18-19'!$AA:$AA,$A134)</f>
        <v>125</v>
      </c>
      <c r="H134" s="276">
        <f>+SUMIFS('Detail 18-19'!AG:AG,'Detail 18-19'!$AA:$AA,$A134)</f>
        <v>125</v>
      </c>
      <c r="I134" s="276">
        <f>+SUMIFS('Detail 18-19'!AH:AH,'Detail 18-19'!$AA:$AA,$A134)</f>
        <v>125</v>
      </c>
      <c r="J134" s="276">
        <f>+SUMIFS('Detail 18-19'!AI:AI,'Detail 18-19'!$AA:$AA,$A134)</f>
        <v>125</v>
      </c>
      <c r="K134" s="276">
        <f>+SUMIFS('Detail 18-19'!AJ:AJ,'Detail 18-19'!$AA:$AA,$A134)</f>
        <v>125</v>
      </c>
      <c r="L134" s="276">
        <f>+SUMIFS('Detail 18-19'!AK:AK,'Detail 18-19'!$AA:$AA,$A134)</f>
        <v>125</v>
      </c>
      <c r="M134" s="276">
        <f>+SUMIFS('Detail 18-19'!AL:AL,'Detail 18-19'!$AA:$AA,$A134)</f>
        <v>125</v>
      </c>
      <c r="N134" s="276">
        <f>+SUMIFS('Detail 18-19'!AM:AM,'Detail 18-19'!$AA:$AA,$A134)</f>
        <v>125</v>
      </c>
      <c r="O134" s="276">
        <f>+SUMIFS('Detail 18-19'!AN:AN,'Detail 18-19'!$AA:$AA,$A134)</f>
        <v>125</v>
      </c>
      <c r="P134" s="277">
        <f t="shared" si="18"/>
        <v>1500</v>
      </c>
      <c r="Q134" s="270">
        <f>SUMIF('2019-03'!$E:$E,'Detail 19-20'!$A134,'2019-03'!$D:$D)</f>
        <v>0</v>
      </c>
      <c r="R134" s="271" t="s">
        <v>950</v>
      </c>
      <c r="S134" s="270">
        <f t="shared" si="84"/>
        <v>0</v>
      </c>
      <c r="T134" s="272">
        <v>0.0</v>
      </c>
      <c r="U134" s="277">
        <f t="shared" si="4"/>
        <v>-1500</v>
      </c>
      <c r="V134" s="278">
        <f t="shared" si="5"/>
        <v>-1</v>
      </c>
      <c r="W134" s="277">
        <f t="shared" si="6"/>
        <v>0</v>
      </c>
      <c r="X134" s="278">
        <f t="shared" si="7"/>
        <v>0</v>
      </c>
      <c r="Y134" s="279" t="s">
        <v>950</v>
      </c>
      <c r="Z134" s="277">
        <f t="shared" ref="Z134:AK134" si="90">+$T134/12</f>
        <v>0</v>
      </c>
      <c r="AA134" s="277">
        <f t="shared" si="90"/>
        <v>0</v>
      </c>
      <c r="AB134" s="277">
        <f t="shared" si="90"/>
        <v>0</v>
      </c>
      <c r="AC134" s="277">
        <f t="shared" si="90"/>
        <v>0</v>
      </c>
      <c r="AD134" s="277">
        <f t="shared" si="90"/>
        <v>0</v>
      </c>
      <c r="AE134" s="277">
        <f t="shared" si="90"/>
        <v>0</v>
      </c>
      <c r="AF134" s="277">
        <f t="shared" si="90"/>
        <v>0</v>
      </c>
      <c r="AG134" s="277">
        <f t="shared" si="90"/>
        <v>0</v>
      </c>
      <c r="AH134" s="277">
        <f t="shared" si="90"/>
        <v>0</v>
      </c>
      <c r="AI134" s="277">
        <f t="shared" si="90"/>
        <v>0</v>
      </c>
      <c r="AJ134" s="277">
        <f t="shared" si="90"/>
        <v>0</v>
      </c>
      <c r="AK134" s="277">
        <f t="shared" si="90"/>
        <v>0</v>
      </c>
      <c r="AL134" s="277">
        <f t="shared" si="2"/>
        <v>0</v>
      </c>
      <c r="AM134" s="277">
        <f t="shared" si="9"/>
        <v>0</v>
      </c>
      <c r="AN134" s="8" t="str">
        <f>+VLOOKUP('Detail 19-20'!A134,Map!$B$6:$M$222,12,FALSE)</f>
        <v>Dues and Subscriptions</v>
      </c>
    </row>
    <row r="135" ht="15.75" customHeight="1">
      <c r="A135" s="274" t="s">
        <v>1083</v>
      </c>
      <c r="B135" s="274" t="s">
        <v>1189</v>
      </c>
      <c r="C135" s="275" t="s">
        <v>500</v>
      </c>
      <c r="D135" s="276">
        <f>+SUMIFS('Detail 18-19'!AC:AC,'Detail 18-19'!$AA:$AA,$A135)</f>
        <v>8.333333333</v>
      </c>
      <c r="E135" s="276">
        <f>+SUMIFS('Detail 18-19'!AD:AD,'Detail 18-19'!$AA:$AA,$A135)</f>
        <v>8.333333333</v>
      </c>
      <c r="F135" s="276">
        <f>+SUMIFS('Detail 18-19'!AE:AE,'Detail 18-19'!$AA:$AA,$A135)</f>
        <v>8.333333333</v>
      </c>
      <c r="G135" s="276">
        <f>+SUMIFS('Detail 18-19'!AF:AF,'Detail 18-19'!$AA:$AA,$A135)</f>
        <v>8.333333333</v>
      </c>
      <c r="H135" s="276">
        <f>+SUMIFS('Detail 18-19'!AG:AG,'Detail 18-19'!$AA:$AA,$A135)</f>
        <v>8.333333333</v>
      </c>
      <c r="I135" s="276">
        <f>+SUMIFS('Detail 18-19'!AH:AH,'Detail 18-19'!$AA:$AA,$A135)</f>
        <v>8.333333333</v>
      </c>
      <c r="J135" s="276">
        <f>+SUMIFS('Detail 18-19'!AI:AI,'Detail 18-19'!$AA:$AA,$A135)</f>
        <v>8.333333333</v>
      </c>
      <c r="K135" s="276">
        <f>+SUMIFS('Detail 18-19'!AJ:AJ,'Detail 18-19'!$AA:$AA,$A135)</f>
        <v>8.333333333</v>
      </c>
      <c r="L135" s="276">
        <f>+SUMIFS('Detail 18-19'!AK:AK,'Detail 18-19'!$AA:$AA,$A135)</f>
        <v>8.333333333</v>
      </c>
      <c r="M135" s="276">
        <f>+SUMIFS('Detail 18-19'!AL:AL,'Detail 18-19'!$AA:$AA,$A135)</f>
        <v>8.333333333</v>
      </c>
      <c r="N135" s="276">
        <f>+SUMIFS('Detail 18-19'!AM:AM,'Detail 18-19'!$AA:$AA,$A135)</f>
        <v>8.333333333</v>
      </c>
      <c r="O135" s="276">
        <f>+SUMIFS('Detail 18-19'!AN:AN,'Detail 18-19'!$AA:$AA,$A135)</f>
        <v>8.333333333</v>
      </c>
      <c r="P135" s="277">
        <f t="shared" si="18"/>
        <v>100</v>
      </c>
      <c r="Q135" s="270">
        <f>SUMIF('2019-03'!$E:$E,'Detail 19-20'!$A135,'2019-03'!$D:$D)</f>
        <v>20.47</v>
      </c>
      <c r="R135" s="271" t="s">
        <v>950</v>
      </c>
      <c r="S135" s="270">
        <f t="shared" si="84"/>
        <v>27.29333333</v>
      </c>
      <c r="T135" s="272">
        <v>100.0</v>
      </c>
      <c r="U135" s="277">
        <f t="shared" si="4"/>
        <v>0</v>
      </c>
      <c r="V135" s="278">
        <f t="shared" si="5"/>
        <v>0</v>
      </c>
      <c r="W135" s="277">
        <f t="shared" si="6"/>
        <v>72.70666667</v>
      </c>
      <c r="X135" s="278">
        <f t="shared" si="7"/>
        <v>2.663898388</v>
      </c>
      <c r="Y135" s="279" t="s">
        <v>950</v>
      </c>
      <c r="Z135" s="277">
        <f t="shared" ref="Z135:AK135" si="91">+$T135/12</f>
        <v>8.333333333</v>
      </c>
      <c r="AA135" s="277">
        <f t="shared" si="91"/>
        <v>8.333333333</v>
      </c>
      <c r="AB135" s="277">
        <f t="shared" si="91"/>
        <v>8.333333333</v>
      </c>
      <c r="AC135" s="277">
        <f t="shared" si="91"/>
        <v>8.333333333</v>
      </c>
      <c r="AD135" s="277">
        <f t="shared" si="91"/>
        <v>8.333333333</v>
      </c>
      <c r="AE135" s="277">
        <f t="shared" si="91"/>
        <v>8.333333333</v>
      </c>
      <c r="AF135" s="277">
        <f t="shared" si="91"/>
        <v>8.333333333</v>
      </c>
      <c r="AG135" s="277">
        <f t="shared" si="91"/>
        <v>8.333333333</v>
      </c>
      <c r="AH135" s="277">
        <f t="shared" si="91"/>
        <v>8.333333333</v>
      </c>
      <c r="AI135" s="277">
        <f t="shared" si="91"/>
        <v>8.333333333</v>
      </c>
      <c r="AJ135" s="277">
        <f t="shared" si="91"/>
        <v>8.333333333</v>
      </c>
      <c r="AK135" s="277">
        <f t="shared" si="91"/>
        <v>8.333333333</v>
      </c>
      <c r="AL135" s="277">
        <f t="shared" si="2"/>
        <v>100</v>
      </c>
      <c r="AM135" s="277">
        <f t="shared" si="9"/>
        <v>0</v>
      </c>
      <c r="AN135" s="8" t="str">
        <f>+VLOOKUP('Detail 19-20'!A135,Map!$B$6:$M$222,12,FALSE)</f>
        <v>Tax and Licenses</v>
      </c>
    </row>
    <row r="136" ht="15.75" customHeight="1">
      <c r="A136" s="274" t="s">
        <v>1086</v>
      </c>
      <c r="B136" s="274" t="s">
        <v>1189</v>
      </c>
      <c r="C136" s="275" t="s">
        <v>503</v>
      </c>
      <c r="D136" s="276">
        <f>+SUMIFS('Detail 18-19'!AC:AC,'Detail 18-19'!$AA:$AA,$A136)</f>
        <v>1166.666667</v>
      </c>
      <c r="E136" s="276">
        <f>+SUMIFS('Detail 18-19'!AD:AD,'Detail 18-19'!$AA:$AA,$A136)</f>
        <v>1166.666667</v>
      </c>
      <c r="F136" s="276">
        <f>+SUMIFS('Detail 18-19'!AE:AE,'Detail 18-19'!$AA:$AA,$A136)</f>
        <v>1166.666667</v>
      </c>
      <c r="G136" s="276">
        <f>+SUMIFS('Detail 18-19'!AF:AF,'Detail 18-19'!$AA:$AA,$A136)</f>
        <v>1166.666667</v>
      </c>
      <c r="H136" s="276">
        <f>+SUMIFS('Detail 18-19'!AG:AG,'Detail 18-19'!$AA:$AA,$A136)</f>
        <v>1166.666667</v>
      </c>
      <c r="I136" s="276">
        <f>+SUMIFS('Detail 18-19'!AH:AH,'Detail 18-19'!$AA:$AA,$A136)</f>
        <v>1166.666667</v>
      </c>
      <c r="J136" s="276">
        <f>+SUMIFS('Detail 18-19'!AI:AI,'Detail 18-19'!$AA:$AA,$A136)</f>
        <v>1166.666667</v>
      </c>
      <c r="K136" s="276">
        <f>+SUMIFS('Detail 18-19'!AJ:AJ,'Detail 18-19'!$AA:$AA,$A136)</f>
        <v>1166.666667</v>
      </c>
      <c r="L136" s="276">
        <f>+SUMIFS('Detail 18-19'!AK:AK,'Detail 18-19'!$AA:$AA,$A136)</f>
        <v>1166.666667</v>
      </c>
      <c r="M136" s="276">
        <f>+SUMIFS('Detail 18-19'!AL:AL,'Detail 18-19'!$AA:$AA,$A136)</f>
        <v>1166.666667</v>
      </c>
      <c r="N136" s="276">
        <f>+SUMIFS('Detail 18-19'!AM:AM,'Detail 18-19'!$AA:$AA,$A136)</f>
        <v>1166.666667</v>
      </c>
      <c r="O136" s="276">
        <f>+SUMIFS('Detail 18-19'!AN:AN,'Detail 18-19'!$AA:$AA,$A136)</f>
        <v>1166.666667</v>
      </c>
      <c r="P136" s="277">
        <f t="shared" si="18"/>
        <v>14000</v>
      </c>
      <c r="Q136" s="270">
        <f>SUMIF('2019-03'!$E:$E,'Detail 19-20'!$A136,'2019-03'!$D:$D)</f>
        <v>6748.27</v>
      </c>
      <c r="R136" s="271" t="s">
        <v>950</v>
      </c>
      <c r="S136" s="270">
        <f t="shared" si="84"/>
        <v>8997.693333</v>
      </c>
      <c r="T136" s="272">
        <v>15000.0</v>
      </c>
      <c r="U136" s="277">
        <f t="shared" si="4"/>
        <v>1000</v>
      </c>
      <c r="V136" s="278">
        <f t="shared" si="5"/>
        <v>0.07142857143</v>
      </c>
      <c r="W136" s="277">
        <f t="shared" si="6"/>
        <v>6002.306667</v>
      </c>
      <c r="X136" s="278">
        <f t="shared" si="7"/>
        <v>0.6670939367</v>
      </c>
      <c r="Y136" s="279" t="s">
        <v>950</v>
      </c>
      <c r="Z136" s="277">
        <f t="shared" ref="Z136:AK136" si="92">+$T136/12</f>
        <v>1250</v>
      </c>
      <c r="AA136" s="277">
        <f t="shared" si="92"/>
        <v>1250</v>
      </c>
      <c r="AB136" s="277">
        <f t="shared" si="92"/>
        <v>1250</v>
      </c>
      <c r="AC136" s="277">
        <f t="shared" si="92"/>
        <v>1250</v>
      </c>
      <c r="AD136" s="277">
        <f t="shared" si="92"/>
        <v>1250</v>
      </c>
      <c r="AE136" s="277">
        <f t="shared" si="92"/>
        <v>1250</v>
      </c>
      <c r="AF136" s="277">
        <f t="shared" si="92"/>
        <v>1250</v>
      </c>
      <c r="AG136" s="277">
        <f t="shared" si="92"/>
        <v>1250</v>
      </c>
      <c r="AH136" s="277">
        <f t="shared" si="92"/>
        <v>1250</v>
      </c>
      <c r="AI136" s="277">
        <f t="shared" si="92"/>
        <v>1250</v>
      </c>
      <c r="AJ136" s="277">
        <f t="shared" si="92"/>
        <v>1250</v>
      </c>
      <c r="AK136" s="277">
        <f t="shared" si="92"/>
        <v>1250</v>
      </c>
      <c r="AL136" s="277">
        <f t="shared" si="2"/>
        <v>15000</v>
      </c>
      <c r="AM136" s="277">
        <f t="shared" si="9"/>
        <v>0</v>
      </c>
      <c r="AN136" s="8" t="str">
        <f>+VLOOKUP('Detail 19-20'!A136,Map!$B$6:$M$222,12,FALSE)</f>
        <v>Insurance</v>
      </c>
    </row>
    <row r="137" ht="15.75" customHeight="1">
      <c r="A137" s="274" t="s">
        <v>1087</v>
      </c>
      <c r="B137" s="274" t="s">
        <v>1189</v>
      </c>
      <c r="C137" s="275" t="s">
        <v>505</v>
      </c>
      <c r="D137" s="276">
        <f>+SUMIFS('Detail 18-19'!AC:AC,'Detail 18-19'!$AA:$AA,$A137)</f>
        <v>0</v>
      </c>
      <c r="E137" s="276">
        <f>+SUMIFS('Detail 18-19'!AD:AD,'Detail 18-19'!$AA:$AA,$A137)</f>
        <v>0</v>
      </c>
      <c r="F137" s="276">
        <f>+SUMIFS('Detail 18-19'!AE:AE,'Detail 18-19'!$AA:$AA,$A137)</f>
        <v>0</v>
      </c>
      <c r="G137" s="276">
        <f>+SUMIFS('Detail 18-19'!AF:AF,'Detail 18-19'!$AA:$AA,$A137)</f>
        <v>0</v>
      </c>
      <c r="H137" s="276">
        <f>+SUMIFS('Detail 18-19'!AG:AG,'Detail 18-19'!$AA:$AA,$A137)</f>
        <v>0</v>
      </c>
      <c r="I137" s="276">
        <f>+SUMIFS('Detail 18-19'!AH:AH,'Detail 18-19'!$AA:$AA,$A137)</f>
        <v>0</v>
      </c>
      <c r="J137" s="276">
        <f>+SUMIFS('Detail 18-19'!AI:AI,'Detail 18-19'!$AA:$AA,$A137)</f>
        <v>0</v>
      </c>
      <c r="K137" s="276">
        <f>+SUMIFS('Detail 18-19'!AJ:AJ,'Detail 18-19'!$AA:$AA,$A137)</f>
        <v>0</v>
      </c>
      <c r="L137" s="276">
        <f>+SUMIFS('Detail 18-19'!AK:AK,'Detail 18-19'!$AA:$AA,$A137)</f>
        <v>0</v>
      </c>
      <c r="M137" s="276">
        <f>+SUMIFS('Detail 18-19'!AL:AL,'Detail 18-19'!$AA:$AA,$A137)</f>
        <v>0</v>
      </c>
      <c r="N137" s="276">
        <f>+SUMIFS('Detail 18-19'!AM:AM,'Detail 18-19'!$AA:$AA,$A137)</f>
        <v>0</v>
      </c>
      <c r="O137" s="276">
        <f>+SUMIFS('Detail 18-19'!AN:AN,'Detail 18-19'!$AA:$AA,$A137)</f>
        <v>0</v>
      </c>
      <c r="P137" s="277">
        <f t="shared" si="18"/>
        <v>0</v>
      </c>
      <c r="Q137" s="270">
        <f>SUMIF('2019-03'!$E:$E,'Detail 19-20'!$A137,'2019-03'!$D:$D)</f>
        <v>1795.75</v>
      </c>
      <c r="R137" s="271" t="s">
        <v>950</v>
      </c>
      <c r="S137" s="270">
        <f t="shared" si="84"/>
        <v>2394.333333</v>
      </c>
      <c r="T137" s="272">
        <v>0.0</v>
      </c>
      <c r="U137" s="277">
        <f t="shared" si="4"/>
        <v>0</v>
      </c>
      <c r="V137" s="278">
        <f t="shared" si="5"/>
        <v>0</v>
      </c>
      <c r="W137" s="277">
        <f t="shared" si="6"/>
        <v>-2394.333333</v>
      </c>
      <c r="X137" s="278">
        <f t="shared" si="7"/>
        <v>-1</v>
      </c>
      <c r="Y137" s="279" t="s">
        <v>950</v>
      </c>
      <c r="Z137" s="277">
        <f t="shared" ref="Z137:AK137" si="93">+$T137/12</f>
        <v>0</v>
      </c>
      <c r="AA137" s="277">
        <f t="shared" si="93"/>
        <v>0</v>
      </c>
      <c r="AB137" s="277">
        <f t="shared" si="93"/>
        <v>0</v>
      </c>
      <c r="AC137" s="277">
        <f t="shared" si="93"/>
        <v>0</v>
      </c>
      <c r="AD137" s="277">
        <f t="shared" si="93"/>
        <v>0</v>
      </c>
      <c r="AE137" s="277">
        <f t="shared" si="93"/>
        <v>0</v>
      </c>
      <c r="AF137" s="277">
        <f t="shared" si="93"/>
        <v>0</v>
      </c>
      <c r="AG137" s="277">
        <f t="shared" si="93"/>
        <v>0</v>
      </c>
      <c r="AH137" s="277">
        <f t="shared" si="93"/>
        <v>0</v>
      </c>
      <c r="AI137" s="277">
        <f t="shared" si="93"/>
        <v>0</v>
      </c>
      <c r="AJ137" s="277">
        <f t="shared" si="93"/>
        <v>0</v>
      </c>
      <c r="AK137" s="277">
        <f t="shared" si="93"/>
        <v>0</v>
      </c>
      <c r="AL137" s="277">
        <f t="shared" si="2"/>
        <v>0</v>
      </c>
      <c r="AM137" s="277">
        <f t="shared" si="9"/>
        <v>0</v>
      </c>
      <c r="AN137" s="8" t="str">
        <f>+VLOOKUP('Detail 19-20'!A137,Map!$B$6:$M$222,12,FALSE)</f>
        <v>Insurance</v>
      </c>
    </row>
    <row r="138" ht="15.75" customHeight="1">
      <c r="A138" s="274" t="s">
        <v>1088</v>
      </c>
      <c r="B138" s="274" t="s">
        <v>1189</v>
      </c>
      <c r="C138" s="275" t="s">
        <v>507</v>
      </c>
      <c r="D138" s="276">
        <f>+SUMIFS('Detail 18-19'!AC:AC,'Detail 18-19'!$AA:$AA,$A138)</f>
        <v>0</v>
      </c>
      <c r="E138" s="276">
        <f>+SUMIFS('Detail 18-19'!AD:AD,'Detail 18-19'!$AA:$AA,$A138)</f>
        <v>0</v>
      </c>
      <c r="F138" s="276">
        <f>+SUMIFS('Detail 18-19'!AE:AE,'Detail 18-19'!$AA:$AA,$A138)</f>
        <v>0</v>
      </c>
      <c r="G138" s="276">
        <f>+SUMIFS('Detail 18-19'!AF:AF,'Detail 18-19'!$AA:$AA,$A138)</f>
        <v>0</v>
      </c>
      <c r="H138" s="276">
        <f>+SUMIFS('Detail 18-19'!AG:AG,'Detail 18-19'!$AA:$AA,$A138)</f>
        <v>0</v>
      </c>
      <c r="I138" s="276">
        <f>+SUMIFS('Detail 18-19'!AH:AH,'Detail 18-19'!$AA:$AA,$A138)</f>
        <v>0</v>
      </c>
      <c r="J138" s="276">
        <f>+SUMIFS('Detail 18-19'!AI:AI,'Detail 18-19'!$AA:$AA,$A138)</f>
        <v>0</v>
      </c>
      <c r="K138" s="276">
        <f>+SUMIFS('Detail 18-19'!AJ:AJ,'Detail 18-19'!$AA:$AA,$A138)</f>
        <v>0</v>
      </c>
      <c r="L138" s="276">
        <f>+SUMIFS('Detail 18-19'!AK:AK,'Detail 18-19'!$AA:$AA,$A138)</f>
        <v>0</v>
      </c>
      <c r="M138" s="276">
        <f>+SUMIFS('Detail 18-19'!AL:AL,'Detail 18-19'!$AA:$AA,$A138)</f>
        <v>0</v>
      </c>
      <c r="N138" s="276">
        <f>+SUMIFS('Detail 18-19'!AM:AM,'Detail 18-19'!$AA:$AA,$A138)</f>
        <v>0</v>
      </c>
      <c r="O138" s="276">
        <f>+SUMIFS('Detail 18-19'!AN:AN,'Detail 18-19'!$AA:$AA,$A138)</f>
        <v>0</v>
      </c>
      <c r="P138" s="277">
        <f t="shared" si="18"/>
        <v>0</v>
      </c>
      <c r="Q138" s="270">
        <f>SUMIF('2019-03'!$E:$E,'Detail 19-20'!$A138,'2019-03'!$D:$D)</f>
        <v>2539.46</v>
      </c>
      <c r="R138" s="271" t="s">
        <v>950</v>
      </c>
      <c r="S138" s="270">
        <f t="shared" si="84"/>
        <v>3385.946667</v>
      </c>
      <c r="T138" s="272">
        <v>0.0</v>
      </c>
      <c r="U138" s="277">
        <f t="shared" si="4"/>
        <v>0</v>
      </c>
      <c r="V138" s="278">
        <f t="shared" si="5"/>
        <v>0</v>
      </c>
      <c r="W138" s="277">
        <f t="shared" si="6"/>
        <v>-3385.946667</v>
      </c>
      <c r="X138" s="278">
        <f t="shared" si="7"/>
        <v>-1</v>
      </c>
      <c r="Y138" s="279" t="s">
        <v>950</v>
      </c>
      <c r="Z138" s="277">
        <f t="shared" ref="Z138:AK138" si="94">+$T138/12</f>
        <v>0</v>
      </c>
      <c r="AA138" s="277">
        <f t="shared" si="94"/>
        <v>0</v>
      </c>
      <c r="AB138" s="277">
        <f t="shared" si="94"/>
        <v>0</v>
      </c>
      <c r="AC138" s="277">
        <f t="shared" si="94"/>
        <v>0</v>
      </c>
      <c r="AD138" s="277">
        <f t="shared" si="94"/>
        <v>0</v>
      </c>
      <c r="AE138" s="277">
        <f t="shared" si="94"/>
        <v>0</v>
      </c>
      <c r="AF138" s="277">
        <f t="shared" si="94"/>
        <v>0</v>
      </c>
      <c r="AG138" s="277">
        <f t="shared" si="94"/>
        <v>0</v>
      </c>
      <c r="AH138" s="277">
        <f t="shared" si="94"/>
        <v>0</v>
      </c>
      <c r="AI138" s="277">
        <f t="shared" si="94"/>
        <v>0</v>
      </c>
      <c r="AJ138" s="277">
        <f t="shared" si="94"/>
        <v>0</v>
      </c>
      <c r="AK138" s="277">
        <f t="shared" si="94"/>
        <v>0</v>
      </c>
      <c r="AL138" s="277">
        <f t="shared" si="2"/>
        <v>0</v>
      </c>
      <c r="AM138" s="277">
        <f t="shared" si="9"/>
        <v>0</v>
      </c>
      <c r="AN138" s="8" t="str">
        <f>+VLOOKUP('Detail 19-20'!A138,Map!$B$6:$M$222,12,FALSE)</f>
        <v>Insurance</v>
      </c>
    </row>
    <row r="139" ht="15.75" customHeight="1">
      <c r="A139" s="274" t="s">
        <v>1089</v>
      </c>
      <c r="B139" s="274" t="s">
        <v>1189</v>
      </c>
      <c r="C139" s="275" t="s">
        <v>509</v>
      </c>
      <c r="D139" s="276">
        <f>+SUMIFS('Detail 18-19'!AC:AC,'Detail 18-19'!$AA:$AA,$A139)</f>
        <v>0</v>
      </c>
      <c r="E139" s="276">
        <f>+SUMIFS('Detail 18-19'!AD:AD,'Detail 18-19'!$AA:$AA,$A139)</f>
        <v>0</v>
      </c>
      <c r="F139" s="276">
        <f>+SUMIFS('Detail 18-19'!AE:AE,'Detail 18-19'!$AA:$AA,$A139)</f>
        <v>0</v>
      </c>
      <c r="G139" s="276">
        <f>+SUMIFS('Detail 18-19'!AF:AF,'Detail 18-19'!$AA:$AA,$A139)</f>
        <v>0</v>
      </c>
      <c r="H139" s="276">
        <f>+SUMIFS('Detail 18-19'!AG:AG,'Detail 18-19'!$AA:$AA,$A139)</f>
        <v>0</v>
      </c>
      <c r="I139" s="276">
        <f>+SUMIFS('Detail 18-19'!AH:AH,'Detail 18-19'!$AA:$AA,$A139)</f>
        <v>0</v>
      </c>
      <c r="J139" s="276">
        <f>+SUMIFS('Detail 18-19'!AI:AI,'Detail 18-19'!$AA:$AA,$A139)</f>
        <v>0</v>
      </c>
      <c r="K139" s="276">
        <f>+SUMIFS('Detail 18-19'!AJ:AJ,'Detail 18-19'!$AA:$AA,$A139)</f>
        <v>0</v>
      </c>
      <c r="L139" s="276">
        <f>+SUMIFS('Detail 18-19'!AK:AK,'Detail 18-19'!$AA:$AA,$A139)</f>
        <v>0</v>
      </c>
      <c r="M139" s="276">
        <f>+SUMIFS('Detail 18-19'!AL:AL,'Detail 18-19'!$AA:$AA,$A139)</f>
        <v>0</v>
      </c>
      <c r="N139" s="276">
        <f>+SUMIFS('Detail 18-19'!AM:AM,'Detail 18-19'!$AA:$AA,$A139)</f>
        <v>0</v>
      </c>
      <c r="O139" s="276">
        <f>+SUMIFS('Detail 18-19'!AN:AN,'Detail 18-19'!$AA:$AA,$A139)</f>
        <v>0</v>
      </c>
      <c r="P139" s="277">
        <f t="shared" si="18"/>
        <v>0</v>
      </c>
      <c r="Q139" s="270">
        <f>SUMIF('2019-03'!$E:$E,'Detail 19-20'!$A139,'2019-03'!$D:$D)</f>
        <v>0</v>
      </c>
      <c r="R139" s="271" t="s">
        <v>950</v>
      </c>
      <c r="S139" s="270">
        <f t="shared" si="84"/>
        <v>0</v>
      </c>
      <c r="T139" s="272">
        <v>0.0</v>
      </c>
      <c r="U139" s="277">
        <f t="shared" si="4"/>
        <v>0</v>
      </c>
      <c r="V139" s="278">
        <f t="shared" si="5"/>
        <v>0</v>
      </c>
      <c r="W139" s="277">
        <f t="shared" si="6"/>
        <v>0</v>
      </c>
      <c r="X139" s="278">
        <f t="shared" si="7"/>
        <v>0</v>
      </c>
      <c r="Y139" s="279" t="s">
        <v>950</v>
      </c>
      <c r="Z139" s="277">
        <f t="shared" ref="Z139:AK139" si="95">+$T139/12</f>
        <v>0</v>
      </c>
      <c r="AA139" s="277">
        <f t="shared" si="95"/>
        <v>0</v>
      </c>
      <c r="AB139" s="277">
        <f t="shared" si="95"/>
        <v>0</v>
      </c>
      <c r="AC139" s="277">
        <f t="shared" si="95"/>
        <v>0</v>
      </c>
      <c r="AD139" s="277">
        <f t="shared" si="95"/>
        <v>0</v>
      </c>
      <c r="AE139" s="277">
        <f t="shared" si="95"/>
        <v>0</v>
      </c>
      <c r="AF139" s="277">
        <f t="shared" si="95"/>
        <v>0</v>
      </c>
      <c r="AG139" s="277">
        <f t="shared" si="95"/>
        <v>0</v>
      </c>
      <c r="AH139" s="277">
        <f t="shared" si="95"/>
        <v>0</v>
      </c>
      <c r="AI139" s="277">
        <f t="shared" si="95"/>
        <v>0</v>
      </c>
      <c r="AJ139" s="277">
        <f t="shared" si="95"/>
        <v>0</v>
      </c>
      <c r="AK139" s="277">
        <f t="shared" si="95"/>
        <v>0</v>
      </c>
      <c r="AL139" s="277">
        <f t="shared" si="2"/>
        <v>0</v>
      </c>
      <c r="AM139" s="277">
        <f t="shared" si="9"/>
        <v>0</v>
      </c>
      <c r="AN139" s="8" t="str">
        <f>+VLOOKUP('Detail 19-20'!A139,Map!$B$6:$M$222,12,FALSE)</f>
        <v>Insurance</v>
      </c>
    </row>
    <row r="140" ht="15.75" customHeight="1">
      <c r="A140" s="274" t="s">
        <v>1092</v>
      </c>
      <c r="B140" s="274" t="s">
        <v>1189</v>
      </c>
      <c r="C140" s="275" t="s">
        <v>56</v>
      </c>
      <c r="D140" s="276">
        <f>+SUMIFS('Detail 18-19'!AC:AC,'Detail 18-19'!$AA:$AA,$A140)</f>
        <v>0</v>
      </c>
      <c r="E140" s="276">
        <f>+SUMIFS('Detail 18-19'!AD:AD,'Detail 18-19'!$AA:$AA,$A140)</f>
        <v>0</v>
      </c>
      <c r="F140" s="276">
        <f>+SUMIFS('Detail 18-19'!AE:AE,'Detail 18-19'!$AA:$AA,$A140)</f>
        <v>0</v>
      </c>
      <c r="G140" s="276">
        <f>+SUMIFS('Detail 18-19'!AF:AF,'Detail 18-19'!$AA:$AA,$A140)</f>
        <v>0</v>
      </c>
      <c r="H140" s="276">
        <f>+SUMIFS('Detail 18-19'!AG:AG,'Detail 18-19'!$AA:$AA,$A140)</f>
        <v>0</v>
      </c>
      <c r="I140" s="276">
        <f>+SUMIFS('Detail 18-19'!AH:AH,'Detail 18-19'!$AA:$AA,$A140)</f>
        <v>0</v>
      </c>
      <c r="J140" s="276">
        <f>+SUMIFS('Detail 18-19'!AI:AI,'Detail 18-19'!$AA:$AA,$A140)</f>
        <v>0</v>
      </c>
      <c r="K140" s="276">
        <f>+SUMIFS('Detail 18-19'!AJ:AJ,'Detail 18-19'!$AA:$AA,$A140)</f>
        <v>0</v>
      </c>
      <c r="L140" s="276">
        <f>+SUMIFS('Detail 18-19'!AK:AK,'Detail 18-19'!$AA:$AA,$A140)</f>
        <v>0</v>
      </c>
      <c r="M140" s="276">
        <f>+SUMIFS('Detail 18-19'!AL:AL,'Detail 18-19'!$AA:$AA,$A140)</f>
        <v>0</v>
      </c>
      <c r="N140" s="276">
        <f>+SUMIFS('Detail 18-19'!AM:AM,'Detail 18-19'!$AA:$AA,$A140)</f>
        <v>0</v>
      </c>
      <c r="O140" s="276">
        <f>+SUMIFS('Detail 18-19'!AN:AN,'Detail 18-19'!$AA:$AA,$A140)</f>
        <v>0</v>
      </c>
      <c r="P140" s="277">
        <f t="shared" si="18"/>
        <v>0</v>
      </c>
      <c r="Q140" s="270">
        <f>SUMIF('2019-03'!$E:$E,'Detail 19-20'!$A140,'2019-03'!$D:$D)</f>
        <v>9169.53</v>
      </c>
      <c r="R140" s="271" t="s">
        <v>992</v>
      </c>
      <c r="S140" s="270">
        <f t="shared" si="84"/>
        <v>11461.9125</v>
      </c>
      <c r="T140" s="272">
        <v>12000.0</v>
      </c>
      <c r="U140" s="277">
        <f t="shared" si="4"/>
        <v>12000</v>
      </c>
      <c r="V140" s="278">
        <f t="shared" si="5"/>
        <v>0</v>
      </c>
      <c r="W140" s="277">
        <f t="shared" si="6"/>
        <v>538.0875</v>
      </c>
      <c r="X140" s="278">
        <f t="shared" si="7"/>
        <v>0.04694569951</v>
      </c>
      <c r="Y140" s="279" t="s">
        <v>992</v>
      </c>
      <c r="Z140" s="277">
        <f>+$T140*0</f>
        <v>0</v>
      </c>
      <c r="AA140" s="277">
        <f>+$T140*0.5/9.5</f>
        <v>631.5789474</v>
      </c>
      <c r="AB140" s="277">
        <f t="shared" ref="AB140:AJ140" si="96">+$T140*1/9.5</f>
        <v>1263.157895</v>
      </c>
      <c r="AC140" s="277">
        <f t="shared" si="96"/>
        <v>1263.157895</v>
      </c>
      <c r="AD140" s="277">
        <f t="shared" si="96"/>
        <v>1263.157895</v>
      </c>
      <c r="AE140" s="277">
        <f t="shared" si="96"/>
        <v>1263.157895</v>
      </c>
      <c r="AF140" s="277">
        <f t="shared" si="96"/>
        <v>1263.157895</v>
      </c>
      <c r="AG140" s="277">
        <f t="shared" si="96"/>
        <v>1263.157895</v>
      </c>
      <c r="AH140" s="277">
        <f t="shared" si="96"/>
        <v>1263.157895</v>
      </c>
      <c r="AI140" s="277">
        <f t="shared" si="96"/>
        <v>1263.157895</v>
      </c>
      <c r="AJ140" s="277">
        <f t="shared" si="96"/>
        <v>1263.157895</v>
      </c>
      <c r="AK140" s="277">
        <f>+$T140*0</f>
        <v>0</v>
      </c>
      <c r="AL140" s="277">
        <f t="shared" si="2"/>
        <v>12000</v>
      </c>
      <c r="AM140" s="277">
        <f t="shared" si="9"/>
        <v>0</v>
      </c>
      <c r="AN140" s="8" t="str">
        <f>+VLOOKUP('Detail 19-20'!A140,Map!$B$6:$M$222,12,FALSE)</f>
        <v>Student Activities</v>
      </c>
    </row>
    <row r="141" ht="15.75" customHeight="1">
      <c r="A141" s="274" t="s">
        <v>1093</v>
      </c>
      <c r="B141" s="274" t="s">
        <v>1189</v>
      </c>
      <c r="C141" s="275" t="s">
        <v>514</v>
      </c>
      <c r="D141" s="276">
        <f>+SUMIFS('Detail 18-19'!AC:AC,'Detail 18-19'!$AA:$AA,$A141)</f>
        <v>0</v>
      </c>
      <c r="E141" s="276">
        <f>+SUMIFS('Detail 18-19'!AD:AD,'Detail 18-19'!$AA:$AA,$A141)</f>
        <v>0</v>
      </c>
      <c r="F141" s="276">
        <f>+SUMIFS('Detail 18-19'!AE:AE,'Detail 18-19'!$AA:$AA,$A141)</f>
        <v>0</v>
      </c>
      <c r="G141" s="276">
        <f>+SUMIFS('Detail 18-19'!AF:AF,'Detail 18-19'!$AA:$AA,$A141)</f>
        <v>0</v>
      </c>
      <c r="H141" s="276">
        <f>+SUMIFS('Detail 18-19'!AG:AG,'Detail 18-19'!$AA:$AA,$A141)</f>
        <v>0</v>
      </c>
      <c r="I141" s="276">
        <f>+SUMIFS('Detail 18-19'!AH:AH,'Detail 18-19'!$AA:$AA,$A141)</f>
        <v>0</v>
      </c>
      <c r="J141" s="276">
        <f>+SUMIFS('Detail 18-19'!AI:AI,'Detail 18-19'!$AA:$AA,$A141)</f>
        <v>0</v>
      </c>
      <c r="K141" s="276">
        <f>+SUMIFS('Detail 18-19'!AJ:AJ,'Detail 18-19'!$AA:$AA,$A141)</f>
        <v>0</v>
      </c>
      <c r="L141" s="276">
        <f>+SUMIFS('Detail 18-19'!AK:AK,'Detail 18-19'!$AA:$AA,$A141)</f>
        <v>0</v>
      </c>
      <c r="M141" s="276">
        <f>+SUMIFS('Detail 18-19'!AL:AL,'Detail 18-19'!$AA:$AA,$A141)</f>
        <v>0</v>
      </c>
      <c r="N141" s="276">
        <f>+SUMIFS('Detail 18-19'!AM:AM,'Detail 18-19'!$AA:$AA,$A141)</f>
        <v>0</v>
      </c>
      <c r="O141" s="276">
        <f>+SUMIFS('Detail 18-19'!AN:AN,'Detail 18-19'!$AA:$AA,$A141)</f>
        <v>0</v>
      </c>
      <c r="P141" s="277">
        <f t="shared" si="18"/>
        <v>0</v>
      </c>
      <c r="Q141" s="270">
        <f>SUMIF('2019-03'!$E:$E,'Detail 19-20'!$A141,'2019-03'!$D:$D)</f>
        <v>62.1</v>
      </c>
      <c r="R141" s="271" t="s">
        <v>950</v>
      </c>
      <c r="S141" s="270">
        <f t="shared" si="84"/>
        <v>82.8</v>
      </c>
      <c r="T141" s="272">
        <v>100.0</v>
      </c>
      <c r="U141" s="277">
        <f t="shared" si="4"/>
        <v>100</v>
      </c>
      <c r="V141" s="278">
        <f t="shared" si="5"/>
        <v>0</v>
      </c>
      <c r="W141" s="277">
        <f t="shared" si="6"/>
        <v>17.2</v>
      </c>
      <c r="X141" s="278">
        <f t="shared" si="7"/>
        <v>0.2077294686</v>
      </c>
      <c r="Y141" s="279" t="s">
        <v>594</v>
      </c>
      <c r="Z141" s="277">
        <v>0.0</v>
      </c>
      <c r="AA141" s="277">
        <v>0.0</v>
      </c>
      <c r="AB141" s="277">
        <v>0.0</v>
      </c>
      <c r="AC141" s="277">
        <v>0.0</v>
      </c>
      <c r="AD141" s="277">
        <f t="shared" ref="AD141:AG141" si="97">+$T141*0.25</f>
        <v>25</v>
      </c>
      <c r="AE141" s="277">
        <f t="shared" si="97"/>
        <v>25</v>
      </c>
      <c r="AF141" s="277">
        <f t="shared" si="97"/>
        <v>25</v>
      </c>
      <c r="AG141" s="277">
        <f t="shared" si="97"/>
        <v>25</v>
      </c>
      <c r="AH141" s="277">
        <v>0.0</v>
      </c>
      <c r="AI141" s="277">
        <v>0.0</v>
      </c>
      <c r="AJ141" s="277">
        <v>0.0</v>
      </c>
      <c r="AK141" s="277">
        <v>0.0</v>
      </c>
      <c r="AL141" s="277">
        <f t="shared" si="2"/>
        <v>100</v>
      </c>
      <c r="AM141" s="277">
        <f t="shared" si="9"/>
        <v>0</v>
      </c>
      <c r="AN141" s="8" t="str">
        <f>+VLOOKUP('Detail 19-20'!A141,Map!$B$6:$M$222,12,FALSE)</f>
        <v>Student Activities</v>
      </c>
    </row>
    <row r="142" ht="15.75" customHeight="1">
      <c r="A142" s="274" t="s">
        <v>1095</v>
      </c>
      <c r="B142" s="274" t="s">
        <v>1189</v>
      </c>
      <c r="C142" s="275" t="s">
        <v>516</v>
      </c>
      <c r="D142" s="276">
        <f>+SUMIFS('Detail 18-19'!AC:AC,'Detail 18-19'!$AA:$AA,$A142)</f>
        <v>0</v>
      </c>
      <c r="E142" s="276">
        <f>+SUMIFS('Detail 18-19'!AD:AD,'Detail 18-19'!$AA:$AA,$A142)</f>
        <v>0</v>
      </c>
      <c r="F142" s="276">
        <f>+SUMIFS('Detail 18-19'!AE:AE,'Detail 18-19'!$AA:$AA,$A142)</f>
        <v>150</v>
      </c>
      <c r="G142" s="276">
        <f>+SUMIFS('Detail 18-19'!AF:AF,'Detail 18-19'!$AA:$AA,$A142)</f>
        <v>150</v>
      </c>
      <c r="H142" s="276">
        <f>+SUMIFS('Detail 18-19'!AG:AG,'Detail 18-19'!$AA:$AA,$A142)</f>
        <v>150</v>
      </c>
      <c r="I142" s="276">
        <f>+SUMIFS('Detail 18-19'!AH:AH,'Detail 18-19'!$AA:$AA,$A142)</f>
        <v>150</v>
      </c>
      <c r="J142" s="276">
        <f>+SUMIFS('Detail 18-19'!AI:AI,'Detail 18-19'!$AA:$AA,$A142)</f>
        <v>150</v>
      </c>
      <c r="K142" s="276">
        <f>+SUMIFS('Detail 18-19'!AJ:AJ,'Detail 18-19'!$AA:$AA,$A142)</f>
        <v>50</v>
      </c>
      <c r="L142" s="276">
        <f>+SUMIFS('Detail 18-19'!AK:AK,'Detail 18-19'!$AA:$AA,$A142)</f>
        <v>0</v>
      </c>
      <c r="M142" s="276">
        <f>+SUMIFS('Detail 18-19'!AL:AL,'Detail 18-19'!$AA:$AA,$A142)</f>
        <v>0</v>
      </c>
      <c r="N142" s="276">
        <f>+SUMIFS('Detail 18-19'!AM:AM,'Detail 18-19'!$AA:$AA,$A142)</f>
        <v>0</v>
      </c>
      <c r="O142" s="276">
        <f>+SUMIFS('Detail 18-19'!AN:AN,'Detail 18-19'!$AA:$AA,$A142)</f>
        <v>0</v>
      </c>
      <c r="P142" s="277">
        <f t="shared" si="18"/>
        <v>800</v>
      </c>
      <c r="Q142" s="270">
        <f>SUMIF('2019-03'!$E:$E,'Detail 19-20'!$A142,'2019-03'!$D:$D)</f>
        <v>528</v>
      </c>
      <c r="R142" s="271" t="s">
        <v>950</v>
      </c>
      <c r="S142" s="270">
        <f t="shared" si="84"/>
        <v>704</v>
      </c>
      <c r="T142" s="272">
        <v>800.0</v>
      </c>
      <c r="U142" s="277">
        <f t="shared" si="4"/>
        <v>0</v>
      </c>
      <c r="V142" s="278">
        <f t="shared" si="5"/>
        <v>0</v>
      </c>
      <c r="W142" s="277">
        <f t="shared" si="6"/>
        <v>96</v>
      </c>
      <c r="X142" s="278">
        <f t="shared" si="7"/>
        <v>0.1363636364</v>
      </c>
      <c r="Y142" s="279" t="s">
        <v>594</v>
      </c>
      <c r="Z142" s="277">
        <v>0.0</v>
      </c>
      <c r="AA142" s="277">
        <v>0.0</v>
      </c>
      <c r="AB142" s="277">
        <v>0.0</v>
      </c>
      <c r="AC142" s="277">
        <v>0.0</v>
      </c>
      <c r="AD142" s="277">
        <f t="shared" ref="AD142:AG142" si="98">+$T142*0.25</f>
        <v>200</v>
      </c>
      <c r="AE142" s="277">
        <f t="shared" si="98"/>
        <v>200</v>
      </c>
      <c r="AF142" s="277">
        <f t="shared" si="98"/>
        <v>200</v>
      </c>
      <c r="AG142" s="277">
        <f t="shared" si="98"/>
        <v>200</v>
      </c>
      <c r="AH142" s="277">
        <v>0.0</v>
      </c>
      <c r="AI142" s="277">
        <v>0.0</v>
      </c>
      <c r="AJ142" s="277">
        <v>0.0</v>
      </c>
      <c r="AK142" s="277">
        <v>0.0</v>
      </c>
      <c r="AL142" s="277">
        <f t="shared" si="2"/>
        <v>800</v>
      </c>
      <c r="AM142" s="277">
        <f t="shared" si="9"/>
        <v>0</v>
      </c>
      <c r="AN142" s="8" t="str">
        <f>+VLOOKUP('Detail 19-20'!A142,Map!$B$6:$M$222,12,FALSE)</f>
        <v>Student Activities</v>
      </c>
    </row>
    <row r="143" ht="15.75" customHeight="1">
      <c r="A143" s="274" t="s">
        <v>1096</v>
      </c>
      <c r="B143" s="274" t="s">
        <v>1189</v>
      </c>
      <c r="C143" s="275" t="s">
        <v>518</v>
      </c>
      <c r="D143" s="276">
        <f>+SUMIFS('Detail 18-19'!AC:AC,'Detail 18-19'!$AA:$AA,$A143)</f>
        <v>0</v>
      </c>
      <c r="E143" s="276">
        <f>+SUMIFS('Detail 18-19'!AD:AD,'Detail 18-19'!$AA:$AA,$A143)</f>
        <v>0</v>
      </c>
      <c r="F143" s="276">
        <f>+SUMIFS('Detail 18-19'!AE:AE,'Detail 18-19'!$AA:$AA,$A143)</f>
        <v>0</v>
      </c>
      <c r="G143" s="276">
        <f>+SUMIFS('Detail 18-19'!AF:AF,'Detail 18-19'!$AA:$AA,$A143)</f>
        <v>0</v>
      </c>
      <c r="H143" s="276">
        <f>+SUMIFS('Detail 18-19'!AG:AG,'Detail 18-19'!$AA:$AA,$A143)</f>
        <v>0</v>
      </c>
      <c r="I143" s="276">
        <f>+SUMIFS('Detail 18-19'!AH:AH,'Detail 18-19'!$AA:$AA,$A143)</f>
        <v>0</v>
      </c>
      <c r="J143" s="276">
        <f>+SUMIFS('Detail 18-19'!AI:AI,'Detail 18-19'!$AA:$AA,$A143)</f>
        <v>0</v>
      </c>
      <c r="K143" s="276">
        <f>+SUMIFS('Detail 18-19'!AJ:AJ,'Detail 18-19'!$AA:$AA,$A143)</f>
        <v>0</v>
      </c>
      <c r="L143" s="276">
        <f>+SUMIFS('Detail 18-19'!AK:AK,'Detail 18-19'!$AA:$AA,$A143)</f>
        <v>0</v>
      </c>
      <c r="M143" s="276">
        <f>+SUMIFS('Detail 18-19'!AL:AL,'Detail 18-19'!$AA:$AA,$A143)</f>
        <v>800</v>
      </c>
      <c r="N143" s="276">
        <f>+SUMIFS('Detail 18-19'!AM:AM,'Detail 18-19'!$AA:$AA,$A143)</f>
        <v>0</v>
      </c>
      <c r="O143" s="276">
        <f>+SUMIFS('Detail 18-19'!AN:AN,'Detail 18-19'!$AA:$AA,$A143)</f>
        <v>0</v>
      </c>
      <c r="P143" s="277">
        <f t="shared" si="18"/>
        <v>800</v>
      </c>
      <c r="Q143" s="270">
        <f>SUMIF('2019-03'!$E:$E,'Detail 19-20'!$A143,'2019-03'!$D:$D)</f>
        <v>32</v>
      </c>
      <c r="R143" s="271" t="s">
        <v>594</v>
      </c>
      <c r="S143" s="270">
        <v>800.0</v>
      </c>
      <c r="T143" s="272">
        <v>800.0</v>
      </c>
      <c r="U143" s="277">
        <f t="shared" si="4"/>
        <v>0</v>
      </c>
      <c r="V143" s="278">
        <f t="shared" si="5"/>
        <v>0</v>
      </c>
      <c r="W143" s="277">
        <f t="shared" si="6"/>
        <v>0</v>
      </c>
      <c r="X143" s="278">
        <f t="shared" si="7"/>
        <v>0</v>
      </c>
      <c r="Y143" s="279" t="s">
        <v>1339</v>
      </c>
      <c r="Z143" s="277">
        <v>0.0</v>
      </c>
      <c r="AA143" s="277">
        <v>0.0</v>
      </c>
      <c r="AB143" s="277">
        <v>0.0</v>
      </c>
      <c r="AC143" s="277">
        <v>0.0</v>
      </c>
      <c r="AD143" s="277">
        <v>0.0</v>
      </c>
      <c r="AE143" s="277">
        <v>0.0</v>
      </c>
      <c r="AF143" s="277">
        <v>0.0</v>
      </c>
      <c r="AG143" s="277">
        <v>0.0</v>
      </c>
      <c r="AH143" s="277">
        <v>0.0</v>
      </c>
      <c r="AI143" s="277">
        <f t="shared" ref="AI143:AJ143" si="99">+$T143*0.5</f>
        <v>400</v>
      </c>
      <c r="AJ143" s="277">
        <f t="shared" si="99"/>
        <v>400</v>
      </c>
      <c r="AK143" s="277">
        <v>0.0</v>
      </c>
      <c r="AL143" s="277">
        <f t="shared" si="2"/>
        <v>800</v>
      </c>
      <c r="AM143" s="277">
        <f t="shared" si="9"/>
        <v>0</v>
      </c>
      <c r="AN143" s="8" t="str">
        <f>+VLOOKUP('Detail 19-20'!A143,Map!$B$6:$M$222,12,FALSE)</f>
        <v>Student Activities</v>
      </c>
    </row>
    <row r="144" ht="15.75" customHeight="1">
      <c r="A144" s="274" t="s">
        <v>1099</v>
      </c>
      <c r="B144" s="274" t="s">
        <v>1189</v>
      </c>
      <c r="C144" s="275" t="s">
        <v>522</v>
      </c>
      <c r="D144" s="276">
        <f>+SUMIFS('Detail 18-19'!AC:AC,'Detail 18-19'!$AA:$AA,$A144)</f>
        <v>0</v>
      </c>
      <c r="E144" s="276">
        <f>+SUMIFS('Detail 18-19'!AD:AD,'Detail 18-19'!$AA:$AA,$A144)</f>
        <v>0</v>
      </c>
      <c r="F144" s="276">
        <f>+SUMIFS('Detail 18-19'!AE:AE,'Detail 18-19'!$AA:$AA,$A144)</f>
        <v>0</v>
      </c>
      <c r="G144" s="276">
        <f>+SUMIFS('Detail 18-19'!AF:AF,'Detail 18-19'!$AA:$AA,$A144)</f>
        <v>0</v>
      </c>
      <c r="H144" s="276">
        <f>+SUMIFS('Detail 18-19'!AG:AG,'Detail 18-19'!$AA:$AA,$A144)</f>
        <v>0</v>
      </c>
      <c r="I144" s="276">
        <f>+SUMIFS('Detail 18-19'!AH:AH,'Detail 18-19'!$AA:$AA,$A144)</f>
        <v>0</v>
      </c>
      <c r="J144" s="276">
        <f>+SUMIFS('Detail 18-19'!AI:AI,'Detail 18-19'!$AA:$AA,$A144)</f>
        <v>0</v>
      </c>
      <c r="K144" s="276">
        <f>+SUMIFS('Detail 18-19'!AJ:AJ,'Detail 18-19'!$AA:$AA,$A144)</f>
        <v>0</v>
      </c>
      <c r="L144" s="276">
        <f>+SUMIFS('Detail 18-19'!AK:AK,'Detail 18-19'!$AA:$AA,$A144)</f>
        <v>0</v>
      </c>
      <c r="M144" s="276">
        <f>+SUMIFS('Detail 18-19'!AL:AL,'Detail 18-19'!$AA:$AA,$A144)</f>
        <v>0</v>
      </c>
      <c r="N144" s="276">
        <f>+SUMIFS('Detail 18-19'!AM:AM,'Detail 18-19'!$AA:$AA,$A144)</f>
        <v>1200</v>
      </c>
      <c r="O144" s="276">
        <f>+SUMIFS('Detail 18-19'!AN:AN,'Detail 18-19'!$AA:$AA,$A144)</f>
        <v>0</v>
      </c>
      <c r="P144" s="277">
        <f t="shared" si="18"/>
        <v>1200</v>
      </c>
      <c r="Q144" s="270">
        <f>SUMIF('2019-03'!$E:$E,'Detail 19-20'!$A144,'2019-03'!$D:$D)</f>
        <v>0</v>
      </c>
      <c r="R144" s="271" t="s">
        <v>594</v>
      </c>
      <c r="S144" s="270">
        <v>1200.0</v>
      </c>
      <c r="T144" s="272">
        <v>1200.0</v>
      </c>
      <c r="U144" s="277">
        <f t="shared" si="4"/>
        <v>0</v>
      </c>
      <c r="V144" s="278">
        <f t="shared" si="5"/>
        <v>0</v>
      </c>
      <c r="W144" s="277">
        <f t="shared" si="6"/>
        <v>0</v>
      </c>
      <c r="X144" s="278">
        <f t="shared" si="7"/>
        <v>0</v>
      </c>
      <c r="Y144" s="279" t="s">
        <v>1339</v>
      </c>
      <c r="Z144" s="277">
        <v>0.0</v>
      </c>
      <c r="AA144" s="277">
        <v>0.0</v>
      </c>
      <c r="AB144" s="277">
        <v>0.0</v>
      </c>
      <c r="AC144" s="277">
        <v>0.0</v>
      </c>
      <c r="AD144" s="277">
        <v>0.0</v>
      </c>
      <c r="AE144" s="277">
        <v>0.0</v>
      </c>
      <c r="AF144" s="277">
        <v>0.0</v>
      </c>
      <c r="AG144" s="277">
        <v>0.0</v>
      </c>
      <c r="AH144" s="277">
        <v>0.0</v>
      </c>
      <c r="AI144" s="277">
        <f t="shared" ref="AI144:AJ144" si="100">+$T144*0.5</f>
        <v>600</v>
      </c>
      <c r="AJ144" s="277">
        <f t="shared" si="100"/>
        <v>600</v>
      </c>
      <c r="AK144" s="277">
        <v>0.0</v>
      </c>
      <c r="AL144" s="277">
        <f t="shared" si="2"/>
        <v>1200</v>
      </c>
      <c r="AM144" s="277">
        <f t="shared" si="9"/>
        <v>0</v>
      </c>
      <c r="AN144" s="8" t="str">
        <f>+VLOOKUP('Detail 19-20'!A144,Map!$B$6:$M$222,12,FALSE)</f>
        <v>Student Activities</v>
      </c>
    </row>
    <row r="145" ht="15.75" customHeight="1">
      <c r="A145" s="274" t="s">
        <v>1102</v>
      </c>
      <c r="B145" s="274" t="s">
        <v>1189</v>
      </c>
      <c r="C145" s="275" t="s">
        <v>528</v>
      </c>
      <c r="D145" s="276">
        <f>+SUMIFS('Detail 18-19'!AC:AC,'Detail 18-19'!$AA:$AA,$A145)</f>
        <v>0</v>
      </c>
      <c r="E145" s="276">
        <f>+SUMIFS('Detail 18-19'!AD:AD,'Detail 18-19'!$AA:$AA,$A145)</f>
        <v>0</v>
      </c>
      <c r="F145" s="276">
        <f>+SUMIFS('Detail 18-19'!AE:AE,'Detail 18-19'!$AA:$AA,$A145)</f>
        <v>0</v>
      </c>
      <c r="G145" s="276">
        <f>+SUMIFS('Detail 18-19'!AF:AF,'Detail 18-19'!$AA:$AA,$A145)</f>
        <v>0</v>
      </c>
      <c r="H145" s="276">
        <f>+SUMIFS('Detail 18-19'!AG:AG,'Detail 18-19'!$AA:$AA,$A145)</f>
        <v>0</v>
      </c>
      <c r="I145" s="276">
        <f>+SUMIFS('Detail 18-19'!AH:AH,'Detail 18-19'!$AA:$AA,$A145)</f>
        <v>0</v>
      </c>
      <c r="J145" s="276">
        <f>+SUMIFS('Detail 18-19'!AI:AI,'Detail 18-19'!$AA:$AA,$A145)</f>
        <v>0</v>
      </c>
      <c r="K145" s="276">
        <f>+SUMIFS('Detail 18-19'!AJ:AJ,'Detail 18-19'!$AA:$AA,$A145)</f>
        <v>0</v>
      </c>
      <c r="L145" s="276">
        <f>+SUMIFS('Detail 18-19'!AK:AK,'Detail 18-19'!$AA:$AA,$A145)</f>
        <v>0</v>
      </c>
      <c r="M145" s="276">
        <f>+SUMIFS('Detail 18-19'!AL:AL,'Detail 18-19'!$AA:$AA,$A145)</f>
        <v>0</v>
      </c>
      <c r="N145" s="276">
        <f>+SUMIFS('Detail 18-19'!AM:AM,'Detail 18-19'!$AA:$AA,$A145)</f>
        <v>0</v>
      </c>
      <c r="O145" s="276">
        <f>+SUMIFS('Detail 18-19'!AN:AN,'Detail 18-19'!$AA:$AA,$A145)</f>
        <v>0</v>
      </c>
      <c r="P145" s="277">
        <f t="shared" si="18"/>
        <v>0</v>
      </c>
      <c r="Q145" s="270">
        <f>SUMIF('2019-03'!$E:$E,'Detail 19-20'!$A145,'2019-03'!$D:$D)</f>
        <v>1521</v>
      </c>
      <c r="R145" s="271" t="s">
        <v>954</v>
      </c>
      <c r="S145" s="270">
        <f t="shared" ref="S145:S199" si="102">IF(R145="Simple",Q145*1.33333333333333,IF(R145="None",Q145,IF(R145="Ten Month",(Q145+(Q145/8*2)))))</f>
        <v>1521</v>
      </c>
      <c r="T145" s="272">
        <v>1500.0</v>
      </c>
      <c r="U145" s="277">
        <f t="shared" si="4"/>
        <v>1500</v>
      </c>
      <c r="V145" s="278">
        <f t="shared" si="5"/>
        <v>0</v>
      </c>
      <c r="W145" s="277">
        <f t="shared" si="6"/>
        <v>-21</v>
      </c>
      <c r="X145" s="278">
        <f t="shared" si="7"/>
        <v>-0.01380670611</v>
      </c>
      <c r="Y145" s="279" t="s">
        <v>992</v>
      </c>
      <c r="Z145" s="277">
        <f t="shared" ref="Z145:Z146" si="103">+$T145*0</f>
        <v>0</v>
      </c>
      <c r="AA145" s="277">
        <f t="shared" ref="AA145:AA146" si="104">+$T145*0.5/9.5</f>
        <v>78.94736842</v>
      </c>
      <c r="AB145" s="277">
        <f t="shared" ref="AB145:AJ145" si="101">+$T145*1/9.5</f>
        <v>157.8947368</v>
      </c>
      <c r="AC145" s="277">
        <f t="shared" si="101"/>
        <v>157.8947368</v>
      </c>
      <c r="AD145" s="277">
        <f t="shared" si="101"/>
        <v>157.8947368</v>
      </c>
      <c r="AE145" s="277">
        <f t="shared" si="101"/>
        <v>157.8947368</v>
      </c>
      <c r="AF145" s="277">
        <f t="shared" si="101"/>
        <v>157.8947368</v>
      </c>
      <c r="AG145" s="277">
        <f t="shared" si="101"/>
        <v>157.8947368</v>
      </c>
      <c r="AH145" s="277">
        <f t="shared" si="101"/>
        <v>157.8947368</v>
      </c>
      <c r="AI145" s="277">
        <f t="shared" si="101"/>
        <v>157.8947368</v>
      </c>
      <c r="AJ145" s="277">
        <f t="shared" si="101"/>
        <v>157.8947368</v>
      </c>
      <c r="AK145" s="277">
        <f t="shared" ref="AK145:AK146" si="106">+$T145*0</f>
        <v>0</v>
      </c>
      <c r="AL145" s="277">
        <f t="shared" si="2"/>
        <v>1500</v>
      </c>
      <c r="AM145" s="277">
        <f t="shared" si="9"/>
        <v>0</v>
      </c>
      <c r="AN145" s="8" t="str">
        <f>+VLOOKUP('Detail 19-20'!A145,Map!$B$6:$M$222,12,FALSE)</f>
        <v>Student Activities</v>
      </c>
    </row>
    <row r="146" ht="15.75" customHeight="1">
      <c r="A146" s="274" t="s">
        <v>1103</v>
      </c>
      <c r="B146" s="274" t="s">
        <v>1189</v>
      </c>
      <c r="C146" s="275" t="s">
        <v>532</v>
      </c>
      <c r="D146" s="276">
        <f>+SUMIFS('Detail 18-19'!AC:AC,'Detail 18-19'!$AA:$AA,$A146)</f>
        <v>0</v>
      </c>
      <c r="E146" s="276">
        <f>+SUMIFS('Detail 18-19'!AD:AD,'Detail 18-19'!$AA:$AA,$A146)</f>
        <v>0</v>
      </c>
      <c r="F146" s="276">
        <f>+SUMIFS('Detail 18-19'!AE:AE,'Detail 18-19'!$AA:$AA,$A146)</f>
        <v>0</v>
      </c>
      <c r="G146" s="276">
        <f>+SUMIFS('Detail 18-19'!AF:AF,'Detail 18-19'!$AA:$AA,$A146)</f>
        <v>0</v>
      </c>
      <c r="H146" s="276">
        <f>+SUMIFS('Detail 18-19'!AG:AG,'Detail 18-19'!$AA:$AA,$A146)</f>
        <v>0</v>
      </c>
      <c r="I146" s="276">
        <f>+SUMIFS('Detail 18-19'!AH:AH,'Detail 18-19'!$AA:$AA,$A146)</f>
        <v>0</v>
      </c>
      <c r="J146" s="276">
        <f>+SUMIFS('Detail 18-19'!AI:AI,'Detail 18-19'!$AA:$AA,$A146)</f>
        <v>0</v>
      </c>
      <c r="K146" s="276">
        <f>+SUMIFS('Detail 18-19'!AJ:AJ,'Detail 18-19'!$AA:$AA,$A146)</f>
        <v>0</v>
      </c>
      <c r="L146" s="276">
        <f>+SUMIFS('Detail 18-19'!AK:AK,'Detail 18-19'!$AA:$AA,$A146)</f>
        <v>0</v>
      </c>
      <c r="M146" s="276">
        <f>+SUMIFS('Detail 18-19'!AL:AL,'Detail 18-19'!$AA:$AA,$A146)</f>
        <v>0</v>
      </c>
      <c r="N146" s="276">
        <f>+SUMIFS('Detail 18-19'!AM:AM,'Detail 18-19'!$AA:$AA,$A146)</f>
        <v>0</v>
      </c>
      <c r="O146" s="276">
        <f>+SUMIFS('Detail 18-19'!AN:AN,'Detail 18-19'!$AA:$AA,$A146)</f>
        <v>0</v>
      </c>
      <c r="P146" s="277">
        <f t="shared" si="18"/>
        <v>0</v>
      </c>
      <c r="Q146" s="270">
        <f>SUMIF('2019-03'!$E:$E,'Detail 19-20'!$A146,'2019-03'!$D:$D)</f>
        <v>0</v>
      </c>
      <c r="R146" s="271" t="s">
        <v>954</v>
      </c>
      <c r="S146" s="270">
        <f t="shared" si="102"/>
        <v>0</v>
      </c>
      <c r="T146" s="272">
        <v>0.0</v>
      </c>
      <c r="U146" s="277">
        <f t="shared" si="4"/>
        <v>0</v>
      </c>
      <c r="V146" s="278">
        <f t="shared" si="5"/>
        <v>0</v>
      </c>
      <c r="W146" s="277">
        <f t="shared" si="6"/>
        <v>0</v>
      </c>
      <c r="X146" s="278">
        <f t="shared" si="7"/>
        <v>0</v>
      </c>
      <c r="Y146" s="279" t="s">
        <v>992</v>
      </c>
      <c r="Z146" s="277">
        <f t="shared" si="103"/>
        <v>0</v>
      </c>
      <c r="AA146" s="277">
        <f t="shared" si="104"/>
        <v>0</v>
      </c>
      <c r="AB146" s="277">
        <f t="shared" ref="AB146:AJ146" si="105">+$T146*1/9.5</f>
        <v>0</v>
      </c>
      <c r="AC146" s="277">
        <f t="shared" si="105"/>
        <v>0</v>
      </c>
      <c r="AD146" s="277">
        <f t="shared" si="105"/>
        <v>0</v>
      </c>
      <c r="AE146" s="277">
        <f t="shared" si="105"/>
        <v>0</v>
      </c>
      <c r="AF146" s="277">
        <f t="shared" si="105"/>
        <v>0</v>
      </c>
      <c r="AG146" s="277">
        <f t="shared" si="105"/>
        <v>0</v>
      </c>
      <c r="AH146" s="277">
        <f t="shared" si="105"/>
        <v>0</v>
      </c>
      <c r="AI146" s="277">
        <f t="shared" si="105"/>
        <v>0</v>
      </c>
      <c r="AJ146" s="277">
        <f t="shared" si="105"/>
        <v>0</v>
      </c>
      <c r="AK146" s="277">
        <f t="shared" si="106"/>
        <v>0</v>
      </c>
      <c r="AL146" s="277">
        <f t="shared" si="2"/>
        <v>0</v>
      </c>
      <c r="AM146" s="277">
        <f t="shared" si="9"/>
        <v>0</v>
      </c>
      <c r="AN146" s="8" t="str">
        <f>+VLOOKUP('Detail 19-20'!A146,Map!$B$6:$M$222,12,FALSE)</f>
        <v>Student Activities</v>
      </c>
    </row>
    <row r="147" ht="15.75" customHeight="1">
      <c r="A147" s="274" t="s">
        <v>1104</v>
      </c>
      <c r="B147" s="274" t="s">
        <v>1189</v>
      </c>
      <c r="C147" s="275" t="s">
        <v>534</v>
      </c>
      <c r="D147" s="276">
        <f>+SUMIFS('Detail 18-19'!AC:AC,'Detail 18-19'!$AA:$AA,$A147)</f>
        <v>0</v>
      </c>
      <c r="E147" s="276">
        <f>+SUMIFS('Detail 18-19'!AD:AD,'Detail 18-19'!$AA:$AA,$A147)</f>
        <v>0</v>
      </c>
      <c r="F147" s="276">
        <f>+SUMIFS('Detail 18-19'!AE:AE,'Detail 18-19'!$AA:$AA,$A147)</f>
        <v>0</v>
      </c>
      <c r="G147" s="276">
        <f>+SUMIFS('Detail 18-19'!AF:AF,'Detail 18-19'!$AA:$AA,$A147)</f>
        <v>0</v>
      </c>
      <c r="H147" s="276">
        <f>+SUMIFS('Detail 18-19'!AG:AG,'Detail 18-19'!$AA:$AA,$A147)</f>
        <v>0</v>
      </c>
      <c r="I147" s="276">
        <f>+SUMIFS('Detail 18-19'!AH:AH,'Detail 18-19'!$AA:$AA,$A147)</f>
        <v>0</v>
      </c>
      <c r="J147" s="276">
        <f>+SUMIFS('Detail 18-19'!AI:AI,'Detail 18-19'!$AA:$AA,$A147)</f>
        <v>0</v>
      </c>
      <c r="K147" s="276">
        <f>+SUMIFS('Detail 18-19'!AJ:AJ,'Detail 18-19'!$AA:$AA,$A147)</f>
        <v>0</v>
      </c>
      <c r="L147" s="276">
        <f>+SUMIFS('Detail 18-19'!AK:AK,'Detail 18-19'!$AA:$AA,$A147)</f>
        <v>0</v>
      </c>
      <c r="M147" s="276">
        <f>+SUMIFS('Detail 18-19'!AL:AL,'Detail 18-19'!$AA:$AA,$A147)</f>
        <v>0</v>
      </c>
      <c r="N147" s="276">
        <f>+SUMIFS('Detail 18-19'!AM:AM,'Detail 18-19'!$AA:$AA,$A147)</f>
        <v>0</v>
      </c>
      <c r="O147" s="276">
        <f>+SUMIFS('Detail 18-19'!AN:AN,'Detail 18-19'!$AA:$AA,$A147)</f>
        <v>0</v>
      </c>
      <c r="P147" s="277">
        <f t="shared" si="18"/>
        <v>0</v>
      </c>
      <c r="Q147" s="270">
        <f>SUMIF('2019-03'!$E:$E,'Detail 19-20'!$A147,'2019-03'!$D:$D)</f>
        <v>0</v>
      </c>
      <c r="R147" s="271" t="s">
        <v>954</v>
      </c>
      <c r="S147" s="270">
        <f t="shared" si="102"/>
        <v>0</v>
      </c>
      <c r="T147" s="272">
        <v>0.0</v>
      </c>
      <c r="U147" s="277">
        <f t="shared" si="4"/>
        <v>0</v>
      </c>
      <c r="V147" s="278">
        <f t="shared" si="5"/>
        <v>0</v>
      </c>
      <c r="W147" s="277">
        <f t="shared" si="6"/>
        <v>0</v>
      </c>
      <c r="X147" s="278">
        <f t="shared" si="7"/>
        <v>0</v>
      </c>
      <c r="Y147" s="279" t="s">
        <v>1137</v>
      </c>
      <c r="Z147" s="277">
        <v>0.0</v>
      </c>
      <c r="AA147" s="277">
        <f t="shared" ref="AA147:AA148" si="107">+$T147*0.5</f>
        <v>0</v>
      </c>
      <c r="AB147" s="277">
        <v>0.0</v>
      </c>
      <c r="AC147" s="277">
        <v>0.0</v>
      </c>
      <c r="AD147" s="277">
        <v>0.0</v>
      </c>
      <c r="AE147" s="277">
        <v>0.0</v>
      </c>
      <c r="AF147" s="277">
        <f t="shared" ref="AF147:AF148" si="108">+$T147*0.5</f>
        <v>0</v>
      </c>
      <c r="AG147" s="277">
        <v>0.0</v>
      </c>
      <c r="AH147" s="277">
        <v>0.0</v>
      </c>
      <c r="AI147" s="277">
        <v>0.0</v>
      </c>
      <c r="AJ147" s="277">
        <v>0.0</v>
      </c>
      <c r="AK147" s="277">
        <v>0.0</v>
      </c>
      <c r="AL147" s="277">
        <f t="shared" si="2"/>
        <v>0</v>
      </c>
      <c r="AM147" s="277">
        <f t="shared" si="9"/>
        <v>0</v>
      </c>
      <c r="AN147" s="8" t="str">
        <f>+VLOOKUP('Detail 19-20'!A147,Map!$B$6:$M$222,12,FALSE)</f>
        <v>Student Activities</v>
      </c>
    </row>
    <row r="148" ht="15.75" customHeight="1">
      <c r="A148" s="274" t="s">
        <v>1100</v>
      </c>
      <c r="B148" s="274" t="s">
        <v>1189</v>
      </c>
      <c r="C148" s="275" t="s">
        <v>542</v>
      </c>
      <c r="D148" s="276">
        <f>+SUMIFS('Detail 18-19'!AC:AC,'Detail 18-19'!$AA:$AA,$A148)</f>
        <v>0</v>
      </c>
      <c r="E148" s="276">
        <f>+SUMIFS('Detail 18-19'!AD:AD,'Detail 18-19'!$AA:$AA,$A148)</f>
        <v>0</v>
      </c>
      <c r="F148" s="276">
        <f>+SUMIFS('Detail 18-19'!AE:AE,'Detail 18-19'!$AA:$AA,$A148)</f>
        <v>62.5</v>
      </c>
      <c r="G148" s="276">
        <f>+SUMIFS('Detail 18-19'!AF:AF,'Detail 18-19'!$AA:$AA,$A148)</f>
        <v>62.5</v>
      </c>
      <c r="H148" s="276">
        <f>+SUMIFS('Detail 18-19'!AG:AG,'Detail 18-19'!$AA:$AA,$A148)</f>
        <v>62.5</v>
      </c>
      <c r="I148" s="276">
        <f>+SUMIFS('Detail 18-19'!AH:AH,'Detail 18-19'!$AA:$AA,$A148)</f>
        <v>0</v>
      </c>
      <c r="J148" s="276">
        <f>+SUMIFS('Detail 18-19'!AI:AI,'Detail 18-19'!$AA:$AA,$A148)</f>
        <v>262.5</v>
      </c>
      <c r="K148" s="276">
        <f>+SUMIFS('Detail 18-19'!AJ:AJ,'Detail 18-19'!$AA:$AA,$A148)</f>
        <v>325</v>
      </c>
      <c r="L148" s="276">
        <f>+SUMIFS('Detail 18-19'!AK:AK,'Detail 18-19'!$AA:$AA,$A148)</f>
        <v>325</v>
      </c>
      <c r="M148" s="276">
        <f>+SUMIFS('Detail 18-19'!AL:AL,'Detail 18-19'!$AA:$AA,$A148)</f>
        <v>200</v>
      </c>
      <c r="N148" s="276">
        <f>+SUMIFS('Detail 18-19'!AM:AM,'Detail 18-19'!$AA:$AA,$A148)</f>
        <v>0</v>
      </c>
      <c r="O148" s="276">
        <f>+SUMIFS('Detail 18-19'!AN:AN,'Detail 18-19'!$AA:$AA,$A148)</f>
        <v>0</v>
      </c>
      <c r="P148" s="277">
        <f t="shared" si="18"/>
        <v>1300</v>
      </c>
      <c r="Q148" s="270">
        <f>SUMIF('2019-03'!$E:$E,'Detail 19-20'!$A148,'2019-03'!$D:$D)</f>
        <v>5953.55</v>
      </c>
      <c r="R148" s="271" t="s">
        <v>992</v>
      </c>
      <c r="S148" s="270">
        <f t="shared" si="102"/>
        <v>7441.9375</v>
      </c>
      <c r="T148" s="272">
        <v>5000.0</v>
      </c>
      <c r="U148" s="277">
        <f t="shared" si="4"/>
        <v>3700</v>
      </c>
      <c r="V148" s="278">
        <f t="shared" si="5"/>
        <v>2.846153846</v>
      </c>
      <c r="W148" s="277">
        <f t="shared" si="6"/>
        <v>-2441.9375</v>
      </c>
      <c r="X148" s="278">
        <f t="shared" si="7"/>
        <v>-0.3281319549</v>
      </c>
      <c r="Y148" s="279" t="s">
        <v>1137</v>
      </c>
      <c r="Z148" s="277">
        <v>0.0</v>
      </c>
      <c r="AA148" s="277">
        <f t="shared" si="107"/>
        <v>2500</v>
      </c>
      <c r="AB148" s="277">
        <v>0.0</v>
      </c>
      <c r="AC148" s="277">
        <v>0.0</v>
      </c>
      <c r="AD148" s="277">
        <v>0.0</v>
      </c>
      <c r="AE148" s="277">
        <v>0.0</v>
      </c>
      <c r="AF148" s="277">
        <f t="shared" si="108"/>
        <v>2500</v>
      </c>
      <c r="AG148" s="277">
        <v>0.0</v>
      </c>
      <c r="AH148" s="277">
        <v>0.0</v>
      </c>
      <c r="AI148" s="277">
        <v>0.0</v>
      </c>
      <c r="AJ148" s="277">
        <v>0.0</v>
      </c>
      <c r="AK148" s="277">
        <v>0.0</v>
      </c>
      <c r="AL148" s="277">
        <f t="shared" si="2"/>
        <v>5000</v>
      </c>
      <c r="AM148" s="277">
        <f t="shared" si="9"/>
        <v>0</v>
      </c>
      <c r="AN148" s="8" t="str">
        <f>+VLOOKUP('Detail 19-20'!A148,Map!$B$6:$M$222,12,FALSE)</f>
        <v>Student Activities</v>
      </c>
    </row>
    <row r="149" ht="15.75" customHeight="1">
      <c r="A149" s="274" t="s">
        <v>1106</v>
      </c>
      <c r="B149" s="274" t="s">
        <v>1189</v>
      </c>
      <c r="C149" s="275" t="s">
        <v>544</v>
      </c>
      <c r="D149" s="276">
        <f>+SUMIFS('Detail 18-19'!AC:AC,'Detail 18-19'!$AA:$AA,$A149)</f>
        <v>1250</v>
      </c>
      <c r="E149" s="276">
        <f>+SUMIFS('Detail 18-19'!AD:AD,'Detail 18-19'!$AA:$AA,$A149)</f>
        <v>0</v>
      </c>
      <c r="F149" s="276">
        <f>+SUMIFS('Detail 18-19'!AE:AE,'Detail 18-19'!$AA:$AA,$A149)</f>
        <v>0</v>
      </c>
      <c r="G149" s="276">
        <f>+SUMIFS('Detail 18-19'!AF:AF,'Detail 18-19'!$AA:$AA,$A149)</f>
        <v>0</v>
      </c>
      <c r="H149" s="276">
        <f>+SUMIFS('Detail 18-19'!AG:AG,'Detail 18-19'!$AA:$AA,$A149)</f>
        <v>0</v>
      </c>
      <c r="I149" s="276">
        <f>+SUMIFS('Detail 18-19'!AH:AH,'Detail 18-19'!$AA:$AA,$A149)</f>
        <v>0</v>
      </c>
      <c r="J149" s="276">
        <f>+SUMIFS('Detail 18-19'!AI:AI,'Detail 18-19'!$AA:$AA,$A149)</f>
        <v>0</v>
      </c>
      <c r="K149" s="276">
        <f>+SUMIFS('Detail 18-19'!AJ:AJ,'Detail 18-19'!$AA:$AA,$A149)</f>
        <v>0</v>
      </c>
      <c r="L149" s="276">
        <f>+SUMIFS('Detail 18-19'!AK:AK,'Detail 18-19'!$AA:$AA,$A149)</f>
        <v>0</v>
      </c>
      <c r="M149" s="276">
        <f>+SUMIFS('Detail 18-19'!AL:AL,'Detail 18-19'!$AA:$AA,$A149)</f>
        <v>0</v>
      </c>
      <c r="N149" s="276">
        <f>+SUMIFS('Detail 18-19'!AM:AM,'Detail 18-19'!$AA:$AA,$A149)</f>
        <v>0</v>
      </c>
      <c r="O149" s="276">
        <f>+SUMIFS('Detail 18-19'!AN:AN,'Detail 18-19'!$AA:$AA,$A149)</f>
        <v>1250</v>
      </c>
      <c r="P149" s="277">
        <f t="shared" si="18"/>
        <v>2500</v>
      </c>
      <c r="Q149" s="270">
        <f>SUMIF('2019-03'!$E:$E,'Detail 19-20'!$A149,'2019-03'!$D:$D)</f>
        <v>0</v>
      </c>
      <c r="R149" s="271" t="s">
        <v>954</v>
      </c>
      <c r="S149" s="270">
        <f t="shared" si="102"/>
        <v>0</v>
      </c>
      <c r="T149" s="272">
        <v>2500.0</v>
      </c>
      <c r="U149" s="277">
        <f t="shared" si="4"/>
        <v>0</v>
      </c>
      <c r="V149" s="278">
        <f t="shared" si="5"/>
        <v>0</v>
      </c>
      <c r="W149" s="277">
        <f t="shared" si="6"/>
        <v>2500</v>
      </c>
      <c r="X149" s="278">
        <f t="shared" si="7"/>
        <v>0</v>
      </c>
      <c r="Y149" s="279" t="s">
        <v>1098</v>
      </c>
      <c r="Z149" s="277">
        <v>2500.0</v>
      </c>
      <c r="AA149" s="277">
        <v>0.0</v>
      </c>
      <c r="AB149" s="277">
        <v>0.0</v>
      </c>
      <c r="AC149" s="277">
        <v>0.0</v>
      </c>
      <c r="AD149" s="277">
        <v>0.0</v>
      </c>
      <c r="AE149" s="277">
        <v>0.0</v>
      </c>
      <c r="AF149" s="277">
        <v>0.0</v>
      </c>
      <c r="AG149" s="277">
        <v>0.0</v>
      </c>
      <c r="AH149" s="277">
        <v>0.0</v>
      </c>
      <c r="AI149" s="277">
        <v>0.0</v>
      </c>
      <c r="AJ149" s="277">
        <v>0.0</v>
      </c>
      <c r="AK149" s="277">
        <v>0.0</v>
      </c>
      <c r="AL149" s="277">
        <f t="shared" si="2"/>
        <v>2500</v>
      </c>
      <c r="AM149" s="277">
        <f t="shared" si="9"/>
        <v>0</v>
      </c>
      <c r="AN149" s="8" t="str">
        <f>+VLOOKUP('Detail 19-20'!A149,Map!$B$6:$M$222,12,FALSE)</f>
        <v>Student Activities</v>
      </c>
    </row>
    <row r="150" ht="15.75" customHeight="1">
      <c r="A150" s="274" t="s">
        <v>1107</v>
      </c>
      <c r="B150" s="274" t="s">
        <v>1189</v>
      </c>
      <c r="C150" s="275" t="s">
        <v>161</v>
      </c>
      <c r="D150" s="276">
        <f>+SUMIFS('Detail 18-19'!AC:AC,'Detail 18-19'!$AA:$AA,$A150)</f>
        <v>166.6666667</v>
      </c>
      <c r="E150" s="276">
        <f>+SUMIFS('Detail 18-19'!AD:AD,'Detail 18-19'!$AA:$AA,$A150)</f>
        <v>166.6666667</v>
      </c>
      <c r="F150" s="276">
        <f>+SUMIFS('Detail 18-19'!AE:AE,'Detail 18-19'!$AA:$AA,$A150)</f>
        <v>166.6666667</v>
      </c>
      <c r="G150" s="276">
        <f>+SUMIFS('Detail 18-19'!AF:AF,'Detail 18-19'!$AA:$AA,$A150)</f>
        <v>166.6666667</v>
      </c>
      <c r="H150" s="276">
        <f>+SUMIFS('Detail 18-19'!AG:AG,'Detail 18-19'!$AA:$AA,$A150)</f>
        <v>166.6666667</v>
      </c>
      <c r="I150" s="276">
        <f>+SUMIFS('Detail 18-19'!AH:AH,'Detail 18-19'!$AA:$AA,$A150)</f>
        <v>166.6666667</v>
      </c>
      <c r="J150" s="276">
        <f>+SUMIFS('Detail 18-19'!AI:AI,'Detail 18-19'!$AA:$AA,$A150)</f>
        <v>166.6666667</v>
      </c>
      <c r="K150" s="276">
        <f>+SUMIFS('Detail 18-19'!AJ:AJ,'Detail 18-19'!$AA:$AA,$A150)</f>
        <v>166.6666667</v>
      </c>
      <c r="L150" s="276">
        <f>+SUMIFS('Detail 18-19'!AK:AK,'Detail 18-19'!$AA:$AA,$A150)</f>
        <v>166.6666667</v>
      </c>
      <c r="M150" s="276">
        <f>+SUMIFS('Detail 18-19'!AL:AL,'Detail 18-19'!$AA:$AA,$A150)</f>
        <v>166.6666667</v>
      </c>
      <c r="N150" s="276">
        <f>+SUMIFS('Detail 18-19'!AM:AM,'Detail 18-19'!$AA:$AA,$A150)</f>
        <v>166.6666667</v>
      </c>
      <c r="O150" s="276">
        <f>+SUMIFS('Detail 18-19'!AN:AN,'Detail 18-19'!$AA:$AA,$A150)</f>
        <v>166.6666667</v>
      </c>
      <c r="P150" s="277">
        <f t="shared" si="18"/>
        <v>2000</v>
      </c>
      <c r="Q150" s="270">
        <f>SUMIF('2019-03'!$E:$E,'Detail 19-20'!$A150,'2019-03'!$D:$D)</f>
        <v>191.59</v>
      </c>
      <c r="R150" s="271" t="s">
        <v>950</v>
      </c>
      <c r="S150" s="270">
        <f t="shared" si="102"/>
        <v>255.4533333</v>
      </c>
      <c r="T150" s="272">
        <v>2000.0</v>
      </c>
      <c r="U150" s="277">
        <f t="shared" si="4"/>
        <v>0</v>
      </c>
      <c r="V150" s="278">
        <f t="shared" si="5"/>
        <v>0</v>
      </c>
      <c r="W150" s="277">
        <f t="shared" si="6"/>
        <v>1744.546667</v>
      </c>
      <c r="X150" s="278">
        <f t="shared" si="7"/>
        <v>6.829218644</v>
      </c>
      <c r="Y150" s="279" t="s">
        <v>992</v>
      </c>
      <c r="Z150" s="277">
        <f>+$T150*0</f>
        <v>0</v>
      </c>
      <c r="AA150" s="277">
        <f>+$T150*0.5/9.5</f>
        <v>105.2631579</v>
      </c>
      <c r="AB150" s="277">
        <f t="shared" ref="AB150:AJ150" si="109">+$T150*1/9.5</f>
        <v>210.5263158</v>
      </c>
      <c r="AC150" s="277">
        <f t="shared" si="109"/>
        <v>210.5263158</v>
      </c>
      <c r="AD150" s="277">
        <f t="shared" si="109"/>
        <v>210.5263158</v>
      </c>
      <c r="AE150" s="277">
        <f t="shared" si="109"/>
        <v>210.5263158</v>
      </c>
      <c r="AF150" s="277">
        <f t="shared" si="109"/>
        <v>210.5263158</v>
      </c>
      <c r="AG150" s="277">
        <f t="shared" si="109"/>
        <v>210.5263158</v>
      </c>
      <c r="AH150" s="277">
        <f t="shared" si="109"/>
        <v>210.5263158</v>
      </c>
      <c r="AI150" s="277">
        <f t="shared" si="109"/>
        <v>210.5263158</v>
      </c>
      <c r="AJ150" s="277">
        <f t="shared" si="109"/>
        <v>210.5263158</v>
      </c>
      <c r="AK150" s="277">
        <f>+$T150*0</f>
        <v>0</v>
      </c>
      <c r="AL150" s="277">
        <f t="shared" si="2"/>
        <v>2000</v>
      </c>
      <c r="AM150" s="277">
        <f t="shared" si="9"/>
        <v>0</v>
      </c>
      <c r="AN150" s="8" t="str">
        <f>+VLOOKUP('Detail 19-20'!A150,Map!$B$6:$M$222,12,FALSE)</f>
        <v>Computer Expenses</v>
      </c>
    </row>
    <row r="151" ht="15.75" customHeight="1">
      <c r="A151" s="274" t="s">
        <v>1109</v>
      </c>
      <c r="B151" s="274" t="s">
        <v>1189</v>
      </c>
      <c r="C151" s="275" t="s">
        <v>161</v>
      </c>
      <c r="D151" s="276">
        <f>+SUMIFS('Detail 18-19'!AC:AC,'Detail 18-19'!$AA:$AA,$A151)</f>
        <v>41.66666667</v>
      </c>
      <c r="E151" s="276">
        <f>+SUMIFS('Detail 18-19'!AD:AD,'Detail 18-19'!$AA:$AA,$A151)</f>
        <v>41.66666667</v>
      </c>
      <c r="F151" s="276">
        <f>+SUMIFS('Detail 18-19'!AE:AE,'Detail 18-19'!$AA:$AA,$A151)</f>
        <v>41.66666667</v>
      </c>
      <c r="G151" s="276">
        <f>+SUMIFS('Detail 18-19'!AF:AF,'Detail 18-19'!$AA:$AA,$A151)</f>
        <v>41.66666667</v>
      </c>
      <c r="H151" s="276">
        <f>+SUMIFS('Detail 18-19'!AG:AG,'Detail 18-19'!$AA:$AA,$A151)</f>
        <v>41.66666667</v>
      </c>
      <c r="I151" s="276">
        <f>+SUMIFS('Detail 18-19'!AH:AH,'Detail 18-19'!$AA:$AA,$A151)</f>
        <v>41.66666667</v>
      </c>
      <c r="J151" s="276">
        <f>+SUMIFS('Detail 18-19'!AI:AI,'Detail 18-19'!$AA:$AA,$A151)</f>
        <v>41.66666667</v>
      </c>
      <c r="K151" s="276">
        <f>+SUMIFS('Detail 18-19'!AJ:AJ,'Detail 18-19'!$AA:$AA,$A151)</f>
        <v>41.66666667</v>
      </c>
      <c r="L151" s="276">
        <f>+SUMIFS('Detail 18-19'!AK:AK,'Detail 18-19'!$AA:$AA,$A151)</f>
        <v>41.66666667</v>
      </c>
      <c r="M151" s="276">
        <f>+SUMIFS('Detail 18-19'!AL:AL,'Detail 18-19'!$AA:$AA,$A151)</f>
        <v>41.66666667</v>
      </c>
      <c r="N151" s="276">
        <f>+SUMIFS('Detail 18-19'!AM:AM,'Detail 18-19'!$AA:$AA,$A151)</f>
        <v>41.66666667</v>
      </c>
      <c r="O151" s="276">
        <f>+SUMIFS('Detail 18-19'!AN:AN,'Detail 18-19'!$AA:$AA,$A151)</f>
        <v>41.66666667</v>
      </c>
      <c r="P151" s="277">
        <f t="shared" si="18"/>
        <v>500</v>
      </c>
      <c r="Q151" s="270">
        <f>SUMIF('2019-03'!$E:$E,'Detail 19-20'!$A151,'2019-03'!$D:$D)</f>
        <v>0</v>
      </c>
      <c r="R151" s="271" t="s">
        <v>950</v>
      </c>
      <c r="S151" s="270">
        <f t="shared" si="102"/>
        <v>0</v>
      </c>
      <c r="T151" s="272">
        <v>500.0</v>
      </c>
      <c r="U151" s="277">
        <f t="shared" si="4"/>
        <v>0</v>
      </c>
      <c r="V151" s="278">
        <f t="shared" si="5"/>
        <v>0</v>
      </c>
      <c r="W151" s="277">
        <f t="shared" si="6"/>
        <v>500</v>
      </c>
      <c r="X151" s="278">
        <f t="shared" si="7"/>
        <v>0</v>
      </c>
      <c r="Y151" s="279" t="s">
        <v>950</v>
      </c>
      <c r="Z151" s="277">
        <f t="shared" ref="Z151:AK151" si="110">+$T151/12</f>
        <v>41.66666667</v>
      </c>
      <c r="AA151" s="277">
        <f t="shared" si="110"/>
        <v>41.66666667</v>
      </c>
      <c r="AB151" s="277">
        <f t="shared" si="110"/>
        <v>41.66666667</v>
      </c>
      <c r="AC151" s="277">
        <f t="shared" si="110"/>
        <v>41.66666667</v>
      </c>
      <c r="AD151" s="277">
        <f t="shared" si="110"/>
        <v>41.66666667</v>
      </c>
      <c r="AE151" s="277">
        <f t="shared" si="110"/>
        <v>41.66666667</v>
      </c>
      <c r="AF151" s="277">
        <f t="shared" si="110"/>
        <v>41.66666667</v>
      </c>
      <c r="AG151" s="277">
        <f t="shared" si="110"/>
        <v>41.66666667</v>
      </c>
      <c r="AH151" s="277">
        <f t="shared" si="110"/>
        <v>41.66666667</v>
      </c>
      <c r="AI151" s="277">
        <f t="shared" si="110"/>
        <v>41.66666667</v>
      </c>
      <c r="AJ151" s="277">
        <f t="shared" si="110"/>
        <v>41.66666667</v>
      </c>
      <c r="AK151" s="277">
        <f t="shared" si="110"/>
        <v>41.66666667</v>
      </c>
      <c r="AL151" s="277">
        <f t="shared" si="2"/>
        <v>500</v>
      </c>
      <c r="AM151" s="277">
        <f t="shared" si="9"/>
        <v>0</v>
      </c>
      <c r="AN151" s="8" t="str">
        <f>+VLOOKUP('Detail 19-20'!A151,Map!$B$6:$M$222,12,FALSE)</f>
        <v>Computer Expenses</v>
      </c>
    </row>
    <row r="152" ht="15.75" customHeight="1">
      <c r="A152" s="274" t="s">
        <v>1110</v>
      </c>
      <c r="B152" s="274" t="s">
        <v>1189</v>
      </c>
      <c r="C152" s="275" t="s">
        <v>549</v>
      </c>
      <c r="D152" s="276">
        <f>+SUMIFS('Detail 18-19'!AC:AC,'Detail 18-19'!$AA:$AA,$A152)</f>
        <v>0</v>
      </c>
      <c r="E152" s="276">
        <f>+SUMIFS('Detail 18-19'!AD:AD,'Detail 18-19'!$AA:$AA,$A152)</f>
        <v>0</v>
      </c>
      <c r="F152" s="276">
        <f>+SUMIFS('Detail 18-19'!AE:AE,'Detail 18-19'!$AA:$AA,$A152)</f>
        <v>0</v>
      </c>
      <c r="G152" s="276">
        <f>+SUMIFS('Detail 18-19'!AF:AF,'Detail 18-19'!$AA:$AA,$A152)</f>
        <v>0</v>
      </c>
      <c r="H152" s="276">
        <f>+SUMIFS('Detail 18-19'!AG:AG,'Detail 18-19'!$AA:$AA,$A152)</f>
        <v>0</v>
      </c>
      <c r="I152" s="276">
        <f>+SUMIFS('Detail 18-19'!AH:AH,'Detail 18-19'!$AA:$AA,$A152)</f>
        <v>0</v>
      </c>
      <c r="J152" s="276">
        <f>+SUMIFS('Detail 18-19'!AI:AI,'Detail 18-19'!$AA:$AA,$A152)</f>
        <v>250</v>
      </c>
      <c r="K152" s="276">
        <f>+SUMIFS('Detail 18-19'!AJ:AJ,'Detail 18-19'!$AA:$AA,$A152)</f>
        <v>250</v>
      </c>
      <c r="L152" s="276">
        <f>+SUMIFS('Detail 18-19'!AK:AK,'Detail 18-19'!$AA:$AA,$A152)</f>
        <v>250</v>
      </c>
      <c r="M152" s="276">
        <f>+SUMIFS('Detail 18-19'!AL:AL,'Detail 18-19'!$AA:$AA,$A152)</f>
        <v>250</v>
      </c>
      <c r="N152" s="276">
        <f>+SUMIFS('Detail 18-19'!AM:AM,'Detail 18-19'!$AA:$AA,$A152)</f>
        <v>0</v>
      </c>
      <c r="O152" s="276">
        <f>+SUMIFS('Detail 18-19'!AN:AN,'Detail 18-19'!$AA:$AA,$A152)</f>
        <v>0</v>
      </c>
      <c r="P152" s="277">
        <f t="shared" si="18"/>
        <v>1000</v>
      </c>
      <c r="Q152" s="270">
        <f>SUMIF('2019-03'!$E:$E,'Detail 19-20'!$A152,'2019-03'!$D:$D)</f>
        <v>1200.5</v>
      </c>
      <c r="R152" s="271" t="s">
        <v>992</v>
      </c>
      <c r="S152" s="270">
        <f t="shared" si="102"/>
        <v>1500.625</v>
      </c>
      <c r="T152" s="272">
        <v>1500.0</v>
      </c>
      <c r="U152" s="277">
        <f t="shared" si="4"/>
        <v>500</v>
      </c>
      <c r="V152" s="278">
        <f t="shared" si="5"/>
        <v>0.5</v>
      </c>
      <c r="W152" s="277">
        <f t="shared" si="6"/>
        <v>-0.625</v>
      </c>
      <c r="X152" s="278">
        <f t="shared" si="7"/>
        <v>-0.0004164931279</v>
      </c>
      <c r="Y152" s="279" t="s">
        <v>1137</v>
      </c>
      <c r="Z152" s="277">
        <v>0.0</v>
      </c>
      <c r="AA152" s="277">
        <f>+$T152*0.5</f>
        <v>750</v>
      </c>
      <c r="AB152" s="277">
        <v>0.0</v>
      </c>
      <c r="AC152" s="277">
        <v>0.0</v>
      </c>
      <c r="AD152" s="277">
        <v>0.0</v>
      </c>
      <c r="AE152" s="277">
        <v>0.0</v>
      </c>
      <c r="AF152" s="277">
        <f>+$T152*0.5</f>
        <v>750</v>
      </c>
      <c r="AG152" s="277">
        <v>0.0</v>
      </c>
      <c r="AH152" s="277">
        <v>0.0</v>
      </c>
      <c r="AI152" s="277">
        <v>0.0</v>
      </c>
      <c r="AJ152" s="277">
        <v>0.0</v>
      </c>
      <c r="AK152" s="277">
        <v>0.0</v>
      </c>
      <c r="AL152" s="277">
        <f t="shared" si="2"/>
        <v>1500</v>
      </c>
      <c r="AM152" s="277">
        <f t="shared" si="9"/>
        <v>0</v>
      </c>
      <c r="AN152" s="8" t="str">
        <f>+VLOOKUP('Detail 19-20'!A152,Map!$B$6:$M$222,12,FALSE)</f>
        <v>Test Expenses</v>
      </c>
    </row>
    <row r="153" ht="15.75" customHeight="1">
      <c r="A153" s="274" t="s">
        <v>1111</v>
      </c>
      <c r="B153" s="274" t="s">
        <v>1189</v>
      </c>
      <c r="C153" s="275" t="s">
        <v>580</v>
      </c>
      <c r="D153" s="276">
        <f>+SUMIFS('Detail 18-19'!AC:AC,'Detail 18-19'!$AA:$AA,$A153)</f>
        <v>0</v>
      </c>
      <c r="E153" s="276">
        <f>+SUMIFS('Detail 18-19'!AD:AD,'Detail 18-19'!$AA:$AA,$A153)</f>
        <v>26.31578947</v>
      </c>
      <c r="F153" s="276">
        <f>+SUMIFS('Detail 18-19'!AE:AE,'Detail 18-19'!$AA:$AA,$A153)</f>
        <v>52.63157895</v>
      </c>
      <c r="G153" s="276">
        <f>+SUMIFS('Detail 18-19'!AF:AF,'Detail 18-19'!$AA:$AA,$A153)</f>
        <v>52.63157895</v>
      </c>
      <c r="H153" s="276">
        <f>+SUMIFS('Detail 18-19'!AG:AG,'Detail 18-19'!$AA:$AA,$A153)</f>
        <v>52.63157895</v>
      </c>
      <c r="I153" s="276">
        <f>+SUMIFS('Detail 18-19'!AH:AH,'Detail 18-19'!$AA:$AA,$A153)</f>
        <v>52.63157895</v>
      </c>
      <c r="J153" s="276">
        <f>+SUMIFS('Detail 18-19'!AI:AI,'Detail 18-19'!$AA:$AA,$A153)</f>
        <v>52.63157895</v>
      </c>
      <c r="K153" s="276">
        <f>+SUMIFS('Detail 18-19'!AJ:AJ,'Detail 18-19'!$AA:$AA,$A153)</f>
        <v>52.63157895</v>
      </c>
      <c r="L153" s="276">
        <f>+SUMIFS('Detail 18-19'!AK:AK,'Detail 18-19'!$AA:$AA,$A153)</f>
        <v>52.63157895</v>
      </c>
      <c r="M153" s="276">
        <f>+SUMIFS('Detail 18-19'!AL:AL,'Detail 18-19'!$AA:$AA,$A153)</f>
        <v>52.63157895</v>
      </c>
      <c r="N153" s="276">
        <f>+SUMIFS('Detail 18-19'!AM:AM,'Detail 18-19'!$AA:$AA,$A153)</f>
        <v>52.63157895</v>
      </c>
      <c r="O153" s="276">
        <f>+SUMIFS('Detail 18-19'!AN:AN,'Detail 18-19'!$AA:$AA,$A153)</f>
        <v>0</v>
      </c>
      <c r="P153" s="277">
        <f t="shared" si="18"/>
        <v>500</v>
      </c>
      <c r="Q153" s="270">
        <f>SUMIF('2019-03'!$E:$E,'Detail 19-20'!$A153,'2019-03'!$D:$D)</f>
        <v>0</v>
      </c>
      <c r="R153" s="271" t="s">
        <v>992</v>
      </c>
      <c r="S153" s="270">
        <f t="shared" si="102"/>
        <v>0</v>
      </c>
      <c r="T153" s="272">
        <v>0.0</v>
      </c>
      <c r="U153" s="277">
        <f t="shared" si="4"/>
        <v>-500</v>
      </c>
      <c r="V153" s="278">
        <f t="shared" si="5"/>
        <v>-1</v>
      </c>
      <c r="W153" s="277">
        <f t="shared" si="6"/>
        <v>0</v>
      </c>
      <c r="X153" s="278">
        <f t="shared" si="7"/>
        <v>0</v>
      </c>
      <c r="Y153" s="279" t="s">
        <v>992</v>
      </c>
      <c r="Z153" s="277">
        <f>+$T153*0</f>
        <v>0</v>
      </c>
      <c r="AA153" s="277">
        <f>+$T153*0.5/9.5</f>
        <v>0</v>
      </c>
      <c r="AB153" s="277">
        <f t="shared" ref="AB153:AJ153" si="111">+$T153*1/9.5</f>
        <v>0</v>
      </c>
      <c r="AC153" s="277">
        <f t="shared" si="111"/>
        <v>0</v>
      </c>
      <c r="AD153" s="277">
        <f t="shared" si="111"/>
        <v>0</v>
      </c>
      <c r="AE153" s="277">
        <f t="shared" si="111"/>
        <v>0</v>
      </c>
      <c r="AF153" s="277">
        <f t="shared" si="111"/>
        <v>0</v>
      </c>
      <c r="AG153" s="277">
        <f t="shared" si="111"/>
        <v>0</v>
      </c>
      <c r="AH153" s="277">
        <f t="shared" si="111"/>
        <v>0</v>
      </c>
      <c r="AI153" s="277">
        <f t="shared" si="111"/>
        <v>0</v>
      </c>
      <c r="AJ153" s="277">
        <f t="shared" si="111"/>
        <v>0</v>
      </c>
      <c r="AK153" s="277">
        <f>+$T153*0</f>
        <v>0</v>
      </c>
      <c r="AL153" s="277">
        <f t="shared" si="2"/>
        <v>0</v>
      </c>
      <c r="AM153" s="277">
        <f t="shared" si="9"/>
        <v>0</v>
      </c>
      <c r="AN153" s="8" t="str">
        <f>+VLOOKUP('Detail 19-20'!A153,Map!$B$6:$M$222,12,FALSE)</f>
        <v>Aftercare Expenses</v>
      </c>
    </row>
    <row r="154" ht="15.75" customHeight="1">
      <c r="A154" s="274" t="s">
        <v>1112</v>
      </c>
      <c r="B154" s="274" t="s">
        <v>1189</v>
      </c>
      <c r="C154" s="275" t="s">
        <v>551</v>
      </c>
      <c r="D154" s="276">
        <f>+SUMIFS('Detail 18-19'!AC:AC,'Detail 18-19'!$AA:$AA,$A154)</f>
        <v>2083.333333</v>
      </c>
      <c r="E154" s="276">
        <f>+SUMIFS('Detail 18-19'!AD:AD,'Detail 18-19'!$AA:$AA,$A154)</f>
        <v>2083.333333</v>
      </c>
      <c r="F154" s="276">
        <f>+SUMIFS('Detail 18-19'!AE:AE,'Detail 18-19'!$AA:$AA,$A154)</f>
        <v>2083.333333</v>
      </c>
      <c r="G154" s="276">
        <f>+SUMIFS('Detail 18-19'!AF:AF,'Detail 18-19'!$AA:$AA,$A154)</f>
        <v>2083.333333</v>
      </c>
      <c r="H154" s="276">
        <f>+SUMIFS('Detail 18-19'!AG:AG,'Detail 18-19'!$AA:$AA,$A154)</f>
        <v>2083.333333</v>
      </c>
      <c r="I154" s="276">
        <f>+SUMIFS('Detail 18-19'!AH:AH,'Detail 18-19'!$AA:$AA,$A154)</f>
        <v>2083.333333</v>
      </c>
      <c r="J154" s="276">
        <f>+SUMIFS('Detail 18-19'!AI:AI,'Detail 18-19'!$AA:$AA,$A154)</f>
        <v>2083.333333</v>
      </c>
      <c r="K154" s="276">
        <f>+SUMIFS('Detail 18-19'!AJ:AJ,'Detail 18-19'!$AA:$AA,$A154)</f>
        <v>2083.333333</v>
      </c>
      <c r="L154" s="276">
        <f>+SUMIFS('Detail 18-19'!AK:AK,'Detail 18-19'!$AA:$AA,$A154)</f>
        <v>2083.333333</v>
      </c>
      <c r="M154" s="276">
        <f>+SUMIFS('Detail 18-19'!AL:AL,'Detail 18-19'!$AA:$AA,$A154)</f>
        <v>2083.333333</v>
      </c>
      <c r="N154" s="276">
        <f>+SUMIFS('Detail 18-19'!AM:AM,'Detail 18-19'!$AA:$AA,$A154)</f>
        <v>2083.333333</v>
      </c>
      <c r="O154" s="276">
        <f>+SUMIFS('Detail 18-19'!AN:AN,'Detail 18-19'!$AA:$AA,$A154)</f>
        <v>2083.333333</v>
      </c>
      <c r="P154" s="277">
        <f t="shared" si="18"/>
        <v>25000</v>
      </c>
      <c r="Q154" s="270">
        <f>SUMIF('2019-03'!$E:$E,'Detail 19-20'!$A154,'2019-03'!$D:$D)</f>
        <v>10.95</v>
      </c>
      <c r="R154" s="271" t="s">
        <v>950</v>
      </c>
      <c r="S154" s="270">
        <f t="shared" si="102"/>
        <v>14.6</v>
      </c>
      <c r="T154" s="272">
        <v>25000.0</v>
      </c>
      <c r="U154" s="277">
        <f t="shared" si="4"/>
        <v>0</v>
      </c>
      <c r="V154" s="278">
        <f t="shared" si="5"/>
        <v>0</v>
      </c>
      <c r="W154" s="277">
        <f t="shared" si="6"/>
        <v>24985.4</v>
      </c>
      <c r="X154" s="278">
        <f t="shared" si="7"/>
        <v>1711.328767</v>
      </c>
      <c r="Y154" s="279" t="s">
        <v>950</v>
      </c>
      <c r="Z154" s="277">
        <f t="shared" ref="Z154:AK154" si="112">+$T154/12</f>
        <v>2083.333333</v>
      </c>
      <c r="AA154" s="277">
        <f t="shared" si="112"/>
        <v>2083.333333</v>
      </c>
      <c r="AB154" s="277">
        <f t="shared" si="112"/>
        <v>2083.333333</v>
      </c>
      <c r="AC154" s="277">
        <f t="shared" si="112"/>
        <v>2083.333333</v>
      </c>
      <c r="AD154" s="277">
        <f t="shared" si="112"/>
        <v>2083.333333</v>
      </c>
      <c r="AE154" s="277">
        <f t="shared" si="112"/>
        <v>2083.333333</v>
      </c>
      <c r="AF154" s="277">
        <f t="shared" si="112"/>
        <v>2083.333333</v>
      </c>
      <c r="AG154" s="277">
        <f t="shared" si="112"/>
        <v>2083.333333</v>
      </c>
      <c r="AH154" s="277">
        <f t="shared" si="112"/>
        <v>2083.333333</v>
      </c>
      <c r="AI154" s="277">
        <f t="shared" si="112"/>
        <v>2083.333333</v>
      </c>
      <c r="AJ154" s="277">
        <f t="shared" si="112"/>
        <v>2083.333333</v>
      </c>
      <c r="AK154" s="277">
        <f t="shared" si="112"/>
        <v>2083.333333</v>
      </c>
      <c r="AL154" s="277">
        <f t="shared" si="2"/>
        <v>25000</v>
      </c>
      <c r="AM154" s="277">
        <f t="shared" si="9"/>
        <v>0</v>
      </c>
      <c r="AN154" s="8" t="str">
        <f>+VLOOKUP('Detail 19-20'!A154,Map!$B$6:$M$222,12,FALSE)</f>
        <v>Marketing/PR/Advertising</v>
      </c>
    </row>
    <row r="155" ht="15.75" customHeight="1">
      <c r="A155" s="274" t="s">
        <v>1113</v>
      </c>
      <c r="B155" s="274" t="s">
        <v>1189</v>
      </c>
      <c r="C155" s="275" t="s">
        <v>551</v>
      </c>
      <c r="D155" s="276">
        <f>+SUMIFS('Detail 18-19'!AC:AC,'Detail 18-19'!$AA:$AA,$A155)</f>
        <v>0</v>
      </c>
      <c r="E155" s="276">
        <f>+SUMIFS('Detail 18-19'!AD:AD,'Detail 18-19'!$AA:$AA,$A155)</f>
        <v>0</v>
      </c>
      <c r="F155" s="276">
        <f>+SUMIFS('Detail 18-19'!AE:AE,'Detail 18-19'!$AA:$AA,$A155)</f>
        <v>0</v>
      </c>
      <c r="G155" s="276">
        <f>+SUMIFS('Detail 18-19'!AF:AF,'Detail 18-19'!$AA:$AA,$A155)</f>
        <v>0</v>
      </c>
      <c r="H155" s="276">
        <f>+SUMIFS('Detail 18-19'!AG:AG,'Detail 18-19'!$AA:$AA,$A155)</f>
        <v>0</v>
      </c>
      <c r="I155" s="276">
        <f>+SUMIFS('Detail 18-19'!AH:AH,'Detail 18-19'!$AA:$AA,$A155)</f>
        <v>0</v>
      </c>
      <c r="J155" s="276">
        <f>+SUMIFS('Detail 18-19'!AI:AI,'Detail 18-19'!$AA:$AA,$A155)</f>
        <v>0</v>
      </c>
      <c r="K155" s="276">
        <f>+SUMIFS('Detail 18-19'!AJ:AJ,'Detail 18-19'!$AA:$AA,$A155)</f>
        <v>0</v>
      </c>
      <c r="L155" s="276">
        <f>+SUMIFS('Detail 18-19'!AK:AK,'Detail 18-19'!$AA:$AA,$A155)</f>
        <v>0</v>
      </c>
      <c r="M155" s="276">
        <f>+SUMIFS('Detail 18-19'!AL:AL,'Detail 18-19'!$AA:$AA,$A155)</f>
        <v>0</v>
      </c>
      <c r="N155" s="276">
        <f>+SUMIFS('Detail 18-19'!AM:AM,'Detail 18-19'!$AA:$AA,$A155)</f>
        <v>0</v>
      </c>
      <c r="O155" s="276">
        <f>+SUMIFS('Detail 18-19'!AN:AN,'Detail 18-19'!$AA:$AA,$A155)</f>
        <v>0</v>
      </c>
      <c r="P155" s="277">
        <f t="shared" si="18"/>
        <v>0</v>
      </c>
      <c r="Q155" s="270">
        <f>SUMIF('2019-03'!$E:$E,'Detail 19-20'!$A155,'2019-03'!$D:$D)</f>
        <v>3910</v>
      </c>
      <c r="R155" s="271" t="s">
        <v>950</v>
      </c>
      <c r="S155" s="270">
        <f t="shared" si="102"/>
        <v>5213.333333</v>
      </c>
      <c r="T155" s="272">
        <v>0.0</v>
      </c>
      <c r="U155" s="277">
        <f t="shared" si="4"/>
        <v>0</v>
      </c>
      <c r="V155" s="278">
        <f t="shared" si="5"/>
        <v>0</v>
      </c>
      <c r="W155" s="277">
        <f t="shared" si="6"/>
        <v>-5213.333333</v>
      </c>
      <c r="X155" s="278">
        <f t="shared" si="7"/>
        <v>-1</v>
      </c>
      <c r="Y155" s="279" t="s">
        <v>950</v>
      </c>
      <c r="Z155" s="277">
        <f t="shared" ref="Z155:AK155" si="113">+$T155/12</f>
        <v>0</v>
      </c>
      <c r="AA155" s="277">
        <f t="shared" si="113"/>
        <v>0</v>
      </c>
      <c r="AB155" s="277">
        <f t="shared" si="113"/>
        <v>0</v>
      </c>
      <c r="AC155" s="277">
        <f t="shared" si="113"/>
        <v>0</v>
      </c>
      <c r="AD155" s="277">
        <f t="shared" si="113"/>
        <v>0</v>
      </c>
      <c r="AE155" s="277">
        <f t="shared" si="113"/>
        <v>0</v>
      </c>
      <c r="AF155" s="277">
        <f t="shared" si="113"/>
        <v>0</v>
      </c>
      <c r="AG155" s="277">
        <f t="shared" si="113"/>
        <v>0</v>
      </c>
      <c r="AH155" s="277">
        <f t="shared" si="113"/>
        <v>0</v>
      </c>
      <c r="AI155" s="277">
        <f t="shared" si="113"/>
        <v>0</v>
      </c>
      <c r="AJ155" s="277">
        <f t="shared" si="113"/>
        <v>0</v>
      </c>
      <c r="AK155" s="277">
        <f t="shared" si="113"/>
        <v>0</v>
      </c>
      <c r="AL155" s="277">
        <f t="shared" si="2"/>
        <v>0</v>
      </c>
      <c r="AM155" s="277">
        <f t="shared" si="9"/>
        <v>0</v>
      </c>
      <c r="AN155" s="8" t="str">
        <f>+VLOOKUP('Detail 19-20'!A155,Map!$B$6:$M$222,12,FALSE)</f>
        <v>Marketing/PR/Advertising</v>
      </c>
    </row>
    <row r="156" ht="15.75" customHeight="1">
      <c r="A156" s="274" t="s">
        <v>1114</v>
      </c>
      <c r="B156" s="274" t="s">
        <v>1189</v>
      </c>
      <c r="C156" s="275" t="s">
        <v>551</v>
      </c>
      <c r="D156" s="276">
        <f>+SUMIFS('Detail 18-19'!AC:AC,'Detail 18-19'!$AA:$AA,$A156)</f>
        <v>0</v>
      </c>
      <c r="E156" s="276">
        <f>+SUMIFS('Detail 18-19'!AD:AD,'Detail 18-19'!$AA:$AA,$A156)</f>
        <v>0</v>
      </c>
      <c r="F156" s="276">
        <f>+SUMIFS('Detail 18-19'!AE:AE,'Detail 18-19'!$AA:$AA,$A156)</f>
        <v>0</v>
      </c>
      <c r="G156" s="276">
        <f>+SUMIFS('Detail 18-19'!AF:AF,'Detail 18-19'!$AA:$AA,$A156)</f>
        <v>0</v>
      </c>
      <c r="H156" s="276">
        <f>+SUMIFS('Detail 18-19'!AG:AG,'Detail 18-19'!$AA:$AA,$A156)</f>
        <v>0</v>
      </c>
      <c r="I156" s="276">
        <f>+SUMIFS('Detail 18-19'!AH:AH,'Detail 18-19'!$AA:$AA,$A156)</f>
        <v>0</v>
      </c>
      <c r="J156" s="276">
        <f>+SUMIFS('Detail 18-19'!AI:AI,'Detail 18-19'!$AA:$AA,$A156)</f>
        <v>0</v>
      </c>
      <c r="K156" s="276">
        <f>+SUMIFS('Detail 18-19'!AJ:AJ,'Detail 18-19'!$AA:$AA,$A156)</f>
        <v>0</v>
      </c>
      <c r="L156" s="276">
        <f>+SUMIFS('Detail 18-19'!AK:AK,'Detail 18-19'!$AA:$AA,$A156)</f>
        <v>0</v>
      </c>
      <c r="M156" s="276">
        <f>+SUMIFS('Detail 18-19'!AL:AL,'Detail 18-19'!$AA:$AA,$A156)</f>
        <v>0</v>
      </c>
      <c r="N156" s="276">
        <f>+SUMIFS('Detail 18-19'!AM:AM,'Detail 18-19'!$AA:$AA,$A156)</f>
        <v>0</v>
      </c>
      <c r="O156" s="276">
        <f>+SUMIFS('Detail 18-19'!AN:AN,'Detail 18-19'!$AA:$AA,$A156)</f>
        <v>0</v>
      </c>
      <c r="P156" s="277">
        <f t="shared" si="18"/>
        <v>0</v>
      </c>
      <c r="Q156" s="270">
        <f>SUMIF('2019-03'!$E:$E,'Detail 19-20'!$A156,'2019-03'!$D:$D)</f>
        <v>0</v>
      </c>
      <c r="R156" s="271" t="s">
        <v>950</v>
      </c>
      <c r="S156" s="270">
        <f t="shared" si="102"/>
        <v>0</v>
      </c>
      <c r="T156" s="272">
        <v>0.0</v>
      </c>
      <c r="U156" s="277">
        <f t="shared" si="4"/>
        <v>0</v>
      </c>
      <c r="V156" s="278">
        <f t="shared" si="5"/>
        <v>0</v>
      </c>
      <c r="W156" s="277">
        <f t="shared" si="6"/>
        <v>0</v>
      </c>
      <c r="X156" s="278">
        <f t="shared" si="7"/>
        <v>0</v>
      </c>
      <c r="Y156" s="279" t="s">
        <v>950</v>
      </c>
      <c r="Z156" s="277">
        <f t="shared" ref="Z156:AK156" si="114">+$T156/12</f>
        <v>0</v>
      </c>
      <c r="AA156" s="277">
        <f t="shared" si="114"/>
        <v>0</v>
      </c>
      <c r="AB156" s="277">
        <f t="shared" si="114"/>
        <v>0</v>
      </c>
      <c r="AC156" s="277">
        <f t="shared" si="114"/>
        <v>0</v>
      </c>
      <c r="AD156" s="277">
        <f t="shared" si="114"/>
        <v>0</v>
      </c>
      <c r="AE156" s="277">
        <f t="shared" si="114"/>
        <v>0</v>
      </c>
      <c r="AF156" s="277">
        <f t="shared" si="114"/>
        <v>0</v>
      </c>
      <c r="AG156" s="277">
        <f t="shared" si="114"/>
        <v>0</v>
      </c>
      <c r="AH156" s="277">
        <f t="shared" si="114"/>
        <v>0</v>
      </c>
      <c r="AI156" s="277">
        <f t="shared" si="114"/>
        <v>0</v>
      </c>
      <c r="AJ156" s="277">
        <f t="shared" si="114"/>
        <v>0</v>
      </c>
      <c r="AK156" s="277">
        <f t="shared" si="114"/>
        <v>0</v>
      </c>
      <c r="AL156" s="277">
        <f t="shared" si="2"/>
        <v>0</v>
      </c>
      <c r="AM156" s="277">
        <f t="shared" si="9"/>
        <v>0</v>
      </c>
      <c r="AN156" s="8" t="str">
        <f>+VLOOKUP('Detail 19-20'!A156,Map!$B$6:$M$222,12,FALSE)</f>
        <v>Marketing/PR/Advertising</v>
      </c>
    </row>
    <row r="157" ht="15.75" customHeight="1">
      <c r="A157" s="274" t="s">
        <v>1115</v>
      </c>
      <c r="B157" s="274" t="s">
        <v>1189</v>
      </c>
      <c r="C157" s="275" t="s">
        <v>559</v>
      </c>
      <c r="D157" s="276">
        <f>+SUMIFS('Detail 18-19'!AC:AC,'Detail 18-19'!$AA:$AA,$A157)</f>
        <v>0</v>
      </c>
      <c r="E157" s="276">
        <f>+SUMIFS('Detail 18-19'!AD:AD,'Detail 18-19'!$AA:$AA,$A157)</f>
        <v>0</v>
      </c>
      <c r="F157" s="276">
        <f>+SUMIFS('Detail 18-19'!AE:AE,'Detail 18-19'!$AA:$AA,$A157)</f>
        <v>0</v>
      </c>
      <c r="G157" s="276">
        <f>+SUMIFS('Detail 18-19'!AF:AF,'Detail 18-19'!$AA:$AA,$A157)</f>
        <v>0</v>
      </c>
      <c r="H157" s="276">
        <f>+SUMIFS('Detail 18-19'!AG:AG,'Detail 18-19'!$AA:$AA,$A157)</f>
        <v>0</v>
      </c>
      <c r="I157" s="276">
        <f>+SUMIFS('Detail 18-19'!AH:AH,'Detail 18-19'!$AA:$AA,$A157)</f>
        <v>0</v>
      </c>
      <c r="J157" s="276">
        <f>+SUMIFS('Detail 18-19'!AI:AI,'Detail 18-19'!$AA:$AA,$A157)</f>
        <v>0</v>
      </c>
      <c r="K157" s="276">
        <f>+SUMIFS('Detail 18-19'!AJ:AJ,'Detail 18-19'!$AA:$AA,$A157)</f>
        <v>0</v>
      </c>
      <c r="L157" s="276">
        <f>+SUMIFS('Detail 18-19'!AK:AK,'Detail 18-19'!$AA:$AA,$A157)</f>
        <v>0</v>
      </c>
      <c r="M157" s="276">
        <f>+SUMIFS('Detail 18-19'!AL:AL,'Detail 18-19'!$AA:$AA,$A157)</f>
        <v>0</v>
      </c>
      <c r="N157" s="276">
        <f>+SUMIFS('Detail 18-19'!AM:AM,'Detail 18-19'!$AA:$AA,$A157)</f>
        <v>0</v>
      </c>
      <c r="O157" s="276">
        <f>+SUMIFS('Detail 18-19'!AN:AN,'Detail 18-19'!$AA:$AA,$A157)</f>
        <v>0</v>
      </c>
      <c r="P157" s="277">
        <f t="shared" si="18"/>
        <v>0</v>
      </c>
      <c r="Q157" s="270">
        <f>SUMIF('2019-03'!$E:$E,'Detail 19-20'!$A157,'2019-03'!$D:$D)</f>
        <v>3481.62</v>
      </c>
      <c r="R157" s="271" t="s">
        <v>950</v>
      </c>
      <c r="S157" s="270">
        <f t="shared" si="102"/>
        <v>4642.16</v>
      </c>
      <c r="T157" s="272">
        <v>0.0</v>
      </c>
      <c r="U157" s="277">
        <f t="shared" si="4"/>
        <v>0</v>
      </c>
      <c r="V157" s="278">
        <f t="shared" si="5"/>
        <v>0</v>
      </c>
      <c r="W157" s="277">
        <f t="shared" si="6"/>
        <v>-4642.16</v>
      </c>
      <c r="X157" s="278">
        <f t="shared" si="7"/>
        <v>-1</v>
      </c>
      <c r="Y157" s="279" t="s">
        <v>950</v>
      </c>
      <c r="Z157" s="277">
        <f t="shared" ref="Z157:AK157" si="115">+$T157/12</f>
        <v>0</v>
      </c>
      <c r="AA157" s="277">
        <f t="shared" si="115"/>
        <v>0</v>
      </c>
      <c r="AB157" s="277">
        <f t="shared" si="115"/>
        <v>0</v>
      </c>
      <c r="AC157" s="277">
        <f t="shared" si="115"/>
        <v>0</v>
      </c>
      <c r="AD157" s="277">
        <f t="shared" si="115"/>
        <v>0</v>
      </c>
      <c r="AE157" s="277">
        <f t="shared" si="115"/>
        <v>0</v>
      </c>
      <c r="AF157" s="277">
        <f t="shared" si="115"/>
        <v>0</v>
      </c>
      <c r="AG157" s="277">
        <f t="shared" si="115"/>
        <v>0</v>
      </c>
      <c r="AH157" s="277">
        <f t="shared" si="115"/>
        <v>0</v>
      </c>
      <c r="AI157" s="277">
        <f t="shared" si="115"/>
        <v>0</v>
      </c>
      <c r="AJ157" s="277">
        <f t="shared" si="115"/>
        <v>0</v>
      </c>
      <c r="AK157" s="277">
        <f t="shared" si="115"/>
        <v>0</v>
      </c>
      <c r="AL157" s="277">
        <f t="shared" si="2"/>
        <v>0</v>
      </c>
      <c r="AM157" s="277">
        <f t="shared" si="9"/>
        <v>0</v>
      </c>
      <c r="AN157" s="8" t="str">
        <f>+VLOOKUP('Detail 19-20'!A157,Map!$B$6:$M$222,12,FALSE)</f>
        <v>Marketing/PR/Advertising</v>
      </c>
    </row>
    <row r="158" ht="15.75" customHeight="1">
      <c r="A158" s="274" t="s">
        <v>1116</v>
      </c>
      <c r="B158" s="274" t="s">
        <v>1189</v>
      </c>
      <c r="C158" s="275" t="s">
        <v>559</v>
      </c>
      <c r="D158" s="276">
        <f>+SUMIFS('Detail 18-19'!AC:AC,'Detail 18-19'!$AA:$AA,$A158)</f>
        <v>0</v>
      </c>
      <c r="E158" s="276">
        <f>+SUMIFS('Detail 18-19'!AD:AD,'Detail 18-19'!$AA:$AA,$A158)</f>
        <v>0</v>
      </c>
      <c r="F158" s="276">
        <f>+SUMIFS('Detail 18-19'!AE:AE,'Detail 18-19'!$AA:$AA,$A158)</f>
        <v>0</v>
      </c>
      <c r="G158" s="276">
        <f>+SUMIFS('Detail 18-19'!AF:AF,'Detail 18-19'!$AA:$AA,$A158)</f>
        <v>0</v>
      </c>
      <c r="H158" s="276">
        <f>+SUMIFS('Detail 18-19'!AG:AG,'Detail 18-19'!$AA:$AA,$A158)</f>
        <v>0</v>
      </c>
      <c r="I158" s="276">
        <f>+SUMIFS('Detail 18-19'!AH:AH,'Detail 18-19'!$AA:$AA,$A158)</f>
        <v>0</v>
      </c>
      <c r="J158" s="276">
        <f>+SUMIFS('Detail 18-19'!AI:AI,'Detail 18-19'!$AA:$AA,$A158)</f>
        <v>0</v>
      </c>
      <c r="K158" s="276">
        <f>+SUMIFS('Detail 18-19'!AJ:AJ,'Detail 18-19'!$AA:$AA,$A158)</f>
        <v>0</v>
      </c>
      <c r="L158" s="276">
        <f>+SUMIFS('Detail 18-19'!AK:AK,'Detail 18-19'!$AA:$AA,$A158)</f>
        <v>0</v>
      </c>
      <c r="M158" s="276">
        <f>+SUMIFS('Detail 18-19'!AL:AL,'Detail 18-19'!$AA:$AA,$A158)</f>
        <v>0</v>
      </c>
      <c r="N158" s="276">
        <f>+SUMIFS('Detail 18-19'!AM:AM,'Detail 18-19'!$AA:$AA,$A158)</f>
        <v>0</v>
      </c>
      <c r="O158" s="276">
        <f>+SUMIFS('Detail 18-19'!AN:AN,'Detail 18-19'!$AA:$AA,$A158)</f>
        <v>0</v>
      </c>
      <c r="P158" s="277">
        <f t="shared" si="18"/>
        <v>0</v>
      </c>
      <c r="Q158" s="270">
        <f>SUMIF('2019-03'!$E:$E,'Detail 19-20'!$A158,'2019-03'!$D:$D)</f>
        <v>8996.28</v>
      </c>
      <c r="R158" s="271" t="s">
        <v>950</v>
      </c>
      <c r="S158" s="270">
        <f t="shared" si="102"/>
        <v>11995.04</v>
      </c>
      <c r="T158" s="272">
        <v>0.0</v>
      </c>
      <c r="U158" s="277">
        <f t="shared" si="4"/>
        <v>0</v>
      </c>
      <c r="V158" s="278">
        <f t="shared" si="5"/>
        <v>0</v>
      </c>
      <c r="W158" s="277">
        <f t="shared" si="6"/>
        <v>-11995.04</v>
      </c>
      <c r="X158" s="278">
        <f t="shared" si="7"/>
        <v>-1</v>
      </c>
      <c r="Y158" s="279" t="s">
        <v>950</v>
      </c>
      <c r="Z158" s="277">
        <f t="shared" ref="Z158:AK158" si="116">+$T158/12</f>
        <v>0</v>
      </c>
      <c r="AA158" s="277">
        <f t="shared" si="116"/>
        <v>0</v>
      </c>
      <c r="AB158" s="277">
        <f t="shared" si="116"/>
        <v>0</v>
      </c>
      <c r="AC158" s="277">
        <f t="shared" si="116"/>
        <v>0</v>
      </c>
      <c r="AD158" s="277">
        <f t="shared" si="116"/>
        <v>0</v>
      </c>
      <c r="AE158" s="277">
        <f t="shared" si="116"/>
        <v>0</v>
      </c>
      <c r="AF158" s="277">
        <f t="shared" si="116"/>
        <v>0</v>
      </c>
      <c r="AG158" s="277">
        <f t="shared" si="116"/>
        <v>0</v>
      </c>
      <c r="AH158" s="277">
        <f t="shared" si="116"/>
        <v>0</v>
      </c>
      <c r="AI158" s="277">
        <f t="shared" si="116"/>
        <v>0</v>
      </c>
      <c r="AJ158" s="277">
        <f t="shared" si="116"/>
        <v>0</v>
      </c>
      <c r="AK158" s="277">
        <f t="shared" si="116"/>
        <v>0</v>
      </c>
      <c r="AL158" s="277">
        <f t="shared" si="2"/>
        <v>0</v>
      </c>
      <c r="AM158" s="277">
        <f t="shared" si="9"/>
        <v>0</v>
      </c>
      <c r="AN158" s="8" t="str">
        <f>+VLOOKUP('Detail 19-20'!A158,Map!$B$6:$M$222,12,FALSE)</f>
        <v>Marketing/PR/Advertising</v>
      </c>
    </row>
    <row r="159" ht="15.75" customHeight="1">
      <c r="A159" s="274" t="s">
        <v>1117</v>
      </c>
      <c r="B159" s="274" t="s">
        <v>1189</v>
      </c>
      <c r="C159" s="275" t="s">
        <v>562</v>
      </c>
      <c r="D159" s="276">
        <f>+SUMIFS('Detail 18-19'!AC:AC,'Detail 18-19'!$AA:$AA,$A159)</f>
        <v>0</v>
      </c>
      <c r="E159" s="276">
        <f>+SUMIFS('Detail 18-19'!AD:AD,'Detail 18-19'!$AA:$AA,$A159)</f>
        <v>0</v>
      </c>
      <c r="F159" s="276">
        <f>+SUMIFS('Detail 18-19'!AE:AE,'Detail 18-19'!$AA:$AA,$A159)</f>
        <v>0</v>
      </c>
      <c r="G159" s="276">
        <f>+SUMIFS('Detail 18-19'!AF:AF,'Detail 18-19'!$AA:$AA,$A159)</f>
        <v>0</v>
      </c>
      <c r="H159" s="276">
        <f>+SUMIFS('Detail 18-19'!AG:AG,'Detail 18-19'!$AA:$AA,$A159)</f>
        <v>0</v>
      </c>
      <c r="I159" s="276">
        <f>+SUMIFS('Detail 18-19'!AH:AH,'Detail 18-19'!$AA:$AA,$A159)</f>
        <v>0</v>
      </c>
      <c r="J159" s="276">
        <f>+SUMIFS('Detail 18-19'!AI:AI,'Detail 18-19'!$AA:$AA,$A159)</f>
        <v>0</v>
      </c>
      <c r="K159" s="276">
        <f>+SUMIFS('Detail 18-19'!AJ:AJ,'Detail 18-19'!$AA:$AA,$A159)</f>
        <v>0</v>
      </c>
      <c r="L159" s="276">
        <f>+SUMIFS('Detail 18-19'!AK:AK,'Detail 18-19'!$AA:$AA,$A159)</f>
        <v>0</v>
      </c>
      <c r="M159" s="276">
        <f>+SUMIFS('Detail 18-19'!AL:AL,'Detail 18-19'!$AA:$AA,$A159)</f>
        <v>0</v>
      </c>
      <c r="N159" s="276">
        <f>+SUMIFS('Detail 18-19'!AM:AM,'Detail 18-19'!$AA:$AA,$A159)</f>
        <v>0</v>
      </c>
      <c r="O159" s="276">
        <f>+SUMIFS('Detail 18-19'!AN:AN,'Detail 18-19'!$AA:$AA,$A159)</f>
        <v>0</v>
      </c>
      <c r="P159" s="277">
        <f t="shared" si="18"/>
        <v>0</v>
      </c>
      <c r="Q159" s="270">
        <f>SUMIF('2019-03'!$E:$E,'Detail 19-20'!$A159,'2019-03'!$D:$D)</f>
        <v>0</v>
      </c>
      <c r="R159" s="271" t="s">
        <v>950</v>
      </c>
      <c r="S159" s="270">
        <f t="shared" si="102"/>
        <v>0</v>
      </c>
      <c r="T159" s="272">
        <v>0.0</v>
      </c>
      <c r="U159" s="277">
        <f t="shared" si="4"/>
        <v>0</v>
      </c>
      <c r="V159" s="278">
        <f t="shared" si="5"/>
        <v>0</v>
      </c>
      <c r="W159" s="277">
        <f t="shared" si="6"/>
        <v>0</v>
      </c>
      <c r="X159" s="278">
        <f t="shared" si="7"/>
        <v>0</v>
      </c>
      <c r="Y159" s="279" t="s">
        <v>950</v>
      </c>
      <c r="Z159" s="277">
        <f t="shared" ref="Z159:AK159" si="117">+$T159/12</f>
        <v>0</v>
      </c>
      <c r="AA159" s="277">
        <f t="shared" si="117"/>
        <v>0</v>
      </c>
      <c r="AB159" s="277">
        <f t="shared" si="117"/>
        <v>0</v>
      </c>
      <c r="AC159" s="277">
        <f t="shared" si="117"/>
        <v>0</v>
      </c>
      <c r="AD159" s="277">
        <f t="shared" si="117"/>
        <v>0</v>
      </c>
      <c r="AE159" s="277">
        <f t="shared" si="117"/>
        <v>0</v>
      </c>
      <c r="AF159" s="277">
        <f t="shared" si="117"/>
        <v>0</v>
      </c>
      <c r="AG159" s="277">
        <f t="shared" si="117"/>
        <v>0</v>
      </c>
      <c r="AH159" s="277">
        <f t="shared" si="117"/>
        <v>0</v>
      </c>
      <c r="AI159" s="277">
        <f t="shared" si="117"/>
        <v>0</v>
      </c>
      <c r="AJ159" s="277">
        <f t="shared" si="117"/>
        <v>0</v>
      </c>
      <c r="AK159" s="277">
        <f t="shared" si="117"/>
        <v>0</v>
      </c>
      <c r="AL159" s="277">
        <f t="shared" si="2"/>
        <v>0</v>
      </c>
      <c r="AM159" s="277">
        <f t="shared" si="9"/>
        <v>0</v>
      </c>
      <c r="AN159" s="8" t="str">
        <f>+VLOOKUP('Detail 19-20'!A159,Map!$B$6:$M$222,12,FALSE)</f>
        <v>Marketing/PR/Advertising</v>
      </c>
    </row>
    <row r="160" ht="15.75" customHeight="1">
      <c r="A160" s="274" t="s">
        <v>1118</v>
      </c>
      <c r="B160" s="274" t="s">
        <v>1189</v>
      </c>
      <c r="C160" s="275" t="s">
        <v>564</v>
      </c>
      <c r="D160" s="276">
        <f>+SUMIFS('Detail 18-19'!AC:AC,'Detail 18-19'!$AA:$AA,$A160)</f>
        <v>0</v>
      </c>
      <c r="E160" s="276">
        <f>+SUMIFS('Detail 18-19'!AD:AD,'Detail 18-19'!$AA:$AA,$A160)</f>
        <v>0</v>
      </c>
      <c r="F160" s="276">
        <f>+SUMIFS('Detail 18-19'!AE:AE,'Detail 18-19'!$AA:$AA,$A160)</f>
        <v>0</v>
      </c>
      <c r="G160" s="276">
        <f>+SUMIFS('Detail 18-19'!AF:AF,'Detail 18-19'!$AA:$AA,$A160)</f>
        <v>0</v>
      </c>
      <c r="H160" s="276">
        <f>+SUMIFS('Detail 18-19'!AG:AG,'Detail 18-19'!$AA:$AA,$A160)</f>
        <v>0</v>
      </c>
      <c r="I160" s="276">
        <f>+SUMIFS('Detail 18-19'!AH:AH,'Detail 18-19'!$AA:$AA,$A160)</f>
        <v>0</v>
      </c>
      <c r="J160" s="276">
        <f>+SUMIFS('Detail 18-19'!AI:AI,'Detail 18-19'!$AA:$AA,$A160)</f>
        <v>0</v>
      </c>
      <c r="K160" s="276">
        <f>+SUMIFS('Detail 18-19'!AJ:AJ,'Detail 18-19'!$AA:$AA,$A160)</f>
        <v>0</v>
      </c>
      <c r="L160" s="276">
        <f>+SUMIFS('Detail 18-19'!AK:AK,'Detail 18-19'!$AA:$AA,$A160)</f>
        <v>0</v>
      </c>
      <c r="M160" s="276">
        <f>+SUMIFS('Detail 18-19'!AL:AL,'Detail 18-19'!$AA:$AA,$A160)</f>
        <v>0</v>
      </c>
      <c r="N160" s="276">
        <f>+SUMIFS('Detail 18-19'!AM:AM,'Detail 18-19'!$AA:$AA,$A160)</f>
        <v>0</v>
      </c>
      <c r="O160" s="276">
        <f>+SUMIFS('Detail 18-19'!AN:AN,'Detail 18-19'!$AA:$AA,$A160)</f>
        <v>0</v>
      </c>
      <c r="P160" s="277">
        <f t="shared" si="18"/>
        <v>0</v>
      </c>
      <c r="Q160" s="270">
        <f>SUMIF('2019-03'!$E:$E,'Detail 19-20'!$A160,'2019-03'!$D:$D)</f>
        <v>21.17</v>
      </c>
      <c r="R160" s="271" t="s">
        <v>950</v>
      </c>
      <c r="S160" s="270">
        <f t="shared" si="102"/>
        <v>28.22666667</v>
      </c>
      <c r="T160" s="272">
        <v>0.0</v>
      </c>
      <c r="U160" s="277">
        <f t="shared" si="4"/>
        <v>0</v>
      </c>
      <c r="V160" s="278">
        <f t="shared" si="5"/>
        <v>0</v>
      </c>
      <c r="W160" s="277">
        <f t="shared" si="6"/>
        <v>-28.22666667</v>
      </c>
      <c r="X160" s="278">
        <f t="shared" si="7"/>
        <v>-1</v>
      </c>
      <c r="Y160" s="279" t="s">
        <v>950</v>
      </c>
      <c r="Z160" s="277">
        <f t="shared" ref="Z160:AK160" si="118">+$T160/12</f>
        <v>0</v>
      </c>
      <c r="AA160" s="277">
        <f t="shared" si="118"/>
        <v>0</v>
      </c>
      <c r="AB160" s="277">
        <f t="shared" si="118"/>
        <v>0</v>
      </c>
      <c r="AC160" s="277">
        <f t="shared" si="118"/>
        <v>0</v>
      </c>
      <c r="AD160" s="277">
        <f t="shared" si="118"/>
        <v>0</v>
      </c>
      <c r="AE160" s="277">
        <f t="shared" si="118"/>
        <v>0</v>
      </c>
      <c r="AF160" s="277">
        <f t="shared" si="118"/>
        <v>0</v>
      </c>
      <c r="AG160" s="277">
        <f t="shared" si="118"/>
        <v>0</v>
      </c>
      <c r="AH160" s="277">
        <f t="shared" si="118"/>
        <v>0</v>
      </c>
      <c r="AI160" s="277">
        <f t="shared" si="118"/>
        <v>0</v>
      </c>
      <c r="AJ160" s="277">
        <f t="shared" si="118"/>
        <v>0</v>
      </c>
      <c r="AK160" s="277">
        <f t="shared" si="118"/>
        <v>0</v>
      </c>
      <c r="AL160" s="277">
        <f t="shared" si="2"/>
        <v>0</v>
      </c>
      <c r="AM160" s="277">
        <f t="shared" si="9"/>
        <v>0</v>
      </c>
      <c r="AN160" s="8" t="str">
        <f>+VLOOKUP('Detail 19-20'!A160,Map!$B$6:$M$222,12,FALSE)</f>
        <v>Marketing/PR/Advertising</v>
      </c>
    </row>
    <row r="161" ht="15.75" customHeight="1">
      <c r="A161" s="274" t="s">
        <v>1119</v>
      </c>
      <c r="B161" s="274" t="s">
        <v>1189</v>
      </c>
      <c r="C161" s="275" t="s">
        <v>570</v>
      </c>
      <c r="D161" s="276">
        <f>+SUMIFS('Detail 18-19'!AC:AC,'Detail 18-19'!$AA:$AA,$A161)</f>
        <v>0</v>
      </c>
      <c r="E161" s="276">
        <f>+SUMIFS('Detail 18-19'!AD:AD,'Detail 18-19'!$AA:$AA,$A161)</f>
        <v>0</v>
      </c>
      <c r="F161" s="276">
        <f>+SUMIFS('Detail 18-19'!AE:AE,'Detail 18-19'!$AA:$AA,$A161)</f>
        <v>0</v>
      </c>
      <c r="G161" s="276">
        <f>+SUMIFS('Detail 18-19'!AF:AF,'Detail 18-19'!$AA:$AA,$A161)</f>
        <v>0</v>
      </c>
      <c r="H161" s="276">
        <f>+SUMIFS('Detail 18-19'!AG:AG,'Detail 18-19'!$AA:$AA,$A161)</f>
        <v>0</v>
      </c>
      <c r="I161" s="276">
        <f>+SUMIFS('Detail 18-19'!AH:AH,'Detail 18-19'!$AA:$AA,$A161)</f>
        <v>0</v>
      </c>
      <c r="J161" s="276">
        <f>+SUMIFS('Detail 18-19'!AI:AI,'Detail 18-19'!$AA:$AA,$A161)</f>
        <v>0</v>
      </c>
      <c r="K161" s="276">
        <f>+SUMIFS('Detail 18-19'!AJ:AJ,'Detail 18-19'!$AA:$AA,$A161)</f>
        <v>0</v>
      </c>
      <c r="L161" s="276">
        <f>+SUMIFS('Detail 18-19'!AK:AK,'Detail 18-19'!$AA:$AA,$A161)</f>
        <v>0</v>
      </c>
      <c r="M161" s="276">
        <f>+SUMIFS('Detail 18-19'!AL:AL,'Detail 18-19'!$AA:$AA,$A161)</f>
        <v>0</v>
      </c>
      <c r="N161" s="276">
        <f>+SUMIFS('Detail 18-19'!AM:AM,'Detail 18-19'!$AA:$AA,$A161)</f>
        <v>0</v>
      </c>
      <c r="O161" s="276">
        <f>+SUMIFS('Detail 18-19'!AN:AN,'Detail 18-19'!$AA:$AA,$A161)</f>
        <v>0</v>
      </c>
      <c r="P161" s="277">
        <f t="shared" si="18"/>
        <v>0</v>
      </c>
      <c r="Q161" s="270">
        <f>SUMIF('2019-03'!$E:$E,'Detail 19-20'!$A161,'2019-03'!$D:$D)</f>
        <v>483.38</v>
      </c>
      <c r="R161" s="271" t="s">
        <v>992</v>
      </c>
      <c r="S161" s="270">
        <f t="shared" si="102"/>
        <v>604.225</v>
      </c>
      <c r="T161" s="272">
        <v>0.0</v>
      </c>
      <c r="U161" s="277">
        <f t="shared" si="4"/>
        <v>0</v>
      </c>
      <c r="V161" s="278">
        <f t="shared" si="5"/>
        <v>0</v>
      </c>
      <c r="W161" s="277">
        <f t="shared" si="6"/>
        <v>-604.225</v>
      </c>
      <c r="X161" s="278">
        <f t="shared" si="7"/>
        <v>-1</v>
      </c>
      <c r="Y161" s="279" t="s">
        <v>950</v>
      </c>
      <c r="Z161" s="277">
        <f t="shared" ref="Z161:AK161" si="119">+$T161/12</f>
        <v>0</v>
      </c>
      <c r="AA161" s="277">
        <f t="shared" si="119"/>
        <v>0</v>
      </c>
      <c r="AB161" s="277">
        <f t="shared" si="119"/>
        <v>0</v>
      </c>
      <c r="AC161" s="277">
        <f t="shared" si="119"/>
        <v>0</v>
      </c>
      <c r="AD161" s="277">
        <f t="shared" si="119"/>
        <v>0</v>
      </c>
      <c r="AE161" s="277">
        <f t="shared" si="119"/>
        <v>0</v>
      </c>
      <c r="AF161" s="277">
        <f t="shared" si="119"/>
        <v>0</v>
      </c>
      <c r="AG161" s="277">
        <f t="shared" si="119"/>
        <v>0</v>
      </c>
      <c r="AH161" s="277">
        <f t="shared" si="119"/>
        <v>0</v>
      </c>
      <c r="AI161" s="277">
        <f t="shared" si="119"/>
        <v>0</v>
      </c>
      <c r="AJ161" s="277">
        <f t="shared" si="119"/>
        <v>0</v>
      </c>
      <c r="AK161" s="277">
        <f t="shared" si="119"/>
        <v>0</v>
      </c>
      <c r="AL161" s="277">
        <f t="shared" si="2"/>
        <v>0</v>
      </c>
      <c r="AM161" s="277">
        <f t="shared" si="9"/>
        <v>0</v>
      </c>
      <c r="AN161" s="8" t="str">
        <f>+VLOOKUP('Detail 19-20'!A161,Map!$B$6:$M$222,12,FALSE)</f>
        <v>Marketing/PR/Advertising</v>
      </c>
    </row>
    <row r="162" ht="15.75" customHeight="1">
      <c r="A162" s="274" t="s">
        <v>1121</v>
      </c>
      <c r="B162" s="274" t="s">
        <v>1189</v>
      </c>
      <c r="C162" s="275" t="s">
        <v>570</v>
      </c>
      <c r="D162" s="276">
        <f>+SUMIFS('Detail 18-19'!AC:AC,'Detail 18-19'!$AA:$AA,$A162)</f>
        <v>0</v>
      </c>
      <c r="E162" s="276">
        <f>+SUMIFS('Detail 18-19'!AD:AD,'Detail 18-19'!$AA:$AA,$A162)</f>
        <v>0</v>
      </c>
      <c r="F162" s="276">
        <f>+SUMIFS('Detail 18-19'!AE:AE,'Detail 18-19'!$AA:$AA,$A162)</f>
        <v>0</v>
      </c>
      <c r="G162" s="276">
        <f>+SUMIFS('Detail 18-19'!AF:AF,'Detail 18-19'!$AA:$AA,$A162)</f>
        <v>0</v>
      </c>
      <c r="H162" s="276">
        <f>+SUMIFS('Detail 18-19'!AG:AG,'Detail 18-19'!$AA:$AA,$A162)</f>
        <v>0</v>
      </c>
      <c r="I162" s="276">
        <f>+SUMIFS('Detail 18-19'!AH:AH,'Detail 18-19'!$AA:$AA,$A162)</f>
        <v>0</v>
      </c>
      <c r="J162" s="276">
        <f>+SUMIFS('Detail 18-19'!AI:AI,'Detail 18-19'!$AA:$AA,$A162)</f>
        <v>0</v>
      </c>
      <c r="K162" s="276">
        <f>+SUMIFS('Detail 18-19'!AJ:AJ,'Detail 18-19'!$AA:$AA,$A162)</f>
        <v>0</v>
      </c>
      <c r="L162" s="276">
        <f>+SUMIFS('Detail 18-19'!AK:AK,'Detail 18-19'!$AA:$AA,$A162)</f>
        <v>0</v>
      </c>
      <c r="M162" s="276">
        <f>+SUMIFS('Detail 18-19'!AL:AL,'Detail 18-19'!$AA:$AA,$A162)</f>
        <v>0</v>
      </c>
      <c r="N162" s="276">
        <f>+SUMIFS('Detail 18-19'!AM:AM,'Detail 18-19'!$AA:$AA,$A162)</f>
        <v>0</v>
      </c>
      <c r="O162" s="276">
        <f>+SUMIFS('Detail 18-19'!AN:AN,'Detail 18-19'!$AA:$AA,$A162)</f>
        <v>0</v>
      </c>
      <c r="P162" s="277">
        <f t="shared" si="18"/>
        <v>0</v>
      </c>
      <c r="Q162" s="270">
        <f>SUMIF('2019-03'!$E:$E,'Detail 19-20'!$A162,'2019-03'!$D:$D)</f>
        <v>402.7</v>
      </c>
      <c r="R162" s="271" t="s">
        <v>992</v>
      </c>
      <c r="S162" s="270">
        <f t="shared" si="102"/>
        <v>503.375</v>
      </c>
      <c r="T162" s="272">
        <v>0.0</v>
      </c>
      <c r="U162" s="277">
        <f t="shared" si="4"/>
        <v>0</v>
      </c>
      <c r="V162" s="278">
        <f t="shared" si="5"/>
        <v>0</v>
      </c>
      <c r="W162" s="277">
        <f t="shared" si="6"/>
        <v>-503.375</v>
      </c>
      <c r="X162" s="278">
        <f t="shared" si="7"/>
        <v>-1</v>
      </c>
      <c r="Y162" s="279" t="s">
        <v>950</v>
      </c>
      <c r="Z162" s="277">
        <f t="shared" ref="Z162:AK162" si="120">+$T162/12</f>
        <v>0</v>
      </c>
      <c r="AA162" s="277">
        <f t="shared" si="120"/>
        <v>0</v>
      </c>
      <c r="AB162" s="277">
        <f t="shared" si="120"/>
        <v>0</v>
      </c>
      <c r="AC162" s="277">
        <f t="shared" si="120"/>
        <v>0</v>
      </c>
      <c r="AD162" s="277">
        <f t="shared" si="120"/>
        <v>0</v>
      </c>
      <c r="AE162" s="277">
        <f t="shared" si="120"/>
        <v>0</v>
      </c>
      <c r="AF162" s="277">
        <f t="shared" si="120"/>
        <v>0</v>
      </c>
      <c r="AG162" s="277">
        <f t="shared" si="120"/>
        <v>0</v>
      </c>
      <c r="AH162" s="277">
        <f t="shared" si="120"/>
        <v>0</v>
      </c>
      <c r="AI162" s="277">
        <f t="shared" si="120"/>
        <v>0</v>
      </c>
      <c r="AJ162" s="277">
        <f t="shared" si="120"/>
        <v>0</v>
      </c>
      <c r="AK162" s="277">
        <f t="shared" si="120"/>
        <v>0</v>
      </c>
      <c r="AL162" s="277">
        <f t="shared" si="2"/>
        <v>0</v>
      </c>
      <c r="AM162" s="277">
        <f t="shared" si="9"/>
        <v>0</v>
      </c>
      <c r="AN162" s="8" t="str">
        <f>+VLOOKUP('Detail 19-20'!A162,Map!$B$6:$M$222,12,FALSE)</f>
        <v>Marketing/PR/Advertising</v>
      </c>
    </row>
    <row r="163" ht="15.75" customHeight="1">
      <c r="A163" s="274" t="s">
        <v>1122</v>
      </c>
      <c r="B163" s="274" t="s">
        <v>1189</v>
      </c>
      <c r="C163" s="275" t="s">
        <v>570</v>
      </c>
      <c r="D163" s="276">
        <f>+SUMIFS('Detail 18-19'!AC:AC,'Detail 18-19'!$AA:$AA,$A163)</f>
        <v>0</v>
      </c>
      <c r="E163" s="276">
        <f>+SUMIFS('Detail 18-19'!AD:AD,'Detail 18-19'!$AA:$AA,$A163)</f>
        <v>0</v>
      </c>
      <c r="F163" s="276">
        <f>+SUMIFS('Detail 18-19'!AE:AE,'Detail 18-19'!$AA:$AA,$A163)</f>
        <v>0</v>
      </c>
      <c r="G163" s="276">
        <f>+SUMIFS('Detail 18-19'!AF:AF,'Detail 18-19'!$AA:$AA,$A163)</f>
        <v>0</v>
      </c>
      <c r="H163" s="276">
        <f>+SUMIFS('Detail 18-19'!AG:AG,'Detail 18-19'!$AA:$AA,$A163)</f>
        <v>0</v>
      </c>
      <c r="I163" s="276">
        <f>+SUMIFS('Detail 18-19'!AH:AH,'Detail 18-19'!$AA:$AA,$A163)</f>
        <v>0</v>
      </c>
      <c r="J163" s="276">
        <f>+SUMIFS('Detail 18-19'!AI:AI,'Detail 18-19'!$AA:$AA,$A163)</f>
        <v>0</v>
      </c>
      <c r="K163" s="276">
        <f>+SUMIFS('Detail 18-19'!AJ:AJ,'Detail 18-19'!$AA:$AA,$A163)</f>
        <v>0</v>
      </c>
      <c r="L163" s="276">
        <f>+SUMIFS('Detail 18-19'!AK:AK,'Detail 18-19'!$AA:$AA,$A163)</f>
        <v>0</v>
      </c>
      <c r="M163" s="276">
        <f>+SUMIFS('Detail 18-19'!AL:AL,'Detail 18-19'!$AA:$AA,$A163)</f>
        <v>0</v>
      </c>
      <c r="N163" s="276">
        <f>+SUMIFS('Detail 18-19'!AM:AM,'Detail 18-19'!$AA:$AA,$A163)</f>
        <v>0</v>
      </c>
      <c r="O163" s="276">
        <f>+SUMIFS('Detail 18-19'!AN:AN,'Detail 18-19'!$AA:$AA,$A163)</f>
        <v>0</v>
      </c>
      <c r="P163" s="277">
        <f t="shared" si="18"/>
        <v>0</v>
      </c>
      <c r="Q163" s="270">
        <f>SUMIF('2019-03'!$E:$E,'Detail 19-20'!$A163,'2019-03'!$D:$D)</f>
        <v>67.16</v>
      </c>
      <c r="R163" s="271" t="s">
        <v>992</v>
      </c>
      <c r="S163" s="270">
        <f t="shared" si="102"/>
        <v>83.95</v>
      </c>
      <c r="T163" s="272">
        <v>0.0</v>
      </c>
      <c r="U163" s="277">
        <f t="shared" si="4"/>
        <v>0</v>
      </c>
      <c r="V163" s="278">
        <f t="shared" si="5"/>
        <v>0</v>
      </c>
      <c r="W163" s="277">
        <f t="shared" si="6"/>
        <v>-83.95</v>
      </c>
      <c r="X163" s="278">
        <f t="shared" si="7"/>
        <v>-1</v>
      </c>
      <c r="Y163" s="279" t="s">
        <v>950</v>
      </c>
      <c r="Z163" s="277">
        <f t="shared" ref="Z163:AK163" si="121">+$T163/12</f>
        <v>0</v>
      </c>
      <c r="AA163" s="277">
        <f t="shared" si="121"/>
        <v>0</v>
      </c>
      <c r="AB163" s="277">
        <f t="shared" si="121"/>
        <v>0</v>
      </c>
      <c r="AC163" s="277">
        <f t="shared" si="121"/>
        <v>0</v>
      </c>
      <c r="AD163" s="277">
        <f t="shared" si="121"/>
        <v>0</v>
      </c>
      <c r="AE163" s="277">
        <f t="shared" si="121"/>
        <v>0</v>
      </c>
      <c r="AF163" s="277">
        <f t="shared" si="121"/>
        <v>0</v>
      </c>
      <c r="AG163" s="277">
        <f t="shared" si="121"/>
        <v>0</v>
      </c>
      <c r="AH163" s="277">
        <f t="shared" si="121"/>
        <v>0</v>
      </c>
      <c r="AI163" s="277">
        <f t="shared" si="121"/>
        <v>0</v>
      </c>
      <c r="AJ163" s="277">
        <f t="shared" si="121"/>
        <v>0</v>
      </c>
      <c r="AK163" s="277">
        <f t="shared" si="121"/>
        <v>0</v>
      </c>
      <c r="AL163" s="277">
        <f t="shared" si="2"/>
        <v>0</v>
      </c>
      <c r="AM163" s="277">
        <f t="shared" si="9"/>
        <v>0</v>
      </c>
      <c r="AN163" s="8" t="str">
        <f>+VLOOKUP('Detail 19-20'!A163,Map!$B$6:$M$222,12,FALSE)</f>
        <v>Marketing/PR/Advertising</v>
      </c>
    </row>
    <row r="164" ht="15.75" customHeight="1">
      <c r="A164" s="274" t="s">
        <v>1124</v>
      </c>
      <c r="B164" s="274" t="s">
        <v>1189</v>
      </c>
      <c r="C164" s="275" t="s">
        <v>574</v>
      </c>
      <c r="D164" s="276">
        <f>+SUMIFS('Detail 18-19'!AC:AC,'Detail 18-19'!$AA:$AA,$A164)</f>
        <v>2500</v>
      </c>
      <c r="E164" s="276">
        <f>+SUMIFS('Detail 18-19'!AD:AD,'Detail 18-19'!$AA:$AA,$A164)</f>
        <v>500</v>
      </c>
      <c r="F164" s="276">
        <f>+SUMIFS('Detail 18-19'!AE:AE,'Detail 18-19'!$AA:$AA,$A164)</f>
        <v>0</v>
      </c>
      <c r="G164" s="276">
        <f>+SUMIFS('Detail 18-19'!AF:AF,'Detail 18-19'!$AA:$AA,$A164)</f>
        <v>0</v>
      </c>
      <c r="H164" s="276">
        <f>+SUMIFS('Detail 18-19'!AG:AG,'Detail 18-19'!$AA:$AA,$A164)</f>
        <v>0</v>
      </c>
      <c r="I164" s="276">
        <f>+SUMIFS('Detail 18-19'!AH:AH,'Detail 18-19'!$AA:$AA,$A164)</f>
        <v>0</v>
      </c>
      <c r="J164" s="276">
        <f>+SUMIFS('Detail 18-19'!AI:AI,'Detail 18-19'!$AA:$AA,$A164)</f>
        <v>500</v>
      </c>
      <c r="K164" s="276">
        <f>+SUMIFS('Detail 18-19'!AJ:AJ,'Detail 18-19'!$AA:$AA,$A164)</f>
        <v>0</v>
      </c>
      <c r="L164" s="276">
        <f>+SUMIFS('Detail 18-19'!AK:AK,'Detail 18-19'!$AA:$AA,$A164)</f>
        <v>0</v>
      </c>
      <c r="M164" s="276">
        <f>+SUMIFS('Detail 18-19'!AL:AL,'Detail 18-19'!$AA:$AA,$A164)</f>
        <v>0</v>
      </c>
      <c r="N164" s="276">
        <f>+SUMIFS('Detail 18-19'!AM:AM,'Detail 18-19'!$AA:$AA,$A164)</f>
        <v>0</v>
      </c>
      <c r="O164" s="276">
        <f>+SUMIFS('Detail 18-19'!AN:AN,'Detail 18-19'!$AA:$AA,$A164)</f>
        <v>0</v>
      </c>
      <c r="P164" s="277">
        <f t="shared" si="18"/>
        <v>3500</v>
      </c>
      <c r="Q164" s="270">
        <f>SUMIF('2019-03'!$E:$E,'Detail 19-20'!$A164,'2019-03'!$D:$D)</f>
        <v>2710.53</v>
      </c>
      <c r="R164" s="271" t="s">
        <v>954</v>
      </c>
      <c r="S164" s="270">
        <f t="shared" si="102"/>
        <v>2710.53</v>
      </c>
      <c r="T164" s="272">
        <v>3000.0</v>
      </c>
      <c r="U164" s="277">
        <f t="shared" si="4"/>
        <v>-500</v>
      </c>
      <c r="V164" s="278">
        <f t="shared" si="5"/>
        <v>-0.1428571429</v>
      </c>
      <c r="W164" s="277">
        <f t="shared" si="6"/>
        <v>289.47</v>
      </c>
      <c r="X164" s="278">
        <f t="shared" si="7"/>
        <v>0.1067946121</v>
      </c>
      <c r="Y164" s="279" t="s">
        <v>1137</v>
      </c>
      <c r="Z164" s="277">
        <v>0.0</v>
      </c>
      <c r="AA164" s="277">
        <f>+$T164*0.5</f>
        <v>1500</v>
      </c>
      <c r="AB164" s="277">
        <v>0.0</v>
      </c>
      <c r="AC164" s="277">
        <v>0.0</v>
      </c>
      <c r="AD164" s="277">
        <v>0.0</v>
      </c>
      <c r="AE164" s="277">
        <v>0.0</v>
      </c>
      <c r="AF164" s="277">
        <f>+$T164*0.5</f>
        <v>1500</v>
      </c>
      <c r="AG164" s="277">
        <v>0.0</v>
      </c>
      <c r="AH164" s="277">
        <v>0.0</v>
      </c>
      <c r="AI164" s="277">
        <v>0.0</v>
      </c>
      <c r="AJ164" s="277">
        <v>0.0</v>
      </c>
      <c r="AK164" s="277">
        <v>0.0</v>
      </c>
      <c r="AL164" s="277">
        <f t="shared" si="2"/>
        <v>3000</v>
      </c>
      <c r="AM164" s="277">
        <f t="shared" si="9"/>
        <v>0</v>
      </c>
      <c r="AN164" s="8" t="str">
        <f>+VLOOKUP('Detail 19-20'!A164,Map!$B$6:$M$222,12,FALSE)</f>
        <v>Bank Charges</v>
      </c>
    </row>
    <row r="165" ht="15.75" customHeight="1">
      <c r="A165" s="274" t="s">
        <v>1126</v>
      </c>
      <c r="B165" s="274" t="s">
        <v>1189</v>
      </c>
      <c r="C165" s="275" t="s">
        <v>154</v>
      </c>
      <c r="D165" s="276">
        <f>+SUMIFS('Detail 18-19'!AC:AC,'Detail 18-19'!$AA:$AA,$A165)</f>
        <v>83.33333333</v>
      </c>
      <c r="E165" s="276">
        <f>+SUMIFS('Detail 18-19'!AD:AD,'Detail 18-19'!$AA:$AA,$A165)</f>
        <v>83.33333333</v>
      </c>
      <c r="F165" s="276">
        <f>+SUMIFS('Detail 18-19'!AE:AE,'Detail 18-19'!$AA:$AA,$A165)</f>
        <v>83.33333333</v>
      </c>
      <c r="G165" s="276">
        <f>+SUMIFS('Detail 18-19'!AF:AF,'Detail 18-19'!$AA:$AA,$A165)</f>
        <v>83.33333333</v>
      </c>
      <c r="H165" s="276">
        <f>+SUMIFS('Detail 18-19'!AG:AG,'Detail 18-19'!$AA:$AA,$A165)</f>
        <v>83.33333333</v>
      </c>
      <c r="I165" s="276">
        <f>+SUMIFS('Detail 18-19'!AH:AH,'Detail 18-19'!$AA:$AA,$A165)</f>
        <v>83.33333333</v>
      </c>
      <c r="J165" s="276">
        <f>+SUMIFS('Detail 18-19'!AI:AI,'Detail 18-19'!$AA:$AA,$A165)</f>
        <v>83.33333333</v>
      </c>
      <c r="K165" s="276">
        <f>+SUMIFS('Detail 18-19'!AJ:AJ,'Detail 18-19'!$AA:$AA,$A165)</f>
        <v>83.33333333</v>
      </c>
      <c r="L165" s="276">
        <f>+SUMIFS('Detail 18-19'!AK:AK,'Detail 18-19'!$AA:$AA,$A165)</f>
        <v>83.33333333</v>
      </c>
      <c r="M165" s="276">
        <f>+SUMIFS('Detail 18-19'!AL:AL,'Detail 18-19'!$AA:$AA,$A165)</f>
        <v>83.33333333</v>
      </c>
      <c r="N165" s="276">
        <f>+SUMIFS('Detail 18-19'!AM:AM,'Detail 18-19'!$AA:$AA,$A165)</f>
        <v>83.33333333</v>
      </c>
      <c r="O165" s="276">
        <f>+SUMIFS('Detail 18-19'!AN:AN,'Detail 18-19'!$AA:$AA,$A165)</f>
        <v>83.33333333</v>
      </c>
      <c r="P165" s="277">
        <f t="shared" si="18"/>
        <v>1000</v>
      </c>
      <c r="Q165" s="270">
        <f>SUMIF('2019-03'!$E:$E,'Detail 19-20'!$A165,'2019-03'!$D:$D)</f>
        <v>1872.68</v>
      </c>
      <c r="R165" s="271" t="s">
        <v>950</v>
      </c>
      <c r="S165" s="270">
        <f t="shared" si="102"/>
        <v>2496.906667</v>
      </c>
      <c r="T165" s="272">
        <v>2500.0</v>
      </c>
      <c r="U165" s="277">
        <f t="shared" si="4"/>
        <v>1500</v>
      </c>
      <c r="V165" s="278">
        <f t="shared" si="5"/>
        <v>1.5</v>
      </c>
      <c r="W165" s="277">
        <f t="shared" si="6"/>
        <v>3.093333333</v>
      </c>
      <c r="X165" s="278">
        <f t="shared" si="7"/>
        <v>0.001238866224</v>
      </c>
      <c r="Y165" s="279" t="s">
        <v>950</v>
      </c>
      <c r="Z165" s="277">
        <f t="shared" ref="Z165:AK165" si="122">+$T165/12</f>
        <v>208.3333333</v>
      </c>
      <c r="AA165" s="277">
        <f t="shared" si="122"/>
        <v>208.3333333</v>
      </c>
      <c r="AB165" s="277">
        <f t="shared" si="122"/>
        <v>208.3333333</v>
      </c>
      <c r="AC165" s="277">
        <f t="shared" si="122"/>
        <v>208.3333333</v>
      </c>
      <c r="AD165" s="277">
        <f t="shared" si="122"/>
        <v>208.3333333</v>
      </c>
      <c r="AE165" s="277">
        <f t="shared" si="122"/>
        <v>208.3333333</v>
      </c>
      <c r="AF165" s="277">
        <f t="shared" si="122"/>
        <v>208.3333333</v>
      </c>
      <c r="AG165" s="277">
        <f t="shared" si="122"/>
        <v>208.3333333</v>
      </c>
      <c r="AH165" s="277">
        <f t="shared" si="122"/>
        <v>208.3333333</v>
      </c>
      <c r="AI165" s="277">
        <f t="shared" si="122"/>
        <v>208.3333333</v>
      </c>
      <c r="AJ165" s="277">
        <f t="shared" si="122"/>
        <v>208.3333333</v>
      </c>
      <c r="AK165" s="277">
        <f t="shared" si="122"/>
        <v>208.3333333</v>
      </c>
      <c r="AL165" s="277">
        <f t="shared" si="2"/>
        <v>2500</v>
      </c>
      <c r="AM165" s="277">
        <f t="shared" si="9"/>
        <v>0</v>
      </c>
      <c r="AN165" s="8" t="str">
        <f>+VLOOKUP('Detail 19-20'!A165,Map!$B$6:$M$222,12,FALSE)</f>
        <v>Bank Charges</v>
      </c>
    </row>
    <row r="166" ht="15.75" customHeight="1">
      <c r="A166" s="274" t="s">
        <v>1128</v>
      </c>
      <c r="B166" s="274" t="s">
        <v>1189</v>
      </c>
      <c r="C166" s="275" t="s">
        <v>577</v>
      </c>
      <c r="D166" s="276">
        <f>+SUMIFS('Detail 18-19'!AC:AC,'Detail 18-19'!$AA:$AA,$A166)</f>
        <v>0</v>
      </c>
      <c r="E166" s="276">
        <f>+SUMIFS('Detail 18-19'!AD:AD,'Detail 18-19'!$AA:$AA,$A166)</f>
        <v>0</v>
      </c>
      <c r="F166" s="276">
        <f>+SUMIFS('Detail 18-19'!AE:AE,'Detail 18-19'!$AA:$AA,$A166)</f>
        <v>0</v>
      </c>
      <c r="G166" s="276">
        <f>+SUMIFS('Detail 18-19'!AF:AF,'Detail 18-19'!$AA:$AA,$A166)</f>
        <v>0</v>
      </c>
      <c r="H166" s="276">
        <f>+SUMIFS('Detail 18-19'!AG:AG,'Detail 18-19'!$AA:$AA,$A166)</f>
        <v>0</v>
      </c>
      <c r="I166" s="276">
        <f>+SUMIFS('Detail 18-19'!AH:AH,'Detail 18-19'!$AA:$AA,$A166)</f>
        <v>0</v>
      </c>
      <c r="J166" s="276">
        <f>+SUMIFS('Detail 18-19'!AI:AI,'Detail 18-19'!$AA:$AA,$A166)</f>
        <v>0</v>
      </c>
      <c r="K166" s="276">
        <f>+SUMIFS('Detail 18-19'!AJ:AJ,'Detail 18-19'!$AA:$AA,$A166)</f>
        <v>0</v>
      </c>
      <c r="L166" s="276">
        <f>+SUMIFS('Detail 18-19'!AK:AK,'Detail 18-19'!$AA:$AA,$A166)</f>
        <v>0</v>
      </c>
      <c r="M166" s="276">
        <f>+SUMIFS('Detail 18-19'!AL:AL,'Detail 18-19'!$AA:$AA,$A166)</f>
        <v>0</v>
      </c>
      <c r="N166" s="276">
        <f>+SUMIFS('Detail 18-19'!AM:AM,'Detail 18-19'!$AA:$AA,$A166)</f>
        <v>0</v>
      </c>
      <c r="O166" s="276">
        <f>+SUMIFS('Detail 18-19'!AN:AN,'Detail 18-19'!$AA:$AA,$A166)</f>
        <v>0</v>
      </c>
      <c r="P166" s="277">
        <f t="shared" si="18"/>
        <v>0</v>
      </c>
      <c r="Q166" s="270">
        <f>SUMIF('2019-03'!$E:$E,'Detail 19-20'!$A166,'2019-03'!$D:$D)</f>
        <v>47.52</v>
      </c>
      <c r="R166" s="271" t="s">
        <v>950</v>
      </c>
      <c r="S166" s="270">
        <f t="shared" si="102"/>
        <v>63.36</v>
      </c>
      <c r="T166" s="272">
        <v>100.0</v>
      </c>
      <c r="U166" s="277">
        <f t="shared" si="4"/>
        <v>100</v>
      </c>
      <c r="V166" s="278">
        <f t="shared" si="5"/>
        <v>0</v>
      </c>
      <c r="W166" s="277">
        <f t="shared" si="6"/>
        <v>36.64</v>
      </c>
      <c r="X166" s="278">
        <f t="shared" si="7"/>
        <v>0.5782828283</v>
      </c>
      <c r="Y166" s="279" t="s">
        <v>950</v>
      </c>
      <c r="Z166" s="277">
        <f t="shared" ref="Z166:AK166" si="123">+$T166/12</f>
        <v>8.333333333</v>
      </c>
      <c r="AA166" s="277">
        <f t="shared" si="123"/>
        <v>8.333333333</v>
      </c>
      <c r="AB166" s="277">
        <f t="shared" si="123"/>
        <v>8.333333333</v>
      </c>
      <c r="AC166" s="277">
        <f t="shared" si="123"/>
        <v>8.333333333</v>
      </c>
      <c r="AD166" s="277">
        <f t="shared" si="123"/>
        <v>8.333333333</v>
      </c>
      <c r="AE166" s="277">
        <f t="shared" si="123"/>
        <v>8.333333333</v>
      </c>
      <c r="AF166" s="277">
        <f t="shared" si="123"/>
        <v>8.333333333</v>
      </c>
      <c r="AG166" s="277">
        <f t="shared" si="123"/>
        <v>8.333333333</v>
      </c>
      <c r="AH166" s="277">
        <f t="shared" si="123"/>
        <v>8.333333333</v>
      </c>
      <c r="AI166" s="277">
        <f t="shared" si="123"/>
        <v>8.333333333</v>
      </c>
      <c r="AJ166" s="277">
        <f t="shared" si="123"/>
        <v>8.333333333</v>
      </c>
      <c r="AK166" s="277">
        <f t="shared" si="123"/>
        <v>8.333333333</v>
      </c>
      <c r="AL166" s="277">
        <f t="shared" si="2"/>
        <v>100</v>
      </c>
      <c r="AM166" s="277">
        <f t="shared" si="9"/>
        <v>0</v>
      </c>
      <c r="AN166" s="8" t="str">
        <f>+VLOOKUP('Detail 19-20'!A166,Map!$B$6:$M$222,12,FALSE)</f>
        <v>Bank Charges</v>
      </c>
    </row>
    <row r="167" ht="15.75" customHeight="1">
      <c r="A167" s="274" t="s">
        <v>1129</v>
      </c>
      <c r="B167" s="274" t="s">
        <v>1189</v>
      </c>
      <c r="C167" s="275" t="s">
        <v>577</v>
      </c>
      <c r="D167" s="276">
        <f>+SUMIFS('Detail 18-19'!AC:AC,'Detail 18-19'!$AA:$AA,$A167)</f>
        <v>0</v>
      </c>
      <c r="E167" s="276">
        <f>+SUMIFS('Detail 18-19'!AD:AD,'Detail 18-19'!$AA:$AA,$A167)</f>
        <v>0</v>
      </c>
      <c r="F167" s="276">
        <f>+SUMIFS('Detail 18-19'!AE:AE,'Detail 18-19'!$AA:$AA,$A167)</f>
        <v>0</v>
      </c>
      <c r="G167" s="276">
        <f>+SUMIFS('Detail 18-19'!AF:AF,'Detail 18-19'!$AA:$AA,$A167)</f>
        <v>0</v>
      </c>
      <c r="H167" s="276">
        <f>+SUMIFS('Detail 18-19'!AG:AG,'Detail 18-19'!$AA:$AA,$A167)</f>
        <v>0</v>
      </c>
      <c r="I167" s="276">
        <f>+SUMIFS('Detail 18-19'!AH:AH,'Detail 18-19'!$AA:$AA,$A167)</f>
        <v>0</v>
      </c>
      <c r="J167" s="276">
        <f>+SUMIFS('Detail 18-19'!AI:AI,'Detail 18-19'!$AA:$AA,$A167)</f>
        <v>0</v>
      </c>
      <c r="K167" s="276">
        <f>+SUMIFS('Detail 18-19'!AJ:AJ,'Detail 18-19'!$AA:$AA,$A167)</f>
        <v>0</v>
      </c>
      <c r="L167" s="276">
        <f>+SUMIFS('Detail 18-19'!AK:AK,'Detail 18-19'!$AA:$AA,$A167)</f>
        <v>0</v>
      </c>
      <c r="M167" s="276">
        <f>+SUMIFS('Detail 18-19'!AL:AL,'Detail 18-19'!$AA:$AA,$A167)</f>
        <v>0</v>
      </c>
      <c r="N167" s="276">
        <f>+SUMIFS('Detail 18-19'!AM:AM,'Detail 18-19'!$AA:$AA,$A167)</f>
        <v>0</v>
      </c>
      <c r="O167" s="276">
        <f>+SUMIFS('Detail 18-19'!AN:AN,'Detail 18-19'!$AA:$AA,$A167)</f>
        <v>0</v>
      </c>
      <c r="P167" s="277">
        <f t="shared" si="18"/>
        <v>0</v>
      </c>
      <c r="Q167" s="270">
        <f>SUMIF('2019-03'!$E:$E,'Detail 19-20'!$A167,'2019-03'!$D:$D)</f>
        <v>109.4</v>
      </c>
      <c r="R167" s="271" t="s">
        <v>950</v>
      </c>
      <c r="S167" s="270">
        <f t="shared" si="102"/>
        <v>145.8666667</v>
      </c>
      <c r="T167" s="272">
        <v>100.0</v>
      </c>
      <c r="U167" s="277">
        <f t="shared" si="4"/>
        <v>100</v>
      </c>
      <c r="V167" s="278">
        <f t="shared" si="5"/>
        <v>0</v>
      </c>
      <c r="W167" s="277">
        <f t="shared" si="6"/>
        <v>-45.86666667</v>
      </c>
      <c r="X167" s="278">
        <f t="shared" si="7"/>
        <v>-0.3144424132</v>
      </c>
      <c r="Y167" s="279" t="s">
        <v>950</v>
      </c>
      <c r="Z167" s="277">
        <f t="shared" ref="Z167:AK167" si="124">+$T167/12</f>
        <v>8.333333333</v>
      </c>
      <c r="AA167" s="277">
        <f t="shared" si="124"/>
        <v>8.333333333</v>
      </c>
      <c r="AB167" s="277">
        <f t="shared" si="124"/>
        <v>8.333333333</v>
      </c>
      <c r="AC167" s="277">
        <f t="shared" si="124"/>
        <v>8.333333333</v>
      </c>
      <c r="AD167" s="277">
        <f t="shared" si="124"/>
        <v>8.333333333</v>
      </c>
      <c r="AE167" s="277">
        <f t="shared" si="124"/>
        <v>8.333333333</v>
      </c>
      <c r="AF167" s="277">
        <f t="shared" si="124"/>
        <v>8.333333333</v>
      </c>
      <c r="AG167" s="277">
        <f t="shared" si="124"/>
        <v>8.333333333</v>
      </c>
      <c r="AH167" s="277">
        <f t="shared" si="124"/>
        <v>8.333333333</v>
      </c>
      <c r="AI167" s="277">
        <f t="shared" si="124"/>
        <v>8.333333333</v>
      </c>
      <c r="AJ167" s="277">
        <f t="shared" si="124"/>
        <v>8.333333333</v>
      </c>
      <c r="AK167" s="277">
        <f t="shared" si="124"/>
        <v>8.333333333</v>
      </c>
      <c r="AL167" s="277">
        <f t="shared" si="2"/>
        <v>100</v>
      </c>
      <c r="AM167" s="277">
        <f t="shared" si="9"/>
        <v>0</v>
      </c>
      <c r="AN167" s="8" t="str">
        <f>+VLOOKUP('Detail 19-20'!A167,Map!$B$6:$M$222,12,FALSE)</f>
        <v>Bank Charges</v>
      </c>
    </row>
    <row r="168" ht="15.75" customHeight="1">
      <c r="A168" s="274" t="s">
        <v>1131</v>
      </c>
      <c r="B168" s="274" t="s">
        <v>1189</v>
      </c>
      <c r="C168" s="275" t="s">
        <v>583</v>
      </c>
      <c r="D168" s="276">
        <f>+SUMIFS('Detail 18-19'!AC:AC,'Detail 18-19'!$AA:$AA,$A168)</f>
        <v>166.6666667</v>
      </c>
      <c r="E168" s="276">
        <f>+SUMIFS('Detail 18-19'!AD:AD,'Detail 18-19'!$AA:$AA,$A168)</f>
        <v>166.6666667</v>
      </c>
      <c r="F168" s="276">
        <f>+SUMIFS('Detail 18-19'!AE:AE,'Detail 18-19'!$AA:$AA,$A168)</f>
        <v>166.6666667</v>
      </c>
      <c r="G168" s="276">
        <f>+SUMIFS('Detail 18-19'!AF:AF,'Detail 18-19'!$AA:$AA,$A168)</f>
        <v>166.6666667</v>
      </c>
      <c r="H168" s="276">
        <f>+SUMIFS('Detail 18-19'!AG:AG,'Detail 18-19'!$AA:$AA,$A168)</f>
        <v>166.6666667</v>
      </c>
      <c r="I168" s="276">
        <f>+SUMIFS('Detail 18-19'!AH:AH,'Detail 18-19'!$AA:$AA,$A168)</f>
        <v>166.6666667</v>
      </c>
      <c r="J168" s="276">
        <f>+SUMIFS('Detail 18-19'!AI:AI,'Detail 18-19'!$AA:$AA,$A168)</f>
        <v>166.6666667</v>
      </c>
      <c r="K168" s="276">
        <f>+SUMIFS('Detail 18-19'!AJ:AJ,'Detail 18-19'!$AA:$AA,$A168)</f>
        <v>166.6666667</v>
      </c>
      <c r="L168" s="276">
        <f>+SUMIFS('Detail 18-19'!AK:AK,'Detail 18-19'!$AA:$AA,$A168)</f>
        <v>166.6666667</v>
      </c>
      <c r="M168" s="276">
        <f>+SUMIFS('Detail 18-19'!AL:AL,'Detail 18-19'!$AA:$AA,$A168)</f>
        <v>166.6666667</v>
      </c>
      <c r="N168" s="276">
        <f>+SUMIFS('Detail 18-19'!AM:AM,'Detail 18-19'!$AA:$AA,$A168)</f>
        <v>166.6666667</v>
      </c>
      <c r="O168" s="276">
        <f>+SUMIFS('Detail 18-19'!AN:AN,'Detail 18-19'!$AA:$AA,$A168)</f>
        <v>166.6666667</v>
      </c>
      <c r="P168" s="277">
        <f t="shared" si="18"/>
        <v>2000</v>
      </c>
      <c r="Q168" s="270">
        <f>SUMIF('2019-03'!$E:$E,'Detail 19-20'!$A168,'2019-03'!$D:$D)</f>
        <v>1260.69</v>
      </c>
      <c r="R168" s="271" t="s">
        <v>950</v>
      </c>
      <c r="S168" s="270">
        <f t="shared" si="102"/>
        <v>1680.92</v>
      </c>
      <c r="T168" s="272">
        <v>2000.0</v>
      </c>
      <c r="U168" s="277">
        <f t="shared" si="4"/>
        <v>0</v>
      </c>
      <c r="V168" s="278">
        <f t="shared" si="5"/>
        <v>0</v>
      </c>
      <c r="W168" s="277">
        <f t="shared" si="6"/>
        <v>319.08</v>
      </c>
      <c r="X168" s="278">
        <f t="shared" si="7"/>
        <v>0.1898246199</v>
      </c>
      <c r="Y168" s="279" t="s">
        <v>950</v>
      </c>
      <c r="Z168" s="277">
        <f t="shared" ref="Z168:AK168" si="125">+$T168/12</f>
        <v>166.6666667</v>
      </c>
      <c r="AA168" s="277">
        <f t="shared" si="125"/>
        <v>166.6666667</v>
      </c>
      <c r="AB168" s="277">
        <f t="shared" si="125"/>
        <v>166.6666667</v>
      </c>
      <c r="AC168" s="277">
        <f t="shared" si="125"/>
        <v>166.6666667</v>
      </c>
      <c r="AD168" s="277">
        <f t="shared" si="125"/>
        <v>166.6666667</v>
      </c>
      <c r="AE168" s="277">
        <f t="shared" si="125"/>
        <v>166.6666667</v>
      </c>
      <c r="AF168" s="277">
        <f t="shared" si="125"/>
        <v>166.6666667</v>
      </c>
      <c r="AG168" s="277">
        <f t="shared" si="125"/>
        <v>166.6666667</v>
      </c>
      <c r="AH168" s="277">
        <f t="shared" si="125"/>
        <v>166.6666667</v>
      </c>
      <c r="AI168" s="277">
        <f t="shared" si="125"/>
        <v>166.6666667</v>
      </c>
      <c r="AJ168" s="277">
        <f t="shared" si="125"/>
        <v>166.6666667</v>
      </c>
      <c r="AK168" s="277">
        <f t="shared" si="125"/>
        <v>166.6666667</v>
      </c>
      <c r="AL168" s="277">
        <f t="shared" si="2"/>
        <v>2000</v>
      </c>
      <c r="AM168" s="277">
        <f t="shared" si="9"/>
        <v>0</v>
      </c>
      <c r="AN168" s="8" t="str">
        <f>+VLOOKUP('Detail 19-20'!A168,Map!$B$6:$M$222,12,FALSE)</f>
        <v>Telecommunications</v>
      </c>
    </row>
    <row r="169" ht="15.75" customHeight="1">
      <c r="A169" s="274" t="s">
        <v>1132</v>
      </c>
      <c r="B169" s="274" t="s">
        <v>1189</v>
      </c>
      <c r="C169" s="275" t="s">
        <v>583</v>
      </c>
      <c r="D169" s="276">
        <f>+SUMIFS('Detail 18-19'!AC:AC,'Detail 18-19'!$AA:$AA,$A169)</f>
        <v>0</v>
      </c>
      <c r="E169" s="276">
        <f>+SUMIFS('Detail 18-19'!AD:AD,'Detail 18-19'!$AA:$AA,$A169)</f>
        <v>0</v>
      </c>
      <c r="F169" s="276">
        <f>+SUMIFS('Detail 18-19'!AE:AE,'Detail 18-19'!$AA:$AA,$A169)</f>
        <v>0</v>
      </c>
      <c r="G169" s="276">
        <f>+SUMIFS('Detail 18-19'!AF:AF,'Detail 18-19'!$AA:$AA,$A169)</f>
        <v>0</v>
      </c>
      <c r="H169" s="276">
        <f>+SUMIFS('Detail 18-19'!AG:AG,'Detail 18-19'!$AA:$AA,$A169)</f>
        <v>0</v>
      </c>
      <c r="I169" s="276">
        <f>+SUMIFS('Detail 18-19'!AH:AH,'Detail 18-19'!$AA:$AA,$A169)</f>
        <v>0</v>
      </c>
      <c r="J169" s="276">
        <f>+SUMIFS('Detail 18-19'!AI:AI,'Detail 18-19'!$AA:$AA,$A169)</f>
        <v>0</v>
      </c>
      <c r="K169" s="276">
        <f>+SUMIFS('Detail 18-19'!AJ:AJ,'Detail 18-19'!$AA:$AA,$A169)</f>
        <v>0</v>
      </c>
      <c r="L169" s="276">
        <f>+SUMIFS('Detail 18-19'!AK:AK,'Detail 18-19'!$AA:$AA,$A169)</f>
        <v>0</v>
      </c>
      <c r="M169" s="276">
        <f>+SUMIFS('Detail 18-19'!AL:AL,'Detail 18-19'!$AA:$AA,$A169)</f>
        <v>0</v>
      </c>
      <c r="N169" s="276">
        <f>+SUMIFS('Detail 18-19'!AM:AM,'Detail 18-19'!$AA:$AA,$A169)</f>
        <v>0</v>
      </c>
      <c r="O169" s="276">
        <f>+SUMIFS('Detail 18-19'!AN:AN,'Detail 18-19'!$AA:$AA,$A169)</f>
        <v>0</v>
      </c>
      <c r="P169" s="277">
        <f t="shared" si="18"/>
        <v>0</v>
      </c>
      <c r="Q169" s="270">
        <f>SUMIF('2019-03'!$E:$E,'Detail 19-20'!$A169,'2019-03'!$D:$D)</f>
        <v>0</v>
      </c>
      <c r="R169" s="271" t="s">
        <v>950</v>
      </c>
      <c r="S169" s="270">
        <f t="shared" si="102"/>
        <v>0</v>
      </c>
      <c r="T169" s="272">
        <v>0.0</v>
      </c>
      <c r="U169" s="277">
        <f t="shared" si="4"/>
        <v>0</v>
      </c>
      <c r="V169" s="278">
        <f t="shared" si="5"/>
        <v>0</v>
      </c>
      <c r="W169" s="277">
        <f t="shared" si="6"/>
        <v>0</v>
      </c>
      <c r="X169" s="278">
        <f t="shared" si="7"/>
        <v>0</v>
      </c>
      <c r="Y169" s="279" t="s">
        <v>950</v>
      </c>
      <c r="Z169" s="277">
        <f t="shared" ref="Z169:AK169" si="126">+$T169/12</f>
        <v>0</v>
      </c>
      <c r="AA169" s="277">
        <f t="shared" si="126"/>
        <v>0</v>
      </c>
      <c r="AB169" s="277">
        <f t="shared" si="126"/>
        <v>0</v>
      </c>
      <c r="AC169" s="277">
        <f t="shared" si="126"/>
        <v>0</v>
      </c>
      <c r="AD169" s="277">
        <f t="shared" si="126"/>
        <v>0</v>
      </c>
      <c r="AE169" s="277">
        <f t="shared" si="126"/>
        <v>0</v>
      </c>
      <c r="AF169" s="277">
        <f t="shared" si="126"/>
        <v>0</v>
      </c>
      <c r="AG169" s="277">
        <f t="shared" si="126"/>
        <v>0</v>
      </c>
      <c r="AH169" s="277">
        <f t="shared" si="126"/>
        <v>0</v>
      </c>
      <c r="AI169" s="277">
        <f t="shared" si="126"/>
        <v>0</v>
      </c>
      <c r="AJ169" s="277">
        <f t="shared" si="126"/>
        <v>0</v>
      </c>
      <c r="AK169" s="277">
        <f t="shared" si="126"/>
        <v>0</v>
      </c>
      <c r="AL169" s="277">
        <f t="shared" si="2"/>
        <v>0</v>
      </c>
      <c r="AM169" s="277">
        <f t="shared" si="9"/>
        <v>0</v>
      </c>
      <c r="AN169" s="8" t="str">
        <f>+VLOOKUP('Detail 19-20'!A169,Map!$B$6:$M$222,12,FALSE)</f>
        <v>Telecommunications</v>
      </c>
    </row>
    <row r="170" ht="15.75" customHeight="1">
      <c r="A170" s="274" t="s">
        <v>1134</v>
      </c>
      <c r="B170" s="274" t="s">
        <v>1189</v>
      </c>
      <c r="C170" s="275" t="s">
        <v>583</v>
      </c>
      <c r="D170" s="276">
        <f>+SUMIFS('Detail 18-19'!AC:AC,'Detail 18-19'!$AA:$AA,$A170)</f>
        <v>0</v>
      </c>
      <c r="E170" s="276">
        <f>+SUMIFS('Detail 18-19'!AD:AD,'Detail 18-19'!$AA:$AA,$A170)</f>
        <v>0</v>
      </c>
      <c r="F170" s="276">
        <f>+SUMIFS('Detail 18-19'!AE:AE,'Detail 18-19'!$AA:$AA,$A170)</f>
        <v>0</v>
      </c>
      <c r="G170" s="276">
        <f>+SUMIFS('Detail 18-19'!AF:AF,'Detail 18-19'!$AA:$AA,$A170)</f>
        <v>0</v>
      </c>
      <c r="H170" s="276">
        <f>+SUMIFS('Detail 18-19'!AG:AG,'Detail 18-19'!$AA:$AA,$A170)</f>
        <v>0</v>
      </c>
      <c r="I170" s="276">
        <f>+SUMIFS('Detail 18-19'!AH:AH,'Detail 18-19'!$AA:$AA,$A170)</f>
        <v>0</v>
      </c>
      <c r="J170" s="276">
        <f>+SUMIFS('Detail 18-19'!AI:AI,'Detail 18-19'!$AA:$AA,$A170)</f>
        <v>0</v>
      </c>
      <c r="K170" s="276">
        <f>+SUMIFS('Detail 18-19'!AJ:AJ,'Detail 18-19'!$AA:$AA,$A170)</f>
        <v>0</v>
      </c>
      <c r="L170" s="276">
        <f>+SUMIFS('Detail 18-19'!AK:AK,'Detail 18-19'!$AA:$AA,$A170)</f>
        <v>0</v>
      </c>
      <c r="M170" s="276">
        <f>+SUMIFS('Detail 18-19'!AL:AL,'Detail 18-19'!$AA:$AA,$A170)</f>
        <v>0</v>
      </c>
      <c r="N170" s="276">
        <f>+SUMIFS('Detail 18-19'!AM:AM,'Detail 18-19'!$AA:$AA,$A170)</f>
        <v>0</v>
      </c>
      <c r="O170" s="276">
        <f>+SUMIFS('Detail 18-19'!AN:AN,'Detail 18-19'!$AA:$AA,$A170)</f>
        <v>0</v>
      </c>
      <c r="P170" s="277">
        <f t="shared" si="18"/>
        <v>0</v>
      </c>
      <c r="Q170" s="270">
        <f>SUMIF('2019-03'!$E:$E,'Detail 19-20'!$A170,'2019-03'!$D:$D)</f>
        <v>0</v>
      </c>
      <c r="R170" s="271" t="s">
        <v>950</v>
      </c>
      <c r="S170" s="270">
        <f t="shared" si="102"/>
        <v>0</v>
      </c>
      <c r="T170" s="272">
        <v>0.0</v>
      </c>
      <c r="U170" s="277">
        <f t="shared" si="4"/>
        <v>0</v>
      </c>
      <c r="V170" s="278">
        <f t="shared" si="5"/>
        <v>0</v>
      </c>
      <c r="W170" s="277">
        <f t="shared" si="6"/>
        <v>0</v>
      </c>
      <c r="X170" s="278">
        <f t="shared" si="7"/>
        <v>0</v>
      </c>
      <c r="Y170" s="279" t="s">
        <v>950</v>
      </c>
      <c r="Z170" s="277">
        <f t="shared" ref="Z170:AK170" si="127">+$T170/12</f>
        <v>0</v>
      </c>
      <c r="AA170" s="277">
        <f t="shared" si="127"/>
        <v>0</v>
      </c>
      <c r="AB170" s="277">
        <f t="shared" si="127"/>
        <v>0</v>
      </c>
      <c r="AC170" s="277">
        <f t="shared" si="127"/>
        <v>0</v>
      </c>
      <c r="AD170" s="277">
        <f t="shared" si="127"/>
        <v>0</v>
      </c>
      <c r="AE170" s="277">
        <f t="shared" si="127"/>
        <v>0</v>
      </c>
      <c r="AF170" s="277">
        <f t="shared" si="127"/>
        <v>0</v>
      </c>
      <c r="AG170" s="277">
        <f t="shared" si="127"/>
        <v>0</v>
      </c>
      <c r="AH170" s="277">
        <f t="shared" si="127"/>
        <v>0</v>
      </c>
      <c r="AI170" s="277">
        <f t="shared" si="127"/>
        <v>0</v>
      </c>
      <c r="AJ170" s="277">
        <f t="shared" si="127"/>
        <v>0</v>
      </c>
      <c r="AK170" s="277">
        <f t="shared" si="127"/>
        <v>0</v>
      </c>
      <c r="AL170" s="277">
        <f t="shared" si="2"/>
        <v>0</v>
      </c>
      <c r="AM170" s="277">
        <f t="shared" si="9"/>
        <v>0</v>
      </c>
      <c r="AN170" s="8" t="str">
        <f>+VLOOKUP('Detail 19-20'!A170,Map!$B$6:$M$222,12,FALSE)</f>
        <v>Telecommunications</v>
      </c>
    </row>
    <row r="171" ht="15.75" customHeight="1">
      <c r="A171" s="274" t="s">
        <v>1135</v>
      </c>
      <c r="B171" s="274" t="s">
        <v>1189</v>
      </c>
      <c r="C171" s="275" t="s">
        <v>591</v>
      </c>
      <c r="D171" s="276">
        <f>+SUMIFS('Detail 18-19'!AC:AC,'Detail 18-19'!$AA:$AA,$A171)</f>
        <v>208.3333333</v>
      </c>
      <c r="E171" s="276">
        <f>+SUMIFS('Detail 18-19'!AD:AD,'Detail 18-19'!$AA:$AA,$A171)</f>
        <v>208.3333333</v>
      </c>
      <c r="F171" s="276">
        <f>+SUMIFS('Detail 18-19'!AE:AE,'Detail 18-19'!$AA:$AA,$A171)</f>
        <v>208.3333333</v>
      </c>
      <c r="G171" s="276">
        <f>+SUMIFS('Detail 18-19'!AF:AF,'Detail 18-19'!$AA:$AA,$A171)</f>
        <v>208.3333333</v>
      </c>
      <c r="H171" s="276">
        <f>+SUMIFS('Detail 18-19'!AG:AG,'Detail 18-19'!$AA:$AA,$A171)</f>
        <v>208.3333333</v>
      </c>
      <c r="I171" s="276">
        <f>+SUMIFS('Detail 18-19'!AH:AH,'Detail 18-19'!$AA:$AA,$A171)</f>
        <v>208.3333333</v>
      </c>
      <c r="J171" s="276">
        <f>+SUMIFS('Detail 18-19'!AI:AI,'Detail 18-19'!$AA:$AA,$A171)</f>
        <v>208.3333333</v>
      </c>
      <c r="K171" s="276">
        <f>+SUMIFS('Detail 18-19'!AJ:AJ,'Detail 18-19'!$AA:$AA,$A171)</f>
        <v>208.3333333</v>
      </c>
      <c r="L171" s="276">
        <f>+SUMIFS('Detail 18-19'!AK:AK,'Detail 18-19'!$AA:$AA,$A171)</f>
        <v>208.3333333</v>
      </c>
      <c r="M171" s="276">
        <f>+SUMIFS('Detail 18-19'!AL:AL,'Detail 18-19'!$AA:$AA,$A171)</f>
        <v>208.3333333</v>
      </c>
      <c r="N171" s="276">
        <f>+SUMIFS('Detail 18-19'!AM:AM,'Detail 18-19'!$AA:$AA,$A171)</f>
        <v>208.3333333</v>
      </c>
      <c r="O171" s="276">
        <f>+SUMIFS('Detail 18-19'!AN:AN,'Detail 18-19'!$AA:$AA,$A171)</f>
        <v>208.3333333</v>
      </c>
      <c r="P171" s="277">
        <f t="shared" si="18"/>
        <v>2500</v>
      </c>
      <c r="Q171" s="270">
        <f>SUMIF('2019-03'!$E:$E,'Detail 19-20'!$A171,'2019-03'!$D:$D)</f>
        <v>1585.6</v>
      </c>
      <c r="R171" s="271" t="s">
        <v>950</v>
      </c>
      <c r="S171" s="270">
        <f t="shared" si="102"/>
        <v>2114.133333</v>
      </c>
      <c r="T171" s="272">
        <v>2500.0</v>
      </c>
      <c r="U171" s="277">
        <f t="shared" si="4"/>
        <v>0</v>
      </c>
      <c r="V171" s="278">
        <f t="shared" si="5"/>
        <v>0</v>
      </c>
      <c r="W171" s="277">
        <f t="shared" si="6"/>
        <v>385.8666667</v>
      </c>
      <c r="X171" s="278">
        <f t="shared" si="7"/>
        <v>0.1825176589</v>
      </c>
      <c r="Y171" s="279" t="s">
        <v>950</v>
      </c>
      <c r="Z171" s="277">
        <f t="shared" ref="Z171:AK171" si="128">+$T171/12</f>
        <v>208.3333333</v>
      </c>
      <c r="AA171" s="277">
        <f t="shared" si="128"/>
        <v>208.3333333</v>
      </c>
      <c r="AB171" s="277">
        <f t="shared" si="128"/>
        <v>208.3333333</v>
      </c>
      <c r="AC171" s="277">
        <f t="shared" si="128"/>
        <v>208.3333333</v>
      </c>
      <c r="AD171" s="277">
        <f t="shared" si="128"/>
        <v>208.3333333</v>
      </c>
      <c r="AE171" s="277">
        <f t="shared" si="128"/>
        <v>208.3333333</v>
      </c>
      <c r="AF171" s="277">
        <f t="shared" si="128"/>
        <v>208.3333333</v>
      </c>
      <c r="AG171" s="277">
        <f t="shared" si="128"/>
        <v>208.3333333</v>
      </c>
      <c r="AH171" s="277">
        <f t="shared" si="128"/>
        <v>208.3333333</v>
      </c>
      <c r="AI171" s="277">
        <f t="shared" si="128"/>
        <v>208.3333333</v>
      </c>
      <c r="AJ171" s="277">
        <f t="shared" si="128"/>
        <v>208.3333333</v>
      </c>
      <c r="AK171" s="277">
        <f t="shared" si="128"/>
        <v>208.3333333</v>
      </c>
      <c r="AL171" s="277">
        <f t="shared" si="2"/>
        <v>2500</v>
      </c>
      <c r="AM171" s="277">
        <f t="shared" si="9"/>
        <v>0</v>
      </c>
      <c r="AN171" s="8" t="str">
        <f>+VLOOKUP('Detail 19-20'!A171,Map!$B$6:$M$222,12,FALSE)</f>
        <v>Telecommunications</v>
      </c>
    </row>
    <row r="172" ht="15.75" customHeight="1">
      <c r="A172" s="274" t="s">
        <v>1138</v>
      </c>
      <c r="B172" s="274" t="s">
        <v>1189</v>
      </c>
      <c r="C172" s="275" t="s">
        <v>596</v>
      </c>
      <c r="D172" s="276">
        <f>+SUMIFS('Detail 18-19'!AC:AC,'Detail 18-19'!$AA:$AA,$A172)</f>
        <v>416.6666667</v>
      </c>
      <c r="E172" s="276">
        <f>+SUMIFS('Detail 18-19'!AD:AD,'Detail 18-19'!$AA:$AA,$A172)</f>
        <v>416.6666667</v>
      </c>
      <c r="F172" s="276">
        <f>+SUMIFS('Detail 18-19'!AE:AE,'Detail 18-19'!$AA:$AA,$A172)</f>
        <v>416.6666667</v>
      </c>
      <c r="G172" s="276">
        <f>+SUMIFS('Detail 18-19'!AF:AF,'Detail 18-19'!$AA:$AA,$A172)</f>
        <v>416.6666667</v>
      </c>
      <c r="H172" s="276">
        <f>+SUMIFS('Detail 18-19'!AG:AG,'Detail 18-19'!$AA:$AA,$A172)</f>
        <v>416.6666667</v>
      </c>
      <c r="I172" s="276">
        <f>+SUMIFS('Detail 18-19'!AH:AH,'Detail 18-19'!$AA:$AA,$A172)</f>
        <v>416.6666667</v>
      </c>
      <c r="J172" s="276">
        <f>+SUMIFS('Detail 18-19'!AI:AI,'Detail 18-19'!$AA:$AA,$A172)</f>
        <v>416.6666667</v>
      </c>
      <c r="K172" s="276">
        <f>+SUMIFS('Detail 18-19'!AJ:AJ,'Detail 18-19'!$AA:$AA,$A172)</f>
        <v>416.6666667</v>
      </c>
      <c r="L172" s="276">
        <f>+SUMIFS('Detail 18-19'!AK:AK,'Detail 18-19'!$AA:$AA,$A172)</f>
        <v>416.6666667</v>
      </c>
      <c r="M172" s="276">
        <f>+SUMIFS('Detail 18-19'!AL:AL,'Detail 18-19'!$AA:$AA,$A172)</f>
        <v>416.6666667</v>
      </c>
      <c r="N172" s="276">
        <f>+SUMIFS('Detail 18-19'!AM:AM,'Detail 18-19'!$AA:$AA,$A172)</f>
        <v>416.6666667</v>
      </c>
      <c r="O172" s="276">
        <f>+SUMIFS('Detail 18-19'!AN:AN,'Detail 18-19'!$AA:$AA,$A172)</f>
        <v>416.6666667</v>
      </c>
      <c r="P172" s="277">
        <f t="shared" si="18"/>
        <v>5000</v>
      </c>
      <c r="Q172" s="270">
        <f>SUMIF('2019-03'!$E:$E,'Detail 19-20'!$A172,'2019-03'!$D:$D)</f>
        <v>650</v>
      </c>
      <c r="R172" s="271" t="s">
        <v>950</v>
      </c>
      <c r="S172" s="270">
        <f t="shared" si="102"/>
        <v>866.6666667</v>
      </c>
      <c r="T172" s="272">
        <v>2000.0</v>
      </c>
      <c r="U172" s="277">
        <f t="shared" si="4"/>
        <v>-3000</v>
      </c>
      <c r="V172" s="278">
        <f t="shared" si="5"/>
        <v>-0.6</v>
      </c>
      <c r="W172" s="277">
        <f t="shared" si="6"/>
        <v>1133.333333</v>
      </c>
      <c r="X172" s="278">
        <f t="shared" si="7"/>
        <v>1.307692308</v>
      </c>
      <c r="Y172" s="279" t="s">
        <v>950</v>
      </c>
      <c r="Z172" s="277">
        <f t="shared" ref="Z172:AK172" si="129">+$T172/12</f>
        <v>166.6666667</v>
      </c>
      <c r="AA172" s="277">
        <f t="shared" si="129"/>
        <v>166.6666667</v>
      </c>
      <c r="AB172" s="277">
        <f t="shared" si="129"/>
        <v>166.6666667</v>
      </c>
      <c r="AC172" s="277">
        <f t="shared" si="129"/>
        <v>166.6666667</v>
      </c>
      <c r="AD172" s="277">
        <f t="shared" si="129"/>
        <v>166.6666667</v>
      </c>
      <c r="AE172" s="277">
        <f t="shared" si="129"/>
        <v>166.6666667</v>
      </c>
      <c r="AF172" s="277">
        <f t="shared" si="129"/>
        <v>166.6666667</v>
      </c>
      <c r="AG172" s="277">
        <f t="shared" si="129"/>
        <v>166.6666667</v>
      </c>
      <c r="AH172" s="277">
        <f t="shared" si="129"/>
        <v>166.6666667</v>
      </c>
      <c r="AI172" s="277">
        <f t="shared" si="129"/>
        <v>166.6666667</v>
      </c>
      <c r="AJ172" s="277">
        <f t="shared" si="129"/>
        <v>166.6666667</v>
      </c>
      <c r="AK172" s="277">
        <f t="shared" si="129"/>
        <v>166.6666667</v>
      </c>
      <c r="AL172" s="277">
        <f t="shared" si="2"/>
        <v>2000</v>
      </c>
      <c r="AM172" s="277">
        <f t="shared" si="9"/>
        <v>0</v>
      </c>
      <c r="AN172" s="8" t="str">
        <f>+VLOOKUP('Detail 19-20'!A172,Map!$B$6:$M$222,12,FALSE)</f>
        <v>Postage and Shipping</v>
      </c>
    </row>
    <row r="173" ht="15.75" customHeight="1">
      <c r="A173" s="274" t="s">
        <v>1139</v>
      </c>
      <c r="B173" s="274" t="s">
        <v>1189</v>
      </c>
      <c r="C173" s="275" t="s">
        <v>596</v>
      </c>
      <c r="D173" s="276">
        <f>+SUMIFS('Detail 18-19'!AC:AC,'Detail 18-19'!$AA:$AA,$A173)</f>
        <v>0</v>
      </c>
      <c r="E173" s="276">
        <f>+SUMIFS('Detail 18-19'!AD:AD,'Detail 18-19'!$AA:$AA,$A173)</f>
        <v>0</v>
      </c>
      <c r="F173" s="276">
        <f>+SUMIFS('Detail 18-19'!AE:AE,'Detail 18-19'!$AA:$AA,$A173)</f>
        <v>0</v>
      </c>
      <c r="G173" s="276">
        <f>+SUMIFS('Detail 18-19'!AF:AF,'Detail 18-19'!$AA:$AA,$A173)</f>
        <v>0</v>
      </c>
      <c r="H173" s="276">
        <f>+SUMIFS('Detail 18-19'!AG:AG,'Detail 18-19'!$AA:$AA,$A173)</f>
        <v>0</v>
      </c>
      <c r="I173" s="276">
        <f>+SUMIFS('Detail 18-19'!AH:AH,'Detail 18-19'!$AA:$AA,$A173)</f>
        <v>0</v>
      </c>
      <c r="J173" s="276">
        <f>+SUMIFS('Detail 18-19'!AI:AI,'Detail 18-19'!$AA:$AA,$A173)</f>
        <v>0</v>
      </c>
      <c r="K173" s="276">
        <f>+SUMIFS('Detail 18-19'!AJ:AJ,'Detail 18-19'!$AA:$AA,$A173)</f>
        <v>0</v>
      </c>
      <c r="L173" s="276">
        <f>+SUMIFS('Detail 18-19'!AK:AK,'Detail 18-19'!$AA:$AA,$A173)</f>
        <v>0</v>
      </c>
      <c r="M173" s="276">
        <f>+SUMIFS('Detail 18-19'!AL:AL,'Detail 18-19'!$AA:$AA,$A173)</f>
        <v>0</v>
      </c>
      <c r="N173" s="276">
        <f>+SUMIFS('Detail 18-19'!AM:AM,'Detail 18-19'!$AA:$AA,$A173)</f>
        <v>0</v>
      </c>
      <c r="O173" s="276">
        <f>+SUMIFS('Detail 18-19'!AN:AN,'Detail 18-19'!$AA:$AA,$A173)</f>
        <v>0</v>
      </c>
      <c r="P173" s="277">
        <f t="shared" si="18"/>
        <v>0</v>
      </c>
      <c r="Q173" s="270">
        <f>SUMIF('2019-03'!$E:$E,'Detail 19-20'!$A173,'2019-03'!$D:$D)</f>
        <v>331.68</v>
      </c>
      <c r="R173" s="271" t="s">
        <v>950</v>
      </c>
      <c r="S173" s="270">
        <f t="shared" si="102"/>
        <v>442.24</v>
      </c>
      <c r="T173" s="272">
        <v>0.0</v>
      </c>
      <c r="U173" s="277">
        <f t="shared" si="4"/>
        <v>0</v>
      </c>
      <c r="V173" s="278">
        <f t="shared" si="5"/>
        <v>0</v>
      </c>
      <c r="W173" s="277">
        <f t="shared" si="6"/>
        <v>-442.24</v>
      </c>
      <c r="X173" s="278">
        <f t="shared" si="7"/>
        <v>-1</v>
      </c>
      <c r="Y173" s="279" t="s">
        <v>950</v>
      </c>
      <c r="Z173" s="277">
        <f t="shared" ref="Z173:AK173" si="130">+$T173/12</f>
        <v>0</v>
      </c>
      <c r="AA173" s="277">
        <f t="shared" si="130"/>
        <v>0</v>
      </c>
      <c r="AB173" s="277">
        <f t="shared" si="130"/>
        <v>0</v>
      </c>
      <c r="AC173" s="277">
        <f t="shared" si="130"/>
        <v>0</v>
      </c>
      <c r="AD173" s="277">
        <f t="shared" si="130"/>
        <v>0</v>
      </c>
      <c r="AE173" s="277">
        <f t="shared" si="130"/>
        <v>0</v>
      </c>
      <c r="AF173" s="277">
        <f t="shared" si="130"/>
        <v>0</v>
      </c>
      <c r="AG173" s="277">
        <f t="shared" si="130"/>
        <v>0</v>
      </c>
      <c r="AH173" s="277">
        <f t="shared" si="130"/>
        <v>0</v>
      </c>
      <c r="AI173" s="277">
        <f t="shared" si="130"/>
        <v>0</v>
      </c>
      <c r="AJ173" s="277">
        <f t="shared" si="130"/>
        <v>0</v>
      </c>
      <c r="AK173" s="277">
        <f t="shared" si="130"/>
        <v>0</v>
      </c>
      <c r="AL173" s="277">
        <f t="shared" si="2"/>
        <v>0</v>
      </c>
      <c r="AM173" s="277">
        <f t="shared" si="9"/>
        <v>0</v>
      </c>
      <c r="AN173" s="8" t="str">
        <f>+VLOOKUP('Detail 19-20'!A173,Map!$B$6:$M$222,12,FALSE)</f>
        <v>Postage and Shipping</v>
      </c>
    </row>
    <row r="174" ht="15.75" customHeight="1">
      <c r="A174" s="274" t="s">
        <v>1141</v>
      </c>
      <c r="B174" s="274" t="s">
        <v>1189</v>
      </c>
      <c r="C174" s="275" t="s">
        <v>596</v>
      </c>
      <c r="D174" s="276">
        <f>+SUMIFS('Detail 18-19'!AC:AC,'Detail 18-19'!$AA:$AA,$A174)</f>
        <v>0</v>
      </c>
      <c r="E174" s="276">
        <f>+SUMIFS('Detail 18-19'!AD:AD,'Detail 18-19'!$AA:$AA,$A174)</f>
        <v>0</v>
      </c>
      <c r="F174" s="276">
        <f>+SUMIFS('Detail 18-19'!AE:AE,'Detail 18-19'!$AA:$AA,$A174)</f>
        <v>0</v>
      </c>
      <c r="G174" s="276">
        <f>+SUMIFS('Detail 18-19'!AF:AF,'Detail 18-19'!$AA:$AA,$A174)</f>
        <v>0</v>
      </c>
      <c r="H174" s="276">
        <f>+SUMIFS('Detail 18-19'!AG:AG,'Detail 18-19'!$AA:$AA,$A174)</f>
        <v>0</v>
      </c>
      <c r="I174" s="276">
        <f>+SUMIFS('Detail 18-19'!AH:AH,'Detail 18-19'!$AA:$AA,$A174)</f>
        <v>0</v>
      </c>
      <c r="J174" s="276">
        <f>+SUMIFS('Detail 18-19'!AI:AI,'Detail 18-19'!$AA:$AA,$A174)</f>
        <v>0</v>
      </c>
      <c r="K174" s="276">
        <f>+SUMIFS('Detail 18-19'!AJ:AJ,'Detail 18-19'!$AA:$AA,$A174)</f>
        <v>0</v>
      </c>
      <c r="L174" s="276">
        <f>+SUMIFS('Detail 18-19'!AK:AK,'Detail 18-19'!$AA:$AA,$A174)</f>
        <v>0</v>
      </c>
      <c r="M174" s="276">
        <f>+SUMIFS('Detail 18-19'!AL:AL,'Detail 18-19'!$AA:$AA,$A174)</f>
        <v>0</v>
      </c>
      <c r="N174" s="276">
        <f>+SUMIFS('Detail 18-19'!AM:AM,'Detail 18-19'!$AA:$AA,$A174)</f>
        <v>0</v>
      </c>
      <c r="O174" s="276">
        <f>+SUMIFS('Detail 18-19'!AN:AN,'Detail 18-19'!$AA:$AA,$A174)</f>
        <v>0</v>
      </c>
      <c r="P174" s="277">
        <f t="shared" si="18"/>
        <v>0</v>
      </c>
      <c r="Q174" s="270">
        <f>SUMIF('2019-03'!$E:$E,'Detail 19-20'!$A174,'2019-03'!$D:$D)</f>
        <v>0</v>
      </c>
      <c r="R174" s="271" t="s">
        <v>950</v>
      </c>
      <c r="S174" s="270">
        <f t="shared" si="102"/>
        <v>0</v>
      </c>
      <c r="T174" s="272">
        <v>0.0</v>
      </c>
      <c r="U174" s="277">
        <f t="shared" si="4"/>
        <v>0</v>
      </c>
      <c r="V174" s="278">
        <f t="shared" si="5"/>
        <v>0</v>
      </c>
      <c r="W174" s="277">
        <f t="shared" si="6"/>
        <v>0</v>
      </c>
      <c r="X174" s="278">
        <f t="shared" si="7"/>
        <v>0</v>
      </c>
      <c r="Y174" s="279" t="s">
        <v>950</v>
      </c>
      <c r="Z174" s="277">
        <f t="shared" ref="Z174:AK174" si="131">+$T174/12</f>
        <v>0</v>
      </c>
      <c r="AA174" s="277">
        <f t="shared" si="131"/>
        <v>0</v>
      </c>
      <c r="AB174" s="277">
        <f t="shared" si="131"/>
        <v>0</v>
      </c>
      <c r="AC174" s="277">
        <f t="shared" si="131"/>
        <v>0</v>
      </c>
      <c r="AD174" s="277">
        <f t="shared" si="131"/>
        <v>0</v>
      </c>
      <c r="AE174" s="277">
        <f t="shared" si="131"/>
        <v>0</v>
      </c>
      <c r="AF174" s="277">
        <f t="shared" si="131"/>
        <v>0</v>
      </c>
      <c r="AG174" s="277">
        <f t="shared" si="131"/>
        <v>0</v>
      </c>
      <c r="AH174" s="277">
        <f t="shared" si="131"/>
        <v>0</v>
      </c>
      <c r="AI174" s="277">
        <f t="shared" si="131"/>
        <v>0</v>
      </c>
      <c r="AJ174" s="277">
        <f t="shared" si="131"/>
        <v>0</v>
      </c>
      <c r="AK174" s="277">
        <f t="shared" si="131"/>
        <v>0</v>
      </c>
      <c r="AL174" s="277">
        <f t="shared" si="2"/>
        <v>0</v>
      </c>
      <c r="AM174" s="277">
        <f t="shared" si="9"/>
        <v>0</v>
      </c>
      <c r="AN174" s="8" t="str">
        <f>+VLOOKUP('Detail 19-20'!A174,Map!$B$6:$M$222,12,FALSE)</f>
        <v>Postage and Shipping</v>
      </c>
    </row>
    <row r="175" ht="15.75" customHeight="1">
      <c r="A175" s="274" t="s">
        <v>1142</v>
      </c>
      <c r="B175" s="274" t="s">
        <v>1189</v>
      </c>
      <c r="C175" s="275" t="s">
        <v>600</v>
      </c>
      <c r="D175" s="276">
        <f>+SUMIFS('Detail 18-19'!AC:AC,'Detail 18-19'!$AA:$AA,$A175)</f>
        <v>7500</v>
      </c>
      <c r="E175" s="276">
        <f>+SUMIFS('Detail 18-19'!AD:AD,'Detail 18-19'!$AA:$AA,$A175)</f>
        <v>7500</v>
      </c>
      <c r="F175" s="276">
        <f>+SUMIFS('Detail 18-19'!AE:AE,'Detail 18-19'!$AA:$AA,$A175)</f>
        <v>7500</v>
      </c>
      <c r="G175" s="276">
        <f>+SUMIFS('Detail 18-19'!AF:AF,'Detail 18-19'!$AA:$AA,$A175)</f>
        <v>7500</v>
      </c>
      <c r="H175" s="276">
        <f>+SUMIFS('Detail 18-19'!AG:AG,'Detail 18-19'!$AA:$AA,$A175)</f>
        <v>7500</v>
      </c>
      <c r="I175" s="276">
        <f>+SUMIFS('Detail 18-19'!AH:AH,'Detail 18-19'!$AA:$AA,$A175)</f>
        <v>7500</v>
      </c>
      <c r="J175" s="276">
        <f>+SUMIFS('Detail 18-19'!AI:AI,'Detail 18-19'!$AA:$AA,$A175)</f>
        <v>7500</v>
      </c>
      <c r="K175" s="276">
        <f>+SUMIFS('Detail 18-19'!AJ:AJ,'Detail 18-19'!$AA:$AA,$A175)</f>
        <v>7500</v>
      </c>
      <c r="L175" s="276">
        <f>+SUMIFS('Detail 18-19'!AK:AK,'Detail 18-19'!$AA:$AA,$A175)</f>
        <v>7500</v>
      </c>
      <c r="M175" s="276">
        <f>+SUMIFS('Detail 18-19'!AL:AL,'Detail 18-19'!$AA:$AA,$A175)</f>
        <v>7500</v>
      </c>
      <c r="N175" s="276">
        <f>+SUMIFS('Detail 18-19'!AM:AM,'Detail 18-19'!$AA:$AA,$A175)</f>
        <v>7500</v>
      </c>
      <c r="O175" s="276">
        <f>+SUMIFS('Detail 18-19'!AN:AN,'Detail 18-19'!$AA:$AA,$A175)</f>
        <v>7500</v>
      </c>
      <c r="P175" s="277">
        <f t="shared" si="18"/>
        <v>90000</v>
      </c>
      <c r="Q175" s="270">
        <f>SUMIF('2019-03'!$E:$E,'Detail 19-20'!$A175,'2019-03'!$D:$D)</f>
        <v>70170</v>
      </c>
      <c r="R175" s="271" t="s">
        <v>950</v>
      </c>
      <c r="S175" s="270">
        <f t="shared" si="102"/>
        <v>93560</v>
      </c>
      <c r="T175" s="272">
        <v>90000.0</v>
      </c>
      <c r="U175" s="277">
        <f t="shared" si="4"/>
        <v>0</v>
      </c>
      <c r="V175" s="278">
        <f t="shared" si="5"/>
        <v>0</v>
      </c>
      <c r="W175" s="277">
        <f t="shared" si="6"/>
        <v>-3560</v>
      </c>
      <c r="X175" s="278">
        <f t="shared" si="7"/>
        <v>-0.03805044891</v>
      </c>
      <c r="Y175" s="279" t="s">
        <v>950</v>
      </c>
      <c r="Z175" s="277">
        <f t="shared" ref="Z175:AK175" si="132">+$T175/12</f>
        <v>7500</v>
      </c>
      <c r="AA175" s="277">
        <f t="shared" si="132"/>
        <v>7500</v>
      </c>
      <c r="AB175" s="277">
        <f t="shared" si="132"/>
        <v>7500</v>
      </c>
      <c r="AC175" s="277">
        <f t="shared" si="132"/>
        <v>7500</v>
      </c>
      <c r="AD175" s="277">
        <f t="shared" si="132"/>
        <v>7500</v>
      </c>
      <c r="AE175" s="277">
        <f t="shared" si="132"/>
        <v>7500</v>
      </c>
      <c r="AF175" s="277">
        <f t="shared" si="132"/>
        <v>7500</v>
      </c>
      <c r="AG175" s="277">
        <f t="shared" si="132"/>
        <v>7500</v>
      </c>
      <c r="AH175" s="277">
        <f t="shared" si="132"/>
        <v>7500</v>
      </c>
      <c r="AI175" s="277">
        <f t="shared" si="132"/>
        <v>7500</v>
      </c>
      <c r="AJ175" s="277">
        <f t="shared" si="132"/>
        <v>7500</v>
      </c>
      <c r="AK175" s="277">
        <f t="shared" si="132"/>
        <v>7500</v>
      </c>
      <c r="AL175" s="277">
        <f t="shared" si="2"/>
        <v>90000</v>
      </c>
      <c r="AM175" s="277">
        <f t="shared" si="9"/>
        <v>0</v>
      </c>
      <c r="AN175" s="8" t="str">
        <f>+VLOOKUP('Detail 19-20'!A175,Map!$B$6:$M$222,12,FALSE)</f>
        <v>Occupancy Fixed</v>
      </c>
    </row>
    <row r="176" ht="15.75" customHeight="1">
      <c r="A176" s="274" t="s">
        <v>1144</v>
      </c>
      <c r="B176" s="274" t="s">
        <v>1189</v>
      </c>
      <c r="C176" s="275" t="s">
        <v>600</v>
      </c>
      <c r="D176" s="276">
        <f>+SUMIFS('Detail 18-19'!AC:AC,'Detail 18-19'!$AA:$AA,$A176)</f>
        <v>215</v>
      </c>
      <c r="E176" s="276">
        <f>+SUMIFS('Detail 18-19'!AD:AD,'Detail 18-19'!$AA:$AA,$A176)</f>
        <v>215</v>
      </c>
      <c r="F176" s="276">
        <f>+SUMIFS('Detail 18-19'!AE:AE,'Detail 18-19'!$AA:$AA,$A176)</f>
        <v>215</v>
      </c>
      <c r="G176" s="276">
        <f>+SUMIFS('Detail 18-19'!AF:AF,'Detail 18-19'!$AA:$AA,$A176)</f>
        <v>215</v>
      </c>
      <c r="H176" s="276">
        <f>+SUMIFS('Detail 18-19'!AG:AG,'Detail 18-19'!$AA:$AA,$A176)</f>
        <v>215</v>
      </c>
      <c r="I176" s="276">
        <f>+SUMIFS('Detail 18-19'!AH:AH,'Detail 18-19'!$AA:$AA,$A176)</f>
        <v>215</v>
      </c>
      <c r="J176" s="276">
        <f>+SUMIFS('Detail 18-19'!AI:AI,'Detail 18-19'!$AA:$AA,$A176)</f>
        <v>215</v>
      </c>
      <c r="K176" s="276">
        <f>+SUMIFS('Detail 18-19'!AJ:AJ,'Detail 18-19'!$AA:$AA,$A176)</f>
        <v>215</v>
      </c>
      <c r="L176" s="276">
        <f>+SUMIFS('Detail 18-19'!AK:AK,'Detail 18-19'!$AA:$AA,$A176)</f>
        <v>215</v>
      </c>
      <c r="M176" s="276">
        <f>+SUMIFS('Detail 18-19'!AL:AL,'Detail 18-19'!$AA:$AA,$A176)</f>
        <v>215</v>
      </c>
      <c r="N176" s="276">
        <f>+SUMIFS('Detail 18-19'!AM:AM,'Detail 18-19'!$AA:$AA,$A176)</f>
        <v>215</v>
      </c>
      <c r="O176" s="276">
        <f>+SUMIFS('Detail 18-19'!AN:AN,'Detail 18-19'!$AA:$AA,$A176)</f>
        <v>215</v>
      </c>
      <c r="P176" s="277">
        <f t="shared" si="18"/>
        <v>2580</v>
      </c>
      <c r="Q176" s="270">
        <f>SUMIF('2019-03'!$E:$E,'Detail 19-20'!$A176,'2019-03'!$D:$D)</f>
        <v>0</v>
      </c>
      <c r="R176" s="271" t="s">
        <v>950</v>
      </c>
      <c r="S176" s="270">
        <f t="shared" si="102"/>
        <v>0</v>
      </c>
      <c r="T176" s="272">
        <v>0.0</v>
      </c>
      <c r="U176" s="277">
        <f t="shared" si="4"/>
        <v>-2580</v>
      </c>
      <c r="V176" s="278">
        <f t="shared" si="5"/>
        <v>-1</v>
      </c>
      <c r="W176" s="277">
        <f t="shared" si="6"/>
        <v>0</v>
      </c>
      <c r="X176" s="278">
        <f t="shared" si="7"/>
        <v>0</v>
      </c>
      <c r="Y176" s="279" t="s">
        <v>950</v>
      </c>
      <c r="Z176" s="277">
        <f t="shared" ref="Z176:AK176" si="133">+$T176/12</f>
        <v>0</v>
      </c>
      <c r="AA176" s="277">
        <f t="shared" si="133"/>
        <v>0</v>
      </c>
      <c r="AB176" s="277">
        <f t="shared" si="133"/>
        <v>0</v>
      </c>
      <c r="AC176" s="277">
        <f t="shared" si="133"/>
        <v>0</v>
      </c>
      <c r="AD176" s="277">
        <f t="shared" si="133"/>
        <v>0</v>
      </c>
      <c r="AE176" s="277">
        <f t="shared" si="133"/>
        <v>0</v>
      </c>
      <c r="AF176" s="277">
        <f t="shared" si="133"/>
        <v>0</v>
      </c>
      <c r="AG176" s="277">
        <f t="shared" si="133"/>
        <v>0</v>
      </c>
      <c r="AH176" s="277">
        <f t="shared" si="133"/>
        <v>0</v>
      </c>
      <c r="AI176" s="277">
        <f t="shared" si="133"/>
        <v>0</v>
      </c>
      <c r="AJ176" s="277">
        <f t="shared" si="133"/>
        <v>0</v>
      </c>
      <c r="AK176" s="277">
        <f t="shared" si="133"/>
        <v>0</v>
      </c>
      <c r="AL176" s="277">
        <f t="shared" si="2"/>
        <v>0</v>
      </c>
      <c r="AM176" s="277">
        <f t="shared" si="9"/>
        <v>0</v>
      </c>
      <c r="AN176" s="8" t="str">
        <f>+VLOOKUP('Detail 19-20'!A176,Map!$B$6:$M$222,12,FALSE)</f>
        <v>Occupancy Fixed</v>
      </c>
    </row>
    <row r="177" ht="15.75" customHeight="1">
      <c r="A177" s="274" t="s">
        <v>1145</v>
      </c>
      <c r="B177" s="274" t="s">
        <v>1189</v>
      </c>
      <c r="C177" s="275" t="s">
        <v>600</v>
      </c>
      <c r="D177" s="276">
        <f>+SUMIFS('Detail 18-19'!AC:AC,'Detail 18-19'!$AA:$AA,$A177)</f>
        <v>0</v>
      </c>
      <c r="E177" s="276">
        <f>+SUMIFS('Detail 18-19'!AD:AD,'Detail 18-19'!$AA:$AA,$A177)</f>
        <v>0</v>
      </c>
      <c r="F177" s="276">
        <f>+SUMIFS('Detail 18-19'!AE:AE,'Detail 18-19'!$AA:$AA,$A177)</f>
        <v>0</v>
      </c>
      <c r="G177" s="276">
        <f>+SUMIFS('Detail 18-19'!AF:AF,'Detail 18-19'!$AA:$AA,$A177)</f>
        <v>0</v>
      </c>
      <c r="H177" s="276">
        <f>+SUMIFS('Detail 18-19'!AG:AG,'Detail 18-19'!$AA:$AA,$A177)</f>
        <v>0</v>
      </c>
      <c r="I177" s="276">
        <f>+SUMIFS('Detail 18-19'!AH:AH,'Detail 18-19'!$AA:$AA,$A177)</f>
        <v>0</v>
      </c>
      <c r="J177" s="276">
        <f>+SUMIFS('Detail 18-19'!AI:AI,'Detail 18-19'!$AA:$AA,$A177)</f>
        <v>0</v>
      </c>
      <c r="K177" s="276">
        <f>+SUMIFS('Detail 18-19'!AJ:AJ,'Detail 18-19'!$AA:$AA,$A177)</f>
        <v>0</v>
      </c>
      <c r="L177" s="276">
        <f>+SUMIFS('Detail 18-19'!AK:AK,'Detail 18-19'!$AA:$AA,$A177)</f>
        <v>0</v>
      </c>
      <c r="M177" s="276">
        <f>+SUMIFS('Detail 18-19'!AL:AL,'Detail 18-19'!$AA:$AA,$A177)</f>
        <v>0</v>
      </c>
      <c r="N177" s="276">
        <f>+SUMIFS('Detail 18-19'!AM:AM,'Detail 18-19'!$AA:$AA,$A177)</f>
        <v>0</v>
      </c>
      <c r="O177" s="276">
        <f>+SUMIFS('Detail 18-19'!AN:AN,'Detail 18-19'!$AA:$AA,$A177)</f>
        <v>0</v>
      </c>
      <c r="P177" s="277">
        <f t="shared" si="18"/>
        <v>0</v>
      </c>
      <c r="Q177" s="270">
        <f>SUMIF('2019-03'!$E:$E,'Detail 19-20'!$A177,'2019-03'!$D:$D)</f>
        <v>0</v>
      </c>
      <c r="R177" s="271" t="s">
        <v>950</v>
      </c>
      <c r="S177" s="270">
        <f t="shared" si="102"/>
        <v>0</v>
      </c>
      <c r="T177" s="272">
        <v>0.0</v>
      </c>
      <c r="U177" s="277">
        <f t="shared" si="4"/>
        <v>0</v>
      </c>
      <c r="V177" s="278">
        <f t="shared" si="5"/>
        <v>0</v>
      </c>
      <c r="W177" s="277">
        <f t="shared" si="6"/>
        <v>0</v>
      </c>
      <c r="X177" s="278">
        <f t="shared" si="7"/>
        <v>0</v>
      </c>
      <c r="Y177" s="279" t="s">
        <v>950</v>
      </c>
      <c r="Z177" s="277">
        <f t="shared" ref="Z177:AK177" si="134">+$T177/12</f>
        <v>0</v>
      </c>
      <c r="AA177" s="277">
        <f t="shared" si="134"/>
        <v>0</v>
      </c>
      <c r="AB177" s="277">
        <f t="shared" si="134"/>
        <v>0</v>
      </c>
      <c r="AC177" s="277">
        <f t="shared" si="134"/>
        <v>0</v>
      </c>
      <c r="AD177" s="277">
        <f t="shared" si="134"/>
        <v>0</v>
      </c>
      <c r="AE177" s="277">
        <f t="shared" si="134"/>
        <v>0</v>
      </c>
      <c r="AF177" s="277">
        <f t="shared" si="134"/>
        <v>0</v>
      </c>
      <c r="AG177" s="277">
        <f t="shared" si="134"/>
        <v>0</v>
      </c>
      <c r="AH177" s="277">
        <f t="shared" si="134"/>
        <v>0</v>
      </c>
      <c r="AI177" s="277">
        <f t="shared" si="134"/>
        <v>0</v>
      </c>
      <c r="AJ177" s="277">
        <f t="shared" si="134"/>
        <v>0</v>
      </c>
      <c r="AK177" s="277">
        <f t="shared" si="134"/>
        <v>0</v>
      </c>
      <c r="AL177" s="277">
        <f t="shared" si="2"/>
        <v>0</v>
      </c>
      <c r="AM177" s="277">
        <f t="shared" si="9"/>
        <v>0</v>
      </c>
      <c r="AN177" s="8" t="str">
        <f>+VLOOKUP('Detail 19-20'!A177,Map!$B$6:$M$222,12,FALSE)</f>
        <v>Occupancy Fixed</v>
      </c>
    </row>
    <row r="178" ht="15.75" customHeight="1">
      <c r="A178" s="274" t="s">
        <v>1147</v>
      </c>
      <c r="B178" s="274" t="s">
        <v>1189</v>
      </c>
      <c r="C178" s="275" t="s">
        <v>613</v>
      </c>
      <c r="D178" s="276">
        <f>+SUMIFS('Detail 18-19'!AC:AC,'Detail 18-19'!$AA:$AA,$A178)</f>
        <v>0</v>
      </c>
      <c r="E178" s="276">
        <f>+SUMIFS('Detail 18-19'!AD:AD,'Detail 18-19'!$AA:$AA,$A178)</f>
        <v>0</v>
      </c>
      <c r="F178" s="276">
        <f>+SUMIFS('Detail 18-19'!AE:AE,'Detail 18-19'!$AA:$AA,$A178)</f>
        <v>0</v>
      </c>
      <c r="G178" s="276">
        <f>+SUMIFS('Detail 18-19'!AF:AF,'Detail 18-19'!$AA:$AA,$A178)</f>
        <v>0</v>
      </c>
      <c r="H178" s="276">
        <f>+SUMIFS('Detail 18-19'!AG:AG,'Detail 18-19'!$AA:$AA,$A178)</f>
        <v>0</v>
      </c>
      <c r="I178" s="276">
        <f>+SUMIFS('Detail 18-19'!AH:AH,'Detail 18-19'!$AA:$AA,$A178)</f>
        <v>0</v>
      </c>
      <c r="J178" s="276">
        <f>+SUMIFS('Detail 18-19'!AI:AI,'Detail 18-19'!$AA:$AA,$A178)</f>
        <v>0</v>
      </c>
      <c r="K178" s="276">
        <f>+SUMIFS('Detail 18-19'!AJ:AJ,'Detail 18-19'!$AA:$AA,$A178)</f>
        <v>0</v>
      </c>
      <c r="L178" s="276">
        <f>+SUMIFS('Detail 18-19'!AK:AK,'Detail 18-19'!$AA:$AA,$A178)</f>
        <v>0</v>
      </c>
      <c r="M178" s="276">
        <f>+SUMIFS('Detail 18-19'!AL:AL,'Detail 18-19'!$AA:$AA,$A178)</f>
        <v>0</v>
      </c>
      <c r="N178" s="276">
        <f>+SUMIFS('Detail 18-19'!AM:AM,'Detail 18-19'!$AA:$AA,$A178)</f>
        <v>0</v>
      </c>
      <c r="O178" s="276">
        <f>+SUMIFS('Detail 18-19'!AN:AN,'Detail 18-19'!$AA:$AA,$A178)</f>
        <v>0</v>
      </c>
      <c r="P178" s="277">
        <f t="shared" si="18"/>
        <v>0</v>
      </c>
      <c r="Q178" s="270">
        <f>SUMIF('2019-03'!$E:$E,'Detail 19-20'!$A178,'2019-03'!$D:$D)</f>
        <v>0</v>
      </c>
      <c r="R178" s="271" t="s">
        <v>950</v>
      </c>
      <c r="S178" s="270">
        <f t="shared" si="102"/>
        <v>0</v>
      </c>
      <c r="T178" s="272">
        <v>0.0</v>
      </c>
      <c r="U178" s="277">
        <f t="shared" si="4"/>
        <v>0</v>
      </c>
      <c r="V178" s="278">
        <f t="shared" si="5"/>
        <v>0</v>
      </c>
      <c r="W178" s="277">
        <f t="shared" si="6"/>
        <v>0</v>
      </c>
      <c r="X178" s="278">
        <f t="shared" si="7"/>
        <v>0</v>
      </c>
      <c r="Y178" s="279" t="s">
        <v>950</v>
      </c>
      <c r="Z178" s="277">
        <f t="shared" ref="Z178:AK178" si="135">+$T178/12</f>
        <v>0</v>
      </c>
      <c r="AA178" s="277">
        <f t="shared" si="135"/>
        <v>0</v>
      </c>
      <c r="AB178" s="277">
        <f t="shared" si="135"/>
        <v>0</v>
      </c>
      <c r="AC178" s="277">
        <f t="shared" si="135"/>
        <v>0</v>
      </c>
      <c r="AD178" s="277">
        <f t="shared" si="135"/>
        <v>0</v>
      </c>
      <c r="AE178" s="277">
        <f t="shared" si="135"/>
        <v>0</v>
      </c>
      <c r="AF178" s="277">
        <f t="shared" si="135"/>
        <v>0</v>
      </c>
      <c r="AG178" s="277">
        <f t="shared" si="135"/>
        <v>0</v>
      </c>
      <c r="AH178" s="277">
        <f t="shared" si="135"/>
        <v>0</v>
      </c>
      <c r="AI178" s="277">
        <f t="shared" si="135"/>
        <v>0</v>
      </c>
      <c r="AJ178" s="277">
        <f t="shared" si="135"/>
        <v>0</v>
      </c>
      <c r="AK178" s="277">
        <f t="shared" si="135"/>
        <v>0</v>
      </c>
      <c r="AL178" s="277">
        <f t="shared" si="2"/>
        <v>0</v>
      </c>
      <c r="AM178" s="277">
        <f t="shared" si="9"/>
        <v>0</v>
      </c>
      <c r="AN178" s="8" t="str">
        <f>+VLOOKUP('Detail 19-20'!A178,Map!$B$6:$M$222,12,FALSE)</f>
        <v>Occupancy Fixed</v>
      </c>
    </row>
    <row r="179" ht="15.75" customHeight="1">
      <c r="A179" s="274" t="s">
        <v>1148</v>
      </c>
      <c r="B179" s="274" t="s">
        <v>1189</v>
      </c>
      <c r="C179" s="275" t="s">
        <v>629</v>
      </c>
      <c r="D179" s="276">
        <f>+SUMIFS('Detail 18-19'!AC:AC,'Detail 18-19'!$AA:$AA,$A179)</f>
        <v>333.3333333</v>
      </c>
      <c r="E179" s="276">
        <f>+SUMIFS('Detail 18-19'!AD:AD,'Detail 18-19'!$AA:$AA,$A179)</f>
        <v>333.3333333</v>
      </c>
      <c r="F179" s="276">
        <f>+SUMIFS('Detail 18-19'!AE:AE,'Detail 18-19'!$AA:$AA,$A179)</f>
        <v>333.3333333</v>
      </c>
      <c r="G179" s="276">
        <f>+SUMIFS('Detail 18-19'!AF:AF,'Detail 18-19'!$AA:$AA,$A179)</f>
        <v>333.3333333</v>
      </c>
      <c r="H179" s="276">
        <f>+SUMIFS('Detail 18-19'!AG:AG,'Detail 18-19'!$AA:$AA,$A179)</f>
        <v>333.3333333</v>
      </c>
      <c r="I179" s="276">
        <f>+SUMIFS('Detail 18-19'!AH:AH,'Detail 18-19'!$AA:$AA,$A179)</f>
        <v>333.3333333</v>
      </c>
      <c r="J179" s="276">
        <f>+SUMIFS('Detail 18-19'!AI:AI,'Detail 18-19'!$AA:$AA,$A179)</f>
        <v>333.3333333</v>
      </c>
      <c r="K179" s="276">
        <f>+SUMIFS('Detail 18-19'!AJ:AJ,'Detail 18-19'!$AA:$AA,$A179)</f>
        <v>333.3333333</v>
      </c>
      <c r="L179" s="276">
        <f>+SUMIFS('Detail 18-19'!AK:AK,'Detail 18-19'!$AA:$AA,$A179)</f>
        <v>333.3333333</v>
      </c>
      <c r="M179" s="276">
        <f>+SUMIFS('Detail 18-19'!AL:AL,'Detail 18-19'!$AA:$AA,$A179)</f>
        <v>333.3333333</v>
      </c>
      <c r="N179" s="276">
        <f>+SUMIFS('Detail 18-19'!AM:AM,'Detail 18-19'!$AA:$AA,$A179)</f>
        <v>333.3333333</v>
      </c>
      <c r="O179" s="276">
        <f>+SUMIFS('Detail 18-19'!AN:AN,'Detail 18-19'!$AA:$AA,$A179)</f>
        <v>333.3333333</v>
      </c>
      <c r="P179" s="277">
        <f t="shared" si="18"/>
        <v>4000</v>
      </c>
      <c r="Q179" s="270">
        <f>SUMIF('2019-03'!$E:$E,'Detail 19-20'!$A179,'2019-03'!$D:$D)</f>
        <v>2723.04</v>
      </c>
      <c r="R179" s="271" t="s">
        <v>950</v>
      </c>
      <c r="S179" s="270">
        <f t="shared" si="102"/>
        <v>3630.72</v>
      </c>
      <c r="T179" s="272">
        <v>4000.0</v>
      </c>
      <c r="U179" s="277">
        <f t="shared" si="4"/>
        <v>0</v>
      </c>
      <c r="V179" s="278">
        <f t="shared" si="5"/>
        <v>0</v>
      </c>
      <c r="W179" s="277">
        <f t="shared" si="6"/>
        <v>369.28</v>
      </c>
      <c r="X179" s="278">
        <f t="shared" si="7"/>
        <v>0.1017098537</v>
      </c>
      <c r="Y179" s="279" t="s">
        <v>950</v>
      </c>
      <c r="Z179" s="277">
        <f t="shared" ref="Z179:AK179" si="136">+$T179/12</f>
        <v>333.3333333</v>
      </c>
      <c r="AA179" s="277">
        <f t="shared" si="136"/>
        <v>333.3333333</v>
      </c>
      <c r="AB179" s="277">
        <f t="shared" si="136"/>
        <v>333.3333333</v>
      </c>
      <c r="AC179" s="277">
        <f t="shared" si="136"/>
        <v>333.3333333</v>
      </c>
      <c r="AD179" s="277">
        <f t="shared" si="136"/>
        <v>333.3333333</v>
      </c>
      <c r="AE179" s="277">
        <f t="shared" si="136"/>
        <v>333.3333333</v>
      </c>
      <c r="AF179" s="277">
        <f t="shared" si="136"/>
        <v>333.3333333</v>
      </c>
      <c r="AG179" s="277">
        <f t="shared" si="136"/>
        <v>333.3333333</v>
      </c>
      <c r="AH179" s="277">
        <f t="shared" si="136"/>
        <v>333.3333333</v>
      </c>
      <c r="AI179" s="277">
        <f t="shared" si="136"/>
        <v>333.3333333</v>
      </c>
      <c r="AJ179" s="277">
        <f t="shared" si="136"/>
        <v>333.3333333</v>
      </c>
      <c r="AK179" s="277">
        <f t="shared" si="136"/>
        <v>333.3333333</v>
      </c>
      <c r="AL179" s="277">
        <f t="shared" si="2"/>
        <v>4000</v>
      </c>
      <c r="AM179" s="277">
        <f t="shared" si="9"/>
        <v>0</v>
      </c>
      <c r="AN179" s="8" t="str">
        <f>+VLOOKUP('Detail 19-20'!A179,Map!$B$6:$M$222,12,FALSE)</f>
        <v>Equipment</v>
      </c>
    </row>
    <row r="180" ht="15.75" customHeight="1">
      <c r="A180" s="274" t="s">
        <v>1149</v>
      </c>
      <c r="B180" s="274" t="s">
        <v>1189</v>
      </c>
      <c r="C180" s="275" t="s">
        <v>631</v>
      </c>
      <c r="D180" s="276">
        <f>+SUMIFS('Detail 18-19'!AC:AC,'Detail 18-19'!$AA:$AA,$A180)</f>
        <v>0</v>
      </c>
      <c r="E180" s="276">
        <f>+SUMIFS('Detail 18-19'!AD:AD,'Detail 18-19'!$AA:$AA,$A180)</f>
        <v>0</v>
      </c>
      <c r="F180" s="276">
        <f>+SUMIFS('Detail 18-19'!AE:AE,'Detail 18-19'!$AA:$AA,$A180)</f>
        <v>0</v>
      </c>
      <c r="G180" s="276">
        <f>+SUMIFS('Detail 18-19'!AF:AF,'Detail 18-19'!$AA:$AA,$A180)</f>
        <v>0</v>
      </c>
      <c r="H180" s="276">
        <f>+SUMIFS('Detail 18-19'!AG:AG,'Detail 18-19'!$AA:$AA,$A180)</f>
        <v>0</v>
      </c>
      <c r="I180" s="276">
        <f>+SUMIFS('Detail 18-19'!AH:AH,'Detail 18-19'!$AA:$AA,$A180)</f>
        <v>0</v>
      </c>
      <c r="J180" s="276">
        <f>+SUMIFS('Detail 18-19'!AI:AI,'Detail 18-19'!$AA:$AA,$A180)</f>
        <v>0</v>
      </c>
      <c r="K180" s="276">
        <f>+SUMIFS('Detail 18-19'!AJ:AJ,'Detail 18-19'!$AA:$AA,$A180)</f>
        <v>0</v>
      </c>
      <c r="L180" s="276">
        <f>+SUMIFS('Detail 18-19'!AK:AK,'Detail 18-19'!$AA:$AA,$A180)</f>
        <v>0</v>
      </c>
      <c r="M180" s="276">
        <f>+SUMIFS('Detail 18-19'!AL:AL,'Detail 18-19'!$AA:$AA,$A180)</f>
        <v>0</v>
      </c>
      <c r="N180" s="276">
        <f>+SUMIFS('Detail 18-19'!AM:AM,'Detail 18-19'!$AA:$AA,$A180)</f>
        <v>0</v>
      </c>
      <c r="O180" s="276">
        <f>+SUMIFS('Detail 18-19'!AN:AN,'Detail 18-19'!$AA:$AA,$A180)</f>
        <v>0</v>
      </c>
      <c r="P180" s="277">
        <f t="shared" si="18"/>
        <v>0</v>
      </c>
      <c r="Q180" s="270">
        <f>SUMIF('2019-03'!$E:$E,'Detail 19-20'!$A180,'2019-03'!$D:$D)</f>
        <v>1028.64</v>
      </c>
      <c r="R180" s="271" t="s">
        <v>954</v>
      </c>
      <c r="S180" s="270">
        <f t="shared" si="102"/>
        <v>1028.64</v>
      </c>
      <c r="T180" s="272">
        <v>1050.0</v>
      </c>
      <c r="U180" s="277">
        <f t="shared" si="4"/>
        <v>1050</v>
      </c>
      <c r="V180" s="278">
        <f t="shared" si="5"/>
        <v>0</v>
      </c>
      <c r="W180" s="277">
        <f t="shared" si="6"/>
        <v>21.36</v>
      </c>
      <c r="X180" s="278">
        <f t="shared" si="7"/>
        <v>0.02076528231</v>
      </c>
      <c r="Y180" s="279" t="s">
        <v>1137</v>
      </c>
      <c r="Z180" s="277">
        <v>0.0</v>
      </c>
      <c r="AA180" s="277">
        <f>+$T180*0.5</f>
        <v>525</v>
      </c>
      <c r="AB180" s="277">
        <v>0.0</v>
      </c>
      <c r="AC180" s="277">
        <v>0.0</v>
      </c>
      <c r="AD180" s="277">
        <v>0.0</v>
      </c>
      <c r="AE180" s="277">
        <v>0.0</v>
      </c>
      <c r="AF180" s="277">
        <f>+$T180*0.5</f>
        <v>525</v>
      </c>
      <c r="AG180" s="277">
        <v>0.0</v>
      </c>
      <c r="AH180" s="277">
        <v>0.0</v>
      </c>
      <c r="AI180" s="277">
        <v>0.0</v>
      </c>
      <c r="AJ180" s="277">
        <v>0.0</v>
      </c>
      <c r="AK180" s="277">
        <v>0.0</v>
      </c>
      <c r="AL180" s="277">
        <f t="shared" si="2"/>
        <v>1050</v>
      </c>
      <c r="AM180" s="277">
        <f t="shared" si="9"/>
        <v>0</v>
      </c>
      <c r="AN180" s="8" t="str">
        <f>+VLOOKUP('Detail 19-20'!A180,Map!$B$6:$M$222,12,FALSE)</f>
        <v>Equipment</v>
      </c>
    </row>
    <row r="181" ht="15.75" customHeight="1">
      <c r="A181" s="274" t="s">
        <v>1151</v>
      </c>
      <c r="B181" s="274" t="s">
        <v>1189</v>
      </c>
      <c r="C181" s="275" t="s">
        <v>633</v>
      </c>
      <c r="D181" s="276">
        <f>+SUMIFS('Detail 18-19'!AC:AC,'Detail 18-19'!$AA:$AA,$A181)</f>
        <v>0</v>
      </c>
      <c r="E181" s="276">
        <f>+SUMIFS('Detail 18-19'!AD:AD,'Detail 18-19'!$AA:$AA,$A181)</f>
        <v>0</v>
      </c>
      <c r="F181" s="276">
        <f>+SUMIFS('Detail 18-19'!AE:AE,'Detail 18-19'!$AA:$AA,$A181)</f>
        <v>0</v>
      </c>
      <c r="G181" s="276">
        <f>+SUMIFS('Detail 18-19'!AF:AF,'Detail 18-19'!$AA:$AA,$A181)</f>
        <v>0</v>
      </c>
      <c r="H181" s="276">
        <f>+SUMIFS('Detail 18-19'!AG:AG,'Detail 18-19'!$AA:$AA,$A181)</f>
        <v>0</v>
      </c>
      <c r="I181" s="276">
        <f>+SUMIFS('Detail 18-19'!AH:AH,'Detail 18-19'!$AA:$AA,$A181)</f>
        <v>0</v>
      </c>
      <c r="J181" s="276">
        <f>+SUMIFS('Detail 18-19'!AI:AI,'Detail 18-19'!$AA:$AA,$A181)</f>
        <v>0</v>
      </c>
      <c r="K181" s="276">
        <f>+SUMIFS('Detail 18-19'!AJ:AJ,'Detail 18-19'!$AA:$AA,$A181)</f>
        <v>0</v>
      </c>
      <c r="L181" s="276">
        <f>+SUMIFS('Detail 18-19'!AK:AK,'Detail 18-19'!$AA:$AA,$A181)</f>
        <v>0</v>
      </c>
      <c r="M181" s="276">
        <f>+SUMIFS('Detail 18-19'!AL:AL,'Detail 18-19'!$AA:$AA,$A181)</f>
        <v>0</v>
      </c>
      <c r="N181" s="276">
        <f>+SUMIFS('Detail 18-19'!AM:AM,'Detail 18-19'!$AA:$AA,$A181)</f>
        <v>0</v>
      </c>
      <c r="O181" s="276">
        <f>+SUMIFS('Detail 18-19'!AN:AN,'Detail 18-19'!$AA:$AA,$A181)</f>
        <v>0</v>
      </c>
      <c r="P181" s="277">
        <f t="shared" si="18"/>
        <v>0</v>
      </c>
      <c r="Q181" s="270">
        <f>SUMIF('2019-03'!$E:$E,'Detail 19-20'!$A181,'2019-03'!$D:$D)</f>
        <v>550.64</v>
      </c>
      <c r="R181" s="271" t="s">
        <v>954</v>
      </c>
      <c r="S181" s="270">
        <f t="shared" si="102"/>
        <v>550.64</v>
      </c>
      <c r="T181" s="272">
        <v>500.0</v>
      </c>
      <c r="U181" s="277">
        <f t="shared" si="4"/>
        <v>500</v>
      </c>
      <c r="V181" s="278">
        <f t="shared" si="5"/>
        <v>0</v>
      </c>
      <c r="W181" s="277">
        <f t="shared" si="6"/>
        <v>-50.64</v>
      </c>
      <c r="X181" s="278">
        <f t="shared" si="7"/>
        <v>-0.09196571263</v>
      </c>
      <c r="Y181" s="279" t="s">
        <v>950</v>
      </c>
      <c r="Z181" s="277">
        <f t="shared" ref="Z181:AK181" si="137">+$T181/12</f>
        <v>41.66666667</v>
      </c>
      <c r="AA181" s="277">
        <f t="shared" si="137"/>
        <v>41.66666667</v>
      </c>
      <c r="AB181" s="277">
        <f t="shared" si="137"/>
        <v>41.66666667</v>
      </c>
      <c r="AC181" s="277">
        <f t="shared" si="137"/>
        <v>41.66666667</v>
      </c>
      <c r="AD181" s="277">
        <f t="shared" si="137"/>
        <v>41.66666667</v>
      </c>
      <c r="AE181" s="277">
        <f t="shared" si="137"/>
        <v>41.66666667</v>
      </c>
      <c r="AF181" s="277">
        <f t="shared" si="137"/>
        <v>41.66666667</v>
      </c>
      <c r="AG181" s="277">
        <f t="shared" si="137"/>
        <v>41.66666667</v>
      </c>
      <c r="AH181" s="277">
        <f t="shared" si="137"/>
        <v>41.66666667</v>
      </c>
      <c r="AI181" s="277">
        <f t="shared" si="137"/>
        <v>41.66666667</v>
      </c>
      <c r="AJ181" s="277">
        <f t="shared" si="137"/>
        <v>41.66666667</v>
      </c>
      <c r="AK181" s="277">
        <f t="shared" si="137"/>
        <v>41.66666667</v>
      </c>
      <c r="AL181" s="277">
        <f t="shared" si="2"/>
        <v>500</v>
      </c>
      <c r="AM181" s="277">
        <f t="shared" si="9"/>
        <v>0</v>
      </c>
      <c r="AN181" s="8" t="str">
        <f>+VLOOKUP('Detail 19-20'!A181,Map!$B$6:$M$222,12,FALSE)</f>
        <v>Equipment</v>
      </c>
    </row>
    <row r="182" ht="15.75" customHeight="1">
      <c r="A182" s="274" t="s">
        <v>1152</v>
      </c>
      <c r="B182" s="274" t="s">
        <v>1189</v>
      </c>
      <c r="C182" s="275" t="s">
        <v>635</v>
      </c>
      <c r="D182" s="276">
        <f>+SUMIFS('Detail 18-19'!AC:AC,'Detail 18-19'!$AA:$AA,$A182)</f>
        <v>0</v>
      </c>
      <c r="E182" s="276">
        <f>+SUMIFS('Detail 18-19'!AD:AD,'Detail 18-19'!$AA:$AA,$A182)</f>
        <v>0</v>
      </c>
      <c r="F182" s="276">
        <f>+SUMIFS('Detail 18-19'!AE:AE,'Detail 18-19'!$AA:$AA,$A182)</f>
        <v>0</v>
      </c>
      <c r="G182" s="276">
        <f>+SUMIFS('Detail 18-19'!AF:AF,'Detail 18-19'!$AA:$AA,$A182)</f>
        <v>0</v>
      </c>
      <c r="H182" s="276">
        <f>+SUMIFS('Detail 18-19'!AG:AG,'Detail 18-19'!$AA:$AA,$A182)</f>
        <v>0</v>
      </c>
      <c r="I182" s="276">
        <f>+SUMIFS('Detail 18-19'!AH:AH,'Detail 18-19'!$AA:$AA,$A182)</f>
        <v>0</v>
      </c>
      <c r="J182" s="276">
        <f>+SUMIFS('Detail 18-19'!AI:AI,'Detail 18-19'!$AA:$AA,$A182)</f>
        <v>0</v>
      </c>
      <c r="K182" s="276">
        <f>+SUMIFS('Detail 18-19'!AJ:AJ,'Detail 18-19'!$AA:$AA,$A182)</f>
        <v>0</v>
      </c>
      <c r="L182" s="276">
        <f>+SUMIFS('Detail 18-19'!AK:AK,'Detail 18-19'!$AA:$AA,$A182)</f>
        <v>0</v>
      </c>
      <c r="M182" s="276">
        <f>+SUMIFS('Detail 18-19'!AL:AL,'Detail 18-19'!$AA:$AA,$A182)</f>
        <v>0</v>
      </c>
      <c r="N182" s="276">
        <f>+SUMIFS('Detail 18-19'!AM:AM,'Detail 18-19'!$AA:$AA,$A182)</f>
        <v>0</v>
      </c>
      <c r="O182" s="276">
        <f>+SUMIFS('Detail 18-19'!AN:AN,'Detail 18-19'!$AA:$AA,$A182)</f>
        <v>0</v>
      </c>
      <c r="P182" s="277">
        <f t="shared" si="18"/>
        <v>0</v>
      </c>
      <c r="Q182" s="270">
        <f>SUMIF('2019-03'!$E:$E,'Detail 19-20'!$A182,'2019-03'!$D:$D)</f>
        <v>0</v>
      </c>
      <c r="R182" s="271" t="s">
        <v>954</v>
      </c>
      <c r="S182" s="270">
        <f t="shared" si="102"/>
        <v>0</v>
      </c>
      <c r="T182" s="272">
        <v>0.0</v>
      </c>
      <c r="U182" s="277">
        <f t="shared" si="4"/>
        <v>0</v>
      </c>
      <c r="V182" s="278">
        <f t="shared" si="5"/>
        <v>0</v>
      </c>
      <c r="W182" s="277">
        <f t="shared" si="6"/>
        <v>0</v>
      </c>
      <c r="X182" s="278">
        <f t="shared" si="7"/>
        <v>0</v>
      </c>
      <c r="Y182" s="279" t="s">
        <v>950</v>
      </c>
      <c r="Z182" s="277">
        <f t="shared" ref="Z182:AK182" si="138">+$T182/12</f>
        <v>0</v>
      </c>
      <c r="AA182" s="277">
        <f t="shared" si="138"/>
        <v>0</v>
      </c>
      <c r="AB182" s="277">
        <f t="shared" si="138"/>
        <v>0</v>
      </c>
      <c r="AC182" s="277">
        <f t="shared" si="138"/>
        <v>0</v>
      </c>
      <c r="AD182" s="277">
        <f t="shared" si="138"/>
        <v>0</v>
      </c>
      <c r="AE182" s="277">
        <f t="shared" si="138"/>
        <v>0</v>
      </c>
      <c r="AF182" s="277">
        <f t="shared" si="138"/>
        <v>0</v>
      </c>
      <c r="AG182" s="277">
        <f t="shared" si="138"/>
        <v>0</v>
      </c>
      <c r="AH182" s="277">
        <f t="shared" si="138"/>
        <v>0</v>
      </c>
      <c r="AI182" s="277">
        <f t="shared" si="138"/>
        <v>0</v>
      </c>
      <c r="AJ182" s="277">
        <f t="shared" si="138"/>
        <v>0</v>
      </c>
      <c r="AK182" s="277">
        <f t="shared" si="138"/>
        <v>0</v>
      </c>
      <c r="AL182" s="277">
        <f t="shared" si="2"/>
        <v>0</v>
      </c>
      <c r="AM182" s="277">
        <f t="shared" si="9"/>
        <v>0</v>
      </c>
      <c r="AN182" s="8" t="str">
        <f>+VLOOKUP('Detail 19-20'!A182,Map!$B$6:$M$222,12,FALSE)</f>
        <v>Equipment</v>
      </c>
    </row>
    <row r="183" ht="15.75" customHeight="1">
      <c r="A183" s="274" t="s">
        <v>1154</v>
      </c>
      <c r="B183" s="274" t="s">
        <v>1189</v>
      </c>
      <c r="C183" s="275" t="s">
        <v>640</v>
      </c>
      <c r="D183" s="276">
        <f>+SUMIFS('Detail 18-19'!AC:AC,'Detail 18-19'!$AA:$AA,$A183)</f>
        <v>0</v>
      </c>
      <c r="E183" s="276">
        <f>+SUMIFS('Detail 18-19'!AD:AD,'Detail 18-19'!$AA:$AA,$A183)</f>
        <v>100</v>
      </c>
      <c r="F183" s="276">
        <f>+SUMIFS('Detail 18-19'!AE:AE,'Detail 18-19'!$AA:$AA,$A183)</f>
        <v>0</v>
      </c>
      <c r="G183" s="276">
        <f>+SUMIFS('Detail 18-19'!AF:AF,'Detail 18-19'!$AA:$AA,$A183)</f>
        <v>0</v>
      </c>
      <c r="H183" s="276">
        <f>+SUMIFS('Detail 18-19'!AG:AG,'Detail 18-19'!$AA:$AA,$A183)</f>
        <v>0</v>
      </c>
      <c r="I183" s="276">
        <f>+SUMIFS('Detail 18-19'!AH:AH,'Detail 18-19'!$AA:$AA,$A183)</f>
        <v>0</v>
      </c>
      <c r="J183" s="276">
        <f>+SUMIFS('Detail 18-19'!AI:AI,'Detail 18-19'!$AA:$AA,$A183)</f>
        <v>0</v>
      </c>
      <c r="K183" s="276">
        <f>+SUMIFS('Detail 18-19'!AJ:AJ,'Detail 18-19'!$AA:$AA,$A183)</f>
        <v>0</v>
      </c>
      <c r="L183" s="276">
        <f>+SUMIFS('Detail 18-19'!AK:AK,'Detail 18-19'!$AA:$AA,$A183)</f>
        <v>0</v>
      </c>
      <c r="M183" s="276">
        <f>+SUMIFS('Detail 18-19'!AL:AL,'Detail 18-19'!$AA:$AA,$A183)</f>
        <v>0</v>
      </c>
      <c r="N183" s="276">
        <f>+SUMIFS('Detail 18-19'!AM:AM,'Detail 18-19'!$AA:$AA,$A183)</f>
        <v>0</v>
      </c>
      <c r="O183" s="276">
        <f>+SUMIFS('Detail 18-19'!AN:AN,'Detail 18-19'!$AA:$AA,$A183)</f>
        <v>0</v>
      </c>
      <c r="P183" s="277">
        <f t="shared" si="18"/>
        <v>100</v>
      </c>
      <c r="Q183" s="270">
        <f>SUMIF('2019-03'!$E:$E,'Detail 19-20'!$A183,'2019-03'!$D:$D)</f>
        <v>167.64</v>
      </c>
      <c r="R183" s="271" t="s">
        <v>950</v>
      </c>
      <c r="S183" s="270">
        <f t="shared" si="102"/>
        <v>223.52</v>
      </c>
      <c r="T183" s="272">
        <v>250.0</v>
      </c>
      <c r="U183" s="277">
        <f t="shared" si="4"/>
        <v>150</v>
      </c>
      <c r="V183" s="278">
        <f t="shared" si="5"/>
        <v>1.5</v>
      </c>
      <c r="W183" s="277">
        <f t="shared" si="6"/>
        <v>26.48</v>
      </c>
      <c r="X183" s="278">
        <f t="shared" si="7"/>
        <v>0.118468146</v>
      </c>
      <c r="Y183" s="279" t="s">
        <v>1137</v>
      </c>
      <c r="Z183" s="277">
        <v>0.0</v>
      </c>
      <c r="AA183" s="277">
        <f t="shared" ref="AA183:AA185" si="139">+$T183*0.5</f>
        <v>125</v>
      </c>
      <c r="AB183" s="277">
        <v>0.0</v>
      </c>
      <c r="AC183" s="277">
        <v>0.0</v>
      </c>
      <c r="AD183" s="277">
        <v>0.0</v>
      </c>
      <c r="AE183" s="277">
        <v>0.0</v>
      </c>
      <c r="AF183" s="277">
        <f t="shared" ref="AF183:AF185" si="140">+$T183*0.5</f>
        <v>125</v>
      </c>
      <c r="AG183" s="277">
        <v>0.0</v>
      </c>
      <c r="AH183" s="277">
        <v>0.0</v>
      </c>
      <c r="AI183" s="277">
        <v>0.0</v>
      </c>
      <c r="AJ183" s="277">
        <v>0.0</v>
      </c>
      <c r="AK183" s="277">
        <v>0.0</v>
      </c>
      <c r="AL183" s="277">
        <f t="shared" si="2"/>
        <v>250</v>
      </c>
      <c r="AM183" s="277">
        <f t="shared" si="9"/>
        <v>0</v>
      </c>
      <c r="AN183" s="8" t="str">
        <f>+VLOOKUP('Detail 19-20'!A183,Map!$B$6:$M$222,12,FALSE)</f>
        <v>Professional Development</v>
      </c>
    </row>
    <row r="184" ht="15.75" customHeight="1">
      <c r="A184" s="274" t="s">
        <v>1155</v>
      </c>
      <c r="B184" s="274" t="s">
        <v>1189</v>
      </c>
      <c r="C184" s="275" t="s">
        <v>643</v>
      </c>
      <c r="D184" s="276">
        <f>+SUMIFS('Detail 18-19'!AC:AC,'Detail 18-19'!$AA:$AA,$A184)</f>
        <v>0</v>
      </c>
      <c r="E184" s="276">
        <f>+SUMIFS('Detail 18-19'!AD:AD,'Detail 18-19'!$AA:$AA,$A184)</f>
        <v>0</v>
      </c>
      <c r="F184" s="276">
        <f>+SUMIFS('Detail 18-19'!AE:AE,'Detail 18-19'!$AA:$AA,$A184)</f>
        <v>0</v>
      </c>
      <c r="G184" s="276">
        <f>+SUMIFS('Detail 18-19'!AF:AF,'Detail 18-19'!$AA:$AA,$A184)</f>
        <v>0</v>
      </c>
      <c r="H184" s="276">
        <f>+SUMIFS('Detail 18-19'!AG:AG,'Detail 18-19'!$AA:$AA,$A184)</f>
        <v>500</v>
      </c>
      <c r="I184" s="276">
        <f>+SUMIFS('Detail 18-19'!AH:AH,'Detail 18-19'!$AA:$AA,$A184)</f>
        <v>0</v>
      </c>
      <c r="J184" s="276">
        <f>+SUMIFS('Detail 18-19'!AI:AI,'Detail 18-19'!$AA:$AA,$A184)</f>
        <v>500</v>
      </c>
      <c r="K184" s="276">
        <f>+SUMIFS('Detail 18-19'!AJ:AJ,'Detail 18-19'!$AA:$AA,$A184)</f>
        <v>500</v>
      </c>
      <c r="L184" s="276">
        <f>+SUMIFS('Detail 18-19'!AK:AK,'Detail 18-19'!$AA:$AA,$A184)</f>
        <v>500</v>
      </c>
      <c r="M184" s="276">
        <f>+SUMIFS('Detail 18-19'!AL:AL,'Detail 18-19'!$AA:$AA,$A184)</f>
        <v>500</v>
      </c>
      <c r="N184" s="276">
        <f>+SUMIFS('Detail 18-19'!AM:AM,'Detail 18-19'!$AA:$AA,$A184)</f>
        <v>0</v>
      </c>
      <c r="O184" s="276">
        <f>+SUMIFS('Detail 18-19'!AN:AN,'Detail 18-19'!$AA:$AA,$A184)</f>
        <v>0</v>
      </c>
      <c r="P184" s="277">
        <f t="shared" si="18"/>
        <v>2500</v>
      </c>
      <c r="Q184" s="270">
        <f>SUMIF('2019-03'!$E:$E,'Detail 19-20'!$A184,'2019-03'!$D:$D)</f>
        <v>795.5</v>
      </c>
      <c r="R184" s="271" t="s">
        <v>954</v>
      </c>
      <c r="S184" s="270">
        <f t="shared" si="102"/>
        <v>795.5</v>
      </c>
      <c r="T184" s="272">
        <v>1000.0</v>
      </c>
      <c r="U184" s="277">
        <f t="shared" si="4"/>
        <v>-1500</v>
      </c>
      <c r="V184" s="278">
        <f t="shared" si="5"/>
        <v>-0.6</v>
      </c>
      <c r="W184" s="277">
        <f t="shared" si="6"/>
        <v>204.5</v>
      </c>
      <c r="X184" s="278">
        <f t="shared" si="7"/>
        <v>0.2570710245</v>
      </c>
      <c r="Y184" s="279" t="s">
        <v>1137</v>
      </c>
      <c r="Z184" s="277">
        <v>0.0</v>
      </c>
      <c r="AA184" s="277">
        <f t="shared" si="139"/>
        <v>500</v>
      </c>
      <c r="AB184" s="277">
        <v>0.0</v>
      </c>
      <c r="AC184" s="277">
        <v>0.0</v>
      </c>
      <c r="AD184" s="277">
        <v>0.0</v>
      </c>
      <c r="AE184" s="277">
        <v>0.0</v>
      </c>
      <c r="AF184" s="277">
        <f t="shared" si="140"/>
        <v>500</v>
      </c>
      <c r="AG184" s="277">
        <v>0.0</v>
      </c>
      <c r="AH184" s="277">
        <v>0.0</v>
      </c>
      <c r="AI184" s="277">
        <v>0.0</v>
      </c>
      <c r="AJ184" s="277">
        <v>0.0</v>
      </c>
      <c r="AK184" s="277">
        <v>0.0</v>
      </c>
      <c r="AL184" s="277">
        <f t="shared" si="2"/>
        <v>1000</v>
      </c>
      <c r="AM184" s="277">
        <f t="shared" si="9"/>
        <v>0</v>
      </c>
      <c r="AN184" s="8" t="str">
        <f>+VLOOKUP('Detail 19-20'!A184,Map!$B$6:$M$222,12,FALSE)</f>
        <v>Professional Development</v>
      </c>
    </row>
    <row r="185" ht="15.75" customHeight="1">
      <c r="A185" s="274" t="s">
        <v>1157</v>
      </c>
      <c r="B185" s="274" t="s">
        <v>1189</v>
      </c>
      <c r="C185" s="275" t="s">
        <v>643</v>
      </c>
      <c r="D185" s="276">
        <f>+SUMIFS('Detail 18-19'!AC:AC,'Detail 18-19'!$AA:$AA,$A185)</f>
        <v>0</v>
      </c>
      <c r="E185" s="276">
        <f>+SUMIFS('Detail 18-19'!AD:AD,'Detail 18-19'!$AA:$AA,$A185)</f>
        <v>0</v>
      </c>
      <c r="F185" s="276">
        <f>+SUMIFS('Detail 18-19'!AE:AE,'Detail 18-19'!$AA:$AA,$A185)</f>
        <v>0</v>
      </c>
      <c r="G185" s="276">
        <f>+SUMIFS('Detail 18-19'!AF:AF,'Detail 18-19'!$AA:$AA,$A185)</f>
        <v>0</v>
      </c>
      <c r="H185" s="276">
        <f>+SUMIFS('Detail 18-19'!AG:AG,'Detail 18-19'!$AA:$AA,$A185)</f>
        <v>0</v>
      </c>
      <c r="I185" s="276">
        <f>+SUMIFS('Detail 18-19'!AH:AH,'Detail 18-19'!$AA:$AA,$A185)</f>
        <v>0</v>
      </c>
      <c r="J185" s="276">
        <f>+SUMIFS('Detail 18-19'!AI:AI,'Detail 18-19'!$AA:$AA,$A185)</f>
        <v>0</v>
      </c>
      <c r="K185" s="276">
        <f>+SUMIFS('Detail 18-19'!AJ:AJ,'Detail 18-19'!$AA:$AA,$A185)</f>
        <v>0</v>
      </c>
      <c r="L185" s="276">
        <f>+SUMIFS('Detail 18-19'!AK:AK,'Detail 18-19'!$AA:$AA,$A185)</f>
        <v>0</v>
      </c>
      <c r="M185" s="276">
        <f>+SUMIFS('Detail 18-19'!AL:AL,'Detail 18-19'!$AA:$AA,$A185)</f>
        <v>0</v>
      </c>
      <c r="N185" s="276">
        <f>+SUMIFS('Detail 18-19'!AM:AM,'Detail 18-19'!$AA:$AA,$A185)</f>
        <v>0</v>
      </c>
      <c r="O185" s="276">
        <f>+SUMIFS('Detail 18-19'!AN:AN,'Detail 18-19'!$AA:$AA,$A185)</f>
        <v>0</v>
      </c>
      <c r="P185" s="277">
        <f t="shared" si="18"/>
        <v>0</v>
      </c>
      <c r="Q185" s="270">
        <f>SUMIF('2019-03'!$E:$E,'Detail 19-20'!$A185,'2019-03'!$D:$D)</f>
        <v>1558</v>
      </c>
      <c r="R185" s="271" t="s">
        <v>954</v>
      </c>
      <c r="S185" s="270">
        <f t="shared" si="102"/>
        <v>1558</v>
      </c>
      <c r="T185" s="272">
        <v>1500.0</v>
      </c>
      <c r="U185" s="277">
        <f t="shared" si="4"/>
        <v>1500</v>
      </c>
      <c r="V185" s="278">
        <f t="shared" si="5"/>
        <v>0</v>
      </c>
      <c r="W185" s="277">
        <f t="shared" si="6"/>
        <v>-58</v>
      </c>
      <c r="X185" s="278">
        <f t="shared" si="7"/>
        <v>-0.03722721438</v>
      </c>
      <c r="Y185" s="279" t="s">
        <v>1137</v>
      </c>
      <c r="Z185" s="277">
        <v>0.0</v>
      </c>
      <c r="AA185" s="277">
        <f t="shared" si="139"/>
        <v>750</v>
      </c>
      <c r="AB185" s="277">
        <v>0.0</v>
      </c>
      <c r="AC185" s="277">
        <v>0.0</v>
      </c>
      <c r="AD185" s="277">
        <v>0.0</v>
      </c>
      <c r="AE185" s="277">
        <v>0.0</v>
      </c>
      <c r="AF185" s="277">
        <f t="shared" si="140"/>
        <v>750</v>
      </c>
      <c r="AG185" s="277">
        <v>0.0</v>
      </c>
      <c r="AH185" s="277">
        <v>0.0</v>
      </c>
      <c r="AI185" s="277">
        <v>0.0</v>
      </c>
      <c r="AJ185" s="277">
        <v>0.0</v>
      </c>
      <c r="AK185" s="277">
        <v>0.0</v>
      </c>
      <c r="AL185" s="277">
        <f t="shared" si="2"/>
        <v>1500</v>
      </c>
      <c r="AM185" s="277">
        <f t="shared" si="9"/>
        <v>0</v>
      </c>
      <c r="AN185" s="8" t="str">
        <f>+VLOOKUP('Detail 19-20'!A185,Map!$B$6:$M$222,12,FALSE)</f>
        <v>Professional Development</v>
      </c>
    </row>
    <row r="186" ht="15.75" customHeight="1">
      <c r="A186" s="274" t="s">
        <v>1158</v>
      </c>
      <c r="B186" s="274" t="s">
        <v>1189</v>
      </c>
      <c r="C186" s="275" t="s">
        <v>212</v>
      </c>
      <c r="D186" s="276">
        <f>+SUMIFS('Detail 18-19'!AC:AC,'Detail 18-19'!$AA:$AA,$A186)</f>
        <v>45.83333333</v>
      </c>
      <c r="E186" s="276">
        <f>+SUMIFS('Detail 18-19'!AD:AD,'Detail 18-19'!$AA:$AA,$A186)</f>
        <v>95.83333333</v>
      </c>
      <c r="F186" s="276">
        <f>+SUMIFS('Detail 18-19'!AE:AE,'Detail 18-19'!$AA:$AA,$A186)</f>
        <v>95.83333333</v>
      </c>
      <c r="G186" s="276">
        <f>+SUMIFS('Detail 18-19'!AF:AF,'Detail 18-19'!$AA:$AA,$A186)</f>
        <v>95.83333333</v>
      </c>
      <c r="H186" s="276">
        <f>+SUMIFS('Detail 18-19'!AG:AG,'Detail 18-19'!$AA:$AA,$A186)</f>
        <v>345.8333333</v>
      </c>
      <c r="I186" s="276">
        <f>+SUMIFS('Detail 18-19'!AH:AH,'Detail 18-19'!$AA:$AA,$A186)</f>
        <v>95.83333333</v>
      </c>
      <c r="J186" s="276">
        <f>+SUMIFS('Detail 18-19'!AI:AI,'Detail 18-19'!$AA:$AA,$A186)</f>
        <v>220.8333333</v>
      </c>
      <c r="K186" s="276">
        <f>+SUMIFS('Detail 18-19'!AJ:AJ,'Detail 18-19'!$AA:$AA,$A186)</f>
        <v>95.83333333</v>
      </c>
      <c r="L186" s="276">
        <f>+SUMIFS('Detail 18-19'!AK:AK,'Detail 18-19'!$AA:$AA,$A186)</f>
        <v>220.8333333</v>
      </c>
      <c r="M186" s="276">
        <f>+SUMIFS('Detail 18-19'!AL:AL,'Detail 18-19'!$AA:$AA,$A186)</f>
        <v>95.83333333</v>
      </c>
      <c r="N186" s="276">
        <f>+SUMIFS('Detail 18-19'!AM:AM,'Detail 18-19'!$AA:$AA,$A186)</f>
        <v>95.83333333</v>
      </c>
      <c r="O186" s="276">
        <f>+SUMIFS('Detail 18-19'!AN:AN,'Detail 18-19'!$AA:$AA,$A186)</f>
        <v>45.83333333</v>
      </c>
      <c r="P186" s="277">
        <f t="shared" si="18"/>
        <v>1550</v>
      </c>
      <c r="Q186" s="270">
        <f>SUMIF('2019-03'!$E:$E,'Detail 19-20'!$A186,'2019-03'!$D:$D)</f>
        <v>572.32</v>
      </c>
      <c r="R186" s="271" t="s">
        <v>950</v>
      </c>
      <c r="S186" s="270">
        <f t="shared" si="102"/>
        <v>763.0933333</v>
      </c>
      <c r="T186" s="272">
        <v>750.0</v>
      </c>
      <c r="U186" s="277">
        <f t="shared" si="4"/>
        <v>-800</v>
      </c>
      <c r="V186" s="278">
        <f t="shared" si="5"/>
        <v>-0.5161290323</v>
      </c>
      <c r="W186" s="277">
        <f t="shared" si="6"/>
        <v>-13.09333333</v>
      </c>
      <c r="X186" s="278">
        <f t="shared" si="7"/>
        <v>-0.01715823316</v>
      </c>
      <c r="Y186" s="279" t="s">
        <v>950</v>
      </c>
      <c r="Z186" s="277">
        <f t="shared" ref="Z186:AK186" si="141">+$T186/12</f>
        <v>62.5</v>
      </c>
      <c r="AA186" s="277">
        <f t="shared" si="141"/>
        <v>62.5</v>
      </c>
      <c r="AB186" s="277">
        <f t="shared" si="141"/>
        <v>62.5</v>
      </c>
      <c r="AC186" s="277">
        <f t="shared" si="141"/>
        <v>62.5</v>
      </c>
      <c r="AD186" s="277">
        <f t="shared" si="141"/>
        <v>62.5</v>
      </c>
      <c r="AE186" s="277">
        <f t="shared" si="141"/>
        <v>62.5</v>
      </c>
      <c r="AF186" s="277">
        <f t="shared" si="141"/>
        <v>62.5</v>
      </c>
      <c r="AG186" s="277">
        <f t="shared" si="141"/>
        <v>62.5</v>
      </c>
      <c r="AH186" s="277">
        <f t="shared" si="141"/>
        <v>62.5</v>
      </c>
      <c r="AI186" s="277">
        <f t="shared" si="141"/>
        <v>62.5</v>
      </c>
      <c r="AJ186" s="277">
        <f t="shared" si="141"/>
        <v>62.5</v>
      </c>
      <c r="AK186" s="277">
        <f t="shared" si="141"/>
        <v>62.5</v>
      </c>
      <c r="AL186" s="277">
        <f t="shared" si="2"/>
        <v>750</v>
      </c>
      <c r="AM186" s="277">
        <f t="shared" si="9"/>
        <v>0</v>
      </c>
      <c r="AN186" s="8" t="str">
        <f>+VLOOKUP('Detail 19-20'!A186,Map!$B$6:$M$222,12,FALSE)</f>
        <v>Travel</v>
      </c>
    </row>
    <row r="187" ht="15.75" customHeight="1">
      <c r="A187" s="274" t="s">
        <v>1160</v>
      </c>
      <c r="B187" s="274" t="s">
        <v>1189</v>
      </c>
      <c r="C187" s="275" t="s">
        <v>669</v>
      </c>
      <c r="D187" s="276">
        <f>+SUMIFS('Detail 18-19'!AC:AC,'Detail 18-19'!$AA:$AA,$A187)</f>
        <v>83.33333333</v>
      </c>
      <c r="E187" s="276">
        <f>+SUMIFS('Detail 18-19'!AD:AD,'Detail 18-19'!$AA:$AA,$A187)</f>
        <v>83.33333333</v>
      </c>
      <c r="F187" s="276">
        <f>+SUMIFS('Detail 18-19'!AE:AE,'Detail 18-19'!$AA:$AA,$A187)</f>
        <v>83.33333333</v>
      </c>
      <c r="G187" s="276">
        <f>+SUMIFS('Detail 18-19'!AF:AF,'Detail 18-19'!$AA:$AA,$A187)</f>
        <v>83.33333333</v>
      </c>
      <c r="H187" s="276">
        <f>+SUMIFS('Detail 18-19'!AG:AG,'Detail 18-19'!$AA:$AA,$A187)</f>
        <v>83.33333333</v>
      </c>
      <c r="I187" s="276">
        <f>+SUMIFS('Detail 18-19'!AH:AH,'Detail 18-19'!$AA:$AA,$A187)</f>
        <v>83.33333333</v>
      </c>
      <c r="J187" s="276">
        <f>+SUMIFS('Detail 18-19'!AI:AI,'Detail 18-19'!$AA:$AA,$A187)</f>
        <v>83.33333333</v>
      </c>
      <c r="K187" s="276">
        <f>+SUMIFS('Detail 18-19'!AJ:AJ,'Detail 18-19'!$AA:$AA,$A187)</f>
        <v>83.33333333</v>
      </c>
      <c r="L187" s="276">
        <f>+SUMIFS('Detail 18-19'!AK:AK,'Detail 18-19'!$AA:$AA,$A187)</f>
        <v>83.33333333</v>
      </c>
      <c r="M187" s="276">
        <f>+SUMIFS('Detail 18-19'!AL:AL,'Detail 18-19'!$AA:$AA,$A187)</f>
        <v>83.33333333</v>
      </c>
      <c r="N187" s="276">
        <f>+SUMIFS('Detail 18-19'!AM:AM,'Detail 18-19'!$AA:$AA,$A187)</f>
        <v>83.33333333</v>
      </c>
      <c r="O187" s="276">
        <f>+SUMIFS('Detail 18-19'!AN:AN,'Detail 18-19'!$AA:$AA,$A187)</f>
        <v>83.33333333</v>
      </c>
      <c r="P187" s="277">
        <f t="shared" si="18"/>
        <v>1000</v>
      </c>
      <c r="Q187" s="270">
        <f>SUMIF('2019-03'!$E:$E,'Detail 19-20'!$A187,'2019-03'!$D:$D)</f>
        <v>220.88</v>
      </c>
      <c r="R187" s="271" t="s">
        <v>992</v>
      </c>
      <c r="S187" s="270">
        <f t="shared" si="102"/>
        <v>276.1</v>
      </c>
      <c r="T187" s="272">
        <v>300.0</v>
      </c>
      <c r="U187" s="277">
        <f t="shared" si="4"/>
        <v>-700</v>
      </c>
      <c r="V187" s="278">
        <f t="shared" si="5"/>
        <v>-0.7</v>
      </c>
      <c r="W187" s="277">
        <f t="shared" si="6"/>
        <v>23.9</v>
      </c>
      <c r="X187" s="278">
        <f t="shared" si="7"/>
        <v>0.08656283955</v>
      </c>
      <c r="Y187" s="279" t="s">
        <v>950</v>
      </c>
      <c r="Z187" s="277">
        <f t="shared" ref="Z187:AK187" si="142">+$T187/12</f>
        <v>25</v>
      </c>
      <c r="AA187" s="277">
        <f t="shared" si="142"/>
        <v>25</v>
      </c>
      <c r="AB187" s="277">
        <f t="shared" si="142"/>
        <v>25</v>
      </c>
      <c r="AC187" s="277">
        <f t="shared" si="142"/>
        <v>25</v>
      </c>
      <c r="AD187" s="277">
        <f t="shared" si="142"/>
        <v>25</v>
      </c>
      <c r="AE187" s="277">
        <f t="shared" si="142"/>
        <v>25</v>
      </c>
      <c r="AF187" s="277">
        <f t="shared" si="142"/>
        <v>25</v>
      </c>
      <c r="AG187" s="277">
        <f t="shared" si="142"/>
        <v>25</v>
      </c>
      <c r="AH187" s="277">
        <f t="shared" si="142"/>
        <v>25</v>
      </c>
      <c r="AI187" s="277">
        <f t="shared" si="142"/>
        <v>25</v>
      </c>
      <c r="AJ187" s="277">
        <f t="shared" si="142"/>
        <v>25</v>
      </c>
      <c r="AK187" s="277">
        <f t="shared" si="142"/>
        <v>25</v>
      </c>
      <c r="AL187" s="277">
        <f t="shared" si="2"/>
        <v>300</v>
      </c>
      <c r="AM187" s="277">
        <f t="shared" si="9"/>
        <v>0</v>
      </c>
      <c r="AN187" s="8" t="str">
        <f>+VLOOKUP('Detail 19-20'!A187,Map!$B$6:$M$222,12,FALSE)</f>
        <v>Transportation Expense</v>
      </c>
    </row>
    <row r="188" ht="15.75" customHeight="1">
      <c r="A188" s="274" t="s">
        <v>1162</v>
      </c>
      <c r="B188" s="274" t="s">
        <v>1189</v>
      </c>
      <c r="C188" s="275" t="s">
        <v>671</v>
      </c>
      <c r="D188" s="276">
        <f>+SUMIFS('Detail 18-19'!AC:AC,'Detail 18-19'!$AA:$AA,$A188)</f>
        <v>83.33333333</v>
      </c>
      <c r="E188" s="276">
        <f>+SUMIFS('Detail 18-19'!AD:AD,'Detail 18-19'!$AA:$AA,$A188)</f>
        <v>83.33333333</v>
      </c>
      <c r="F188" s="276">
        <f>+SUMIFS('Detail 18-19'!AE:AE,'Detail 18-19'!$AA:$AA,$A188)</f>
        <v>83.33333333</v>
      </c>
      <c r="G188" s="276">
        <f>+SUMIFS('Detail 18-19'!AF:AF,'Detail 18-19'!$AA:$AA,$A188)</f>
        <v>83.33333333</v>
      </c>
      <c r="H188" s="276">
        <f>+SUMIFS('Detail 18-19'!AG:AG,'Detail 18-19'!$AA:$AA,$A188)</f>
        <v>83.33333333</v>
      </c>
      <c r="I188" s="276">
        <f>+SUMIFS('Detail 18-19'!AH:AH,'Detail 18-19'!$AA:$AA,$A188)</f>
        <v>83.33333333</v>
      </c>
      <c r="J188" s="276">
        <f>+SUMIFS('Detail 18-19'!AI:AI,'Detail 18-19'!$AA:$AA,$A188)</f>
        <v>83.33333333</v>
      </c>
      <c r="K188" s="276">
        <f>+SUMIFS('Detail 18-19'!AJ:AJ,'Detail 18-19'!$AA:$AA,$A188)</f>
        <v>83.33333333</v>
      </c>
      <c r="L188" s="276">
        <f>+SUMIFS('Detail 18-19'!AK:AK,'Detail 18-19'!$AA:$AA,$A188)</f>
        <v>83.33333333</v>
      </c>
      <c r="M188" s="276">
        <f>+SUMIFS('Detail 18-19'!AL:AL,'Detail 18-19'!$AA:$AA,$A188)</f>
        <v>83.33333333</v>
      </c>
      <c r="N188" s="276">
        <f>+SUMIFS('Detail 18-19'!AM:AM,'Detail 18-19'!$AA:$AA,$A188)</f>
        <v>83.33333333</v>
      </c>
      <c r="O188" s="276">
        <f>+SUMIFS('Detail 18-19'!AN:AN,'Detail 18-19'!$AA:$AA,$A188)</f>
        <v>83.33333333</v>
      </c>
      <c r="P188" s="277">
        <f t="shared" si="18"/>
        <v>1000</v>
      </c>
      <c r="Q188" s="270">
        <f>SUMIF('2019-03'!$E:$E,'Detail 19-20'!$A188,'2019-03'!$D:$D)</f>
        <v>493.75</v>
      </c>
      <c r="R188" s="271" t="s">
        <v>992</v>
      </c>
      <c r="S188" s="270">
        <f t="shared" si="102"/>
        <v>617.1875</v>
      </c>
      <c r="T188" s="272">
        <v>750.0</v>
      </c>
      <c r="U188" s="277">
        <f t="shared" si="4"/>
        <v>-250</v>
      </c>
      <c r="V188" s="278">
        <f t="shared" si="5"/>
        <v>-0.25</v>
      </c>
      <c r="W188" s="277">
        <f t="shared" si="6"/>
        <v>132.8125</v>
      </c>
      <c r="X188" s="278">
        <f t="shared" si="7"/>
        <v>0.2151898734</v>
      </c>
      <c r="Y188" s="279" t="s">
        <v>950</v>
      </c>
      <c r="Z188" s="277">
        <f t="shared" ref="Z188:AK188" si="143">+$T188/12</f>
        <v>62.5</v>
      </c>
      <c r="AA188" s="277">
        <f t="shared" si="143"/>
        <v>62.5</v>
      </c>
      <c r="AB188" s="277">
        <f t="shared" si="143"/>
        <v>62.5</v>
      </c>
      <c r="AC188" s="277">
        <f t="shared" si="143"/>
        <v>62.5</v>
      </c>
      <c r="AD188" s="277">
        <f t="shared" si="143"/>
        <v>62.5</v>
      </c>
      <c r="AE188" s="277">
        <f t="shared" si="143"/>
        <v>62.5</v>
      </c>
      <c r="AF188" s="277">
        <f t="shared" si="143"/>
        <v>62.5</v>
      </c>
      <c r="AG188" s="277">
        <f t="shared" si="143"/>
        <v>62.5</v>
      </c>
      <c r="AH188" s="277">
        <f t="shared" si="143"/>
        <v>62.5</v>
      </c>
      <c r="AI188" s="277">
        <f t="shared" si="143"/>
        <v>62.5</v>
      </c>
      <c r="AJ188" s="277">
        <f t="shared" si="143"/>
        <v>62.5</v>
      </c>
      <c r="AK188" s="277">
        <f t="shared" si="143"/>
        <v>62.5</v>
      </c>
      <c r="AL188" s="277">
        <f t="shared" si="2"/>
        <v>750</v>
      </c>
      <c r="AM188" s="277">
        <f t="shared" si="9"/>
        <v>0</v>
      </c>
      <c r="AN188" s="8" t="str">
        <f>+VLOOKUP('Detail 19-20'!A188,Map!$B$6:$M$222,12,FALSE)</f>
        <v>Transportation Expense</v>
      </c>
    </row>
    <row r="189" ht="15.75" customHeight="1">
      <c r="A189" s="274" t="s">
        <v>1163</v>
      </c>
      <c r="B189" s="274" t="s">
        <v>1189</v>
      </c>
      <c r="C189" s="275" t="s">
        <v>673</v>
      </c>
      <c r="D189" s="276">
        <f>+SUMIFS('Detail 18-19'!AC:AC,'Detail 18-19'!$AA:$AA,$A189)</f>
        <v>41.66666667</v>
      </c>
      <c r="E189" s="276">
        <f>+SUMIFS('Detail 18-19'!AD:AD,'Detail 18-19'!$AA:$AA,$A189)</f>
        <v>41.66666667</v>
      </c>
      <c r="F189" s="276">
        <f>+SUMIFS('Detail 18-19'!AE:AE,'Detail 18-19'!$AA:$AA,$A189)</f>
        <v>41.66666667</v>
      </c>
      <c r="G189" s="276">
        <f>+SUMIFS('Detail 18-19'!AF:AF,'Detail 18-19'!$AA:$AA,$A189)</f>
        <v>41.66666667</v>
      </c>
      <c r="H189" s="276">
        <f>+SUMIFS('Detail 18-19'!AG:AG,'Detail 18-19'!$AA:$AA,$A189)</f>
        <v>41.66666667</v>
      </c>
      <c r="I189" s="276">
        <f>+SUMIFS('Detail 18-19'!AH:AH,'Detail 18-19'!$AA:$AA,$A189)</f>
        <v>41.66666667</v>
      </c>
      <c r="J189" s="276">
        <f>+SUMIFS('Detail 18-19'!AI:AI,'Detail 18-19'!$AA:$AA,$A189)</f>
        <v>41.66666667</v>
      </c>
      <c r="K189" s="276">
        <f>+SUMIFS('Detail 18-19'!AJ:AJ,'Detail 18-19'!$AA:$AA,$A189)</f>
        <v>41.66666667</v>
      </c>
      <c r="L189" s="276">
        <f>+SUMIFS('Detail 18-19'!AK:AK,'Detail 18-19'!$AA:$AA,$A189)</f>
        <v>41.66666667</v>
      </c>
      <c r="M189" s="276">
        <f>+SUMIFS('Detail 18-19'!AL:AL,'Detail 18-19'!$AA:$AA,$A189)</f>
        <v>41.66666667</v>
      </c>
      <c r="N189" s="276">
        <f>+SUMIFS('Detail 18-19'!AM:AM,'Detail 18-19'!$AA:$AA,$A189)</f>
        <v>41.66666667</v>
      </c>
      <c r="O189" s="276">
        <f>+SUMIFS('Detail 18-19'!AN:AN,'Detail 18-19'!$AA:$AA,$A189)</f>
        <v>41.66666667</v>
      </c>
      <c r="P189" s="277">
        <f t="shared" si="18"/>
        <v>500</v>
      </c>
      <c r="Q189" s="270">
        <f>SUMIF('2019-03'!$E:$E,'Detail 19-20'!$A189,'2019-03'!$D:$D)</f>
        <v>99.1</v>
      </c>
      <c r="R189" s="271" t="s">
        <v>992</v>
      </c>
      <c r="S189" s="270">
        <f t="shared" si="102"/>
        <v>123.875</v>
      </c>
      <c r="T189" s="272">
        <v>125.0</v>
      </c>
      <c r="U189" s="277">
        <f t="shared" si="4"/>
        <v>-375</v>
      </c>
      <c r="V189" s="278">
        <f t="shared" si="5"/>
        <v>-0.75</v>
      </c>
      <c r="W189" s="277">
        <f t="shared" si="6"/>
        <v>1.125</v>
      </c>
      <c r="X189" s="278">
        <f t="shared" si="7"/>
        <v>0.009081735621</v>
      </c>
      <c r="Y189" s="279" t="s">
        <v>950</v>
      </c>
      <c r="Z189" s="277">
        <f t="shared" ref="Z189:AK189" si="144">+$T189/12</f>
        <v>10.41666667</v>
      </c>
      <c r="AA189" s="277">
        <f t="shared" si="144"/>
        <v>10.41666667</v>
      </c>
      <c r="AB189" s="277">
        <f t="shared" si="144"/>
        <v>10.41666667</v>
      </c>
      <c r="AC189" s="277">
        <f t="shared" si="144"/>
        <v>10.41666667</v>
      </c>
      <c r="AD189" s="277">
        <f t="shared" si="144"/>
        <v>10.41666667</v>
      </c>
      <c r="AE189" s="277">
        <f t="shared" si="144"/>
        <v>10.41666667</v>
      </c>
      <c r="AF189" s="277">
        <f t="shared" si="144"/>
        <v>10.41666667</v>
      </c>
      <c r="AG189" s="277">
        <f t="shared" si="144"/>
        <v>10.41666667</v>
      </c>
      <c r="AH189" s="277">
        <f t="shared" si="144"/>
        <v>10.41666667</v>
      </c>
      <c r="AI189" s="277">
        <f t="shared" si="144"/>
        <v>10.41666667</v>
      </c>
      <c r="AJ189" s="277">
        <f t="shared" si="144"/>
        <v>10.41666667</v>
      </c>
      <c r="AK189" s="277">
        <f t="shared" si="144"/>
        <v>10.41666667</v>
      </c>
      <c r="AL189" s="277">
        <f t="shared" si="2"/>
        <v>125</v>
      </c>
      <c r="AM189" s="277">
        <f t="shared" si="9"/>
        <v>0</v>
      </c>
      <c r="AN189" s="8" t="str">
        <f>+VLOOKUP('Detail 19-20'!A189,Map!$B$6:$M$222,12,FALSE)</f>
        <v>Transportation Expense</v>
      </c>
    </row>
    <row r="190" ht="15.75" customHeight="1">
      <c r="A190" s="274" t="s">
        <v>1164</v>
      </c>
      <c r="B190" s="274" t="s">
        <v>1189</v>
      </c>
      <c r="C190" s="275" t="s">
        <v>675</v>
      </c>
      <c r="D190" s="276">
        <f>+SUMIFS('Detail 18-19'!AC:AC,'Detail 18-19'!$AA:$AA,$A190)</f>
        <v>41.66666667</v>
      </c>
      <c r="E190" s="276">
        <f>+SUMIFS('Detail 18-19'!AD:AD,'Detail 18-19'!$AA:$AA,$A190)</f>
        <v>41.66666667</v>
      </c>
      <c r="F190" s="276">
        <f>+SUMIFS('Detail 18-19'!AE:AE,'Detail 18-19'!$AA:$AA,$A190)</f>
        <v>41.66666667</v>
      </c>
      <c r="G190" s="276">
        <f>+SUMIFS('Detail 18-19'!AF:AF,'Detail 18-19'!$AA:$AA,$A190)</f>
        <v>41.66666667</v>
      </c>
      <c r="H190" s="276">
        <f>+SUMIFS('Detail 18-19'!AG:AG,'Detail 18-19'!$AA:$AA,$A190)</f>
        <v>41.66666667</v>
      </c>
      <c r="I190" s="276">
        <f>+SUMIFS('Detail 18-19'!AH:AH,'Detail 18-19'!$AA:$AA,$A190)</f>
        <v>41.66666667</v>
      </c>
      <c r="J190" s="276">
        <f>+SUMIFS('Detail 18-19'!AI:AI,'Detail 18-19'!$AA:$AA,$A190)</f>
        <v>41.66666667</v>
      </c>
      <c r="K190" s="276">
        <f>+SUMIFS('Detail 18-19'!AJ:AJ,'Detail 18-19'!$AA:$AA,$A190)</f>
        <v>41.66666667</v>
      </c>
      <c r="L190" s="276">
        <f>+SUMIFS('Detail 18-19'!AK:AK,'Detail 18-19'!$AA:$AA,$A190)</f>
        <v>41.66666667</v>
      </c>
      <c r="M190" s="276">
        <f>+SUMIFS('Detail 18-19'!AL:AL,'Detail 18-19'!$AA:$AA,$A190)</f>
        <v>41.66666667</v>
      </c>
      <c r="N190" s="276">
        <f>+SUMIFS('Detail 18-19'!AM:AM,'Detail 18-19'!$AA:$AA,$A190)</f>
        <v>41.66666667</v>
      </c>
      <c r="O190" s="276">
        <f>+SUMIFS('Detail 18-19'!AN:AN,'Detail 18-19'!$AA:$AA,$A190)</f>
        <v>41.66666667</v>
      </c>
      <c r="P190" s="277">
        <f t="shared" si="18"/>
        <v>500</v>
      </c>
      <c r="Q190" s="270">
        <f>SUMIF('2019-03'!$E:$E,'Detail 19-20'!$A190,'2019-03'!$D:$D)</f>
        <v>0</v>
      </c>
      <c r="R190" s="271" t="s">
        <v>954</v>
      </c>
      <c r="S190" s="270">
        <f t="shared" si="102"/>
        <v>0</v>
      </c>
      <c r="T190" s="272">
        <v>500.0</v>
      </c>
      <c r="U190" s="277">
        <f t="shared" si="4"/>
        <v>0</v>
      </c>
      <c r="V190" s="278">
        <f t="shared" si="5"/>
        <v>0</v>
      </c>
      <c r="W190" s="277">
        <f t="shared" si="6"/>
        <v>500</v>
      </c>
      <c r="X190" s="278">
        <f t="shared" si="7"/>
        <v>0</v>
      </c>
      <c r="Y190" s="279" t="s">
        <v>950</v>
      </c>
      <c r="Z190" s="277">
        <f t="shared" ref="Z190:AK190" si="145">+$T190/12</f>
        <v>41.66666667</v>
      </c>
      <c r="AA190" s="277">
        <f t="shared" si="145"/>
        <v>41.66666667</v>
      </c>
      <c r="AB190" s="277">
        <f t="shared" si="145"/>
        <v>41.66666667</v>
      </c>
      <c r="AC190" s="277">
        <f t="shared" si="145"/>
        <v>41.66666667</v>
      </c>
      <c r="AD190" s="277">
        <f t="shared" si="145"/>
        <v>41.66666667</v>
      </c>
      <c r="AE190" s="277">
        <f t="shared" si="145"/>
        <v>41.66666667</v>
      </c>
      <c r="AF190" s="277">
        <f t="shared" si="145"/>
        <v>41.66666667</v>
      </c>
      <c r="AG190" s="277">
        <f t="shared" si="145"/>
        <v>41.66666667</v>
      </c>
      <c r="AH190" s="277">
        <f t="shared" si="145"/>
        <v>41.66666667</v>
      </c>
      <c r="AI190" s="277">
        <f t="shared" si="145"/>
        <v>41.66666667</v>
      </c>
      <c r="AJ190" s="277">
        <f t="shared" si="145"/>
        <v>41.66666667</v>
      </c>
      <c r="AK190" s="277">
        <f t="shared" si="145"/>
        <v>41.66666667</v>
      </c>
      <c r="AL190" s="277">
        <f t="shared" si="2"/>
        <v>500</v>
      </c>
      <c r="AM190" s="277">
        <f t="shared" si="9"/>
        <v>0</v>
      </c>
      <c r="AN190" s="8" t="str">
        <f>+VLOOKUP('Detail 19-20'!A190,Map!$B$6:$M$222,12,FALSE)</f>
        <v>Transportation Expense</v>
      </c>
    </row>
    <row r="191" ht="15.75" customHeight="1">
      <c r="A191" s="274" t="s">
        <v>1165</v>
      </c>
      <c r="B191" s="274" t="s">
        <v>1189</v>
      </c>
      <c r="C191" s="275" t="s">
        <v>677</v>
      </c>
      <c r="D191" s="276">
        <f>+SUMIFS('Detail 18-19'!AC:AC,'Detail 18-19'!$AA:$AA,$A191)</f>
        <v>100</v>
      </c>
      <c r="E191" s="276">
        <f>+SUMIFS('Detail 18-19'!AD:AD,'Detail 18-19'!$AA:$AA,$A191)</f>
        <v>100</v>
      </c>
      <c r="F191" s="276">
        <f>+SUMIFS('Detail 18-19'!AE:AE,'Detail 18-19'!$AA:$AA,$A191)</f>
        <v>100</v>
      </c>
      <c r="G191" s="276">
        <f>+SUMIFS('Detail 18-19'!AF:AF,'Detail 18-19'!$AA:$AA,$A191)</f>
        <v>100</v>
      </c>
      <c r="H191" s="276">
        <f>+SUMIFS('Detail 18-19'!AG:AG,'Detail 18-19'!$AA:$AA,$A191)</f>
        <v>100</v>
      </c>
      <c r="I191" s="276">
        <f>+SUMIFS('Detail 18-19'!AH:AH,'Detail 18-19'!$AA:$AA,$A191)</f>
        <v>100</v>
      </c>
      <c r="J191" s="276">
        <f>+SUMIFS('Detail 18-19'!AI:AI,'Detail 18-19'!$AA:$AA,$A191)</f>
        <v>100</v>
      </c>
      <c r="K191" s="276">
        <f>+SUMIFS('Detail 18-19'!AJ:AJ,'Detail 18-19'!$AA:$AA,$A191)</f>
        <v>100</v>
      </c>
      <c r="L191" s="276">
        <f>+SUMIFS('Detail 18-19'!AK:AK,'Detail 18-19'!$AA:$AA,$A191)</f>
        <v>100</v>
      </c>
      <c r="M191" s="276">
        <f>+SUMIFS('Detail 18-19'!AL:AL,'Detail 18-19'!$AA:$AA,$A191)</f>
        <v>100</v>
      </c>
      <c r="N191" s="276">
        <f>+SUMIFS('Detail 18-19'!AM:AM,'Detail 18-19'!$AA:$AA,$A191)</f>
        <v>100</v>
      </c>
      <c r="O191" s="276">
        <f>+SUMIFS('Detail 18-19'!AN:AN,'Detail 18-19'!$AA:$AA,$A191)</f>
        <v>100</v>
      </c>
      <c r="P191" s="277">
        <f t="shared" si="18"/>
        <v>1200</v>
      </c>
      <c r="Q191" s="270">
        <f>SUMIF('2019-03'!$E:$E,'Detail 19-20'!$A191,'2019-03'!$D:$D)</f>
        <v>319.84</v>
      </c>
      <c r="R191" s="271" t="s">
        <v>950</v>
      </c>
      <c r="S191" s="270">
        <f t="shared" si="102"/>
        <v>426.4533333</v>
      </c>
      <c r="T191" s="272">
        <v>600.0</v>
      </c>
      <c r="U191" s="277">
        <f t="shared" si="4"/>
        <v>-600</v>
      </c>
      <c r="V191" s="278">
        <f t="shared" si="5"/>
        <v>-0.5</v>
      </c>
      <c r="W191" s="277">
        <f t="shared" si="6"/>
        <v>173.5466667</v>
      </c>
      <c r="X191" s="278">
        <f t="shared" si="7"/>
        <v>0.4069534767</v>
      </c>
      <c r="Y191" s="279" t="s">
        <v>950</v>
      </c>
      <c r="Z191" s="277">
        <f t="shared" ref="Z191:AK191" si="146">+$T191/12</f>
        <v>50</v>
      </c>
      <c r="AA191" s="277">
        <f t="shared" si="146"/>
        <v>50</v>
      </c>
      <c r="AB191" s="277">
        <f t="shared" si="146"/>
        <v>50</v>
      </c>
      <c r="AC191" s="277">
        <f t="shared" si="146"/>
        <v>50</v>
      </c>
      <c r="AD191" s="277">
        <f t="shared" si="146"/>
        <v>50</v>
      </c>
      <c r="AE191" s="277">
        <f t="shared" si="146"/>
        <v>50</v>
      </c>
      <c r="AF191" s="277">
        <f t="shared" si="146"/>
        <v>50</v>
      </c>
      <c r="AG191" s="277">
        <f t="shared" si="146"/>
        <v>50</v>
      </c>
      <c r="AH191" s="277">
        <f t="shared" si="146"/>
        <v>50</v>
      </c>
      <c r="AI191" s="277">
        <f t="shared" si="146"/>
        <v>50</v>
      </c>
      <c r="AJ191" s="277">
        <f t="shared" si="146"/>
        <v>50</v>
      </c>
      <c r="AK191" s="277">
        <f t="shared" si="146"/>
        <v>50</v>
      </c>
      <c r="AL191" s="277">
        <f t="shared" si="2"/>
        <v>600</v>
      </c>
      <c r="AM191" s="277">
        <f t="shared" si="9"/>
        <v>0</v>
      </c>
      <c r="AN191" s="8" t="str">
        <f>+VLOOKUP('Detail 19-20'!A191,Map!$B$6:$M$222,12,FALSE)</f>
        <v>Interest Expense</v>
      </c>
    </row>
    <row r="192" ht="15.75" customHeight="1">
      <c r="A192" s="274" t="s">
        <v>1166</v>
      </c>
      <c r="B192" s="274" t="s">
        <v>1189</v>
      </c>
      <c r="C192" s="275" t="s">
        <v>255</v>
      </c>
      <c r="D192" s="276">
        <f>+SUMIFS('Detail 18-19'!AC:AC,'Detail 18-19'!$AA:$AA,$A192)</f>
        <v>0</v>
      </c>
      <c r="E192" s="276">
        <f>+SUMIFS('Detail 18-19'!AD:AD,'Detail 18-19'!$AA:$AA,$A192)</f>
        <v>0</v>
      </c>
      <c r="F192" s="276">
        <f>+SUMIFS('Detail 18-19'!AE:AE,'Detail 18-19'!$AA:$AA,$A192)</f>
        <v>0</v>
      </c>
      <c r="G192" s="276">
        <f>+SUMIFS('Detail 18-19'!AF:AF,'Detail 18-19'!$AA:$AA,$A192)</f>
        <v>0</v>
      </c>
      <c r="H192" s="276">
        <f>+SUMIFS('Detail 18-19'!AG:AG,'Detail 18-19'!$AA:$AA,$A192)</f>
        <v>0</v>
      </c>
      <c r="I192" s="276">
        <f>+SUMIFS('Detail 18-19'!AH:AH,'Detail 18-19'!$AA:$AA,$A192)</f>
        <v>0</v>
      </c>
      <c r="J192" s="276">
        <f>+SUMIFS('Detail 18-19'!AI:AI,'Detail 18-19'!$AA:$AA,$A192)</f>
        <v>0</v>
      </c>
      <c r="K192" s="276">
        <f>+SUMIFS('Detail 18-19'!AJ:AJ,'Detail 18-19'!$AA:$AA,$A192)</f>
        <v>0</v>
      </c>
      <c r="L192" s="276">
        <f>+SUMIFS('Detail 18-19'!AK:AK,'Detail 18-19'!$AA:$AA,$A192)</f>
        <v>0</v>
      </c>
      <c r="M192" s="276">
        <f>+SUMIFS('Detail 18-19'!AL:AL,'Detail 18-19'!$AA:$AA,$A192)</f>
        <v>0</v>
      </c>
      <c r="N192" s="276">
        <f>+SUMIFS('Detail 18-19'!AM:AM,'Detail 18-19'!$AA:$AA,$A192)</f>
        <v>0</v>
      </c>
      <c r="O192" s="276">
        <f>+SUMIFS('Detail 18-19'!AN:AN,'Detail 18-19'!$AA:$AA,$A192)</f>
        <v>0</v>
      </c>
      <c r="P192" s="277">
        <f t="shared" si="18"/>
        <v>0</v>
      </c>
      <c r="Q192" s="270">
        <f>SUMIF('2019-03'!$E:$E,'Detail 19-20'!$A192,'2019-03'!$D:$D)</f>
        <v>135.1</v>
      </c>
      <c r="R192" s="271" t="s">
        <v>950</v>
      </c>
      <c r="S192" s="270">
        <f t="shared" si="102"/>
        <v>180.1333333</v>
      </c>
      <c r="T192" s="272">
        <v>0.0</v>
      </c>
      <c r="U192" s="277">
        <f t="shared" si="4"/>
        <v>0</v>
      </c>
      <c r="V192" s="278">
        <f t="shared" si="5"/>
        <v>0</v>
      </c>
      <c r="W192" s="277">
        <f t="shared" si="6"/>
        <v>-180.1333333</v>
      </c>
      <c r="X192" s="278">
        <f t="shared" si="7"/>
        <v>-1</v>
      </c>
      <c r="Y192" s="279" t="s">
        <v>950</v>
      </c>
      <c r="Z192" s="277">
        <f t="shared" ref="Z192:AK192" si="147">+$T192/12</f>
        <v>0</v>
      </c>
      <c r="AA192" s="277">
        <f t="shared" si="147"/>
        <v>0</v>
      </c>
      <c r="AB192" s="277">
        <f t="shared" si="147"/>
        <v>0</v>
      </c>
      <c r="AC192" s="277">
        <f t="shared" si="147"/>
        <v>0</v>
      </c>
      <c r="AD192" s="277">
        <f t="shared" si="147"/>
        <v>0</v>
      </c>
      <c r="AE192" s="277">
        <f t="shared" si="147"/>
        <v>0</v>
      </c>
      <c r="AF192" s="277">
        <f t="shared" si="147"/>
        <v>0</v>
      </c>
      <c r="AG192" s="277">
        <f t="shared" si="147"/>
        <v>0</v>
      </c>
      <c r="AH192" s="277">
        <f t="shared" si="147"/>
        <v>0</v>
      </c>
      <c r="AI192" s="277">
        <f t="shared" si="147"/>
        <v>0</v>
      </c>
      <c r="AJ192" s="277">
        <f t="shared" si="147"/>
        <v>0</v>
      </c>
      <c r="AK192" s="277">
        <f t="shared" si="147"/>
        <v>0</v>
      </c>
      <c r="AL192" s="277">
        <f t="shared" si="2"/>
        <v>0</v>
      </c>
      <c r="AM192" s="277">
        <f t="shared" si="9"/>
        <v>0</v>
      </c>
      <c r="AN192" s="8" t="str">
        <f>+VLOOKUP('Detail 19-20'!A192,Map!$B$6:$M$222,12,FALSE)</f>
        <v>Interest Expense</v>
      </c>
    </row>
    <row r="193" ht="15.75" customHeight="1">
      <c r="A193" s="274" t="s">
        <v>1167</v>
      </c>
      <c r="B193" s="274" t="s">
        <v>1189</v>
      </c>
      <c r="C193" s="275" t="s">
        <v>255</v>
      </c>
      <c r="D193" s="276">
        <f>+SUMIFS('Detail 18-19'!AC:AC,'Detail 18-19'!$AA:$AA,$A193)</f>
        <v>0</v>
      </c>
      <c r="E193" s="276">
        <f>+SUMIFS('Detail 18-19'!AD:AD,'Detail 18-19'!$AA:$AA,$A193)</f>
        <v>0</v>
      </c>
      <c r="F193" s="276">
        <f>+SUMIFS('Detail 18-19'!AE:AE,'Detail 18-19'!$AA:$AA,$A193)</f>
        <v>0</v>
      </c>
      <c r="G193" s="276">
        <f>+SUMIFS('Detail 18-19'!AF:AF,'Detail 18-19'!$AA:$AA,$A193)</f>
        <v>0</v>
      </c>
      <c r="H193" s="276">
        <f>+SUMIFS('Detail 18-19'!AG:AG,'Detail 18-19'!$AA:$AA,$A193)</f>
        <v>0</v>
      </c>
      <c r="I193" s="276">
        <f>+SUMIFS('Detail 18-19'!AH:AH,'Detail 18-19'!$AA:$AA,$A193)</f>
        <v>0</v>
      </c>
      <c r="J193" s="276">
        <f>+SUMIFS('Detail 18-19'!AI:AI,'Detail 18-19'!$AA:$AA,$A193)</f>
        <v>0</v>
      </c>
      <c r="K193" s="276">
        <f>+SUMIFS('Detail 18-19'!AJ:AJ,'Detail 18-19'!$AA:$AA,$A193)</f>
        <v>0</v>
      </c>
      <c r="L193" s="276">
        <f>+SUMIFS('Detail 18-19'!AK:AK,'Detail 18-19'!$AA:$AA,$A193)</f>
        <v>0</v>
      </c>
      <c r="M193" s="276">
        <f>+SUMIFS('Detail 18-19'!AL:AL,'Detail 18-19'!$AA:$AA,$A193)</f>
        <v>0</v>
      </c>
      <c r="N193" s="276">
        <f>+SUMIFS('Detail 18-19'!AM:AM,'Detail 18-19'!$AA:$AA,$A193)</f>
        <v>0</v>
      </c>
      <c r="O193" s="276">
        <f>+SUMIFS('Detail 18-19'!AN:AN,'Detail 18-19'!$AA:$AA,$A193)</f>
        <v>0</v>
      </c>
      <c r="P193" s="277">
        <f t="shared" si="18"/>
        <v>0</v>
      </c>
      <c r="Q193" s="270">
        <f>SUMIF('2019-03'!$E:$E,'Detail 19-20'!$A193,'2019-03'!$D:$D)</f>
        <v>0</v>
      </c>
      <c r="R193" s="271" t="s">
        <v>950</v>
      </c>
      <c r="S193" s="270">
        <f t="shared" si="102"/>
        <v>0</v>
      </c>
      <c r="T193" s="272">
        <v>0.0</v>
      </c>
      <c r="U193" s="277">
        <f t="shared" si="4"/>
        <v>0</v>
      </c>
      <c r="V193" s="278">
        <f t="shared" si="5"/>
        <v>0</v>
      </c>
      <c r="W193" s="277">
        <f t="shared" si="6"/>
        <v>0</v>
      </c>
      <c r="X193" s="278">
        <f t="shared" si="7"/>
        <v>0</v>
      </c>
      <c r="Y193" s="279" t="s">
        <v>950</v>
      </c>
      <c r="Z193" s="277">
        <f t="shared" ref="Z193:AK193" si="148">+$T193/12</f>
        <v>0</v>
      </c>
      <c r="AA193" s="277">
        <f t="shared" si="148"/>
        <v>0</v>
      </c>
      <c r="AB193" s="277">
        <f t="shared" si="148"/>
        <v>0</v>
      </c>
      <c r="AC193" s="277">
        <f t="shared" si="148"/>
        <v>0</v>
      </c>
      <c r="AD193" s="277">
        <f t="shared" si="148"/>
        <v>0</v>
      </c>
      <c r="AE193" s="277">
        <f t="shared" si="148"/>
        <v>0</v>
      </c>
      <c r="AF193" s="277">
        <f t="shared" si="148"/>
        <v>0</v>
      </c>
      <c r="AG193" s="277">
        <f t="shared" si="148"/>
        <v>0</v>
      </c>
      <c r="AH193" s="277">
        <f t="shared" si="148"/>
        <v>0</v>
      </c>
      <c r="AI193" s="277">
        <f t="shared" si="148"/>
        <v>0</v>
      </c>
      <c r="AJ193" s="277">
        <f t="shared" si="148"/>
        <v>0</v>
      </c>
      <c r="AK193" s="277">
        <f t="shared" si="148"/>
        <v>0</v>
      </c>
      <c r="AL193" s="277">
        <f t="shared" si="2"/>
        <v>0</v>
      </c>
      <c r="AM193" s="277">
        <f t="shared" si="9"/>
        <v>0</v>
      </c>
      <c r="AN193" s="8" t="str">
        <f>+VLOOKUP('Detail 19-20'!A193,Map!$B$6:$M$222,12,FALSE)</f>
        <v>Interest Expense</v>
      </c>
    </row>
    <row r="194" ht="15.75" customHeight="1">
      <c r="A194" s="274" t="s">
        <v>1169</v>
      </c>
      <c r="B194" s="274" t="s">
        <v>1189</v>
      </c>
      <c r="C194" s="275" t="s">
        <v>681</v>
      </c>
      <c r="D194" s="276">
        <f>+SUMIFS('Detail 18-19'!AC:AC,'Detail 18-19'!$AA:$AA,$A194)</f>
        <v>2083.333333</v>
      </c>
      <c r="E194" s="276">
        <f>+SUMIFS('Detail 18-19'!AD:AD,'Detail 18-19'!$AA:$AA,$A194)</f>
        <v>2083.333333</v>
      </c>
      <c r="F194" s="276">
        <f>+SUMIFS('Detail 18-19'!AE:AE,'Detail 18-19'!$AA:$AA,$A194)</f>
        <v>2083.333333</v>
      </c>
      <c r="G194" s="276">
        <f>+SUMIFS('Detail 18-19'!AF:AF,'Detail 18-19'!$AA:$AA,$A194)</f>
        <v>2083.333333</v>
      </c>
      <c r="H194" s="276">
        <f>+SUMIFS('Detail 18-19'!AG:AG,'Detail 18-19'!$AA:$AA,$A194)</f>
        <v>2083.333333</v>
      </c>
      <c r="I194" s="276">
        <f>+SUMIFS('Detail 18-19'!AH:AH,'Detail 18-19'!$AA:$AA,$A194)</f>
        <v>2083.333333</v>
      </c>
      <c r="J194" s="276">
        <f>+SUMIFS('Detail 18-19'!AI:AI,'Detail 18-19'!$AA:$AA,$A194)</f>
        <v>2083.333333</v>
      </c>
      <c r="K194" s="276">
        <f>+SUMIFS('Detail 18-19'!AJ:AJ,'Detail 18-19'!$AA:$AA,$A194)</f>
        <v>2083.333333</v>
      </c>
      <c r="L194" s="276">
        <f>+SUMIFS('Detail 18-19'!AK:AK,'Detail 18-19'!$AA:$AA,$A194)</f>
        <v>2083.333333</v>
      </c>
      <c r="M194" s="276">
        <f>+SUMIFS('Detail 18-19'!AL:AL,'Detail 18-19'!$AA:$AA,$A194)</f>
        <v>2083.333333</v>
      </c>
      <c r="N194" s="276">
        <f>+SUMIFS('Detail 18-19'!AM:AM,'Detail 18-19'!$AA:$AA,$A194)</f>
        <v>2083.333333</v>
      </c>
      <c r="O194" s="276">
        <f>+SUMIFS('Detail 18-19'!AN:AN,'Detail 18-19'!$AA:$AA,$A194)</f>
        <v>2083.333333</v>
      </c>
      <c r="P194" s="277">
        <f t="shared" si="18"/>
        <v>25000</v>
      </c>
      <c r="Q194" s="270">
        <f>SUMIF('2019-03'!$E:$E,'Detail 19-20'!$A194,'2019-03'!$D:$D)</f>
        <v>13811.88</v>
      </c>
      <c r="R194" s="271" t="s">
        <v>950</v>
      </c>
      <c r="S194" s="270">
        <f t="shared" si="102"/>
        <v>18415.84</v>
      </c>
      <c r="T194" s="272">
        <v>20000.0</v>
      </c>
      <c r="U194" s="277">
        <f t="shared" si="4"/>
        <v>-5000</v>
      </c>
      <c r="V194" s="278">
        <f t="shared" si="5"/>
        <v>-0.2</v>
      </c>
      <c r="W194" s="277">
        <f t="shared" si="6"/>
        <v>1584.16</v>
      </c>
      <c r="X194" s="278">
        <f t="shared" si="7"/>
        <v>0.0860215988</v>
      </c>
      <c r="Y194" s="279" t="s">
        <v>950</v>
      </c>
      <c r="Z194" s="277">
        <f t="shared" ref="Z194:AK194" si="149">+$T194/12</f>
        <v>1666.666667</v>
      </c>
      <c r="AA194" s="277">
        <f t="shared" si="149"/>
        <v>1666.666667</v>
      </c>
      <c r="AB194" s="277">
        <f t="shared" si="149"/>
        <v>1666.666667</v>
      </c>
      <c r="AC194" s="277">
        <f t="shared" si="149"/>
        <v>1666.666667</v>
      </c>
      <c r="AD194" s="277">
        <f t="shared" si="149"/>
        <v>1666.666667</v>
      </c>
      <c r="AE194" s="277">
        <f t="shared" si="149"/>
        <v>1666.666667</v>
      </c>
      <c r="AF194" s="277">
        <f t="shared" si="149"/>
        <v>1666.666667</v>
      </c>
      <c r="AG194" s="277">
        <f t="shared" si="149"/>
        <v>1666.666667</v>
      </c>
      <c r="AH194" s="277">
        <f t="shared" si="149"/>
        <v>1666.666667</v>
      </c>
      <c r="AI194" s="277">
        <f t="shared" si="149"/>
        <v>1666.666667</v>
      </c>
      <c r="AJ194" s="277">
        <f t="shared" si="149"/>
        <v>1666.666667</v>
      </c>
      <c r="AK194" s="277">
        <f t="shared" si="149"/>
        <v>1666.666667</v>
      </c>
      <c r="AL194" s="277">
        <f t="shared" si="2"/>
        <v>20000</v>
      </c>
      <c r="AM194" s="277">
        <f t="shared" si="9"/>
        <v>0</v>
      </c>
      <c r="AN194" s="8" t="str">
        <f>+VLOOKUP('Detail 19-20'!A194,Map!$B$6:$M$222,12,FALSE)</f>
        <v>Depreciation</v>
      </c>
    </row>
    <row r="195" ht="15.75" customHeight="1">
      <c r="A195" s="274" t="s">
        <v>1172</v>
      </c>
      <c r="B195" s="274" t="s">
        <v>1189</v>
      </c>
      <c r="C195" s="275" t="s">
        <v>681</v>
      </c>
      <c r="D195" s="276">
        <f>+SUMIFS('Detail 18-19'!AC:AC,'Detail 18-19'!$AA:$AA,$A195)</f>
        <v>0</v>
      </c>
      <c r="E195" s="276">
        <f>+SUMIFS('Detail 18-19'!AD:AD,'Detail 18-19'!$AA:$AA,$A195)</f>
        <v>0</v>
      </c>
      <c r="F195" s="276">
        <f>+SUMIFS('Detail 18-19'!AE:AE,'Detail 18-19'!$AA:$AA,$A195)</f>
        <v>0</v>
      </c>
      <c r="G195" s="276">
        <f>+SUMIFS('Detail 18-19'!AF:AF,'Detail 18-19'!$AA:$AA,$A195)</f>
        <v>0</v>
      </c>
      <c r="H195" s="276">
        <f>+SUMIFS('Detail 18-19'!AG:AG,'Detail 18-19'!$AA:$AA,$A195)</f>
        <v>0</v>
      </c>
      <c r="I195" s="276">
        <f>+SUMIFS('Detail 18-19'!AH:AH,'Detail 18-19'!$AA:$AA,$A195)</f>
        <v>0</v>
      </c>
      <c r="J195" s="276">
        <f>+SUMIFS('Detail 18-19'!AI:AI,'Detail 18-19'!$AA:$AA,$A195)</f>
        <v>0</v>
      </c>
      <c r="K195" s="276">
        <f>+SUMIFS('Detail 18-19'!AJ:AJ,'Detail 18-19'!$AA:$AA,$A195)</f>
        <v>0</v>
      </c>
      <c r="L195" s="276">
        <f>+SUMIFS('Detail 18-19'!AK:AK,'Detail 18-19'!$AA:$AA,$A195)</f>
        <v>0</v>
      </c>
      <c r="M195" s="276">
        <f>+SUMIFS('Detail 18-19'!AL:AL,'Detail 18-19'!$AA:$AA,$A195)</f>
        <v>0</v>
      </c>
      <c r="N195" s="276">
        <f>+SUMIFS('Detail 18-19'!AM:AM,'Detail 18-19'!$AA:$AA,$A195)</f>
        <v>0</v>
      </c>
      <c r="O195" s="276">
        <f>+SUMIFS('Detail 18-19'!AN:AN,'Detail 18-19'!$AA:$AA,$A195)</f>
        <v>0</v>
      </c>
      <c r="P195" s="277">
        <f t="shared" si="18"/>
        <v>0</v>
      </c>
      <c r="Q195" s="270">
        <f>SUMIF('2019-03'!$E:$E,'Detail 19-20'!$A195,'2019-03'!$D:$D)</f>
        <v>0</v>
      </c>
      <c r="R195" s="271" t="s">
        <v>950</v>
      </c>
      <c r="S195" s="270">
        <f t="shared" si="102"/>
        <v>0</v>
      </c>
      <c r="T195" s="272">
        <v>0.0</v>
      </c>
      <c r="U195" s="277">
        <f t="shared" si="4"/>
        <v>0</v>
      </c>
      <c r="V195" s="278">
        <f t="shared" si="5"/>
        <v>0</v>
      </c>
      <c r="W195" s="277">
        <f t="shared" si="6"/>
        <v>0</v>
      </c>
      <c r="X195" s="278">
        <f t="shared" si="7"/>
        <v>0</v>
      </c>
      <c r="Y195" s="279" t="s">
        <v>950</v>
      </c>
      <c r="Z195" s="277">
        <f t="shared" ref="Z195:AK195" si="150">+$T195/12</f>
        <v>0</v>
      </c>
      <c r="AA195" s="277">
        <f t="shared" si="150"/>
        <v>0</v>
      </c>
      <c r="AB195" s="277">
        <f t="shared" si="150"/>
        <v>0</v>
      </c>
      <c r="AC195" s="277">
        <f t="shared" si="150"/>
        <v>0</v>
      </c>
      <c r="AD195" s="277">
        <f t="shared" si="150"/>
        <v>0</v>
      </c>
      <c r="AE195" s="277">
        <f t="shared" si="150"/>
        <v>0</v>
      </c>
      <c r="AF195" s="277">
        <f t="shared" si="150"/>
        <v>0</v>
      </c>
      <c r="AG195" s="277">
        <f t="shared" si="150"/>
        <v>0</v>
      </c>
      <c r="AH195" s="277">
        <f t="shared" si="150"/>
        <v>0</v>
      </c>
      <c r="AI195" s="277">
        <f t="shared" si="150"/>
        <v>0</v>
      </c>
      <c r="AJ195" s="277">
        <f t="shared" si="150"/>
        <v>0</v>
      </c>
      <c r="AK195" s="277">
        <f t="shared" si="150"/>
        <v>0</v>
      </c>
      <c r="AL195" s="277">
        <f t="shared" si="2"/>
        <v>0</v>
      </c>
      <c r="AM195" s="277">
        <f t="shared" si="9"/>
        <v>0</v>
      </c>
      <c r="AN195" s="8" t="str">
        <f>+VLOOKUP('Detail 19-20'!A195,Map!$B$6:$M$222,12,FALSE)</f>
        <v>Depreciation</v>
      </c>
    </row>
    <row r="196" ht="15.75" customHeight="1">
      <c r="A196" s="274" t="s">
        <v>1173</v>
      </c>
      <c r="B196" s="274" t="s">
        <v>1189</v>
      </c>
      <c r="C196" s="275" t="s">
        <v>681</v>
      </c>
      <c r="D196" s="276">
        <f>+SUMIFS('Detail 18-19'!AC:AC,'Detail 18-19'!$AA:$AA,$A196)</f>
        <v>0</v>
      </c>
      <c r="E196" s="276">
        <f>+SUMIFS('Detail 18-19'!AD:AD,'Detail 18-19'!$AA:$AA,$A196)</f>
        <v>0</v>
      </c>
      <c r="F196" s="276">
        <f>+SUMIFS('Detail 18-19'!AE:AE,'Detail 18-19'!$AA:$AA,$A196)</f>
        <v>0</v>
      </c>
      <c r="G196" s="276">
        <f>+SUMIFS('Detail 18-19'!AF:AF,'Detail 18-19'!$AA:$AA,$A196)</f>
        <v>0</v>
      </c>
      <c r="H196" s="276">
        <f>+SUMIFS('Detail 18-19'!AG:AG,'Detail 18-19'!$AA:$AA,$A196)</f>
        <v>0</v>
      </c>
      <c r="I196" s="276">
        <f>+SUMIFS('Detail 18-19'!AH:AH,'Detail 18-19'!$AA:$AA,$A196)</f>
        <v>0</v>
      </c>
      <c r="J196" s="276">
        <f>+SUMIFS('Detail 18-19'!AI:AI,'Detail 18-19'!$AA:$AA,$A196)</f>
        <v>0</v>
      </c>
      <c r="K196" s="276">
        <f>+SUMIFS('Detail 18-19'!AJ:AJ,'Detail 18-19'!$AA:$AA,$A196)</f>
        <v>0</v>
      </c>
      <c r="L196" s="276">
        <f>+SUMIFS('Detail 18-19'!AK:AK,'Detail 18-19'!$AA:$AA,$A196)</f>
        <v>0</v>
      </c>
      <c r="M196" s="276">
        <f>+SUMIFS('Detail 18-19'!AL:AL,'Detail 18-19'!$AA:$AA,$A196)</f>
        <v>0</v>
      </c>
      <c r="N196" s="276">
        <f>+SUMIFS('Detail 18-19'!AM:AM,'Detail 18-19'!$AA:$AA,$A196)</f>
        <v>0</v>
      </c>
      <c r="O196" s="276">
        <f>+SUMIFS('Detail 18-19'!AN:AN,'Detail 18-19'!$AA:$AA,$A196)</f>
        <v>0</v>
      </c>
      <c r="P196" s="277">
        <f t="shared" si="18"/>
        <v>0</v>
      </c>
      <c r="Q196" s="270">
        <f>SUMIF('2019-03'!$E:$E,'Detail 19-20'!$A196,'2019-03'!$D:$D)</f>
        <v>0</v>
      </c>
      <c r="R196" s="271" t="s">
        <v>950</v>
      </c>
      <c r="S196" s="270">
        <f t="shared" si="102"/>
        <v>0</v>
      </c>
      <c r="T196" s="272">
        <v>0.0</v>
      </c>
      <c r="U196" s="277">
        <f t="shared" si="4"/>
        <v>0</v>
      </c>
      <c r="V196" s="278">
        <f t="shared" si="5"/>
        <v>0</v>
      </c>
      <c r="W196" s="277">
        <f t="shared" si="6"/>
        <v>0</v>
      </c>
      <c r="X196" s="278">
        <f t="shared" si="7"/>
        <v>0</v>
      </c>
      <c r="Y196" s="279" t="s">
        <v>950</v>
      </c>
      <c r="Z196" s="277">
        <f t="shared" ref="Z196:AK196" si="151">+$T196/12</f>
        <v>0</v>
      </c>
      <c r="AA196" s="277">
        <f t="shared" si="151"/>
        <v>0</v>
      </c>
      <c r="AB196" s="277">
        <f t="shared" si="151"/>
        <v>0</v>
      </c>
      <c r="AC196" s="277">
        <f t="shared" si="151"/>
        <v>0</v>
      </c>
      <c r="AD196" s="277">
        <f t="shared" si="151"/>
        <v>0</v>
      </c>
      <c r="AE196" s="277">
        <f t="shared" si="151"/>
        <v>0</v>
      </c>
      <c r="AF196" s="277">
        <f t="shared" si="151"/>
        <v>0</v>
      </c>
      <c r="AG196" s="277">
        <f t="shared" si="151"/>
        <v>0</v>
      </c>
      <c r="AH196" s="277">
        <f t="shared" si="151"/>
        <v>0</v>
      </c>
      <c r="AI196" s="277">
        <f t="shared" si="151"/>
        <v>0</v>
      </c>
      <c r="AJ196" s="277">
        <f t="shared" si="151"/>
        <v>0</v>
      </c>
      <c r="AK196" s="277">
        <f t="shared" si="151"/>
        <v>0</v>
      </c>
      <c r="AL196" s="277">
        <f t="shared" si="2"/>
        <v>0</v>
      </c>
      <c r="AM196" s="277">
        <f t="shared" si="9"/>
        <v>0</v>
      </c>
      <c r="AN196" s="8" t="str">
        <f>+VLOOKUP('Detail 19-20'!A196,Map!$B$6:$M$222,12,FALSE)</f>
        <v>Depreciation</v>
      </c>
    </row>
    <row r="197" ht="15.75" customHeight="1">
      <c r="A197" s="274" t="s">
        <v>1174</v>
      </c>
      <c r="B197" s="274" t="s">
        <v>1189</v>
      </c>
      <c r="C197" s="275" t="s">
        <v>685</v>
      </c>
      <c r="D197" s="276">
        <f>+SUMIFS('Detail 18-19'!AC:AC,'Detail 18-19'!$AA:$AA,$A197)</f>
        <v>270.8333333</v>
      </c>
      <c r="E197" s="276">
        <f>+SUMIFS('Detail 18-19'!AD:AD,'Detail 18-19'!$AA:$AA,$A197)</f>
        <v>270.8333333</v>
      </c>
      <c r="F197" s="276">
        <f>+SUMIFS('Detail 18-19'!AE:AE,'Detail 18-19'!$AA:$AA,$A197)</f>
        <v>270.8333333</v>
      </c>
      <c r="G197" s="276">
        <f>+SUMIFS('Detail 18-19'!AF:AF,'Detail 18-19'!$AA:$AA,$A197)</f>
        <v>270.8333333</v>
      </c>
      <c r="H197" s="276">
        <f>+SUMIFS('Detail 18-19'!AG:AG,'Detail 18-19'!$AA:$AA,$A197)</f>
        <v>270.8333333</v>
      </c>
      <c r="I197" s="276">
        <f>+SUMIFS('Detail 18-19'!AH:AH,'Detail 18-19'!$AA:$AA,$A197)</f>
        <v>270.8333333</v>
      </c>
      <c r="J197" s="276">
        <f>+SUMIFS('Detail 18-19'!AI:AI,'Detail 18-19'!$AA:$AA,$A197)</f>
        <v>270.8333333</v>
      </c>
      <c r="K197" s="276">
        <f>+SUMIFS('Detail 18-19'!AJ:AJ,'Detail 18-19'!$AA:$AA,$A197)</f>
        <v>270.8333333</v>
      </c>
      <c r="L197" s="276">
        <f>+SUMIFS('Detail 18-19'!AK:AK,'Detail 18-19'!$AA:$AA,$A197)</f>
        <v>270.8333333</v>
      </c>
      <c r="M197" s="276">
        <f>+SUMIFS('Detail 18-19'!AL:AL,'Detail 18-19'!$AA:$AA,$A197)</f>
        <v>270.8333333</v>
      </c>
      <c r="N197" s="276">
        <f>+SUMIFS('Detail 18-19'!AM:AM,'Detail 18-19'!$AA:$AA,$A197)</f>
        <v>270.8333333</v>
      </c>
      <c r="O197" s="276">
        <f>+SUMIFS('Detail 18-19'!AN:AN,'Detail 18-19'!$AA:$AA,$A197)</f>
        <v>270.8333333</v>
      </c>
      <c r="P197" s="277">
        <f t="shared" si="18"/>
        <v>3250</v>
      </c>
      <c r="Q197" s="270">
        <f>SUMIF('2019-03'!$E:$E,'Detail 19-20'!$A197,'2019-03'!$D:$D)</f>
        <v>35.31</v>
      </c>
      <c r="R197" s="271" t="s">
        <v>950</v>
      </c>
      <c r="S197" s="270">
        <f t="shared" si="102"/>
        <v>47.08</v>
      </c>
      <c r="T197" s="272">
        <v>3000.0</v>
      </c>
      <c r="U197" s="277">
        <f t="shared" si="4"/>
        <v>-250</v>
      </c>
      <c r="V197" s="278">
        <f t="shared" si="5"/>
        <v>-0.07692307692</v>
      </c>
      <c r="W197" s="277">
        <f t="shared" si="6"/>
        <v>2952.92</v>
      </c>
      <c r="X197" s="278">
        <f t="shared" si="7"/>
        <v>62.7213254</v>
      </c>
      <c r="Y197" s="279" t="s">
        <v>950</v>
      </c>
      <c r="Z197" s="277">
        <f t="shared" ref="Z197:AK197" si="152">+$T197/12</f>
        <v>250</v>
      </c>
      <c r="AA197" s="277">
        <f t="shared" si="152"/>
        <v>250</v>
      </c>
      <c r="AB197" s="277">
        <f t="shared" si="152"/>
        <v>250</v>
      </c>
      <c r="AC197" s="277">
        <f t="shared" si="152"/>
        <v>250</v>
      </c>
      <c r="AD197" s="277">
        <f t="shared" si="152"/>
        <v>250</v>
      </c>
      <c r="AE197" s="277">
        <f t="shared" si="152"/>
        <v>250</v>
      </c>
      <c r="AF197" s="277">
        <f t="shared" si="152"/>
        <v>250</v>
      </c>
      <c r="AG197" s="277">
        <f t="shared" si="152"/>
        <v>250</v>
      </c>
      <c r="AH197" s="277">
        <f t="shared" si="152"/>
        <v>250</v>
      </c>
      <c r="AI197" s="277">
        <f t="shared" si="152"/>
        <v>250</v>
      </c>
      <c r="AJ197" s="277">
        <f t="shared" si="152"/>
        <v>250</v>
      </c>
      <c r="AK197" s="277">
        <f t="shared" si="152"/>
        <v>250</v>
      </c>
      <c r="AL197" s="277">
        <f t="shared" si="2"/>
        <v>3000</v>
      </c>
      <c r="AM197" s="277">
        <f t="shared" si="9"/>
        <v>0</v>
      </c>
      <c r="AN197" s="8" t="str">
        <f>+VLOOKUP('Detail 19-20'!A197,Map!$B$6:$M$222,12,FALSE)</f>
        <v>Misc. Expense</v>
      </c>
    </row>
    <row r="198" ht="15.75" customHeight="1">
      <c r="A198" s="274" t="s">
        <v>1176</v>
      </c>
      <c r="B198" s="274" t="s">
        <v>1189</v>
      </c>
      <c r="C198" s="275" t="s">
        <v>685</v>
      </c>
      <c r="D198" s="276">
        <f>+SUMIFS('Detail 18-19'!AC:AC,'Detail 18-19'!$AA:$AA,$A198)</f>
        <v>0</v>
      </c>
      <c r="E198" s="276">
        <f>+SUMIFS('Detail 18-19'!AD:AD,'Detail 18-19'!$AA:$AA,$A198)</f>
        <v>0</v>
      </c>
      <c r="F198" s="276">
        <f>+SUMIFS('Detail 18-19'!AE:AE,'Detail 18-19'!$AA:$AA,$A198)</f>
        <v>0</v>
      </c>
      <c r="G198" s="276">
        <f>+SUMIFS('Detail 18-19'!AF:AF,'Detail 18-19'!$AA:$AA,$A198)</f>
        <v>0</v>
      </c>
      <c r="H198" s="276">
        <f>+SUMIFS('Detail 18-19'!AG:AG,'Detail 18-19'!$AA:$AA,$A198)</f>
        <v>0</v>
      </c>
      <c r="I198" s="276">
        <f>+SUMIFS('Detail 18-19'!AH:AH,'Detail 18-19'!$AA:$AA,$A198)</f>
        <v>0</v>
      </c>
      <c r="J198" s="276">
        <f>+SUMIFS('Detail 18-19'!AI:AI,'Detail 18-19'!$AA:$AA,$A198)</f>
        <v>0</v>
      </c>
      <c r="K198" s="276">
        <f>+SUMIFS('Detail 18-19'!AJ:AJ,'Detail 18-19'!$AA:$AA,$A198)</f>
        <v>0</v>
      </c>
      <c r="L198" s="276">
        <f>+SUMIFS('Detail 18-19'!AK:AK,'Detail 18-19'!$AA:$AA,$A198)</f>
        <v>0</v>
      </c>
      <c r="M198" s="276">
        <f>+SUMIFS('Detail 18-19'!AL:AL,'Detail 18-19'!$AA:$AA,$A198)</f>
        <v>0</v>
      </c>
      <c r="N198" s="276">
        <f>+SUMIFS('Detail 18-19'!AM:AM,'Detail 18-19'!$AA:$AA,$A198)</f>
        <v>0</v>
      </c>
      <c r="O198" s="276">
        <f>+SUMIFS('Detail 18-19'!AN:AN,'Detail 18-19'!$AA:$AA,$A198)</f>
        <v>0</v>
      </c>
      <c r="P198" s="277">
        <f t="shared" si="18"/>
        <v>0</v>
      </c>
      <c r="Q198" s="270">
        <f>SUMIF('2019-03'!$E:$E,'Detail 19-20'!$A198,'2019-03'!$D:$D)</f>
        <v>0</v>
      </c>
      <c r="R198" s="271" t="s">
        <v>950</v>
      </c>
      <c r="S198" s="270">
        <f t="shared" si="102"/>
        <v>0</v>
      </c>
      <c r="T198" s="272">
        <v>0.0</v>
      </c>
      <c r="U198" s="277">
        <f t="shared" si="4"/>
        <v>0</v>
      </c>
      <c r="V198" s="278">
        <f t="shared" si="5"/>
        <v>0</v>
      </c>
      <c r="W198" s="277">
        <f t="shared" si="6"/>
        <v>0</v>
      </c>
      <c r="X198" s="278">
        <f t="shared" si="7"/>
        <v>0</v>
      </c>
      <c r="Y198" s="279" t="s">
        <v>950</v>
      </c>
      <c r="Z198" s="277">
        <f t="shared" ref="Z198:AK198" si="153">+$T198/12</f>
        <v>0</v>
      </c>
      <c r="AA198" s="277">
        <f t="shared" si="153"/>
        <v>0</v>
      </c>
      <c r="AB198" s="277">
        <f t="shared" si="153"/>
        <v>0</v>
      </c>
      <c r="AC198" s="277">
        <f t="shared" si="153"/>
        <v>0</v>
      </c>
      <c r="AD198" s="277">
        <f t="shared" si="153"/>
        <v>0</v>
      </c>
      <c r="AE198" s="277">
        <f t="shared" si="153"/>
        <v>0</v>
      </c>
      <c r="AF198" s="277">
        <f t="shared" si="153"/>
        <v>0</v>
      </c>
      <c r="AG198" s="277">
        <f t="shared" si="153"/>
        <v>0</v>
      </c>
      <c r="AH198" s="277">
        <f t="shared" si="153"/>
        <v>0</v>
      </c>
      <c r="AI198" s="277">
        <f t="shared" si="153"/>
        <v>0</v>
      </c>
      <c r="AJ198" s="277">
        <f t="shared" si="153"/>
        <v>0</v>
      </c>
      <c r="AK198" s="277">
        <f t="shared" si="153"/>
        <v>0</v>
      </c>
      <c r="AL198" s="277">
        <f t="shared" si="2"/>
        <v>0</v>
      </c>
      <c r="AM198" s="277">
        <f t="shared" si="9"/>
        <v>0</v>
      </c>
      <c r="AN198" s="8" t="str">
        <f>+VLOOKUP('Detail 19-20'!A198,Map!$B$6:$M$222,12,FALSE)</f>
        <v>Misc. Expense</v>
      </c>
    </row>
    <row r="199" ht="15.75" customHeight="1">
      <c r="A199" s="274" t="s">
        <v>1177</v>
      </c>
      <c r="B199" s="274" t="s">
        <v>1189</v>
      </c>
      <c r="C199" s="275" t="s">
        <v>685</v>
      </c>
      <c r="D199" s="276">
        <f>+SUMIFS('Detail 18-19'!AC:AC,'Detail 18-19'!$AA:$AA,$A199)</f>
        <v>0</v>
      </c>
      <c r="E199" s="276">
        <f>+SUMIFS('Detail 18-19'!AD:AD,'Detail 18-19'!$AA:$AA,$A199)</f>
        <v>0</v>
      </c>
      <c r="F199" s="276">
        <f>+SUMIFS('Detail 18-19'!AE:AE,'Detail 18-19'!$AA:$AA,$A199)</f>
        <v>0</v>
      </c>
      <c r="G199" s="276">
        <f>+SUMIFS('Detail 18-19'!AF:AF,'Detail 18-19'!$AA:$AA,$A199)</f>
        <v>0</v>
      </c>
      <c r="H199" s="276">
        <f>+SUMIFS('Detail 18-19'!AG:AG,'Detail 18-19'!$AA:$AA,$A199)</f>
        <v>0</v>
      </c>
      <c r="I199" s="276">
        <f>+SUMIFS('Detail 18-19'!AH:AH,'Detail 18-19'!$AA:$AA,$A199)</f>
        <v>0</v>
      </c>
      <c r="J199" s="276">
        <f>+SUMIFS('Detail 18-19'!AI:AI,'Detail 18-19'!$AA:$AA,$A199)</f>
        <v>0</v>
      </c>
      <c r="K199" s="276">
        <f>+SUMIFS('Detail 18-19'!AJ:AJ,'Detail 18-19'!$AA:$AA,$A199)</f>
        <v>0</v>
      </c>
      <c r="L199" s="276">
        <f>+SUMIFS('Detail 18-19'!AK:AK,'Detail 18-19'!$AA:$AA,$A199)</f>
        <v>0</v>
      </c>
      <c r="M199" s="276">
        <f>+SUMIFS('Detail 18-19'!AL:AL,'Detail 18-19'!$AA:$AA,$A199)</f>
        <v>0</v>
      </c>
      <c r="N199" s="276">
        <f>+SUMIFS('Detail 18-19'!AM:AM,'Detail 18-19'!$AA:$AA,$A199)</f>
        <v>0</v>
      </c>
      <c r="O199" s="276">
        <f>+SUMIFS('Detail 18-19'!AN:AN,'Detail 18-19'!$AA:$AA,$A199)</f>
        <v>0</v>
      </c>
      <c r="P199" s="277">
        <f t="shared" si="18"/>
        <v>0</v>
      </c>
      <c r="Q199" s="270">
        <f>SUMIF('2019-03'!$E:$E,'Detail 19-20'!$A199,'2019-03'!$D:$D)</f>
        <v>0</v>
      </c>
      <c r="R199" s="271" t="s">
        <v>950</v>
      </c>
      <c r="S199" s="270">
        <f t="shared" si="102"/>
        <v>0</v>
      </c>
      <c r="T199" s="272">
        <v>0.0</v>
      </c>
      <c r="U199" s="277">
        <f t="shared" si="4"/>
        <v>0</v>
      </c>
      <c r="V199" s="278">
        <f t="shared" si="5"/>
        <v>0</v>
      </c>
      <c r="W199" s="277">
        <f t="shared" si="6"/>
        <v>0</v>
      </c>
      <c r="X199" s="278">
        <f t="shared" si="7"/>
        <v>0</v>
      </c>
      <c r="Y199" s="279" t="s">
        <v>950</v>
      </c>
      <c r="Z199" s="277">
        <f t="shared" ref="Z199:AK199" si="154">+$T199/12</f>
        <v>0</v>
      </c>
      <c r="AA199" s="277">
        <f t="shared" si="154"/>
        <v>0</v>
      </c>
      <c r="AB199" s="277">
        <f t="shared" si="154"/>
        <v>0</v>
      </c>
      <c r="AC199" s="277">
        <f t="shared" si="154"/>
        <v>0</v>
      </c>
      <c r="AD199" s="277">
        <f t="shared" si="154"/>
        <v>0</v>
      </c>
      <c r="AE199" s="277">
        <f t="shared" si="154"/>
        <v>0</v>
      </c>
      <c r="AF199" s="277">
        <f t="shared" si="154"/>
        <v>0</v>
      </c>
      <c r="AG199" s="277">
        <f t="shared" si="154"/>
        <v>0</v>
      </c>
      <c r="AH199" s="277">
        <f t="shared" si="154"/>
        <v>0</v>
      </c>
      <c r="AI199" s="277">
        <f t="shared" si="154"/>
        <v>0</v>
      </c>
      <c r="AJ199" s="277">
        <f t="shared" si="154"/>
        <v>0</v>
      </c>
      <c r="AK199" s="277">
        <f t="shared" si="154"/>
        <v>0</v>
      </c>
      <c r="AL199" s="277">
        <f t="shared" si="2"/>
        <v>0</v>
      </c>
      <c r="AM199" s="277">
        <f t="shared" si="9"/>
        <v>0</v>
      </c>
      <c r="AN199" s="8" t="str">
        <f>+VLOOKUP('Detail 19-20'!A199,Map!$B$6:$M$222,12,FALSE)</f>
        <v>Misc. Expense</v>
      </c>
    </row>
    <row r="200" ht="15.75" customHeight="1">
      <c r="A200" s="274" t="s">
        <v>1181</v>
      </c>
      <c r="B200" s="274" t="s">
        <v>1189</v>
      </c>
      <c r="C200" s="275" t="s">
        <v>245</v>
      </c>
      <c r="D200" s="276">
        <f>+SUMIFS('Detail 18-19'!AC:AC,'Detail 18-19'!$AA:$AA,$A200)</f>
        <v>0</v>
      </c>
      <c r="E200" s="276">
        <f>+SUMIFS('Detail 18-19'!AD:AD,'Detail 18-19'!$AA:$AA,$A200)</f>
        <v>0</v>
      </c>
      <c r="F200" s="276">
        <f>+SUMIFS('Detail 18-19'!AE:AE,'Detail 18-19'!$AA:$AA,$A200)</f>
        <v>0</v>
      </c>
      <c r="G200" s="276">
        <f>+SUMIFS('Detail 18-19'!AF:AF,'Detail 18-19'!$AA:$AA,$A200)</f>
        <v>0</v>
      </c>
      <c r="H200" s="276">
        <f>+SUMIFS('Detail 18-19'!AG:AG,'Detail 18-19'!$AA:$AA,$A200)</f>
        <v>0</v>
      </c>
      <c r="I200" s="276">
        <f>+SUMIFS('Detail 18-19'!AH:AH,'Detail 18-19'!$AA:$AA,$A200)</f>
        <v>0</v>
      </c>
      <c r="J200" s="276">
        <f>+SUMIFS('Detail 18-19'!AI:AI,'Detail 18-19'!$AA:$AA,$A200)</f>
        <v>0</v>
      </c>
      <c r="K200" s="276">
        <f>+SUMIFS('Detail 18-19'!AJ:AJ,'Detail 18-19'!$AA:$AA,$A200)</f>
        <v>0</v>
      </c>
      <c r="L200" s="276">
        <f>+SUMIFS('Detail 18-19'!AK:AK,'Detail 18-19'!$AA:$AA,$A200)</f>
        <v>0</v>
      </c>
      <c r="M200" s="276">
        <f>+SUMIFS('Detail 18-19'!AL:AL,'Detail 18-19'!$AA:$AA,$A200)</f>
        <v>0</v>
      </c>
      <c r="N200" s="276">
        <f>+SUMIFS('Detail 18-19'!AM:AM,'Detail 18-19'!$AA:$AA,$A200)</f>
        <v>0</v>
      </c>
      <c r="O200" s="276">
        <f>+SUMIFS('Detail 18-19'!AN:AN,'Detail 18-19'!$AA:$AA,$A200)</f>
        <v>5000</v>
      </c>
      <c r="P200" s="277">
        <f t="shared" si="18"/>
        <v>5000</v>
      </c>
      <c r="Q200" s="270">
        <f>SUMIF('2019-03'!$E:$E,'Detail 19-20'!$A200,'2019-03'!$D:$D)</f>
        <v>0</v>
      </c>
      <c r="R200" s="271" t="s">
        <v>594</v>
      </c>
      <c r="S200" s="270">
        <v>10000.0</v>
      </c>
      <c r="T200" s="272">
        <v>10000.0</v>
      </c>
      <c r="U200" s="277">
        <f t="shared" si="4"/>
        <v>5000</v>
      </c>
      <c r="V200" s="278">
        <f t="shared" si="5"/>
        <v>1</v>
      </c>
      <c r="W200" s="277">
        <f t="shared" si="6"/>
        <v>0</v>
      </c>
      <c r="X200" s="278">
        <f t="shared" si="7"/>
        <v>0</v>
      </c>
      <c r="Y200" s="279" t="s">
        <v>1593</v>
      </c>
      <c r="Z200" s="277">
        <v>0.0</v>
      </c>
      <c r="AA200" s="277">
        <v>0.0</v>
      </c>
      <c r="AB200" s="277">
        <v>0.0</v>
      </c>
      <c r="AC200" s="277">
        <v>0.0</v>
      </c>
      <c r="AD200" s="277">
        <v>0.0</v>
      </c>
      <c r="AE200" s="277">
        <v>0.0</v>
      </c>
      <c r="AF200" s="277">
        <v>0.0</v>
      </c>
      <c r="AG200" s="277">
        <v>0.0</v>
      </c>
      <c r="AH200" s="277">
        <v>0.0</v>
      </c>
      <c r="AI200" s="277">
        <v>0.0</v>
      </c>
      <c r="AJ200" s="277">
        <v>0.0</v>
      </c>
      <c r="AK200" s="277">
        <f>+$T200</f>
        <v>10000</v>
      </c>
      <c r="AL200" s="277">
        <f t="shared" si="2"/>
        <v>10000</v>
      </c>
      <c r="AM200" s="277">
        <f t="shared" si="9"/>
        <v>0</v>
      </c>
      <c r="AN200" s="8" t="str">
        <f>+VLOOKUP('Detail 19-20'!A200,Map!$B$6:$M$222,12,FALSE)</f>
        <v>Bad Debt Expense</v>
      </c>
    </row>
    <row r="201" ht="15.75" customHeight="1">
      <c r="A201" s="274" t="s">
        <v>1182</v>
      </c>
      <c r="B201" s="274" t="s">
        <v>1189</v>
      </c>
      <c r="C201" s="275" t="s">
        <v>249</v>
      </c>
      <c r="D201" s="276">
        <f>+SUMIFS('Detail 18-19'!AC:AC,'Detail 18-19'!$AA:$AA,$A201)</f>
        <v>0</v>
      </c>
      <c r="E201" s="276">
        <f>+SUMIFS('Detail 18-19'!AD:AD,'Detail 18-19'!$AA:$AA,$A201)</f>
        <v>1315.789474</v>
      </c>
      <c r="F201" s="276">
        <f>+SUMIFS('Detail 18-19'!AE:AE,'Detail 18-19'!$AA:$AA,$A201)</f>
        <v>2631.578947</v>
      </c>
      <c r="G201" s="276">
        <f>+SUMIFS('Detail 18-19'!AF:AF,'Detail 18-19'!$AA:$AA,$A201)</f>
        <v>2631.578947</v>
      </c>
      <c r="H201" s="276">
        <f>+SUMIFS('Detail 18-19'!AG:AG,'Detail 18-19'!$AA:$AA,$A201)</f>
        <v>2631.578947</v>
      </c>
      <c r="I201" s="276">
        <f>+SUMIFS('Detail 18-19'!AH:AH,'Detail 18-19'!$AA:$AA,$A201)</f>
        <v>2631.578947</v>
      </c>
      <c r="J201" s="276">
        <f>+SUMIFS('Detail 18-19'!AI:AI,'Detail 18-19'!$AA:$AA,$A201)</f>
        <v>2631.578947</v>
      </c>
      <c r="K201" s="276">
        <f>+SUMIFS('Detail 18-19'!AJ:AJ,'Detail 18-19'!$AA:$AA,$A201)</f>
        <v>2631.578947</v>
      </c>
      <c r="L201" s="276">
        <f>+SUMIFS('Detail 18-19'!AK:AK,'Detail 18-19'!$AA:$AA,$A201)</f>
        <v>2631.578947</v>
      </c>
      <c r="M201" s="276">
        <f>+SUMIFS('Detail 18-19'!AL:AL,'Detail 18-19'!$AA:$AA,$A201)</f>
        <v>2631.578947</v>
      </c>
      <c r="N201" s="276">
        <f>+SUMIFS('Detail 18-19'!AM:AM,'Detail 18-19'!$AA:$AA,$A201)</f>
        <v>2631.578947</v>
      </c>
      <c r="O201" s="276">
        <f>+SUMIFS('Detail 18-19'!AN:AN,'Detail 18-19'!$AA:$AA,$A201)</f>
        <v>0</v>
      </c>
      <c r="P201" s="277">
        <f t="shared" si="18"/>
        <v>25000</v>
      </c>
      <c r="Q201" s="270">
        <f>SUMIF('2019-03'!$E:$E,'Detail 19-20'!$A201,'2019-03'!$D:$D)</f>
        <v>20566.77</v>
      </c>
      <c r="R201" s="271" t="s">
        <v>992</v>
      </c>
      <c r="S201" s="270">
        <f t="shared" ref="S201:S203" si="156">IF(R201="Simple",Q201*1.33333333333333,IF(R201="None",Q201,IF(R201="Ten Month",(Q201+(Q201/8*2)))))</f>
        <v>25708.4625</v>
      </c>
      <c r="T201" s="272">
        <v>25000.0</v>
      </c>
      <c r="U201" s="277">
        <f t="shared" si="4"/>
        <v>0</v>
      </c>
      <c r="V201" s="278">
        <f t="shared" si="5"/>
        <v>0</v>
      </c>
      <c r="W201" s="277">
        <f t="shared" si="6"/>
        <v>-708.4625</v>
      </c>
      <c r="X201" s="278">
        <f t="shared" si="7"/>
        <v>-0.02755756008</v>
      </c>
      <c r="Y201" s="279" t="s">
        <v>992</v>
      </c>
      <c r="Z201" s="277">
        <f>+$T201*0</f>
        <v>0</v>
      </c>
      <c r="AA201" s="277">
        <f>+$T201*0.5/9.5</f>
        <v>1315.789474</v>
      </c>
      <c r="AB201" s="277">
        <f t="shared" ref="AB201:AJ201" si="155">+$T201*1/9.5</f>
        <v>2631.578947</v>
      </c>
      <c r="AC201" s="277">
        <f t="shared" si="155"/>
        <v>2631.578947</v>
      </c>
      <c r="AD201" s="277">
        <f t="shared" si="155"/>
        <v>2631.578947</v>
      </c>
      <c r="AE201" s="277">
        <f t="shared" si="155"/>
        <v>2631.578947</v>
      </c>
      <c r="AF201" s="277">
        <f t="shared" si="155"/>
        <v>2631.578947</v>
      </c>
      <c r="AG201" s="277">
        <f t="shared" si="155"/>
        <v>2631.578947</v>
      </c>
      <c r="AH201" s="277">
        <f t="shared" si="155"/>
        <v>2631.578947</v>
      </c>
      <c r="AI201" s="277">
        <f t="shared" si="155"/>
        <v>2631.578947</v>
      </c>
      <c r="AJ201" s="277">
        <f t="shared" si="155"/>
        <v>2631.578947</v>
      </c>
      <c r="AK201" s="277">
        <f>+$T201*0</f>
        <v>0</v>
      </c>
      <c r="AL201" s="277">
        <f t="shared" si="2"/>
        <v>25000</v>
      </c>
      <c r="AM201" s="277">
        <f t="shared" si="9"/>
        <v>0</v>
      </c>
      <c r="AN201" s="8" t="str">
        <f>+VLOOKUP('Detail 19-20'!A201,Map!$B$6:$M$222,12,FALSE)</f>
        <v>Insurance Loss Expense</v>
      </c>
    </row>
    <row r="202" ht="15.75" customHeight="1">
      <c r="A202" s="274" t="s">
        <v>1184</v>
      </c>
      <c r="B202" s="274" t="s">
        <v>1189</v>
      </c>
      <c r="C202" s="275" t="s">
        <v>697</v>
      </c>
      <c r="D202" s="276">
        <f>+SUMIFS('Detail 18-19'!AC:AC,'Detail 18-19'!$AA:$AA,$A202)</f>
        <v>0</v>
      </c>
      <c r="E202" s="276">
        <f>+SUMIFS('Detail 18-19'!AD:AD,'Detail 18-19'!$AA:$AA,$A202)</f>
        <v>0</v>
      </c>
      <c r="F202" s="276">
        <f>+SUMIFS('Detail 18-19'!AE:AE,'Detail 18-19'!$AA:$AA,$A202)</f>
        <v>0</v>
      </c>
      <c r="G202" s="276">
        <f>+SUMIFS('Detail 18-19'!AF:AF,'Detail 18-19'!$AA:$AA,$A202)</f>
        <v>0</v>
      </c>
      <c r="H202" s="276">
        <f>+SUMIFS('Detail 18-19'!AG:AG,'Detail 18-19'!$AA:$AA,$A202)</f>
        <v>0</v>
      </c>
      <c r="I202" s="276">
        <f>+SUMIFS('Detail 18-19'!AH:AH,'Detail 18-19'!$AA:$AA,$A202)</f>
        <v>0</v>
      </c>
      <c r="J202" s="276">
        <f>+SUMIFS('Detail 18-19'!AI:AI,'Detail 18-19'!$AA:$AA,$A202)</f>
        <v>0</v>
      </c>
      <c r="K202" s="276">
        <f>+SUMIFS('Detail 18-19'!AJ:AJ,'Detail 18-19'!$AA:$AA,$A202)</f>
        <v>0</v>
      </c>
      <c r="L202" s="276">
        <f>+SUMIFS('Detail 18-19'!AK:AK,'Detail 18-19'!$AA:$AA,$A202)</f>
        <v>0</v>
      </c>
      <c r="M202" s="276">
        <f>+SUMIFS('Detail 18-19'!AL:AL,'Detail 18-19'!$AA:$AA,$A202)</f>
        <v>0</v>
      </c>
      <c r="N202" s="276">
        <f>+SUMIFS('Detail 18-19'!AM:AM,'Detail 18-19'!$AA:$AA,$A202)</f>
        <v>0</v>
      </c>
      <c r="O202" s="276">
        <f>+SUMIFS('Detail 18-19'!AN:AN,'Detail 18-19'!$AA:$AA,$A202)</f>
        <v>0</v>
      </c>
      <c r="P202" s="277">
        <f t="shared" si="18"/>
        <v>0</v>
      </c>
      <c r="Q202" s="270">
        <f>SUMIF('2019-03'!$E:$E,'Detail 19-20'!$A202,'2019-03'!$D:$D)</f>
        <v>0</v>
      </c>
      <c r="R202" s="271" t="s">
        <v>954</v>
      </c>
      <c r="S202" s="270">
        <f t="shared" si="156"/>
        <v>0</v>
      </c>
      <c r="T202" s="272">
        <v>0.0</v>
      </c>
      <c r="U202" s="277">
        <f t="shared" si="4"/>
        <v>0</v>
      </c>
      <c r="V202" s="278">
        <f t="shared" si="5"/>
        <v>0</v>
      </c>
      <c r="W202" s="277">
        <f t="shared" si="6"/>
        <v>0</v>
      </c>
      <c r="X202" s="278">
        <f t="shared" si="7"/>
        <v>0</v>
      </c>
      <c r="Y202" s="279" t="s">
        <v>950</v>
      </c>
      <c r="Z202" s="277">
        <f t="shared" ref="Z202:AK202" si="157">+$T202/12</f>
        <v>0</v>
      </c>
      <c r="AA202" s="277">
        <f t="shared" si="157"/>
        <v>0</v>
      </c>
      <c r="AB202" s="277">
        <f t="shared" si="157"/>
        <v>0</v>
      </c>
      <c r="AC202" s="277">
        <f t="shared" si="157"/>
        <v>0</v>
      </c>
      <c r="AD202" s="277">
        <f t="shared" si="157"/>
        <v>0</v>
      </c>
      <c r="AE202" s="277">
        <f t="shared" si="157"/>
        <v>0</v>
      </c>
      <c r="AF202" s="277">
        <f t="shared" si="157"/>
        <v>0</v>
      </c>
      <c r="AG202" s="277">
        <f t="shared" si="157"/>
        <v>0</v>
      </c>
      <c r="AH202" s="277">
        <f t="shared" si="157"/>
        <v>0</v>
      </c>
      <c r="AI202" s="277">
        <f t="shared" si="157"/>
        <v>0</v>
      </c>
      <c r="AJ202" s="277">
        <f t="shared" si="157"/>
        <v>0</v>
      </c>
      <c r="AK202" s="277">
        <f t="shared" si="157"/>
        <v>0</v>
      </c>
      <c r="AL202" s="277">
        <f t="shared" si="2"/>
        <v>0</v>
      </c>
      <c r="AM202" s="277">
        <f t="shared" si="9"/>
        <v>0</v>
      </c>
      <c r="AN202" s="8" t="str">
        <f>+VLOOKUP('Detail 19-20'!A202,Map!$B$6:$M$222,12,FALSE)</f>
        <v/>
      </c>
    </row>
    <row r="203" ht="15.75" customHeight="1">
      <c r="A203" s="274" t="s">
        <v>1185</v>
      </c>
      <c r="B203" s="274" t="s">
        <v>1189</v>
      </c>
      <c r="C203" s="275" t="s">
        <v>699</v>
      </c>
      <c r="D203" s="276">
        <f>+SUMIFS('Detail 18-19'!AC:AC,'Detail 18-19'!$AA:$AA,$A203)</f>
        <v>0</v>
      </c>
      <c r="E203" s="276">
        <f>+SUMIFS('Detail 18-19'!AD:AD,'Detail 18-19'!$AA:$AA,$A203)</f>
        <v>0</v>
      </c>
      <c r="F203" s="276">
        <f>+SUMIFS('Detail 18-19'!AE:AE,'Detail 18-19'!$AA:$AA,$A203)</f>
        <v>0</v>
      </c>
      <c r="G203" s="276">
        <f>+SUMIFS('Detail 18-19'!AF:AF,'Detail 18-19'!$AA:$AA,$A203)</f>
        <v>0</v>
      </c>
      <c r="H203" s="276">
        <f>+SUMIFS('Detail 18-19'!AG:AG,'Detail 18-19'!$AA:$AA,$A203)</f>
        <v>0</v>
      </c>
      <c r="I203" s="276">
        <f>+SUMIFS('Detail 18-19'!AH:AH,'Detail 18-19'!$AA:$AA,$A203)</f>
        <v>0</v>
      </c>
      <c r="J203" s="276">
        <f>+SUMIFS('Detail 18-19'!AI:AI,'Detail 18-19'!$AA:$AA,$A203)</f>
        <v>0</v>
      </c>
      <c r="K203" s="276">
        <f>+SUMIFS('Detail 18-19'!AJ:AJ,'Detail 18-19'!$AA:$AA,$A203)</f>
        <v>0</v>
      </c>
      <c r="L203" s="276">
        <f>+SUMIFS('Detail 18-19'!AK:AK,'Detail 18-19'!$AA:$AA,$A203)</f>
        <v>0</v>
      </c>
      <c r="M203" s="276">
        <f>+SUMIFS('Detail 18-19'!AL:AL,'Detail 18-19'!$AA:$AA,$A203)</f>
        <v>0</v>
      </c>
      <c r="N203" s="276">
        <f>+SUMIFS('Detail 18-19'!AM:AM,'Detail 18-19'!$AA:$AA,$A203)</f>
        <v>0</v>
      </c>
      <c r="O203" s="276">
        <f>+SUMIFS('Detail 18-19'!AN:AN,'Detail 18-19'!$AA:$AA,$A203)</f>
        <v>0</v>
      </c>
      <c r="P203" s="277">
        <f t="shared" si="18"/>
        <v>0</v>
      </c>
      <c r="Q203" s="270">
        <f>SUMIF('2019-03'!$E:$E,'Detail 19-20'!$A203,'2019-03'!$D:$D)</f>
        <v>0</v>
      </c>
      <c r="R203" s="271" t="s">
        <v>954</v>
      </c>
      <c r="S203" s="270">
        <f t="shared" si="156"/>
        <v>0</v>
      </c>
      <c r="T203" s="272">
        <v>0.0</v>
      </c>
      <c r="U203" s="277">
        <f t="shared" si="4"/>
        <v>0</v>
      </c>
      <c r="V203" s="278">
        <f t="shared" si="5"/>
        <v>0</v>
      </c>
      <c r="W203" s="277">
        <f t="shared" si="6"/>
        <v>0</v>
      </c>
      <c r="X203" s="278">
        <f t="shared" si="7"/>
        <v>0</v>
      </c>
      <c r="Y203" s="279" t="s">
        <v>950</v>
      </c>
      <c r="Z203" s="277">
        <f t="shared" ref="Z203:AK203" si="158">+$T203/12</f>
        <v>0</v>
      </c>
      <c r="AA203" s="277">
        <f t="shared" si="158"/>
        <v>0</v>
      </c>
      <c r="AB203" s="277">
        <f t="shared" si="158"/>
        <v>0</v>
      </c>
      <c r="AC203" s="277">
        <f t="shared" si="158"/>
        <v>0</v>
      </c>
      <c r="AD203" s="277">
        <f t="shared" si="158"/>
        <v>0</v>
      </c>
      <c r="AE203" s="277">
        <f t="shared" si="158"/>
        <v>0</v>
      </c>
      <c r="AF203" s="277">
        <f t="shared" si="158"/>
        <v>0</v>
      </c>
      <c r="AG203" s="277">
        <f t="shared" si="158"/>
        <v>0</v>
      </c>
      <c r="AH203" s="277">
        <f t="shared" si="158"/>
        <v>0</v>
      </c>
      <c r="AI203" s="277">
        <f t="shared" si="158"/>
        <v>0</v>
      </c>
      <c r="AJ203" s="277">
        <f t="shared" si="158"/>
        <v>0</v>
      </c>
      <c r="AK203" s="277">
        <f t="shared" si="158"/>
        <v>0</v>
      </c>
      <c r="AL203" s="277">
        <f t="shared" si="2"/>
        <v>0</v>
      </c>
      <c r="AM203" s="277">
        <f t="shared" si="9"/>
        <v>0</v>
      </c>
      <c r="AN203" s="8" t="str">
        <f>+VLOOKUP('Detail 19-20'!A203,Map!$B$6:$M$222,12,FALSE)</f>
        <v/>
      </c>
    </row>
    <row r="204" ht="15.75" customHeight="1"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10"/>
      <c r="W204" s="27"/>
      <c r="X204" s="310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</row>
    <row r="205" ht="15.75" customHeight="1">
      <c r="B205" s="170" t="s">
        <v>949</v>
      </c>
      <c r="D205" s="57">
        <f t="shared" ref="D205:Q205" si="159">SUM(D59:D92)</f>
        <v>4479.166667</v>
      </c>
      <c r="E205" s="57">
        <f t="shared" si="159"/>
        <v>78116.61404</v>
      </c>
      <c r="F205" s="57">
        <f t="shared" si="159"/>
        <v>114979.0614</v>
      </c>
      <c r="G205" s="57">
        <f t="shared" si="159"/>
        <v>110754.0614</v>
      </c>
      <c r="H205" s="57">
        <f t="shared" si="159"/>
        <v>116754.0614</v>
      </c>
      <c r="I205" s="57">
        <f t="shared" si="159"/>
        <v>113754.0614</v>
      </c>
      <c r="J205" s="57">
        <f t="shared" si="159"/>
        <v>110891.5614</v>
      </c>
      <c r="K205" s="57">
        <f t="shared" si="159"/>
        <v>116929.0614</v>
      </c>
      <c r="L205" s="57">
        <f t="shared" si="159"/>
        <v>136004.0614</v>
      </c>
      <c r="M205" s="57">
        <f t="shared" si="159"/>
        <v>111504.0614</v>
      </c>
      <c r="N205" s="57">
        <f t="shared" si="159"/>
        <v>109004.0614</v>
      </c>
      <c r="O205" s="57">
        <f t="shared" si="159"/>
        <v>4354.166667</v>
      </c>
      <c r="P205" s="57">
        <f t="shared" si="159"/>
        <v>1129024</v>
      </c>
      <c r="Q205" s="57">
        <f t="shared" si="159"/>
        <v>837906.81</v>
      </c>
      <c r="R205" s="27"/>
      <c r="S205" s="57">
        <f t="shared" ref="S205:U205" si="160">SUM(S59:S92)</f>
        <v>1054319.554</v>
      </c>
      <c r="T205" s="57">
        <f t="shared" si="160"/>
        <v>1178844</v>
      </c>
      <c r="U205" s="57">
        <f t="shared" si="160"/>
        <v>49820</v>
      </c>
      <c r="V205" s="311"/>
      <c r="W205" s="57">
        <f>SUM(W59:W92)</f>
        <v>124524.4458</v>
      </c>
      <c r="X205" s="311"/>
      <c r="Y205" s="27"/>
      <c r="Z205" s="57">
        <f t="shared" ref="Z205:AL205" si="161">SUM(Z59:Z92)</f>
        <v>6202.5</v>
      </c>
      <c r="AA205" s="57">
        <f t="shared" si="161"/>
        <v>75572.97368</v>
      </c>
      <c r="AB205" s="57">
        <f t="shared" si="161"/>
        <v>114393.4474</v>
      </c>
      <c r="AC205" s="57">
        <f t="shared" si="161"/>
        <v>114993.4474</v>
      </c>
      <c r="AD205" s="57">
        <f t="shared" si="161"/>
        <v>114993.4474</v>
      </c>
      <c r="AE205" s="57">
        <f t="shared" si="161"/>
        <v>114993.4474</v>
      </c>
      <c r="AF205" s="57">
        <f t="shared" si="161"/>
        <v>116318.4474</v>
      </c>
      <c r="AG205" s="57">
        <f t="shared" si="161"/>
        <v>115543.4474</v>
      </c>
      <c r="AH205" s="57">
        <f t="shared" si="161"/>
        <v>171643.4474</v>
      </c>
      <c r="AI205" s="57">
        <f t="shared" si="161"/>
        <v>113243.4474</v>
      </c>
      <c r="AJ205" s="57">
        <f t="shared" si="161"/>
        <v>114743.4474</v>
      </c>
      <c r="AK205" s="57">
        <f t="shared" si="161"/>
        <v>6202.5</v>
      </c>
      <c r="AL205" s="57">
        <f t="shared" si="161"/>
        <v>1178844</v>
      </c>
      <c r="AM205" s="57"/>
    </row>
    <row r="206" ht="15.75" customHeight="1">
      <c r="B206" s="168" t="s">
        <v>1189</v>
      </c>
      <c r="D206" s="57">
        <f t="shared" ref="D206:Q206" si="162">+SUM(D93:D203)</f>
        <v>55526.36181</v>
      </c>
      <c r="E206" s="57">
        <f t="shared" si="162"/>
        <v>75922.92717</v>
      </c>
      <c r="F206" s="57">
        <f t="shared" si="162"/>
        <v>99054.49252</v>
      </c>
      <c r="G206" s="57">
        <f t="shared" si="162"/>
        <v>99054.49252</v>
      </c>
      <c r="H206" s="57">
        <f t="shared" si="162"/>
        <v>103804.4925</v>
      </c>
      <c r="I206" s="57">
        <f t="shared" si="162"/>
        <v>105226.7791</v>
      </c>
      <c r="J206" s="57">
        <f t="shared" si="162"/>
        <v>105261.9925</v>
      </c>
      <c r="K206" s="57">
        <f t="shared" si="162"/>
        <v>103459.4925</v>
      </c>
      <c r="L206" s="57">
        <f t="shared" si="162"/>
        <v>112541.9925</v>
      </c>
      <c r="M206" s="57">
        <f t="shared" si="162"/>
        <v>100591.9925</v>
      </c>
      <c r="N206" s="57">
        <f t="shared" si="162"/>
        <v>100041.9925</v>
      </c>
      <c r="O206" s="57">
        <f t="shared" si="162"/>
        <v>58268.86181</v>
      </c>
      <c r="P206" s="57">
        <f t="shared" si="162"/>
        <v>1118755.87</v>
      </c>
      <c r="Q206" s="57">
        <f t="shared" si="162"/>
        <v>827304.65</v>
      </c>
      <c r="R206" s="27"/>
      <c r="S206" s="57">
        <f t="shared" ref="S206:U206" si="163">+SUM(S93:S203)</f>
        <v>1079567.323</v>
      </c>
      <c r="T206" s="57">
        <f t="shared" si="163"/>
        <v>1175428.439</v>
      </c>
      <c r="U206" s="57">
        <f t="shared" si="163"/>
        <v>56672.56857</v>
      </c>
      <c r="V206" s="311"/>
      <c r="W206" s="57">
        <f>+SUM(W93:W203)</f>
        <v>95861.11533</v>
      </c>
      <c r="X206" s="311"/>
      <c r="Y206" s="27"/>
      <c r="Z206" s="57">
        <f t="shared" ref="Z206:AL206" si="164">+SUM(Z93:Z203)</f>
        <v>47284.4906</v>
      </c>
      <c r="AA206" s="57">
        <f t="shared" si="164"/>
        <v>85395.7894</v>
      </c>
      <c r="AB206" s="57">
        <f t="shared" si="164"/>
        <v>103519.5882</v>
      </c>
      <c r="AC206" s="57">
        <f t="shared" si="164"/>
        <v>103519.5882</v>
      </c>
      <c r="AD206" s="57">
        <f t="shared" si="164"/>
        <v>103744.5882</v>
      </c>
      <c r="AE206" s="57">
        <f t="shared" si="164"/>
        <v>107888.2125</v>
      </c>
      <c r="AF206" s="57">
        <f t="shared" si="164"/>
        <v>114988.3382</v>
      </c>
      <c r="AG206" s="57">
        <f t="shared" si="164"/>
        <v>103744.5882</v>
      </c>
      <c r="AH206" s="57">
        <f t="shared" si="164"/>
        <v>131519.5882</v>
      </c>
      <c r="AI206" s="57">
        <f t="shared" si="164"/>
        <v>104519.5882</v>
      </c>
      <c r="AJ206" s="57">
        <f t="shared" si="164"/>
        <v>104519.5882</v>
      </c>
      <c r="AK206" s="57">
        <f t="shared" si="164"/>
        <v>64784.4906</v>
      </c>
      <c r="AL206" s="57">
        <f t="shared" si="164"/>
        <v>1175428.439</v>
      </c>
      <c r="AM206" s="57"/>
    </row>
    <row r="207" ht="15.75" customHeight="1">
      <c r="B207" s="169" t="s">
        <v>1461</v>
      </c>
      <c r="D207" s="57">
        <f t="shared" ref="D207:Q207" si="165">+D205-D206</f>
        <v>-51047.19515</v>
      </c>
      <c r="E207" s="57">
        <f t="shared" si="165"/>
        <v>2193.686868</v>
      </c>
      <c r="F207" s="57">
        <f t="shared" si="165"/>
        <v>15924.56888</v>
      </c>
      <c r="G207" s="57">
        <f t="shared" si="165"/>
        <v>11699.56888</v>
      </c>
      <c r="H207" s="57">
        <f t="shared" si="165"/>
        <v>12949.56888</v>
      </c>
      <c r="I207" s="57">
        <f t="shared" si="165"/>
        <v>8527.282282</v>
      </c>
      <c r="J207" s="57">
        <f t="shared" si="165"/>
        <v>5629.568882</v>
      </c>
      <c r="K207" s="57">
        <f t="shared" si="165"/>
        <v>13469.56888</v>
      </c>
      <c r="L207" s="57">
        <f t="shared" si="165"/>
        <v>23462.06888</v>
      </c>
      <c r="M207" s="57">
        <f t="shared" si="165"/>
        <v>10912.06888</v>
      </c>
      <c r="N207" s="57">
        <f t="shared" si="165"/>
        <v>8962.068882</v>
      </c>
      <c r="O207" s="57">
        <f t="shared" si="165"/>
        <v>-53914.69515</v>
      </c>
      <c r="P207" s="57">
        <f t="shared" si="165"/>
        <v>10268.12991</v>
      </c>
      <c r="Q207" s="57">
        <f t="shared" si="165"/>
        <v>10602.16</v>
      </c>
      <c r="R207" s="27"/>
      <c r="S207" s="57">
        <f t="shared" ref="S207:U207" si="166">+S205-S206</f>
        <v>-25247.76917</v>
      </c>
      <c r="T207" s="57">
        <f t="shared" si="166"/>
        <v>3415.561341</v>
      </c>
      <c r="U207" s="57">
        <f t="shared" si="166"/>
        <v>-6852.56857</v>
      </c>
      <c r="V207" s="311"/>
      <c r="W207" s="57">
        <f>+W205-W206</f>
        <v>28663.33051</v>
      </c>
      <c r="X207" s="311"/>
      <c r="Y207" s="27"/>
      <c r="Z207" s="57">
        <f t="shared" ref="Z207:AL207" si="167">+Z205-Z206</f>
        <v>-41081.9906</v>
      </c>
      <c r="AA207" s="57">
        <f t="shared" si="167"/>
        <v>-9822.815715</v>
      </c>
      <c r="AB207" s="57">
        <f t="shared" si="167"/>
        <v>10873.85917</v>
      </c>
      <c r="AC207" s="57">
        <f t="shared" si="167"/>
        <v>11473.85917</v>
      </c>
      <c r="AD207" s="57">
        <f t="shared" si="167"/>
        <v>11248.85917</v>
      </c>
      <c r="AE207" s="57">
        <f t="shared" si="167"/>
        <v>7105.234867</v>
      </c>
      <c r="AF207" s="57">
        <f t="shared" si="167"/>
        <v>1330.109167</v>
      </c>
      <c r="AG207" s="57">
        <f t="shared" si="167"/>
        <v>11798.85917</v>
      </c>
      <c r="AH207" s="57">
        <f t="shared" si="167"/>
        <v>40123.85917</v>
      </c>
      <c r="AI207" s="57">
        <f t="shared" si="167"/>
        <v>8723.859167</v>
      </c>
      <c r="AJ207" s="57">
        <f t="shared" si="167"/>
        <v>10223.85917</v>
      </c>
      <c r="AK207" s="57">
        <f t="shared" si="167"/>
        <v>-58581.9906</v>
      </c>
      <c r="AL207" s="57">
        <f t="shared" si="167"/>
        <v>3415.561293</v>
      </c>
      <c r="AM207" s="57"/>
    </row>
    <row r="208" ht="15.75" customHeight="1">
      <c r="B208" s="8" t="s">
        <v>432</v>
      </c>
      <c r="D208" s="57">
        <f>+D207-'Detail 18-19'!AC278</f>
        <v>0</v>
      </c>
      <c r="E208" s="57">
        <f>+E207-'Detail 18-19'!AD278</f>
        <v>0</v>
      </c>
      <c r="F208" s="57">
        <f>+F207-'Detail 18-19'!AE278</f>
        <v>0</v>
      </c>
      <c r="G208" s="57">
        <f>+G207-'Detail 18-19'!AF278</f>
        <v>0</v>
      </c>
      <c r="H208" s="57">
        <f>+H207-'Detail 18-19'!AG278</f>
        <v>0</v>
      </c>
      <c r="I208" s="57">
        <f>+I207-'Detail 18-19'!AH278</f>
        <v>0</v>
      </c>
      <c r="J208" s="57">
        <f>+J207-'Detail 18-19'!AI278</f>
        <v>0</v>
      </c>
      <c r="K208" s="57">
        <f>+K207-'Detail 18-19'!AJ278</f>
        <v>0</v>
      </c>
      <c r="L208" s="57">
        <f>+L207-'Detail 18-19'!AK278</f>
        <v>0</v>
      </c>
      <c r="M208" s="57">
        <f>+M207-'Detail 18-19'!AL278</f>
        <v>0</v>
      </c>
      <c r="N208" s="57">
        <f>+N207-'Detail 18-19'!AM278</f>
        <v>0</v>
      </c>
      <c r="O208" s="57">
        <f>+O207-'Detail 18-19'!AN278</f>
        <v>0</v>
      </c>
      <c r="P208" s="57">
        <f>+SUM(D208:O208)</f>
        <v>0</v>
      </c>
      <c r="Q208" s="57">
        <f>+Q207-'2019-03'!D175</f>
        <v>18000</v>
      </c>
      <c r="R208" s="27"/>
      <c r="S208" s="57"/>
      <c r="T208" s="27"/>
      <c r="U208" s="27"/>
      <c r="V208" s="310"/>
      <c r="W208" s="27"/>
      <c r="X208" s="310"/>
      <c r="Y208" s="27"/>
      <c r="Z208" s="57">
        <f>+Z207-'Detail 18-19'!AS278</f>
        <v>-41081.9906</v>
      </c>
      <c r="AA208" s="57">
        <f>+AA207-'Detail 18-19'!AT278</f>
        <v>-9822.815715</v>
      </c>
      <c r="AB208" s="57">
        <f>+AB207-'Detail 18-19'!AU278</f>
        <v>10873.85917</v>
      </c>
      <c r="AC208" s="57">
        <f>+AC207-'Detail 18-19'!AV278</f>
        <v>11473.85917</v>
      </c>
      <c r="AD208" s="57">
        <f>+AD207-'Detail 18-19'!AW278</f>
        <v>11248.85917</v>
      </c>
      <c r="AE208" s="57">
        <f>+AE207-'Detail 18-19'!AX278</f>
        <v>7105.234867</v>
      </c>
      <c r="AF208" s="57">
        <f>+AF207-'Detail 18-19'!AY278</f>
        <v>1330.109167</v>
      </c>
      <c r="AG208" s="57">
        <f>+AG207-'Detail 18-19'!AZ278</f>
        <v>11798.85917</v>
      </c>
      <c r="AH208" s="57">
        <f>+AH207-'Detail 18-19'!BA278</f>
        <v>40123.85917</v>
      </c>
      <c r="AI208" s="57">
        <f>+AI207-'Detail 18-19'!BB278</f>
        <v>8723.859167</v>
      </c>
      <c r="AJ208" s="57">
        <f>+AJ207-'Detail 18-19'!BC278</f>
        <v>10223.85917</v>
      </c>
      <c r="AK208" s="57">
        <f>+AK207-'Detail 18-19'!BD278</f>
        <v>-58581.9906</v>
      </c>
      <c r="AL208" s="57">
        <f>+SUM(Z208:AK208)</f>
        <v>3415.561293</v>
      </c>
      <c r="AM208" s="57"/>
    </row>
    <row r="209" ht="15.75" customHeight="1"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17281.57</v>
      </c>
      <c r="U209" s="27" t="s">
        <v>1714</v>
      </c>
      <c r="V209" s="310"/>
      <c r="W209" s="27"/>
      <c r="X209" s="310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</row>
    <row r="210" ht="15.75" customHeight="1"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-11068.43</v>
      </c>
      <c r="U210" s="27" t="s">
        <v>1719</v>
      </c>
      <c r="V210" s="310"/>
      <c r="W210" s="27"/>
      <c r="X210" s="310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</row>
    <row r="211" ht="15.75" customHeight="1"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f>+T209+T210</f>
        <v>6213.14</v>
      </c>
      <c r="U211" s="27" t="s">
        <v>1722</v>
      </c>
      <c r="V211" s="310"/>
      <c r="W211" s="27"/>
      <c r="X211" s="310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</row>
    <row r="212" ht="15.75" customHeight="1"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10"/>
      <c r="W212" s="27"/>
      <c r="X212" s="310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</row>
    <row r="213" ht="15.75" customHeight="1"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10"/>
      <c r="W213" s="27"/>
      <c r="X213" s="310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</row>
    <row r="214" ht="15.75" customHeight="1"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10"/>
      <c r="W214" s="27"/>
      <c r="X214" s="310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</row>
    <row r="215" ht="15.75" customHeight="1"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10"/>
      <c r="W215" s="27"/>
      <c r="X215" s="310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</row>
    <row r="216" ht="15.75" customHeight="1"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310"/>
      <c r="W216" s="27"/>
      <c r="X216" s="310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</row>
    <row r="217" ht="15.75" customHeight="1"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10"/>
      <c r="W217" s="27"/>
      <c r="X217" s="310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</row>
    <row r="218" ht="15.75" customHeight="1"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310"/>
      <c r="W218" s="27"/>
      <c r="X218" s="310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</row>
    <row r="219" ht="15.75" customHeight="1"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10"/>
      <c r="W219" s="27"/>
      <c r="X219" s="310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</row>
    <row r="220" ht="15.75" customHeight="1"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310"/>
      <c r="W220" s="27"/>
      <c r="X220" s="310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</row>
    <row r="221" ht="15.75" customHeight="1"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10"/>
      <c r="W221" s="27"/>
      <c r="X221" s="310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</row>
    <row r="222" ht="15.75" customHeight="1"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310"/>
      <c r="W222" s="27"/>
      <c r="X222" s="310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</row>
    <row r="223" ht="15.75" customHeight="1"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10"/>
      <c r="W223" s="27"/>
      <c r="X223" s="310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</row>
    <row r="224" ht="15.75" customHeight="1"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310"/>
      <c r="W224" s="27"/>
      <c r="X224" s="310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</row>
    <row r="225" ht="15.75" customHeight="1"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10"/>
      <c r="W225" s="27"/>
      <c r="X225" s="310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</row>
    <row r="226" ht="15.75" customHeight="1"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10"/>
      <c r="W226" s="27"/>
      <c r="X226" s="310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</row>
    <row r="227" ht="15.75" customHeight="1"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310"/>
      <c r="W227" s="27"/>
      <c r="X227" s="310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</row>
    <row r="228" ht="15.75" customHeight="1"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10"/>
      <c r="W228" s="27"/>
      <c r="X228" s="310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</row>
    <row r="229" ht="15.75" customHeight="1"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10"/>
      <c r="W229" s="27"/>
      <c r="X229" s="310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</row>
    <row r="230" ht="15.75" customHeight="1"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10"/>
      <c r="W230" s="27"/>
      <c r="X230" s="310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</row>
    <row r="231" ht="15.75" customHeight="1"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10"/>
      <c r="W231" s="27"/>
      <c r="X231" s="310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</row>
    <row r="232" ht="15.75" customHeight="1"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10"/>
      <c r="W232" s="27"/>
      <c r="X232" s="310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</row>
    <row r="233" ht="15.75" customHeight="1"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310"/>
      <c r="W233" s="27"/>
      <c r="X233" s="310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</row>
    <row r="234" ht="15.75" customHeight="1"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310"/>
      <c r="W234" s="27"/>
      <c r="X234" s="310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</row>
    <row r="235" ht="15.75" customHeight="1"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310"/>
      <c r="W235" s="27"/>
      <c r="X235" s="310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</row>
    <row r="236" ht="15.75" customHeight="1"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310"/>
      <c r="W236" s="27"/>
      <c r="X236" s="310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</row>
    <row r="237" ht="15.75" customHeight="1"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310"/>
      <c r="W237" s="27"/>
      <c r="X237" s="310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</row>
    <row r="238" ht="15.75" customHeight="1"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310"/>
      <c r="W238" s="27"/>
      <c r="X238" s="310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</row>
    <row r="239" ht="15.75" customHeight="1"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310"/>
      <c r="W239" s="27"/>
      <c r="X239" s="310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</row>
    <row r="240" ht="15.75" customHeight="1"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310"/>
      <c r="W240" s="27"/>
      <c r="X240" s="310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</row>
    <row r="241" ht="15.75" customHeight="1"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310"/>
      <c r="W241" s="27"/>
      <c r="X241" s="310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</row>
    <row r="242" ht="15.75" customHeight="1"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310"/>
      <c r="W242" s="27"/>
      <c r="X242" s="310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</row>
    <row r="243" ht="15.75" customHeight="1"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310"/>
      <c r="W243" s="27"/>
      <c r="X243" s="310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</row>
    <row r="244" ht="15.75" customHeight="1"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310"/>
      <c r="W244" s="27"/>
      <c r="X244" s="310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</row>
    <row r="245" ht="15.75" customHeight="1"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310"/>
      <c r="W245" s="27"/>
      <c r="X245" s="310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</row>
    <row r="246" ht="15.75" customHeight="1"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310"/>
      <c r="W246" s="27"/>
      <c r="X246" s="310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</row>
    <row r="247" ht="15.75" customHeight="1"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310"/>
      <c r="W247" s="27"/>
      <c r="X247" s="310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</row>
    <row r="248" ht="15.75" customHeight="1"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310"/>
      <c r="W248" s="27"/>
      <c r="X248" s="310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</row>
    <row r="249" ht="15.75" customHeight="1"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310"/>
      <c r="W249" s="27"/>
      <c r="X249" s="310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</row>
    <row r="250" ht="15.75" customHeight="1"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310"/>
      <c r="W250" s="27"/>
      <c r="X250" s="310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</row>
    <row r="251" ht="15.75" customHeight="1"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310"/>
      <c r="W251" s="27"/>
      <c r="X251" s="310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</row>
    <row r="252" ht="15.75" customHeight="1"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310"/>
      <c r="W252" s="27"/>
      <c r="X252" s="310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</row>
    <row r="253" ht="15.75" customHeight="1"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310"/>
      <c r="W253" s="27"/>
      <c r="X253" s="310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</row>
    <row r="254" ht="15.75" customHeight="1"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310"/>
      <c r="W254" s="27"/>
      <c r="X254" s="310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</row>
    <row r="255" ht="15.75" customHeight="1"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310"/>
      <c r="W255" s="27"/>
      <c r="X255" s="310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</row>
    <row r="256" ht="15.75" customHeight="1"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310"/>
      <c r="W256" s="27"/>
      <c r="X256" s="310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ht="15.75" customHeight="1"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310"/>
      <c r="W257" s="27"/>
      <c r="X257" s="310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</row>
    <row r="258" ht="15.75" customHeight="1"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310"/>
      <c r="W258" s="27"/>
      <c r="X258" s="310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</row>
    <row r="259" ht="15.75" customHeight="1"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310"/>
      <c r="W259" s="27"/>
      <c r="X259" s="310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</row>
    <row r="260" ht="15.75" customHeight="1"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310"/>
      <c r="W260" s="27"/>
      <c r="X260" s="310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ht="15.75" customHeight="1"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310"/>
      <c r="W261" s="27"/>
      <c r="X261" s="310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ht="15.75" customHeight="1"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310"/>
      <c r="W262" s="27"/>
      <c r="X262" s="310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</row>
    <row r="263" ht="15.75" customHeight="1"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310"/>
      <c r="W263" s="27"/>
      <c r="X263" s="310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</row>
    <row r="264" ht="15.75" customHeight="1"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310"/>
      <c r="W264" s="27"/>
      <c r="X264" s="310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</row>
    <row r="265" ht="15.75" customHeight="1"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310"/>
      <c r="W265" s="27"/>
      <c r="X265" s="310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ht="15.75" customHeight="1"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310"/>
      <c r="W266" s="27"/>
      <c r="X266" s="310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ht="15.75" customHeight="1"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310"/>
      <c r="W267" s="27"/>
      <c r="X267" s="310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</row>
    <row r="268" ht="15.75" customHeight="1"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310"/>
      <c r="W268" s="27"/>
      <c r="X268" s="310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</row>
    <row r="269" ht="15.75" customHeight="1"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310"/>
      <c r="W269" s="27"/>
      <c r="X269" s="310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ht="15.75" customHeight="1"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310"/>
      <c r="W270" s="27"/>
      <c r="X270" s="310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ht="15.75" customHeight="1"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310"/>
      <c r="W271" s="27"/>
      <c r="X271" s="310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</row>
    <row r="272" ht="15.75" customHeight="1"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310"/>
      <c r="W272" s="27"/>
      <c r="X272" s="310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</row>
    <row r="273" ht="15.75" customHeight="1"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310"/>
      <c r="W273" s="27"/>
      <c r="X273" s="310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</row>
    <row r="274" ht="15.75" customHeight="1"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310"/>
      <c r="W274" s="27"/>
      <c r="X274" s="310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</row>
    <row r="275" ht="15.75" customHeight="1"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310"/>
      <c r="W275" s="27"/>
      <c r="X275" s="310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</row>
    <row r="276" ht="15.75" customHeight="1"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310"/>
      <c r="W276" s="27"/>
      <c r="X276" s="310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</row>
    <row r="277" ht="15.75" customHeight="1"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310"/>
      <c r="W277" s="27"/>
      <c r="X277" s="310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</row>
    <row r="278" ht="15.75" customHeight="1"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310"/>
      <c r="W278" s="27"/>
      <c r="X278" s="310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</row>
    <row r="279" ht="15.75" customHeight="1"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310"/>
      <c r="W279" s="27"/>
      <c r="X279" s="310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</row>
    <row r="280" ht="15.75" customHeight="1"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310"/>
      <c r="W280" s="27"/>
      <c r="X280" s="310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</row>
    <row r="281" ht="15.75" customHeight="1"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310"/>
      <c r="W281" s="27"/>
      <c r="X281" s="310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</row>
    <row r="282" ht="15.75" customHeight="1"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310"/>
      <c r="W282" s="27"/>
      <c r="X282" s="310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ht="15.75" customHeight="1"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310"/>
      <c r="W283" s="27"/>
      <c r="X283" s="310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ht="15.75" customHeight="1"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310"/>
      <c r="W284" s="27"/>
      <c r="X284" s="310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</row>
    <row r="285" ht="15.75" customHeight="1"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310"/>
      <c r="W285" s="27"/>
      <c r="X285" s="310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</row>
    <row r="286" ht="15.75" customHeight="1"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310"/>
      <c r="W286" s="27"/>
      <c r="X286" s="310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ht="15.75" customHeight="1"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310"/>
      <c r="W287" s="27"/>
      <c r="X287" s="310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ht="15.75" customHeight="1"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310"/>
      <c r="W288" s="27"/>
      <c r="X288" s="310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</row>
    <row r="289" ht="15.75" customHeight="1"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310"/>
      <c r="W289" s="27"/>
      <c r="X289" s="310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</row>
    <row r="290" ht="15.75" customHeight="1"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310"/>
      <c r="W290" s="27"/>
      <c r="X290" s="310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</row>
    <row r="291" ht="15.75" customHeight="1"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310"/>
      <c r="W291" s="27"/>
      <c r="X291" s="310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</row>
    <row r="292" ht="15.75" customHeight="1"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310"/>
      <c r="W292" s="27"/>
      <c r="X292" s="310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</row>
    <row r="293" ht="15.75" customHeight="1"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310"/>
      <c r="W293" s="27"/>
      <c r="X293" s="310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</row>
    <row r="294" ht="15.75" customHeight="1"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310"/>
      <c r="W294" s="27"/>
      <c r="X294" s="310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</row>
    <row r="295" ht="15.75" customHeight="1"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310"/>
      <c r="W295" s="27"/>
      <c r="X295" s="310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</row>
    <row r="296" ht="15.75" customHeight="1"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310"/>
      <c r="W296" s="27"/>
      <c r="X296" s="310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</row>
    <row r="297" ht="15.75" customHeight="1"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310"/>
      <c r="W297" s="27"/>
      <c r="X297" s="310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</row>
    <row r="298" ht="15.75" customHeight="1"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310"/>
      <c r="W298" s="27"/>
      <c r="X298" s="310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</row>
    <row r="299" ht="15.75" customHeight="1"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310"/>
      <c r="W299" s="27"/>
      <c r="X299" s="310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ht="15.75" customHeight="1"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310"/>
      <c r="W300" s="27"/>
      <c r="X300" s="310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ht="15.75" customHeight="1"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310"/>
      <c r="W301" s="27"/>
      <c r="X301" s="310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</row>
    <row r="302" ht="15.75" customHeight="1"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10"/>
      <c r="W302" s="27"/>
      <c r="X302" s="310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</row>
    <row r="303" ht="15.75" customHeight="1"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10"/>
      <c r="W303" s="27"/>
      <c r="X303" s="310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</row>
    <row r="304" ht="15.75" customHeight="1"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10"/>
      <c r="W304" s="27"/>
      <c r="X304" s="310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</row>
    <row r="305" ht="15.75" customHeight="1"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10"/>
      <c r="W305" s="27"/>
      <c r="X305" s="310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</row>
    <row r="306" ht="15.75" customHeight="1"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10"/>
      <c r="W306" s="27"/>
      <c r="X306" s="310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</row>
    <row r="307" ht="15.75" customHeight="1"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10"/>
      <c r="W307" s="27"/>
      <c r="X307" s="310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</row>
    <row r="308" ht="15.75" customHeight="1"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10"/>
      <c r="W308" s="27"/>
      <c r="X308" s="310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</row>
    <row r="309" ht="15.75" customHeight="1"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10"/>
      <c r="W309" s="27"/>
      <c r="X309" s="310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</row>
    <row r="310" ht="15.75" customHeight="1"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10"/>
      <c r="W310" s="27"/>
      <c r="X310" s="310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</row>
    <row r="311" ht="15.75" customHeight="1"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10"/>
      <c r="W311" s="27"/>
      <c r="X311" s="310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</row>
    <row r="312" ht="15.75" customHeight="1"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10"/>
      <c r="W312" s="27"/>
      <c r="X312" s="310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</row>
    <row r="313" ht="15.75" customHeight="1"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10"/>
      <c r="W313" s="27"/>
      <c r="X313" s="310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</row>
    <row r="314" ht="15.75" customHeight="1"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10"/>
      <c r="W314" s="27"/>
      <c r="X314" s="310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</row>
    <row r="315" ht="15.75" customHeight="1"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10"/>
      <c r="W315" s="27"/>
      <c r="X315" s="310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</row>
    <row r="316" ht="15.75" customHeight="1"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10"/>
      <c r="W316" s="27"/>
      <c r="X316" s="310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</row>
    <row r="317" ht="15.75" customHeight="1"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310"/>
      <c r="W317" s="27"/>
      <c r="X317" s="310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</row>
    <row r="318" ht="15.75" customHeight="1"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310"/>
      <c r="W318" s="27"/>
      <c r="X318" s="310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</row>
    <row r="319" ht="15.75" customHeight="1"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310"/>
      <c r="W319" s="27"/>
      <c r="X319" s="310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</row>
    <row r="320" ht="15.75" customHeight="1"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10"/>
      <c r="W320" s="27"/>
      <c r="X320" s="310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</row>
    <row r="321" ht="15.75" customHeight="1"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10"/>
      <c r="W321" s="27"/>
      <c r="X321" s="310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</row>
    <row r="322" ht="15.75" customHeight="1"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10"/>
      <c r="W322" s="27"/>
      <c r="X322" s="310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</row>
    <row r="323" ht="15.75" customHeight="1"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10"/>
      <c r="W323" s="27"/>
      <c r="X323" s="310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</row>
    <row r="324" ht="15.75" customHeight="1"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10"/>
      <c r="W324" s="27"/>
      <c r="X324" s="310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</row>
    <row r="325" ht="15.75" customHeight="1"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10"/>
      <c r="W325" s="27"/>
      <c r="X325" s="310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</row>
    <row r="326" ht="15.75" customHeight="1"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310"/>
      <c r="W326" s="27"/>
      <c r="X326" s="310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</row>
    <row r="327" ht="15.75" customHeight="1"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310"/>
      <c r="W327" s="27"/>
      <c r="X327" s="310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</row>
    <row r="328" ht="15.75" customHeight="1"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10"/>
      <c r="W328" s="27"/>
      <c r="X328" s="310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</row>
    <row r="329" ht="15.75" customHeight="1"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10"/>
      <c r="W329" s="27"/>
      <c r="X329" s="310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</row>
    <row r="330" ht="15.75" customHeight="1"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10"/>
      <c r="W330" s="27"/>
      <c r="X330" s="310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</row>
    <row r="331" ht="15.75" customHeight="1"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10"/>
      <c r="W331" s="27"/>
      <c r="X331" s="310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</row>
    <row r="332" ht="15.75" customHeight="1"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10"/>
      <c r="W332" s="27"/>
      <c r="X332" s="310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</row>
    <row r="333" ht="15.75" customHeight="1"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10"/>
      <c r="W333" s="27"/>
      <c r="X333" s="310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</row>
    <row r="334" ht="15.75" customHeight="1"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10"/>
      <c r="W334" s="27"/>
      <c r="X334" s="310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</row>
    <row r="335" ht="15.75" customHeight="1"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10"/>
      <c r="W335" s="27"/>
      <c r="X335" s="310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</row>
    <row r="336" ht="15.75" customHeight="1"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10"/>
      <c r="W336" s="27"/>
      <c r="X336" s="310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</row>
    <row r="337" ht="15.75" customHeight="1"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310"/>
      <c r="W337" s="27"/>
      <c r="X337" s="310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</row>
    <row r="338" ht="15.75" customHeight="1"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10"/>
      <c r="W338" s="27"/>
      <c r="X338" s="310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</row>
    <row r="339" ht="15.75" customHeight="1"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10"/>
      <c r="W339" s="27"/>
      <c r="X339" s="310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</row>
    <row r="340" ht="15.75" customHeight="1"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310"/>
      <c r="W340" s="27"/>
      <c r="X340" s="310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</row>
    <row r="341" ht="15.75" customHeight="1"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10"/>
      <c r="W341" s="27"/>
      <c r="X341" s="310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</row>
    <row r="342" ht="15.75" customHeight="1"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10"/>
      <c r="W342" s="27"/>
      <c r="X342" s="310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</row>
    <row r="343" ht="15.75" customHeight="1"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310"/>
      <c r="W343" s="27"/>
      <c r="X343" s="310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</row>
    <row r="344" ht="15.75" customHeight="1"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10"/>
      <c r="W344" s="27"/>
      <c r="X344" s="310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</row>
    <row r="345" ht="15.75" customHeight="1"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10"/>
      <c r="W345" s="27"/>
      <c r="X345" s="310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</row>
    <row r="346" ht="15.75" customHeight="1"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310"/>
      <c r="W346" s="27"/>
      <c r="X346" s="310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</row>
    <row r="347" ht="15.75" customHeight="1"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10"/>
      <c r="W347" s="27"/>
      <c r="X347" s="310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</row>
    <row r="348" ht="15.75" customHeight="1"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310"/>
      <c r="W348" s="27"/>
      <c r="X348" s="310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</row>
    <row r="349" ht="15.75" customHeight="1"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10"/>
      <c r="W349" s="27"/>
      <c r="X349" s="310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</row>
    <row r="350" ht="15.75" customHeight="1"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10"/>
      <c r="W350" s="27"/>
      <c r="X350" s="310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</row>
    <row r="351" ht="15.75" customHeight="1"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10"/>
      <c r="W351" s="27"/>
      <c r="X351" s="310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</row>
    <row r="352" ht="15.75" customHeight="1"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10"/>
      <c r="W352" s="27"/>
      <c r="X352" s="310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</row>
    <row r="353" ht="15.75" customHeight="1"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10"/>
      <c r="W353" s="27"/>
      <c r="X353" s="310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</row>
    <row r="354" ht="15.75" customHeight="1"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10"/>
      <c r="W354" s="27"/>
      <c r="X354" s="310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</row>
    <row r="355" ht="15.75" customHeight="1"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10"/>
      <c r="W355" s="27"/>
      <c r="X355" s="310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</row>
    <row r="356" ht="15.75" customHeight="1"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10"/>
      <c r="W356" s="27"/>
      <c r="X356" s="310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</row>
    <row r="357" ht="15.75" customHeight="1"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10"/>
      <c r="W357" s="27"/>
      <c r="X357" s="310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</row>
    <row r="358" ht="15.75" customHeight="1"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10"/>
      <c r="W358" s="27"/>
      <c r="X358" s="310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</row>
    <row r="359" ht="15.75" customHeight="1"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10"/>
      <c r="W359" s="27"/>
      <c r="X359" s="310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</row>
    <row r="360" ht="15.75" customHeight="1"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10"/>
      <c r="W360" s="27"/>
      <c r="X360" s="310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</row>
    <row r="361" ht="15.75" customHeight="1"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10"/>
      <c r="W361" s="27"/>
      <c r="X361" s="310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</row>
    <row r="362" ht="15.75" customHeight="1"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310"/>
      <c r="W362" s="27"/>
      <c r="X362" s="310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</row>
    <row r="363" ht="15.75" customHeight="1"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10"/>
      <c r="W363" s="27"/>
      <c r="X363" s="310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</row>
    <row r="364" ht="15.75" customHeight="1"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10"/>
      <c r="W364" s="27"/>
      <c r="X364" s="310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</row>
    <row r="365" ht="15.75" customHeight="1"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10"/>
      <c r="W365" s="27"/>
      <c r="X365" s="310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</row>
    <row r="366" ht="15.75" customHeight="1"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10"/>
      <c r="W366" s="27"/>
      <c r="X366" s="310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</row>
    <row r="367" ht="15.75" customHeight="1"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10"/>
      <c r="W367" s="27"/>
      <c r="X367" s="310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</row>
    <row r="368" ht="15.75" customHeight="1"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10"/>
      <c r="W368" s="27"/>
      <c r="X368" s="310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</row>
    <row r="369" ht="15.75" customHeight="1"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10"/>
      <c r="W369" s="27"/>
      <c r="X369" s="310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</row>
    <row r="370" ht="15.75" customHeight="1"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10"/>
      <c r="W370" s="27"/>
      <c r="X370" s="310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</row>
    <row r="371" ht="15.75" customHeight="1"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10"/>
      <c r="W371" s="27"/>
      <c r="X371" s="310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</row>
    <row r="372" ht="15.75" customHeight="1"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10"/>
      <c r="W372" s="27"/>
      <c r="X372" s="310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</row>
    <row r="373" ht="15.75" customHeight="1"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10"/>
      <c r="W373" s="27"/>
      <c r="X373" s="310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</row>
    <row r="374" ht="15.75" customHeight="1"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10"/>
      <c r="W374" s="27"/>
      <c r="X374" s="310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</row>
    <row r="375" ht="15.75" customHeight="1"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10"/>
      <c r="W375" s="27"/>
      <c r="X375" s="310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</row>
    <row r="376" ht="15.75" customHeight="1"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310"/>
      <c r="W376" s="27"/>
      <c r="X376" s="310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</row>
    <row r="377" ht="15.75" customHeight="1"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10"/>
      <c r="W377" s="27"/>
      <c r="X377" s="310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</row>
    <row r="378" ht="15.75" customHeight="1"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10"/>
      <c r="W378" s="27"/>
      <c r="X378" s="310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</row>
    <row r="379" ht="15.75" customHeight="1"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10"/>
      <c r="W379" s="27"/>
      <c r="X379" s="310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</row>
    <row r="380" ht="15.75" customHeight="1"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10"/>
      <c r="W380" s="27"/>
      <c r="X380" s="310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</row>
    <row r="381" ht="15.75" customHeight="1"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10"/>
      <c r="W381" s="27"/>
      <c r="X381" s="310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</row>
    <row r="382" ht="15.75" customHeight="1"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10"/>
      <c r="W382" s="27"/>
      <c r="X382" s="310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</row>
    <row r="383" ht="15.75" customHeight="1"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10"/>
      <c r="W383" s="27"/>
      <c r="X383" s="310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</row>
    <row r="384" ht="15.75" customHeight="1"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10"/>
      <c r="W384" s="27"/>
      <c r="X384" s="310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</row>
    <row r="385" ht="15.75" customHeight="1"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10"/>
      <c r="W385" s="27"/>
      <c r="X385" s="310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</row>
    <row r="386" ht="15.75" customHeight="1"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10"/>
      <c r="W386" s="27"/>
      <c r="X386" s="310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</row>
    <row r="387" ht="15.75" customHeight="1"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10"/>
      <c r="W387" s="27"/>
      <c r="X387" s="310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</row>
    <row r="388" ht="15.75" customHeight="1"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10"/>
      <c r="W388" s="27"/>
      <c r="X388" s="310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</row>
    <row r="389" ht="15.75" customHeight="1"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10"/>
      <c r="W389" s="27"/>
      <c r="X389" s="310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</row>
    <row r="390" ht="15.75" customHeight="1"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10"/>
      <c r="W390" s="27"/>
      <c r="X390" s="310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</row>
    <row r="391" ht="15.75" customHeight="1"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310"/>
      <c r="W391" s="27"/>
      <c r="X391" s="310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</row>
    <row r="392" ht="15.75" customHeight="1"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10"/>
      <c r="W392" s="27"/>
      <c r="X392" s="310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</row>
    <row r="393" ht="15.75" customHeight="1"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10"/>
      <c r="W393" s="27"/>
      <c r="X393" s="310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</row>
    <row r="394" ht="15.75" customHeight="1"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10"/>
      <c r="W394" s="27"/>
      <c r="X394" s="310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</row>
    <row r="395" ht="15.75" customHeight="1"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10"/>
      <c r="W395" s="27"/>
      <c r="X395" s="310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</row>
    <row r="396" ht="15.75" customHeight="1"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10"/>
      <c r="W396" s="27"/>
      <c r="X396" s="310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</row>
    <row r="397" ht="15.75" customHeight="1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10"/>
      <c r="W397" s="27"/>
      <c r="X397" s="310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</row>
    <row r="398" ht="15.75" customHeight="1"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10"/>
      <c r="W398" s="27"/>
      <c r="X398" s="310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</row>
    <row r="399" ht="15.75" customHeight="1"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10"/>
      <c r="W399" s="27"/>
      <c r="X399" s="310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</row>
    <row r="400" ht="15.75" customHeight="1"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10"/>
      <c r="W400" s="27"/>
      <c r="X400" s="310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</row>
    <row r="401" ht="15.75" customHeight="1"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310"/>
      <c r="W401" s="27"/>
      <c r="X401" s="310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</row>
    <row r="402" ht="15.75" customHeight="1"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310"/>
      <c r="W402" s="27"/>
      <c r="X402" s="310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</row>
    <row r="403" ht="15.75" customHeight="1"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310"/>
      <c r="W403" s="27"/>
      <c r="X403" s="310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</row>
    <row r="404" ht="15.75" customHeight="1"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310"/>
      <c r="W404" s="27"/>
      <c r="X404" s="310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</row>
    <row r="405" ht="15.75" customHeight="1"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310"/>
      <c r="W405" s="27"/>
      <c r="X405" s="310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</row>
    <row r="406" ht="15.75" customHeight="1"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10"/>
      <c r="W406" s="27"/>
      <c r="X406" s="310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</row>
    <row r="407" ht="15.75" customHeight="1"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10"/>
      <c r="W407" s="27"/>
      <c r="X407" s="310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</row>
    <row r="408" ht="15.75" customHeight="1"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310"/>
      <c r="W408" s="27"/>
      <c r="X408" s="310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</row>
    <row r="409" ht="15.75" customHeight="1"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310"/>
      <c r="W409" s="27"/>
      <c r="X409" s="310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</row>
    <row r="410" ht="15.75" customHeight="1"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310"/>
      <c r="W410" s="27"/>
      <c r="X410" s="310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</row>
    <row r="411" ht="15.75" customHeight="1"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310"/>
      <c r="W411" s="27"/>
      <c r="X411" s="310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</row>
    <row r="412" ht="15.75" customHeight="1"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310"/>
      <c r="W412" s="27"/>
      <c r="X412" s="310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</row>
    <row r="413" ht="15.75" customHeight="1"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10"/>
      <c r="W413" s="27"/>
      <c r="X413" s="310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</row>
    <row r="414" ht="15.75" customHeight="1"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310"/>
      <c r="W414" s="27"/>
      <c r="X414" s="310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</row>
    <row r="415" ht="15.75" customHeight="1"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310"/>
      <c r="W415" s="27"/>
      <c r="X415" s="310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</row>
    <row r="416" ht="15.75" customHeight="1"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310"/>
      <c r="W416" s="27"/>
      <c r="X416" s="310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</row>
    <row r="417" ht="15.75" customHeight="1"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310"/>
      <c r="W417" s="27"/>
      <c r="X417" s="310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</row>
    <row r="418" ht="15.75" customHeight="1"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310"/>
      <c r="W418" s="27"/>
      <c r="X418" s="310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</row>
    <row r="419" ht="15.75" customHeight="1"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310"/>
      <c r="W419" s="27"/>
      <c r="X419" s="310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</row>
    <row r="420" ht="15.75" customHeight="1"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310"/>
      <c r="W420" s="27"/>
      <c r="X420" s="310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</row>
    <row r="421" ht="15.75" customHeight="1"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310"/>
      <c r="W421" s="27"/>
      <c r="X421" s="310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</row>
    <row r="422" ht="15.75" customHeight="1"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310"/>
      <c r="W422" s="27"/>
      <c r="X422" s="310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</row>
    <row r="423" ht="15.75" customHeight="1"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310"/>
      <c r="W423" s="27"/>
      <c r="X423" s="310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</row>
    <row r="424" ht="15.75" customHeight="1"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310"/>
      <c r="W424" s="27"/>
      <c r="X424" s="310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</row>
    <row r="425" ht="15.75" customHeight="1"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310"/>
      <c r="W425" s="27"/>
      <c r="X425" s="310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</row>
    <row r="426" ht="15.75" customHeight="1"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310"/>
      <c r="W426" s="27"/>
      <c r="X426" s="310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</row>
    <row r="427" ht="15.75" customHeight="1"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310"/>
      <c r="W427" s="27"/>
      <c r="X427" s="310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</row>
    <row r="428" ht="15.75" customHeight="1"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310"/>
      <c r="W428" s="27"/>
      <c r="X428" s="310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</row>
    <row r="429" ht="15.75" customHeight="1"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310"/>
      <c r="W429" s="27"/>
      <c r="X429" s="310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</row>
    <row r="430" ht="15.75" customHeight="1"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310"/>
      <c r="W430" s="27"/>
      <c r="X430" s="310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</row>
    <row r="431" ht="15.75" customHeight="1"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310"/>
      <c r="W431" s="27"/>
      <c r="X431" s="310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</row>
    <row r="432" ht="15.75" customHeight="1"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310"/>
      <c r="W432" s="27"/>
      <c r="X432" s="310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</row>
    <row r="433" ht="15.75" customHeight="1"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310"/>
      <c r="W433" s="27"/>
      <c r="X433" s="310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</row>
    <row r="434" ht="15.75" customHeight="1"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310"/>
      <c r="W434" s="27"/>
      <c r="X434" s="310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</row>
    <row r="435" ht="15.75" customHeight="1"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310"/>
      <c r="W435" s="27"/>
      <c r="X435" s="310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</row>
    <row r="436" ht="15.75" customHeight="1"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310"/>
      <c r="W436" s="27"/>
      <c r="X436" s="310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</row>
    <row r="437" ht="15.75" customHeight="1"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310"/>
      <c r="W437" s="27"/>
      <c r="X437" s="310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</row>
    <row r="438" ht="15.75" customHeight="1"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310"/>
      <c r="W438" s="27"/>
      <c r="X438" s="310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</row>
    <row r="439" ht="15.75" customHeight="1"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310"/>
      <c r="W439" s="27"/>
      <c r="X439" s="310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</row>
    <row r="440" ht="15.75" customHeight="1"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310"/>
      <c r="W440" s="27"/>
      <c r="X440" s="310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</row>
    <row r="441" ht="15.75" customHeight="1"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310"/>
      <c r="W441" s="27"/>
      <c r="X441" s="310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</row>
    <row r="442" ht="15.75" customHeight="1"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310"/>
      <c r="W442" s="27"/>
      <c r="X442" s="310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</row>
    <row r="443" ht="15.75" customHeight="1"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310"/>
      <c r="W443" s="27"/>
      <c r="X443" s="310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</row>
    <row r="444" ht="15.75" customHeight="1"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310"/>
      <c r="W444" s="27"/>
      <c r="X444" s="310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</row>
    <row r="445" ht="15.75" customHeight="1"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310"/>
      <c r="W445" s="27"/>
      <c r="X445" s="310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</row>
    <row r="446" ht="15.75" customHeight="1"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310"/>
      <c r="W446" s="27"/>
      <c r="X446" s="310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</row>
    <row r="447" ht="15.75" customHeight="1"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310"/>
      <c r="W447" s="27"/>
      <c r="X447" s="310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</row>
    <row r="448" ht="15.75" customHeight="1"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310"/>
      <c r="W448" s="27"/>
      <c r="X448" s="310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</row>
    <row r="449" ht="15.75" customHeight="1"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310"/>
      <c r="W449" s="27"/>
      <c r="X449" s="310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</row>
    <row r="450" ht="15.75" customHeight="1"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310"/>
      <c r="W450" s="27"/>
      <c r="X450" s="310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</row>
    <row r="451" ht="15.75" customHeight="1"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310"/>
      <c r="W451" s="27"/>
      <c r="X451" s="310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</row>
    <row r="452" ht="15.75" customHeight="1"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310"/>
      <c r="W452" s="27"/>
      <c r="X452" s="310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</row>
    <row r="453" ht="15.75" customHeight="1"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310"/>
      <c r="W453" s="27"/>
      <c r="X453" s="310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</row>
    <row r="454" ht="15.75" customHeight="1"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310"/>
      <c r="W454" s="27"/>
      <c r="X454" s="310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</row>
    <row r="455" ht="15.75" customHeight="1"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310"/>
      <c r="W455" s="27"/>
      <c r="X455" s="310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</row>
    <row r="456" ht="15.75" customHeight="1"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310"/>
      <c r="W456" s="27"/>
      <c r="X456" s="310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</row>
    <row r="457" ht="15.75" customHeight="1"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310"/>
      <c r="W457" s="27"/>
      <c r="X457" s="310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</row>
    <row r="458" ht="15.75" customHeight="1"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310"/>
      <c r="W458" s="27"/>
      <c r="X458" s="310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</row>
    <row r="459" ht="15.75" customHeight="1"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310"/>
      <c r="W459" s="27"/>
      <c r="X459" s="310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</row>
    <row r="460" ht="15.75" customHeight="1"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310"/>
      <c r="W460" s="27"/>
      <c r="X460" s="310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</row>
    <row r="461" ht="15.75" customHeight="1"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310"/>
      <c r="W461" s="27"/>
      <c r="X461" s="310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</row>
    <row r="462" ht="15.75" customHeight="1"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310"/>
      <c r="W462" s="27"/>
      <c r="X462" s="310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</row>
    <row r="463" ht="15.75" customHeight="1"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310"/>
      <c r="W463" s="27"/>
      <c r="X463" s="310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</row>
    <row r="464" ht="15.75" customHeight="1"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310"/>
      <c r="W464" s="27"/>
      <c r="X464" s="310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</row>
    <row r="465" ht="15.75" customHeight="1"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310"/>
      <c r="W465" s="27"/>
      <c r="X465" s="310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</row>
    <row r="466" ht="15.75" customHeight="1"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310"/>
      <c r="W466" s="27"/>
      <c r="X466" s="310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</row>
    <row r="467" ht="15.75" customHeight="1"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310"/>
      <c r="W467" s="27"/>
      <c r="X467" s="310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</row>
    <row r="468" ht="15.75" customHeight="1"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310"/>
      <c r="W468" s="27"/>
      <c r="X468" s="310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</row>
    <row r="469" ht="15.75" customHeight="1"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310"/>
      <c r="W469" s="27"/>
      <c r="X469" s="310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</row>
    <row r="470" ht="15.75" customHeight="1"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310"/>
      <c r="W470" s="27"/>
      <c r="X470" s="310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</row>
    <row r="471" ht="15.75" customHeight="1"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310"/>
      <c r="W471" s="27"/>
      <c r="X471" s="310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</row>
    <row r="472" ht="15.75" customHeight="1"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310"/>
      <c r="W472" s="27"/>
      <c r="X472" s="310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</row>
    <row r="473" ht="15.75" customHeight="1"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310"/>
      <c r="W473" s="27"/>
      <c r="X473" s="310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</row>
    <row r="474" ht="15.75" customHeight="1"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310"/>
      <c r="W474" s="27"/>
      <c r="X474" s="310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</row>
    <row r="475" ht="15.75" customHeight="1"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310"/>
      <c r="W475" s="27"/>
      <c r="X475" s="310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</row>
    <row r="476" ht="15.75" customHeight="1"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310"/>
      <c r="W476" s="27"/>
      <c r="X476" s="310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</row>
    <row r="477" ht="15.75" customHeight="1"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310"/>
      <c r="W477" s="27"/>
      <c r="X477" s="310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</row>
    <row r="478" ht="15.75" customHeight="1"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310"/>
      <c r="W478" s="27"/>
      <c r="X478" s="310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</row>
    <row r="479" ht="15.75" customHeight="1"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310"/>
      <c r="W479" s="27"/>
      <c r="X479" s="310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</row>
    <row r="480" ht="15.75" customHeight="1"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310"/>
      <c r="W480" s="27"/>
      <c r="X480" s="310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</row>
    <row r="481" ht="15.75" customHeight="1"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310"/>
      <c r="W481" s="27"/>
      <c r="X481" s="310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</row>
    <row r="482" ht="15.75" customHeight="1"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310"/>
      <c r="W482" s="27"/>
      <c r="X482" s="310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</row>
    <row r="483" ht="15.75" customHeight="1"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310"/>
      <c r="W483" s="27"/>
      <c r="X483" s="310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</row>
    <row r="484" ht="15.75" customHeight="1"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310"/>
      <c r="W484" s="27"/>
      <c r="X484" s="310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</row>
    <row r="485" ht="15.75" customHeight="1"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310"/>
      <c r="W485" s="27"/>
      <c r="X485" s="310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</row>
    <row r="486" ht="15.75" customHeight="1"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310"/>
      <c r="W486" s="27"/>
      <c r="X486" s="310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</row>
    <row r="487" ht="15.75" customHeight="1"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310"/>
      <c r="W487" s="27"/>
      <c r="X487" s="310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</row>
    <row r="488" ht="15.75" customHeight="1"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310"/>
      <c r="W488" s="27"/>
      <c r="X488" s="310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</row>
    <row r="489" ht="15.75" customHeight="1"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310"/>
      <c r="W489" s="27"/>
      <c r="X489" s="310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</row>
    <row r="490" ht="15.75" customHeight="1"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310"/>
      <c r="W490" s="27"/>
      <c r="X490" s="310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</row>
    <row r="491" ht="15.75" customHeight="1"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310"/>
      <c r="W491" s="27"/>
      <c r="X491" s="310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</row>
    <row r="492" ht="15.75" customHeight="1"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310"/>
      <c r="W492" s="27"/>
      <c r="X492" s="310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</row>
    <row r="493" ht="15.75" customHeight="1"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310"/>
      <c r="W493" s="27"/>
      <c r="X493" s="310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</row>
    <row r="494" ht="15.75" customHeight="1"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310"/>
      <c r="W494" s="27"/>
      <c r="X494" s="310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</row>
    <row r="495" ht="15.75" customHeight="1"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310"/>
      <c r="W495" s="27"/>
      <c r="X495" s="310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</row>
    <row r="496" ht="15.75" customHeight="1"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310"/>
      <c r="W496" s="27"/>
      <c r="X496" s="310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</row>
    <row r="497" ht="15.75" customHeight="1"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310"/>
      <c r="W497" s="27"/>
      <c r="X497" s="310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</row>
    <row r="498" ht="15.75" customHeight="1"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310"/>
      <c r="W498" s="27"/>
      <c r="X498" s="310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</row>
    <row r="499" ht="15.75" customHeight="1"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310"/>
      <c r="W499" s="27"/>
      <c r="X499" s="310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</row>
    <row r="500" ht="15.75" customHeight="1"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310"/>
      <c r="W500" s="27"/>
      <c r="X500" s="310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</row>
    <row r="501" ht="15.75" customHeight="1"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310"/>
      <c r="W501" s="27"/>
      <c r="X501" s="310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</row>
    <row r="502" ht="15.75" customHeight="1"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310"/>
      <c r="W502" s="27"/>
      <c r="X502" s="310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</row>
    <row r="503" ht="15.75" customHeight="1"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310"/>
      <c r="W503" s="27"/>
      <c r="X503" s="310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</row>
    <row r="504" ht="15.75" customHeight="1"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310"/>
      <c r="W504" s="27"/>
      <c r="X504" s="310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</row>
    <row r="505" ht="15.75" customHeight="1"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310"/>
      <c r="W505" s="27"/>
      <c r="X505" s="310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</row>
    <row r="506" ht="15.75" customHeight="1"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310"/>
      <c r="W506" s="27"/>
      <c r="X506" s="310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</row>
    <row r="507" ht="15.75" customHeight="1"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310"/>
      <c r="W507" s="27"/>
      <c r="X507" s="310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</row>
    <row r="508" ht="15.75" customHeight="1"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310"/>
      <c r="W508" s="27"/>
      <c r="X508" s="310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</row>
    <row r="509" ht="15.75" customHeight="1"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310"/>
      <c r="W509" s="27"/>
      <c r="X509" s="310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</row>
    <row r="510" ht="15.75" customHeight="1"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310"/>
      <c r="W510" s="27"/>
      <c r="X510" s="310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</row>
    <row r="511" ht="15.75" customHeight="1"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310"/>
      <c r="W511" s="27"/>
      <c r="X511" s="310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</row>
    <row r="512" ht="15.75" customHeight="1"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310"/>
      <c r="W512" s="27"/>
      <c r="X512" s="310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</row>
    <row r="513" ht="15.75" customHeight="1"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310"/>
      <c r="W513" s="27"/>
      <c r="X513" s="310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</row>
    <row r="514" ht="15.75" customHeight="1"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310"/>
      <c r="W514" s="27"/>
      <c r="X514" s="310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</row>
    <row r="515" ht="15.75" customHeight="1"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310"/>
      <c r="W515" s="27"/>
      <c r="X515" s="310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</row>
    <row r="516" ht="15.75" customHeight="1"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310"/>
      <c r="W516" s="27"/>
      <c r="X516" s="310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</row>
    <row r="517" ht="15.75" customHeight="1"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310"/>
      <c r="W517" s="27"/>
      <c r="X517" s="310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</row>
    <row r="518" ht="15.75" customHeight="1"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310"/>
      <c r="W518" s="27"/>
      <c r="X518" s="310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</row>
    <row r="519" ht="15.75" customHeight="1"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310"/>
      <c r="W519" s="27"/>
      <c r="X519" s="310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</row>
    <row r="520" ht="15.75" customHeight="1"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310"/>
      <c r="W520" s="27"/>
      <c r="X520" s="310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</row>
    <row r="521" ht="15.75" customHeight="1"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310"/>
      <c r="W521" s="27"/>
      <c r="X521" s="310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</row>
    <row r="522" ht="15.75" customHeight="1"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310"/>
      <c r="W522" s="27"/>
      <c r="X522" s="310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</row>
    <row r="523" ht="15.75" customHeight="1"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310"/>
      <c r="W523" s="27"/>
      <c r="X523" s="310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</row>
    <row r="524" ht="15.75" customHeight="1"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310"/>
      <c r="W524" s="27"/>
      <c r="X524" s="310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</row>
    <row r="525" ht="15.75" customHeight="1"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310"/>
      <c r="W525" s="27"/>
      <c r="X525" s="310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</row>
    <row r="526" ht="15.75" customHeight="1"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310"/>
      <c r="W526" s="27"/>
      <c r="X526" s="310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</row>
    <row r="527" ht="15.75" customHeight="1"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310"/>
      <c r="W527" s="27"/>
      <c r="X527" s="310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</row>
    <row r="528" ht="15.75" customHeight="1"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310"/>
      <c r="W528" s="27"/>
      <c r="X528" s="310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</row>
    <row r="529" ht="15.75" customHeight="1"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310"/>
      <c r="W529" s="27"/>
      <c r="X529" s="310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</row>
    <row r="530" ht="15.75" customHeight="1"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310"/>
      <c r="W530" s="27"/>
      <c r="X530" s="310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</row>
    <row r="531" ht="15.75" customHeight="1"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310"/>
      <c r="W531" s="27"/>
      <c r="X531" s="310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</row>
    <row r="532" ht="15.75" customHeight="1"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310"/>
      <c r="W532" s="27"/>
      <c r="X532" s="310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</row>
    <row r="533" ht="15.75" customHeight="1"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310"/>
      <c r="W533" s="27"/>
      <c r="X533" s="310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</row>
    <row r="534" ht="15.75" customHeight="1"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310"/>
      <c r="W534" s="27"/>
      <c r="X534" s="310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</row>
    <row r="535" ht="15.75" customHeight="1"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310"/>
      <c r="W535" s="27"/>
      <c r="X535" s="310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</row>
    <row r="536" ht="15.75" customHeight="1"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310"/>
      <c r="W536" s="27"/>
      <c r="X536" s="310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</row>
    <row r="537" ht="15.75" customHeight="1"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310"/>
      <c r="W537" s="27"/>
      <c r="X537" s="310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</row>
    <row r="538" ht="15.75" customHeight="1"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310"/>
      <c r="W538" s="27"/>
      <c r="X538" s="310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</row>
    <row r="539" ht="15.75" customHeight="1"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310"/>
      <c r="W539" s="27"/>
      <c r="X539" s="310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</row>
    <row r="540" ht="15.75" customHeight="1"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310"/>
      <c r="W540" s="27"/>
      <c r="X540" s="310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</row>
    <row r="541" ht="15.75" customHeight="1"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310"/>
      <c r="W541" s="27"/>
      <c r="X541" s="310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</row>
    <row r="542" ht="15.75" customHeight="1"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310"/>
      <c r="W542" s="27"/>
      <c r="X542" s="310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</row>
    <row r="543" ht="15.75" customHeight="1"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310"/>
      <c r="W543" s="27"/>
      <c r="X543" s="310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</row>
    <row r="544" ht="15.75" customHeight="1"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310"/>
      <c r="W544" s="27"/>
      <c r="X544" s="310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</row>
    <row r="545" ht="15.75" customHeight="1"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310"/>
      <c r="W545" s="27"/>
      <c r="X545" s="310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</row>
    <row r="546" ht="15.75" customHeight="1"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310"/>
      <c r="W546" s="27"/>
      <c r="X546" s="310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</row>
    <row r="547" ht="15.75" customHeight="1"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310"/>
      <c r="W547" s="27"/>
      <c r="X547" s="310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</row>
    <row r="548" ht="15.75" customHeight="1"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310"/>
      <c r="W548" s="27"/>
      <c r="X548" s="310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</row>
    <row r="549" ht="15.75" customHeight="1"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310"/>
      <c r="W549" s="27"/>
      <c r="X549" s="310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</row>
    <row r="550" ht="15.75" customHeight="1"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310"/>
      <c r="W550" s="27"/>
      <c r="X550" s="310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</row>
    <row r="551" ht="15.75" customHeight="1"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310"/>
      <c r="W551" s="27"/>
      <c r="X551" s="310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</row>
    <row r="552" ht="15.75" customHeight="1"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310"/>
      <c r="W552" s="27"/>
      <c r="X552" s="310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</row>
    <row r="553" ht="15.75" customHeight="1"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310"/>
      <c r="W553" s="27"/>
      <c r="X553" s="310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</row>
    <row r="554" ht="15.75" customHeight="1"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310"/>
      <c r="W554" s="27"/>
      <c r="X554" s="310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</row>
    <row r="555" ht="15.75" customHeight="1"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310"/>
      <c r="W555" s="27"/>
      <c r="X555" s="310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</row>
    <row r="556" ht="15.75" customHeight="1"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310"/>
      <c r="W556" s="27"/>
      <c r="X556" s="310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</row>
    <row r="557" ht="15.75" customHeight="1"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310"/>
      <c r="W557" s="27"/>
      <c r="X557" s="310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</row>
    <row r="558" ht="15.75" customHeight="1"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310"/>
      <c r="W558" s="27"/>
      <c r="X558" s="310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</row>
    <row r="559" ht="15.75" customHeight="1"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310"/>
      <c r="W559" s="27"/>
      <c r="X559" s="310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</row>
    <row r="560" ht="15.75" customHeight="1"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310"/>
      <c r="W560" s="27"/>
      <c r="X560" s="310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</row>
    <row r="561" ht="15.75" customHeight="1"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310"/>
      <c r="W561" s="27"/>
      <c r="X561" s="310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</row>
    <row r="562" ht="15.75" customHeight="1"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310"/>
      <c r="W562" s="27"/>
      <c r="X562" s="310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</row>
    <row r="563" ht="15.75" customHeight="1"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310"/>
      <c r="W563" s="27"/>
      <c r="X563" s="310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</row>
    <row r="564" ht="15.75" customHeight="1"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310"/>
      <c r="W564" s="27"/>
      <c r="X564" s="310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</row>
    <row r="565" ht="15.75" customHeight="1"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310"/>
      <c r="W565" s="27"/>
      <c r="X565" s="310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</row>
    <row r="566" ht="15.75" customHeight="1"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310"/>
      <c r="W566" s="27"/>
      <c r="X566" s="310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</row>
    <row r="567" ht="15.75" customHeight="1"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310"/>
      <c r="W567" s="27"/>
      <c r="X567" s="310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</row>
    <row r="568" ht="15.75" customHeight="1"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310"/>
      <c r="W568" s="27"/>
      <c r="X568" s="310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</row>
    <row r="569" ht="15.75" customHeight="1"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310"/>
      <c r="W569" s="27"/>
      <c r="X569" s="310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</row>
    <row r="570" ht="15.75" customHeight="1"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310"/>
      <c r="W570" s="27"/>
      <c r="X570" s="310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</row>
    <row r="571" ht="15.75" customHeight="1"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310"/>
      <c r="W571" s="27"/>
      <c r="X571" s="310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</row>
    <row r="572" ht="15.75" customHeight="1"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310"/>
      <c r="W572" s="27"/>
      <c r="X572" s="310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</row>
    <row r="573" ht="15.75" customHeight="1"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310"/>
      <c r="W573" s="27"/>
      <c r="X573" s="310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</row>
    <row r="574" ht="15.75" customHeight="1"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310"/>
      <c r="W574" s="27"/>
      <c r="X574" s="310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</row>
    <row r="575" ht="15.75" customHeight="1"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310"/>
      <c r="W575" s="27"/>
      <c r="X575" s="310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</row>
    <row r="576" ht="15.75" customHeight="1"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310"/>
      <c r="W576" s="27"/>
      <c r="X576" s="310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</row>
    <row r="577" ht="15.75" customHeight="1"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310"/>
      <c r="W577" s="27"/>
      <c r="X577" s="310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</row>
    <row r="578" ht="15.75" customHeight="1"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310"/>
      <c r="W578" s="27"/>
      <c r="X578" s="310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</row>
    <row r="579" ht="15.75" customHeight="1"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310"/>
      <c r="W579" s="27"/>
      <c r="X579" s="310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</row>
    <row r="580" ht="15.75" customHeight="1"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310"/>
      <c r="W580" s="27"/>
      <c r="X580" s="310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</row>
    <row r="581" ht="15.75" customHeight="1"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310"/>
      <c r="W581" s="27"/>
      <c r="X581" s="310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</row>
    <row r="582" ht="15.75" customHeight="1"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310"/>
      <c r="W582" s="27"/>
      <c r="X582" s="310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</row>
    <row r="583" ht="15.75" customHeight="1"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310"/>
      <c r="W583" s="27"/>
      <c r="X583" s="310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</row>
    <row r="584" ht="15.75" customHeight="1"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310"/>
      <c r="W584" s="27"/>
      <c r="X584" s="310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</row>
    <row r="585" ht="15.75" customHeight="1"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310"/>
      <c r="W585" s="27"/>
      <c r="X585" s="310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</row>
    <row r="586" ht="15.75" customHeight="1"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310"/>
      <c r="W586" s="27"/>
      <c r="X586" s="310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</row>
    <row r="587" ht="15.75" customHeight="1"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310"/>
      <c r="W587" s="27"/>
      <c r="X587" s="310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</row>
    <row r="588" ht="15.75" customHeight="1"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310"/>
      <c r="W588" s="27"/>
      <c r="X588" s="310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</row>
    <row r="589" ht="15.75" customHeight="1"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310"/>
      <c r="W589" s="27"/>
      <c r="X589" s="310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</row>
    <row r="590" ht="15.75" customHeight="1"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310"/>
      <c r="W590" s="27"/>
      <c r="X590" s="310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</row>
    <row r="591" ht="15.75" customHeight="1"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310"/>
      <c r="W591" s="27"/>
      <c r="X591" s="310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</row>
    <row r="592" ht="15.75" customHeight="1"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310"/>
      <c r="W592" s="27"/>
      <c r="X592" s="310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</row>
    <row r="593" ht="15.75" customHeight="1"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310"/>
      <c r="W593" s="27"/>
      <c r="X593" s="310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</row>
    <row r="594" ht="15.75" customHeight="1"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310"/>
      <c r="W594" s="27"/>
      <c r="X594" s="310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</row>
    <row r="595" ht="15.75" customHeight="1"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310"/>
      <c r="W595" s="27"/>
      <c r="X595" s="310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</row>
    <row r="596" ht="15.75" customHeight="1"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310"/>
      <c r="W596" s="27"/>
      <c r="X596" s="310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</row>
    <row r="597" ht="15.75" customHeight="1"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310"/>
      <c r="W597" s="27"/>
      <c r="X597" s="310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</row>
    <row r="598" ht="15.75" customHeight="1"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310"/>
      <c r="W598" s="27"/>
      <c r="X598" s="310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</row>
    <row r="599" ht="15.75" customHeight="1"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310"/>
      <c r="W599" s="27"/>
      <c r="X599" s="310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</row>
    <row r="600" ht="15.75" customHeight="1"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310"/>
      <c r="W600" s="27"/>
      <c r="X600" s="310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</row>
    <row r="601" ht="15.75" customHeight="1"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310"/>
      <c r="W601" s="27"/>
      <c r="X601" s="310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</row>
    <row r="602" ht="15.75" customHeight="1"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310"/>
      <c r="W602" s="27"/>
      <c r="X602" s="310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</row>
    <row r="603" ht="15.75" customHeight="1"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310"/>
      <c r="W603" s="27"/>
      <c r="X603" s="310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</row>
    <row r="604" ht="15.75" customHeight="1"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310"/>
      <c r="W604" s="27"/>
      <c r="X604" s="310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</row>
    <row r="605" ht="15.75" customHeight="1"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310"/>
      <c r="W605" s="27"/>
      <c r="X605" s="310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</row>
    <row r="606" ht="15.75" customHeight="1"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310"/>
      <c r="W606" s="27"/>
      <c r="X606" s="310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</row>
    <row r="607" ht="15.75" customHeight="1"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310"/>
      <c r="W607" s="27"/>
      <c r="X607" s="310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</row>
    <row r="608" ht="15.75" customHeight="1"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310"/>
      <c r="W608" s="27"/>
      <c r="X608" s="310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</row>
    <row r="609" ht="15.75" customHeight="1"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310"/>
      <c r="W609" s="27"/>
      <c r="X609" s="310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</row>
    <row r="610" ht="15.75" customHeight="1"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310"/>
      <c r="W610" s="27"/>
      <c r="X610" s="310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</row>
    <row r="611" ht="15.75" customHeight="1"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310"/>
      <c r="W611" s="27"/>
      <c r="X611" s="310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</row>
    <row r="612" ht="15.75" customHeight="1"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310"/>
      <c r="W612" s="27"/>
      <c r="X612" s="310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</row>
    <row r="613" ht="15.75" customHeight="1"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310"/>
      <c r="W613" s="27"/>
      <c r="X613" s="310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</row>
    <row r="614" ht="15.75" customHeight="1"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310"/>
      <c r="W614" s="27"/>
      <c r="X614" s="310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</row>
    <row r="615" ht="15.75" customHeight="1"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310"/>
      <c r="W615" s="27"/>
      <c r="X615" s="310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</row>
    <row r="616" ht="15.75" customHeight="1"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310"/>
      <c r="W616" s="27"/>
      <c r="X616" s="310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</row>
    <row r="617" ht="15.75" customHeight="1"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310"/>
      <c r="W617" s="27"/>
      <c r="X617" s="310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</row>
    <row r="618" ht="15.75" customHeight="1"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310"/>
      <c r="W618" s="27"/>
      <c r="X618" s="310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</row>
    <row r="619" ht="15.75" customHeight="1"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310"/>
      <c r="W619" s="27"/>
      <c r="X619" s="310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</row>
    <row r="620" ht="15.75" customHeight="1"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310"/>
      <c r="W620" s="27"/>
      <c r="X620" s="310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</row>
    <row r="621" ht="15.75" customHeight="1"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310"/>
      <c r="W621" s="27"/>
      <c r="X621" s="310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</row>
    <row r="622" ht="15.75" customHeight="1"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310"/>
      <c r="W622" s="27"/>
      <c r="X622" s="310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</row>
    <row r="623" ht="15.75" customHeight="1"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310"/>
      <c r="W623" s="27"/>
      <c r="X623" s="310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</row>
    <row r="624" ht="15.75" customHeight="1"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310"/>
      <c r="W624" s="27"/>
      <c r="X624" s="310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</row>
    <row r="625" ht="15.75" customHeight="1"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310"/>
      <c r="W625" s="27"/>
      <c r="X625" s="310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</row>
    <row r="626" ht="15.75" customHeight="1"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310"/>
      <c r="W626" s="27"/>
      <c r="X626" s="310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</row>
    <row r="627" ht="15.75" customHeight="1"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310"/>
      <c r="W627" s="27"/>
      <c r="X627" s="310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</row>
    <row r="628" ht="15.75" customHeight="1"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310"/>
      <c r="W628" s="27"/>
      <c r="X628" s="310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</row>
    <row r="629" ht="15.75" customHeight="1"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310"/>
      <c r="W629" s="27"/>
      <c r="X629" s="310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</row>
    <row r="630" ht="15.75" customHeight="1"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310"/>
      <c r="W630" s="27"/>
      <c r="X630" s="310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</row>
    <row r="631" ht="15.75" customHeight="1"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310"/>
      <c r="W631" s="27"/>
      <c r="X631" s="310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</row>
    <row r="632" ht="15.75" customHeight="1"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310"/>
      <c r="W632" s="27"/>
      <c r="X632" s="310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</row>
    <row r="633" ht="15.75" customHeight="1"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310"/>
      <c r="W633" s="27"/>
      <c r="X633" s="310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</row>
    <row r="634" ht="15.75" customHeight="1"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310"/>
      <c r="W634" s="27"/>
      <c r="X634" s="310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</row>
    <row r="635" ht="15.75" customHeight="1"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310"/>
      <c r="W635" s="27"/>
      <c r="X635" s="310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</row>
    <row r="636" ht="15.75" customHeight="1"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310"/>
      <c r="W636" s="27"/>
      <c r="X636" s="310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</row>
    <row r="637" ht="15.75" customHeight="1"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310"/>
      <c r="W637" s="27"/>
      <c r="X637" s="310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</row>
    <row r="638" ht="15.75" customHeight="1"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310"/>
      <c r="W638" s="27"/>
      <c r="X638" s="310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</row>
    <row r="639" ht="15.75" customHeight="1"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310"/>
      <c r="W639" s="27"/>
      <c r="X639" s="310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</row>
    <row r="640" ht="15.75" customHeight="1"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310"/>
      <c r="W640" s="27"/>
      <c r="X640" s="310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</row>
    <row r="641" ht="15.75" customHeight="1"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310"/>
      <c r="W641" s="27"/>
      <c r="X641" s="310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</row>
    <row r="642" ht="15.75" customHeight="1"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310"/>
      <c r="W642" s="27"/>
      <c r="X642" s="310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</row>
    <row r="643" ht="15.75" customHeight="1"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310"/>
      <c r="W643" s="27"/>
      <c r="X643" s="310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</row>
    <row r="644" ht="15.75" customHeight="1"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310"/>
      <c r="W644" s="27"/>
      <c r="X644" s="310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</row>
    <row r="645" ht="15.75" customHeight="1"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310"/>
      <c r="W645" s="27"/>
      <c r="X645" s="310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</row>
    <row r="646" ht="15.75" customHeight="1"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310"/>
      <c r="W646" s="27"/>
      <c r="X646" s="310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</row>
    <row r="647" ht="15.75" customHeight="1"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310"/>
      <c r="W647" s="27"/>
      <c r="X647" s="310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</row>
    <row r="648" ht="15.75" customHeight="1"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310"/>
      <c r="W648" s="27"/>
      <c r="X648" s="310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</row>
    <row r="649" ht="15.75" customHeight="1"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310"/>
      <c r="W649" s="27"/>
      <c r="X649" s="310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</row>
    <row r="650" ht="15.75" customHeight="1"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310"/>
      <c r="W650" s="27"/>
      <c r="X650" s="310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</row>
    <row r="651" ht="15.75" customHeight="1"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310"/>
      <c r="W651" s="27"/>
      <c r="X651" s="310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</row>
    <row r="652" ht="15.75" customHeight="1"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310"/>
      <c r="W652" s="27"/>
      <c r="X652" s="310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</row>
    <row r="653" ht="15.75" customHeight="1"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310"/>
      <c r="W653" s="27"/>
      <c r="X653" s="310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</row>
    <row r="654" ht="15.75" customHeight="1"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310"/>
      <c r="W654" s="27"/>
      <c r="X654" s="310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</row>
    <row r="655" ht="15.75" customHeight="1"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310"/>
      <c r="W655" s="27"/>
      <c r="X655" s="310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</row>
    <row r="656" ht="15.75" customHeight="1"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310"/>
      <c r="W656" s="27"/>
      <c r="X656" s="310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</row>
    <row r="657" ht="15.75" customHeight="1"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310"/>
      <c r="W657" s="27"/>
      <c r="X657" s="310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</row>
    <row r="658" ht="15.75" customHeight="1"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310"/>
      <c r="W658" s="27"/>
      <c r="X658" s="310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</row>
    <row r="659" ht="15.75" customHeight="1"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310"/>
      <c r="W659" s="27"/>
      <c r="X659" s="310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</row>
    <row r="660" ht="15.75" customHeight="1"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310"/>
      <c r="W660" s="27"/>
      <c r="X660" s="310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</row>
    <row r="661" ht="15.75" customHeight="1"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310"/>
      <c r="W661" s="27"/>
      <c r="X661" s="310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</row>
    <row r="662" ht="15.75" customHeight="1"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310"/>
      <c r="W662" s="27"/>
      <c r="X662" s="310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</row>
    <row r="663" ht="15.75" customHeight="1"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310"/>
      <c r="W663" s="27"/>
      <c r="X663" s="310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</row>
    <row r="664" ht="15.75" customHeight="1"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310"/>
      <c r="W664" s="27"/>
      <c r="X664" s="310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</row>
    <row r="665" ht="15.75" customHeight="1"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310"/>
      <c r="W665" s="27"/>
      <c r="X665" s="310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</row>
    <row r="666" ht="15.75" customHeight="1"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310"/>
      <c r="W666" s="27"/>
      <c r="X666" s="310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</row>
    <row r="667" ht="15.75" customHeight="1"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310"/>
      <c r="W667" s="27"/>
      <c r="X667" s="310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</row>
    <row r="668" ht="15.75" customHeight="1"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310"/>
      <c r="W668" s="27"/>
      <c r="X668" s="310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</row>
    <row r="669" ht="15.75" customHeight="1"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310"/>
      <c r="W669" s="27"/>
      <c r="X669" s="310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</row>
    <row r="670" ht="15.75" customHeight="1"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310"/>
      <c r="W670" s="27"/>
      <c r="X670" s="310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</row>
    <row r="671" ht="15.75" customHeight="1"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310"/>
      <c r="W671" s="27"/>
      <c r="X671" s="310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</row>
    <row r="672" ht="15.75" customHeight="1"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310"/>
      <c r="W672" s="27"/>
      <c r="X672" s="310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</row>
    <row r="673" ht="15.75" customHeight="1"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310"/>
      <c r="W673" s="27"/>
      <c r="X673" s="310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</row>
    <row r="674" ht="15.75" customHeight="1"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310"/>
      <c r="W674" s="27"/>
      <c r="X674" s="310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</row>
    <row r="675" ht="15.75" customHeight="1"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310"/>
      <c r="W675" s="27"/>
      <c r="X675" s="310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</row>
    <row r="676" ht="15.75" customHeight="1"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310"/>
      <c r="W676" s="27"/>
      <c r="X676" s="310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</row>
    <row r="677" ht="15.75" customHeight="1"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310"/>
      <c r="W677" s="27"/>
      <c r="X677" s="310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</row>
    <row r="678" ht="15.75" customHeight="1"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310"/>
      <c r="W678" s="27"/>
      <c r="X678" s="310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</row>
    <row r="679" ht="15.75" customHeight="1"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310"/>
      <c r="W679" s="27"/>
      <c r="X679" s="310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</row>
    <row r="680" ht="15.75" customHeight="1"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310"/>
      <c r="W680" s="27"/>
      <c r="X680" s="310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</row>
    <row r="681" ht="15.75" customHeight="1"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310"/>
      <c r="W681" s="27"/>
      <c r="X681" s="310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</row>
    <row r="682" ht="15.75" customHeight="1"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310"/>
      <c r="W682" s="27"/>
      <c r="X682" s="310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</row>
    <row r="683" ht="15.75" customHeight="1"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310"/>
      <c r="W683" s="27"/>
      <c r="X683" s="310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</row>
    <row r="684" ht="15.75" customHeight="1"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310"/>
      <c r="W684" s="27"/>
      <c r="X684" s="310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</row>
    <row r="685" ht="15.75" customHeight="1"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310"/>
      <c r="W685" s="27"/>
      <c r="X685" s="310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</row>
    <row r="686" ht="15.75" customHeight="1"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310"/>
      <c r="W686" s="27"/>
      <c r="X686" s="310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</row>
    <row r="687" ht="15.75" customHeight="1"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310"/>
      <c r="W687" s="27"/>
      <c r="X687" s="310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</row>
    <row r="688" ht="15.75" customHeight="1"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310"/>
      <c r="W688" s="27"/>
      <c r="X688" s="310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</row>
    <row r="689" ht="15.75" customHeight="1"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310"/>
      <c r="W689" s="27"/>
      <c r="X689" s="310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</row>
    <row r="690" ht="15.75" customHeight="1"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310"/>
      <c r="W690" s="27"/>
      <c r="X690" s="310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</row>
    <row r="691" ht="15.75" customHeight="1"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310"/>
      <c r="W691" s="27"/>
      <c r="X691" s="310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</row>
    <row r="692" ht="15.75" customHeight="1"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310"/>
      <c r="W692" s="27"/>
      <c r="X692" s="310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</row>
    <row r="693" ht="15.75" customHeight="1"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310"/>
      <c r="W693" s="27"/>
      <c r="X693" s="310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</row>
    <row r="694" ht="15.75" customHeight="1"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310"/>
      <c r="W694" s="27"/>
      <c r="X694" s="310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</row>
    <row r="695" ht="15.75" customHeight="1"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310"/>
      <c r="W695" s="27"/>
      <c r="X695" s="310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</row>
    <row r="696" ht="15.75" customHeight="1"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310"/>
      <c r="W696" s="27"/>
      <c r="X696" s="310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</row>
    <row r="697" ht="15.75" customHeight="1"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310"/>
      <c r="W697" s="27"/>
      <c r="X697" s="310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</row>
    <row r="698" ht="15.75" customHeight="1"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310"/>
      <c r="W698" s="27"/>
      <c r="X698" s="310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</row>
    <row r="699" ht="15.75" customHeight="1"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310"/>
      <c r="W699" s="27"/>
      <c r="X699" s="310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</row>
    <row r="700" ht="15.75" customHeight="1"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310"/>
      <c r="W700" s="27"/>
      <c r="X700" s="310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</row>
    <row r="701" ht="15.75" customHeight="1"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310"/>
      <c r="W701" s="27"/>
      <c r="X701" s="310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</row>
    <row r="702" ht="15.75" customHeight="1"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310"/>
      <c r="W702" s="27"/>
      <c r="X702" s="310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</row>
    <row r="703" ht="15.75" customHeight="1"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310"/>
      <c r="W703" s="27"/>
      <c r="X703" s="310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</row>
    <row r="704" ht="15.75" customHeight="1"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310"/>
      <c r="W704" s="27"/>
      <c r="X704" s="310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</row>
    <row r="705" ht="15.75" customHeight="1"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310"/>
      <c r="W705" s="27"/>
      <c r="X705" s="310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</row>
    <row r="706" ht="15.75" customHeight="1"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310"/>
      <c r="W706" s="27"/>
      <c r="X706" s="310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</row>
    <row r="707" ht="15.75" customHeight="1"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310"/>
      <c r="W707" s="27"/>
      <c r="X707" s="310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</row>
    <row r="708" ht="15.75" customHeight="1"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310"/>
      <c r="W708" s="27"/>
      <c r="X708" s="310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</row>
    <row r="709" ht="15.75" customHeight="1"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310"/>
      <c r="W709" s="27"/>
      <c r="X709" s="310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</row>
    <row r="710" ht="15.75" customHeight="1"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310"/>
      <c r="W710" s="27"/>
      <c r="X710" s="310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</row>
    <row r="711" ht="15.75" customHeight="1"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310"/>
      <c r="W711" s="27"/>
      <c r="X711" s="310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</row>
    <row r="712" ht="15.75" customHeight="1"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310"/>
      <c r="W712" s="27"/>
      <c r="X712" s="310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</row>
    <row r="713" ht="15.75" customHeight="1"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310"/>
      <c r="W713" s="27"/>
      <c r="X713" s="310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</row>
    <row r="714" ht="15.75" customHeight="1"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310"/>
      <c r="W714" s="27"/>
      <c r="X714" s="310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</row>
    <row r="715" ht="15.75" customHeight="1"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310"/>
      <c r="W715" s="27"/>
      <c r="X715" s="310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</row>
    <row r="716" ht="15.75" customHeight="1"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310"/>
      <c r="W716" s="27"/>
      <c r="X716" s="310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</row>
    <row r="717" ht="15.75" customHeight="1"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310"/>
      <c r="W717" s="27"/>
      <c r="X717" s="310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</row>
    <row r="718" ht="15.75" customHeight="1"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310"/>
      <c r="W718" s="27"/>
      <c r="X718" s="310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</row>
    <row r="719" ht="15.75" customHeight="1"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310"/>
      <c r="W719" s="27"/>
      <c r="X719" s="310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</row>
    <row r="720" ht="15.75" customHeight="1"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310"/>
      <c r="W720" s="27"/>
      <c r="X720" s="310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</row>
    <row r="721" ht="15.75" customHeight="1"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310"/>
      <c r="W721" s="27"/>
      <c r="X721" s="310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</row>
    <row r="722" ht="15.75" customHeight="1"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310"/>
      <c r="W722" s="27"/>
      <c r="X722" s="310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</row>
    <row r="723" ht="15.75" customHeight="1"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310"/>
      <c r="W723" s="27"/>
      <c r="X723" s="310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</row>
    <row r="724" ht="15.75" customHeight="1"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310"/>
      <c r="W724" s="27"/>
      <c r="X724" s="310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</row>
    <row r="725" ht="15.75" customHeight="1"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310"/>
      <c r="W725" s="27"/>
      <c r="X725" s="310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</row>
    <row r="726" ht="15.75" customHeight="1"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310"/>
      <c r="W726" s="27"/>
      <c r="X726" s="310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</row>
    <row r="727" ht="15.75" customHeight="1"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310"/>
      <c r="W727" s="27"/>
      <c r="X727" s="310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</row>
    <row r="728" ht="15.75" customHeight="1"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310"/>
      <c r="W728" s="27"/>
      <c r="X728" s="310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</row>
    <row r="729" ht="15.75" customHeight="1"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310"/>
      <c r="W729" s="27"/>
      <c r="X729" s="310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</row>
    <row r="730" ht="15.75" customHeight="1"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310"/>
      <c r="W730" s="27"/>
      <c r="X730" s="310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</row>
    <row r="731" ht="15.75" customHeight="1"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310"/>
      <c r="W731" s="27"/>
      <c r="X731" s="310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</row>
    <row r="732" ht="15.75" customHeight="1"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310"/>
      <c r="W732" s="27"/>
      <c r="X732" s="310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</row>
    <row r="733" ht="15.75" customHeight="1"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310"/>
      <c r="W733" s="27"/>
      <c r="X733" s="310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</row>
    <row r="734" ht="15.75" customHeight="1"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310"/>
      <c r="W734" s="27"/>
      <c r="X734" s="310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</row>
    <row r="735" ht="15.75" customHeight="1"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310"/>
      <c r="W735" s="27"/>
      <c r="X735" s="310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</row>
    <row r="736" ht="15.75" customHeight="1"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310"/>
      <c r="W736" s="27"/>
      <c r="X736" s="310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</row>
    <row r="737" ht="15.75" customHeight="1"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310"/>
      <c r="W737" s="27"/>
      <c r="X737" s="310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</row>
    <row r="738" ht="15.75" customHeight="1"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310"/>
      <c r="W738" s="27"/>
      <c r="X738" s="310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</row>
    <row r="739" ht="15.75" customHeight="1"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310"/>
      <c r="W739" s="27"/>
      <c r="X739" s="310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</row>
    <row r="740" ht="15.75" customHeight="1"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310"/>
      <c r="W740" s="27"/>
      <c r="X740" s="310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</row>
    <row r="741" ht="15.75" customHeight="1"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310"/>
      <c r="W741" s="27"/>
      <c r="X741" s="310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</row>
    <row r="742" ht="15.75" customHeight="1"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310"/>
      <c r="W742" s="27"/>
      <c r="X742" s="310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</row>
    <row r="743" ht="15.75" customHeight="1"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310"/>
      <c r="W743" s="27"/>
      <c r="X743" s="310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</row>
    <row r="744" ht="15.75" customHeight="1"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310"/>
      <c r="W744" s="27"/>
      <c r="X744" s="310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</row>
    <row r="745" ht="15.75" customHeight="1"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310"/>
      <c r="W745" s="27"/>
      <c r="X745" s="310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</row>
    <row r="746" ht="15.75" customHeight="1"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310"/>
      <c r="W746" s="27"/>
      <c r="X746" s="310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</row>
    <row r="747" ht="15.75" customHeight="1"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310"/>
      <c r="W747" s="27"/>
      <c r="X747" s="310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</row>
    <row r="748" ht="15.75" customHeight="1"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310"/>
      <c r="W748" s="27"/>
      <c r="X748" s="310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</row>
    <row r="749" ht="15.75" customHeight="1"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310"/>
      <c r="W749" s="27"/>
      <c r="X749" s="310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</row>
    <row r="750" ht="15.75" customHeight="1"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310"/>
      <c r="W750" s="27"/>
      <c r="X750" s="310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</row>
    <row r="751" ht="15.75" customHeight="1"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310"/>
      <c r="W751" s="27"/>
      <c r="X751" s="310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</row>
    <row r="752" ht="15.75" customHeight="1"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310"/>
      <c r="W752" s="27"/>
      <c r="X752" s="310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</row>
    <row r="753" ht="15.75" customHeight="1"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310"/>
      <c r="W753" s="27"/>
      <c r="X753" s="310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</row>
    <row r="754" ht="15.75" customHeight="1"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310"/>
      <c r="W754" s="27"/>
      <c r="X754" s="310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</row>
    <row r="755" ht="15.75" customHeight="1"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310"/>
      <c r="W755" s="27"/>
      <c r="X755" s="310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</row>
    <row r="756" ht="15.75" customHeight="1"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310"/>
      <c r="W756" s="27"/>
      <c r="X756" s="310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</row>
    <row r="757" ht="15.75" customHeight="1"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310"/>
      <c r="W757" s="27"/>
      <c r="X757" s="310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</row>
    <row r="758" ht="15.75" customHeight="1"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310"/>
      <c r="W758" s="27"/>
      <c r="X758" s="310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</row>
    <row r="759" ht="15.75" customHeight="1"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310"/>
      <c r="W759" s="27"/>
      <c r="X759" s="310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</row>
    <row r="760" ht="15.75" customHeight="1"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310"/>
      <c r="W760" s="27"/>
      <c r="X760" s="310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</row>
    <row r="761" ht="15.75" customHeight="1"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310"/>
      <c r="W761" s="27"/>
      <c r="X761" s="310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</row>
    <row r="762" ht="15.75" customHeight="1"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310"/>
      <c r="W762" s="27"/>
      <c r="X762" s="310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</row>
    <row r="763" ht="15.75" customHeight="1"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310"/>
      <c r="W763" s="27"/>
      <c r="X763" s="310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</row>
    <row r="764" ht="15.75" customHeight="1"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310"/>
      <c r="W764" s="27"/>
      <c r="X764" s="310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</row>
    <row r="765" ht="15.75" customHeight="1"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310"/>
      <c r="W765" s="27"/>
      <c r="X765" s="310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</row>
    <row r="766" ht="15.75" customHeight="1"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310"/>
      <c r="W766" s="27"/>
      <c r="X766" s="310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</row>
    <row r="767" ht="15.75" customHeight="1"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310"/>
      <c r="W767" s="27"/>
      <c r="X767" s="310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</row>
    <row r="768" ht="15.75" customHeight="1"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310"/>
      <c r="W768" s="27"/>
      <c r="X768" s="310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</row>
    <row r="769" ht="15.75" customHeight="1"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310"/>
      <c r="W769" s="27"/>
      <c r="X769" s="310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</row>
    <row r="770" ht="15.75" customHeight="1"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310"/>
      <c r="W770" s="27"/>
      <c r="X770" s="310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</row>
    <row r="771" ht="15.75" customHeight="1"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310"/>
      <c r="W771" s="27"/>
      <c r="X771" s="310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</row>
    <row r="772" ht="15.75" customHeight="1"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310"/>
      <c r="W772" s="27"/>
      <c r="X772" s="310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</row>
    <row r="773" ht="15.75" customHeight="1"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310"/>
      <c r="W773" s="27"/>
      <c r="X773" s="310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</row>
    <row r="774" ht="15.75" customHeight="1"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310"/>
      <c r="W774" s="27"/>
      <c r="X774" s="310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</row>
    <row r="775" ht="15.75" customHeight="1"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310"/>
      <c r="W775" s="27"/>
      <c r="X775" s="310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</row>
    <row r="776" ht="15.75" customHeight="1"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310"/>
      <c r="W776" s="27"/>
      <c r="X776" s="310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</row>
    <row r="777" ht="15.75" customHeight="1"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310"/>
      <c r="W777" s="27"/>
      <c r="X777" s="310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</row>
    <row r="778" ht="15.75" customHeight="1"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310"/>
      <c r="W778" s="27"/>
      <c r="X778" s="310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</row>
    <row r="779" ht="15.75" customHeight="1"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310"/>
      <c r="W779" s="27"/>
      <c r="X779" s="310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</row>
    <row r="780" ht="15.75" customHeight="1"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310"/>
      <c r="W780" s="27"/>
      <c r="X780" s="310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</row>
    <row r="781" ht="15.75" customHeight="1"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310"/>
      <c r="W781" s="27"/>
      <c r="X781" s="310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</row>
    <row r="782" ht="15.75" customHeight="1"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310"/>
      <c r="W782" s="27"/>
      <c r="X782" s="310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</row>
    <row r="783" ht="15.75" customHeight="1"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310"/>
      <c r="W783" s="27"/>
      <c r="X783" s="310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</row>
    <row r="784" ht="15.75" customHeight="1"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310"/>
      <c r="W784" s="27"/>
      <c r="X784" s="310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</row>
    <row r="785" ht="15.75" customHeight="1"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310"/>
      <c r="W785" s="27"/>
      <c r="X785" s="310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</row>
    <row r="786" ht="15.75" customHeight="1"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310"/>
      <c r="W786" s="27"/>
      <c r="X786" s="310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</row>
    <row r="787" ht="15.75" customHeight="1"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310"/>
      <c r="W787" s="27"/>
      <c r="X787" s="310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</row>
    <row r="788" ht="15.75" customHeight="1"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310"/>
      <c r="W788" s="27"/>
      <c r="X788" s="310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</row>
    <row r="789" ht="15.75" customHeight="1"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310"/>
      <c r="W789" s="27"/>
      <c r="X789" s="310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</row>
    <row r="790" ht="15.75" customHeight="1"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310"/>
      <c r="W790" s="27"/>
      <c r="X790" s="310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</row>
    <row r="791" ht="15.75" customHeight="1"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310"/>
      <c r="W791" s="27"/>
      <c r="X791" s="310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</row>
    <row r="792" ht="15.75" customHeight="1"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310"/>
      <c r="W792" s="27"/>
      <c r="X792" s="310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</row>
    <row r="793" ht="15.75" customHeight="1"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310"/>
      <c r="W793" s="27"/>
      <c r="X793" s="310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</row>
    <row r="794" ht="15.75" customHeight="1"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310"/>
      <c r="W794" s="27"/>
      <c r="X794" s="310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</row>
    <row r="795" ht="15.75" customHeight="1"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310"/>
      <c r="W795" s="27"/>
      <c r="X795" s="310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</row>
    <row r="796" ht="15.75" customHeight="1"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310"/>
      <c r="W796" s="27"/>
      <c r="X796" s="310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</row>
    <row r="797" ht="15.75" customHeight="1"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310"/>
      <c r="W797" s="27"/>
      <c r="X797" s="310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</row>
    <row r="798" ht="15.75" customHeight="1"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310"/>
      <c r="W798" s="27"/>
      <c r="X798" s="310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</row>
    <row r="799" ht="15.75" customHeight="1"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310"/>
      <c r="W799" s="27"/>
      <c r="X799" s="310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</row>
    <row r="800" ht="15.75" customHeight="1"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310"/>
      <c r="W800" s="27"/>
      <c r="X800" s="310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</row>
    <row r="801" ht="15.75" customHeight="1"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310"/>
      <c r="W801" s="27"/>
      <c r="X801" s="310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</row>
    <row r="802" ht="15.75" customHeight="1"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310"/>
      <c r="W802" s="27"/>
      <c r="X802" s="310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</row>
    <row r="803" ht="15.75" customHeight="1"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310"/>
      <c r="W803" s="27"/>
      <c r="X803" s="310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</row>
    <row r="804" ht="15.75" customHeight="1"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310"/>
      <c r="W804" s="27"/>
      <c r="X804" s="310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</row>
    <row r="805" ht="15.75" customHeight="1"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310"/>
      <c r="W805" s="27"/>
      <c r="X805" s="310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</row>
    <row r="806" ht="15.75" customHeight="1"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310"/>
      <c r="W806" s="27"/>
      <c r="X806" s="310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</row>
    <row r="807" ht="15.75" customHeight="1"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310"/>
      <c r="W807" s="27"/>
      <c r="X807" s="310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</row>
    <row r="808" ht="15.75" customHeight="1"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310"/>
      <c r="W808" s="27"/>
      <c r="X808" s="310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</row>
    <row r="809" ht="15.75" customHeight="1"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310"/>
      <c r="W809" s="27"/>
      <c r="X809" s="310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</row>
    <row r="810" ht="15.75" customHeight="1"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310"/>
      <c r="W810" s="27"/>
      <c r="X810" s="310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</row>
    <row r="811" ht="15.75" customHeight="1"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310"/>
      <c r="W811" s="27"/>
      <c r="X811" s="310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</row>
    <row r="812" ht="15.75" customHeight="1"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310"/>
      <c r="W812" s="27"/>
      <c r="X812" s="310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</row>
    <row r="813" ht="15.75" customHeight="1"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310"/>
      <c r="W813" s="27"/>
      <c r="X813" s="310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</row>
    <row r="814" ht="15.75" customHeight="1"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310"/>
      <c r="W814" s="27"/>
      <c r="X814" s="310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</row>
    <row r="815" ht="15.75" customHeight="1"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310"/>
      <c r="W815" s="27"/>
      <c r="X815" s="310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</row>
    <row r="816" ht="15.75" customHeight="1"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310"/>
      <c r="W816" s="27"/>
      <c r="X816" s="310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</row>
    <row r="817" ht="15.75" customHeight="1"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310"/>
      <c r="W817" s="27"/>
      <c r="X817" s="310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</row>
    <row r="818" ht="15.75" customHeight="1"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310"/>
      <c r="W818" s="27"/>
      <c r="X818" s="310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</row>
    <row r="819" ht="15.75" customHeight="1"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310"/>
      <c r="W819" s="27"/>
      <c r="X819" s="310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</row>
    <row r="820" ht="15.75" customHeight="1"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310"/>
      <c r="W820" s="27"/>
      <c r="X820" s="310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</row>
    <row r="821" ht="15.75" customHeight="1"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310"/>
      <c r="W821" s="27"/>
      <c r="X821" s="310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</row>
    <row r="822" ht="15.75" customHeight="1"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310"/>
      <c r="W822" s="27"/>
      <c r="X822" s="310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</row>
    <row r="823" ht="15.75" customHeight="1"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310"/>
      <c r="W823" s="27"/>
      <c r="X823" s="310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</row>
    <row r="824" ht="15.75" customHeight="1"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310"/>
      <c r="W824" s="27"/>
      <c r="X824" s="310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</row>
    <row r="825" ht="15.75" customHeight="1"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310"/>
      <c r="W825" s="27"/>
      <c r="X825" s="310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</row>
    <row r="826" ht="15.75" customHeight="1"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310"/>
      <c r="W826" s="27"/>
      <c r="X826" s="310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</row>
    <row r="827" ht="15.75" customHeight="1"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310"/>
      <c r="W827" s="27"/>
      <c r="X827" s="310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</row>
    <row r="828" ht="15.75" customHeight="1"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310"/>
      <c r="W828" s="27"/>
      <c r="X828" s="310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</row>
    <row r="829" ht="15.75" customHeight="1"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310"/>
      <c r="W829" s="27"/>
      <c r="X829" s="310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</row>
    <row r="830" ht="15.75" customHeight="1"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310"/>
      <c r="W830" s="27"/>
      <c r="X830" s="310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</row>
    <row r="831" ht="15.75" customHeight="1"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310"/>
      <c r="W831" s="27"/>
      <c r="X831" s="310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</row>
    <row r="832" ht="15.75" customHeight="1"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310"/>
      <c r="W832" s="27"/>
      <c r="X832" s="310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</row>
    <row r="833" ht="15.75" customHeight="1"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310"/>
      <c r="W833" s="27"/>
      <c r="X833" s="310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</row>
    <row r="834" ht="15.75" customHeight="1"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310"/>
      <c r="W834" s="27"/>
      <c r="X834" s="310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</row>
    <row r="835" ht="15.75" customHeight="1"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310"/>
      <c r="W835" s="27"/>
      <c r="X835" s="310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</row>
    <row r="836" ht="15.75" customHeight="1"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310"/>
      <c r="W836" s="27"/>
      <c r="X836" s="310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</row>
    <row r="837" ht="15.75" customHeight="1"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310"/>
      <c r="W837" s="27"/>
      <c r="X837" s="310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</row>
    <row r="838" ht="15.75" customHeight="1"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310"/>
      <c r="W838" s="27"/>
      <c r="X838" s="310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</row>
    <row r="839" ht="15.75" customHeight="1"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310"/>
      <c r="W839" s="27"/>
      <c r="X839" s="310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</row>
    <row r="840" ht="15.75" customHeight="1"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310"/>
      <c r="W840" s="27"/>
      <c r="X840" s="310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</row>
    <row r="841" ht="15.75" customHeight="1"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310"/>
      <c r="W841" s="27"/>
      <c r="X841" s="310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</row>
    <row r="842" ht="15.75" customHeight="1"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310"/>
      <c r="W842" s="27"/>
      <c r="X842" s="310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</row>
    <row r="843" ht="15.75" customHeight="1"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310"/>
      <c r="W843" s="27"/>
      <c r="X843" s="310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</row>
    <row r="844" ht="15.75" customHeight="1"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310"/>
      <c r="W844" s="27"/>
      <c r="X844" s="310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</row>
    <row r="845" ht="15.75" customHeight="1"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310"/>
      <c r="W845" s="27"/>
      <c r="X845" s="310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</row>
    <row r="846" ht="15.75" customHeight="1"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310"/>
      <c r="W846" s="27"/>
      <c r="X846" s="310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</row>
    <row r="847" ht="15.75" customHeight="1"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310"/>
      <c r="W847" s="27"/>
      <c r="X847" s="310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</row>
    <row r="848" ht="15.75" customHeight="1"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310"/>
      <c r="W848" s="27"/>
      <c r="X848" s="310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</row>
    <row r="849" ht="15.75" customHeight="1"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310"/>
      <c r="W849" s="27"/>
      <c r="X849" s="310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</row>
    <row r="850" ht="15.75" customHeight="1"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310"/>
      <c r="W850" s="27"/>
      <c r="X850" s="310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</row>
    <row r="851" ht="15.75" customHeight="1"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310"/>
      <c r="W851" s="27"/>
      <c r="X851" s="310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</row>
    <row r="852" ht="15.75" customHeight="1"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310"/>
      <c r="W852" s="27"/>
      <c r="X852" s="310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</row>
    <row r="853" ht="15.75" customHeight="1"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310"/>
      <c r="W853" s="27"/>
      <c r="X853" s="310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</row>
    <row r="854" ht="15.75" customHeight="1"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310"/>
      <c r="W854" s="27"/>
      <c r="X854" s="310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</row>
    <row r="855" ht="15.75" customHeight="1"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310"/>
      <c r="W855" s="27"/>
      <c r="X855" s="310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</row>
    <row r="856" ht="15.75" customHeight="1"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310"/>
      <c r="W856" s="27"/>
      <c r="X856" s="310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</row>
    <row r="857" ht="15.75" customHeight="1"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310"/>
      <c r="W857" s="27"/>
      <c r="X857" s="310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</row>
    <row r="858" ht="15.75" customHeight="1"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310"/>
      <c r="W858" s="27"/>
      <c r="X858" s="310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</row>
    <row r="859" ht="15.75" customHeight="1"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310"/>
      <c r="W859" s="27"/>
      <c r="X859" s="310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</row>
    <row r="860" ht="15.75" customHeight="1"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310"/>
      <c r="W860" s="27"/>
      <c r="X860" s="310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</row>
    <row r="861" ht="15.75" customHeight="1"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310"/>
      <c r="W861" s="27"/>
      <c r="X861" s="310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</row>
    <row r="862" ht="15.75" customHeight="1"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310"/>
      <c r="W862" s="27"/>
      <c r="X862" s="310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</row>
    <row r="863" ht="15.75" customHeight="1"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310"/>
      <c r="W863" s="27"/>
      <c r="X863" s="310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</row>
    <row r="864" ht="15.75" customHeight="1"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310"/>
      <c r="W864" s="27"/>
      <c r="X864" s="310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</row>
    <row r="865" ht="15.75" customHeight="1"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310"/>
      <c r="W865" s="27"/>
      <c r="X865" s="310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</row>
    <row r="866" ht="15.75" customHeight="1"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310"/>
      <c r="W866" s="27"/>
      <c r="X866" s="310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</row>
    <row r="867" ht="15.75" customHeight="1"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310"/>
      <c r="W867" s="27"/>
      <c r="X867" s="310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</row>
    <row r="868" ht="15.75" customHeight="1"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310"/>
      <c r="W868" s="27"/>
      <c r="X868" s="310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</row>
    <row r="869" ht="15.75" customHeight="1"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310"/>
      <c r="W869" s="27"/>
      <c r="X869" s="310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</row>
    <row r="870" ht="15.75" customHeight="1"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310"/>
      <c r="W870" s="27"/>
      <c r="X870" s="310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</row>
    <row r="871" ht="15.75" customHeight="1"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310"/>
      <c r="W871" s="27"/>
      <c r="X871" s="310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</row>
    <row r="872" ht="15.75" customHeight="1"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310"/>
      <c r="W872" s="27"/>
      <c r="X872" s="310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</row>
    <row r="873" ht="15.75" customHeight="1"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310"/>
      <c r="W873" s="27"/>
      <c r="X873" s="310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</row>
    <row r="874" ht="15.75" customHeight="1"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310"/>
      <c r="W874" s="27"/>
      <c r="X874" s="310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</row>
    <row r="875" ht="15.75" customHeight="1"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310"/>
      <c r="W875" s="27"/>
      <c r="X875" s="310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</row>
    <row r="876" ht="15.75" customHeight="1"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310"/>
      <c r="W876" s="27"/>
      <c r="X876" s="310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</row>
    <row r="877" ht="15.75" customHeight="1"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310"/>
      <c r="W877" s="27"/>
      <c r="X877" s="310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</row>
    <row r="878" ht="15.75" customHeight="1"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310"/>
      <c r="W878" s="27"/>
      <c r="X878" s="310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</row>
    <row r="879" ht="15.75" customHeight="1"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310"/>
      <c r="W879" s="27"/>
      <c r="X879" s="310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</row>
    <row r="880" ht="15.75" customHeight="1"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310"/>
      <c r="W880" s="27"/>
      <c r="X880" s="310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</row>
    <row r="881" ht="15.75" customHeight="1"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310"/>
      <c r="W881" s="27"/>
      <c r="X881" s="310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</row>
    <row r="882" ht="15.75" customHeight="1"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310"/>
      <c r="W882" s="27"/>
      <c r="X882" s="310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</row>
    <row r="883" ht="15.75" customHeight="1"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310"/>
      <c r="W883" s="27"/>
      <c r="X883" s="310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</row>
    <row r="884" ht="15.75" customHeight="1"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310"/>
      <c r="W884" s="27"/>
      <c r="X884" s="310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</row>
    <row r="885" ht="15.75" customHeight="1"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310"/>
      <c r="W885" s="27"/>
      <c r="X885" s="310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</row>
    <row r="886" ht="15.75" customHeight="1"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310"/>
      <c r="W886" s="27"/>
      <c r="X886" s="310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</row>
    <row r="887" ht="15.75" customHeight="1"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310"/>
      <c r="W887" s="27"/>
      <c r="X887" s="310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</row>
    <row r="888" ht="15.75" customHeight="1"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310"/>
      <c r="W888" s="27"/>
      <c r="X888" s="310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</row>
    <row r="889" ht="15.75" customHeight="1"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310"/>
      <c r="W889" s="27"/>
      <c r="X889" s="310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</row>
    <row r="890" ht="15.75" customHeight="1"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310"/>
      <c r="W890" s="27"/>
      <c r="X890" s="310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</row>
    <row r="891" ht="15.75" customHeight="1"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310"/>
      <c r="W891" s="27"/>
      <c r="X891" s="310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</row>
    <row r="892" ht="15.75" customHeight="1"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310"/>
      <c r="W892" s="27"/>
      <c r="X892" s="310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</row>
    <row r="893" ht="15.75" customHeight="1"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310"/>
      <c r="W893" s="27"/>
      <c r="X893" s="310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</row>
    <row r="894" ht="15.75" customHeight="1"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310"/>
      <c r="W894" s="27"/>
      <c r="X894" s="310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</row>
    <row r="895" ht="15.75" customHeight="1"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310"/>
      <c r="W895" s="27"/>
      <c r="X895" s="310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</row>
    <row r="896" ht="15.75" customHeight="1"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310"/>
      <c r="W896" s="27"/>
      <c r="X896" s="310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</row>
    <row r="897" ht="15.75" customHeight="1"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310"/>
      <c r="W897" s="27"/>
      <c r="X897" s="310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</row>
    <row r="898" ht="15.75" customHeight="1"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310"/>
      <c r="W898" s="27"/>
      <c r="X898" s="310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</row>
    <row r="899" ht="15.75" customHeight="1"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310"/>
      <c r="W899" s="27"/>
      <c r="X899" s="310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</row>
    <row r="900" ht="15.75" customHeight="1"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310"/>
      <c r="W900" s="27"/>
      <c r="X900" s="310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</row>
    <row r="901" ht="15.75" customHeight="1"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310"/>
      <c r="W901" s="27"/>
      <c r="X901" s="310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</row>
    <row r="902" ht="15.75" customHeight="1"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310"/>
      <c r="W902" s="27"/>
      <c r="X902" s="310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</row>
    <row r="903" ht="15.75" customHeight="1"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310"/>
      <c r="W903" s="27"/>
      <c r="X903" s="310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</row>
    <row r="904" ht="15.75" customHeight="1"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310"/>
      <c r="W904" s="27"/>
      <c r="X904" s="310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</row>
    <row r="905" ht="15.75" customHeight="1"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310"/>
      <c r="W905" s="27"/>
      <c r="X905" s="310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</row>
    <row r="906" ht="15.75" customHeight="1"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310"/>
      <c r="W906" s="27"/>
      <c r="X906" s="310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</row>
    <row r="907" ht="15.75" customHeight="1"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310"/>
      <c r="W907" s="27"/>
      <c r="X907" s="310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</row>
    <row r="908" ht="15.75" customHeight="1"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310"/>
      <c r="W908" s="27"/>
      <c r="X908" s="310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</row>
    <row r="909" ht="15.75" customHeight="1"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310"/>
      <c r="W909" s="27"/>
      <c r="X909" s="310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</row>
    <row r="910" ht="15.75" customHeight="1"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310"/>
      <c r="W910" s="27"/>
      <c r="X910" s="310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</row>
    <row r="911" ht="15.75" customHeight="1"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310"/>
      <c r="W911" s="27"/>
      <c r="X911" s="310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</row>
    <row r="912" ht="15.75" customHeight="1"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310"/>
      <c r="W912" s="27"/>
      <c r="X912" s="310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</row>
    <row r="913" ht="15.75" customHeight="1"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310"/>
      <c r="W913" s="27"/>
      <c r="X913" s="310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</row>
    <row r="914" ht="15.75" customHeight="1"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310"/>
      <c r="W914" s="27"/>
      <c r="X914" s="310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</row>
    <row r="915" ht="15.75" customHeight="1"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310"/>
      <c r="W915" s="27"/>
      <c r="X915" s="310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</row>
    <row r="916" ht="15.75" customHeight="1"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310"/>
      <c r="W916" s="27"/>
      <c r="X916" s="310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</row>
    <row r="917" ht="15.75" customHeight="1"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310"/>
      <c r="W917" s="27"/>
      <c r="X917" s="310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</row>
    <row r="918" ht="15.75" customHeight="1"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310"/>
      <c r="W918" s="27"/>
      <c r="X918" s="310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</row>
    <row r="919" ht="15.75" customHeight="1"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310"/>
      <c r="W919" s="27"/>
      <c r="X919" s="310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</row>
    <row r="920" ht="15.75" customHeight="1"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310"/>
      <c r="W920" s="27"/>
      <c r="X920" s="310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</row>
    <row r="921" ht="15.75" customHeight="1"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310"/>
      <c r="W921" s="27"/>
      <c r="X921" s="310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</row>
    <row r="922" ht="15.75" customHeight="1"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310"/>
      <c r="W922" s="27"/>
      <c r="X922" s="310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</row>
    <row r="923" ht="15.75" customHeight="1"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310"/>
      <c r="W923" s="27"/>
      <c r="X923" s="310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</row>
    <row r="924" ht="15.75" customHeight="1"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310"/>
      <c r="W924" s="27"/>
      <c r="X924" s="310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</row>
    <row r="925" ht="15.75" customHeight="1"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310"/>
      <c r="W925" s="27"/>
      <c r="X925" s="310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</row>
    <row r="926" ht="15.75" customHeight="1"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310"/>
      <c r="W926" s="27"/>
      <c r="X926" s="310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</row>
    <row r="927" ht="15.75" customHeight="1"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310"/>
      <c r="W927" s="27"/>
      <c r="X927" s="310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</row>
    <row r="928" ht="15.75" customHeight="1"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310"/>
      <c r="W928" s="27"/>
      <c r="X928" s="310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</row>
    <row r="929" ht="15.75" customHeight="1"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310"/>
      <c r="W929" s="27"/>
      <c r="X929" s="310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</row>
    <row r="930" ht="15.75" customHeight="1"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310"/>
      <c r="W930" s="27"/>
      <c r="X930" s="310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</row>
    <row r="931" ht="15.75" customHeight="1"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310"/>
      <c r="W931" s="27"/>
      <c r="X931" s="310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</row>
    <row r="932" ht="15.75" customHeight="1"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310"/>
      <c r="W932" s="27"/>
      <c r="X932" s="310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</row>
    <row r="933" ht="15.75" customHeight="1"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310"/>
      <c r="W933" s="27"/>
      <c r="X933" s="310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</row>
    <row r="934" ht="15.75" customHeight="1"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310"/>
      <c r="W934" s="27"/>
      <c r="X934" s="310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</row>
    <row r="935" ht="15.75" customHeight="1"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310"/>
      <c r="W935" s="27"/>
      <c r="X935" s="310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</row>
    <row r="936" ht="15.75" customHeight="1"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310"/>
      <c r="W936" s="27"/>
      <c r="X936" s="310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</row>
    <row r="937" ht="15.75" customHeight="1"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310"/>
      <c r="W937" s="27"/>
      <c r="X937" s="310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</row>
    <row r="938" ht="15.75" customHeight="1"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310"/>
      <c r="W938" s="27"/>
      <c r="X938" s="310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</row>
    <row r="939" ht="15.75" customHeight="1"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310"/>
      <c r="W939" s="27"/>
      <c r="X939" s="310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</row>
    <row r="940" ht="15.75" customHeight="1"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310"/>
      <c r="W940" s="27"/>
      <c r="X940" s="310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</row>
    <row r="941" ht="15.75" customHeight="1"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310"/>
      <c r="W941" s="27"/>
      <c r="X941" s="310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</row>
    <row r="942" ht="15.75" customHeight="1"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310"/>
      <c r="W942" s="27"/>
      <c r="X942" s="310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</row>
    <row r="943" ht="15.75" customHeight="1"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310"/>
      <c r="W943" s="27"/>
      <c r="X943" s="310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</row>
    <row r="944" ht="15.75" customHeight="1"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310"/>
      <c r="W944" s="27"/>
      <c r="X944" s="310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</row>
    <row r="945" ht="15.75" customHeight="1"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310"/>
      <c r="W945" s="27"/>
      <c r="X945" s="310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</row>
    <row r="946" ht="15.75" customHeight="1"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310"/>
      <c r="W946" s="27"/>
      <c r="X946" s="310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</row>
    <row r="947" ht="15.75" customHeight="1"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310"/>
      <c r="W947" s="27"/>
      <c r="X947" s="310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</row>
    <row r="948" ht="15.75" customHeight="1"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310"/>
      <c r="W948" s="27"/>
      <c r="X948" s="310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</row>
    <row r="949" ht="15.75" customHeight="1"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310"/>
      <c r="W949" s="27"/>
      <c r="X949" s="310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</row>
    <row r="950" ht="15.75" customHeight="1"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310"/>
      <c r="W950" s="27"/>
      <c r="X950" s="310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</row>
    <row r="951" ht="15.75" customHeight="1"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310"/>
      <c r="W951" s="27"/>
      <c r="X951" s="310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</row>
    <row r="952" ht="15.75" customHeight="1"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310"/>
      <c r="W952" s="27"/>
      <c r="X952" s="310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</row>
    <row r="953" ht="15.75" customHeight="1"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310"/>
      <c r="W953" s="27"/>
      <c r="X953" s="310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</row>
    <row r="954" ht="15.75" customHeight="1"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310"/>
      <c r="W954" s="27"/>
      <c r="X954" s="310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</row>
    <row r="955" ht="15.75" customHeight="1"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310"/>
      <c r="W955" s="27"/>
      <c r="X955" s="310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</row>
    <row r="956" ht="15.75" customHeight="1"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310"/>
      <c r="W956" s="27"/>
      <c r="X956" s="310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</row>
    <row r="957" ht="15.75" customHeight="1"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310"/>
      <c r="W957" s="27"/>
      <c r="X957" s="310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</row>
    <row r="958" ht="15.75" customHeight="1"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310"/>
      <c r="W958" s="27"/>
      <c r="X958" s="310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</row>
    <row r="959" ht="15.75" customHeight="1"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310"/>
      <c r="W959" s="27"/>
      <c r="X959" s="310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</row>
    <row r="960" ht="15.75" customHeight="1"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310"/>
      <c r="W960" s="27"/>
      <c r="X960" s="310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</row>
    <row r="961" ht="15.75" customHeight="1"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310"/>
      <c r="W961" s="27"/>
      <c r="X961" s="310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</row>
    <row r="962" ht="15.75" customHeight="1"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310"/>
      <c r="W962" s="27"/>
      <c r="X962" s="310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</row>
    <row r="963" ht="15.75" customHeight="1"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310"/>
      <c r="W963" s="27"/>
      <c r="X963" s="310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</row>
    <row r="964" ht="15.75" customHeight="1"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310"/>
      <c r="W964" s="27"/>
      <c r="X964" s="310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</row>
    <row r="965" ht="15.75" customHeight="1"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310"/>
      <c r="W965" s="27"/>
      <c r="X965" s="310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</row>
    <row r="966" ht="15.75" customHeight="1"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310"/>
      <c r="W966" s="27"/>
      <c r="X966" s="310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</row>
    <row r="967" ht="15.75" customHeight="1"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310"/>
      <c r="W967" s="27"/>
      <c r="X967" s="310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</row>
    <row r="968" ht="15.75" customHeight="1"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310"/>
      <c r="W968" s="27"/>
      <c r="X968" s="310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</row>
    <row r="969" ht="15.75" customHeight="1"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310"/>
      <c r="W969" s="27"/>
      <c r="X969" s="310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</row>
    <row r="970" ht="15.75" customHeight="1"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310"/>
      <c r="W970" s="27"/>
      <c r="X970" s="310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</row>
    <row r="971" ht="15.75" customHeight="1"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310"/>
      <c r="W971" s="27"/>
      <c r="X971" s="310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</row>
    <row r="972" ht="15.75" customHeight="1"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310"/>
      <c r="W972" s="27"/>
      <c r="X972" s="310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</row>
    <row r="973" ht="15.75" customHeight="1"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310"/>
      <c r="W973" s="27"/>
      <c r="X973" s="310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</row>
    <row r="974" ht="15.75" customHeight="1"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310"/>
      <c r="W974" s="27"/>
      <c r="X974" s="310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</row>
    <row r="975" ht="15.75" customHeight="1"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310"/>
      <c r="W975" s="27"/>
      <c r="X975" s="310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</row>
    <row r="976" ht="15.75" customHeight="1"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310"/>
      <c r="W976" s="27"/>
      <c r="X976" s="310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</row>
    <row r="977" ht="15.75" customHeight="1"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310"/>
      <c r="W977" s="27"/>
      <c r="X977" s="310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</row>
    <row r="978" ht="15.75" customHeight="1"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310"/>
      <c r="W978" s="27"/>
      <c r="X978" s="310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</row>
    <row r="979" ht="15.75" customHeight="1"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310"/>
      <c r="W979" s="27"/>
      <c r="X979" s="310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</row>
    <row r="980" ht="15.75" customHeight="1"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310"/>
      <c r="W980" s="27"/>
      <c r="X980" s="310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</row>
    <row r="981" ht="15.75" customHeight="1"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310"/>
      <c r="W981" s="27"/>
      <c r="X981" s="310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</row>
    <row r="982" ht="15.75" customHeight="1"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310"/>
      <c r="W982" s="27"/>
      <c r="X982" s="310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</row>
    <row r="983" ht="15.75" customHeight="1"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310"/>
      <c r="W983" s="27"/>
      <c r="X983" s="310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</row>
    <row r="984" ht="15.75" customHeight="1"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310"/>
      <c r="W984" s="27"/>
      <c r="X984" s="310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</row>
    <row r="985" ht="15.75" customHeight="1"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310"/>
      <c r="W985" s="27"/>
      <c r="X985" s="310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</row>
    <row r="986" ht="15.75" customHeight="1"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310"/>
      <c r="W986" s="27"/>
      <c r="X986" s="310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</row>
    <row r="987" ht="15.75" customHeight="1"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310"/>
      <c r="W987" s="27"/>
      <c r="X987" s="310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</row>
    <row r="988" ht="15.75" customHeight="1"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310"/>
      <c r="W988" s="27"/>
      <c r="X988" s="310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</row>
    <row r="989" ht="15.75" customHeight="1"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310"/>
      <c r="W989" s="27"/>
      <c r="X989" s="310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</row>
    <row r="990" ht="15.75" customHeight="1"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310"/>
      <c r="W990" s="27"/>
      <c r="X990" s="310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</row>
    <row r="991" ht="15.75" customHeight="1"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310"/>
      <c r="W991" s="27"/>
      <c r="X991" s="310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</row>
    <row r="992" ht="15.75" customHeight="1"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310"/>
      <c r="W992" s="27"/>
      <c r="X992" s="310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</row>
    <row r="993" ht="15.75" customHeight="1"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310"/>
      <c r="W993" s="27"/>
      <c r="X993" s="310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</row>
    <row r="994" ht="15.75" customHeight="1"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310"/>
      <c r="W994" s="27"/>
      <c r="X994" s="310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</row>
    <row r="995" ht="15.75" customHeight="1"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310"/>
      <c r="W995" s="27"/>
      <c r="X995" s="310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</row>
    <row r="996" ht="15.75" customHeight="1"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310"/>
      <c r="W996" s="27"/>
      <c r="X996" s="310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</row>
    <row r="997" ht="15.75" customHeight="1"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310"/>
      <c r="W997" s="27"/>
      <c r="X997" s="310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</row>
    <row r="998" ht="15.75" customHeight="1"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310"/>
      <c r="W998" s="27"/>
      <c r="X998" s="310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</row>
    <row r="999" ht="15.75" customHeight="1"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310"/>
      <c r="W999" s="27"/>
      <c r="X999" s="310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</row>
    <row r="1000" ht="15.75" customHeight="1"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310"/>
      <c r="W1000" s="27"/>
      <c r="X1000" s="310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</row>
  </sheetData>
  <autoFilter ref="$A$1:$AL$203"/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6.13"/>
    <col customWidth="1" min="3" max="3" width="21.0"/>
    <col customWidth="1" min="4" max="26" width="7.63"/>
  </cols>
  <sheetData>
    <row r="1">
      <c r="A1" s="5" t="s">
        <v>957</v>
      </c>
      <c r="B1" s="9" t="s">
        <v>821</v>
      </c>
      <c r="C1" s="5" t="s">
        <v>17</v>
      </c>
      <c r="D1" s="255"/>
      <c r="E1" s="255"/>
      <c r="F1" s="255"/>
      <c r="G1" s="255"/>
      <c r="H1" s="255"/>
      <c r="I1" s="255"/>
      <c r="J1" s="255"/>
    </row>
    <row r="2">
      <c r="A2" s="225" t="s">
        <v>958</v>
      </c>
      <c r="B2" s="172" t="s">
        <v>833</v>
      </c>
      <c r="C2" s="225" t="s">
        <v>835</v>
      </c>
    </row>
    <row r="3">
      <c r="A3" s="225" t="s">
        <v>959</v>
      </c>
      <c r="B3" s="172" t="s">
        <v>836</v>
      </c>
      <c r="C3" s="225" t="s">
        <v>837</v>
      </c>
    </row>
    <row r="4">
      <c r="A4" s="225" t="s">
        <v>960</v>
      </c>
      <c r="B4" s="172" t="s">
        <v>838</v>
      </c>
      <c r="C4" s="225" t="s">
        <v>839</v>
      </c>
    </row>
    <row r="5">
      <c r="A5" s="225" t="s">
        <v>961</v>
      </c>
      <c r="B5" s="172" t="s">
        <v>840</v>
      </c>
      <c r="C5" s="225" t="s">
        <v>841</v>
      </c>
    </row>
    <row r="6">
      <c r="A6" s="225" t="s">
        <v>962</v>
      </c>
      <c r="B6" s="172" t="s">
        <v>842</v>
      </c>
      <c r="C6" s="225" t="s">
        <v>843</v>
      </c>
    </row>
    <row r="7">
      <c r="A7" s="225" t="s">
        <v>963</v>
      </c>
      <c r="B7" s="172" t="s">
        <v>844</v>
      </c>
      <c r="C7" s="225" t="s">
        <v>845</v>
      </c>
    </row>
    <row r="8">
      <c r="A8" s="225"/>
      <c r="B8" s="172" t="s">
        <v>846</v>
      </c>
      <c r="C8" s="225" t="s">
        <v>847</v>
      </c>
    </row>
    <row r="9">
      <c r="A9" s="225" t="s">
        <v>964</v>
      </c>
      <c r="B9" s="172" t="s">
        <v>848</v>
      </c>
      <c r="C9" s="225" t="s">
        <v>849</v>
      </c>
    </row>
    <row r="10">
      <c r="A10" s="225" t="s">
        <v>965</v>
      </c>
      <c r="B10" s="172" t="s">
        <v>850</v>
      </c>
      <c r="C10" s="225" t="s">
        <v>851</v>
      </c>
    </row>
    <row r="11">
      <c r="A11" s="225"/>
      <c r="B11" s="172" t="s">
        <v>852</v>
      </c>
      <c r="C11" s="225" t="s">
        <v>853</v>
      </c>
    </row>
    <row r="12">
      <c r="A12" s="225" t="s">
        <v>966</v>
      </c>
      <c r="B12" s="172" t="s">
        <v>854</v>
      </c>
      <c r="C12" s="231" t="s">
        <v>855</v>
      </c>
    </row>
    <row r="13">
      <c r="A13" s="225" t="s">
        <v>967</v>
      </c>
      <c r="B13" s="172" t="s">
        <v>856</v>
      </c>
      <c r="C13" s="225" t="s">
        <v>857</v>
      </c>
    </row>
    <row r="14">
      <c r="A14" s="225"/>
      <c r="B14" s="172" t="s">
        <v>858</v>
      </c>
      <c r="C14" s="225" t="s">
        <v>859</v>
      </c>
    </row>
    <row r="15">
      <c r="A15" s="225" t="s">
        <v>968</v>
      </c>
      <c r="B15" s="172" t="s">
        <v>860</v>
      </c>
      <c r="C15" s="225" t="s">
        <v>861</v>
      </c>
    </row>
    <row r="16">
      <c r="A16" s="225"/>
      <c r="B16" s="172" t="s">
        <v>862</v>
      </c>
      <c r="C16" s="225" t="s">
        <v>863</v>
      </c>
    </row>
    <row r="17">
      <c r="A17" s="225" t="s">
        <v>969</v>
      </c>
      <c r="B17" s="172" t="s">
        <v>864</v>
      </c>
      <c r="C17" s="225" t="s">
        <v>865</v>
      </c>
    </row>
    <row r="18">
      <c r="A18" s="225" t="s">
        <v>970</v>
      </c>
      <c r="B18" s="172" t="s">
        <v>866</v>
      </c>
      <c r="C18" s="225" t="s">
        <v>139</v>
      </c>
    </row>
    <row r="19">
      <c r="A19" s="225" t="s">
        <v>971</v>
      </c>
      <c r="B19" s="172" t="s">
        <v>867</v>
      </c>
      <c r="C19" s="225" t="s">
        <v>868</v>
      </c>
    </row>
    <row r="20">
      <c r="A20" s="225" t="s">
        <v>973</v>
      </c>
      <c r="B20" s="172" t="s">
        <v>869</v>
      </c>
      <c r="C20" s="225" t="s">
        <v>870</v>
      </c>
    </row>
    <row r="21" ht="15.75" customHeight="1">
      <c r="A21" s="225" t="s">
        <v>974</v>
      </c>
      <c r="B21" s="172" t="s">
        <v>871</v>
      </c>
      <c r="C21" s="225" t="s">
        <v>196</v>
      </c>
    </row>
    <row r="22" ht="15.75" customHeight="1">
      <c r="A22" s="225" t="s">
        <v>975</v>
      </c>
      <c r="B22" s="172" t="s">
        <v>872</v>
      </c>
      <c r="C22" s="225" t="s">
        <v>873</v>
      </c>
    </row>
    <row r="23" ht="15.75" customHeight="1">
      <c r="A23" s="225" t="s">
        <v>976</v>
      </c>
      <c r="B23" s="172" t="s">
        <v>874</v>
      </c>
      <c r="C23" s="225" t="s">
        <v>875</v>
      </c>
    </row>
    <row r="24" ht="15.75" customHeight="1">
      <c r="A24" s="225" t="s">
        <v>977</v>
      </c>
      <c r="B24" s="172" t="s">
        <v>876</v>
      </c>
      <c r="C24" s="225" t="s">
        <v>877</v>
      </c>
    </row>
    <row r="25" ht="15.75" customHeight="1">
      <c r="A25" s="225" t="s">
        <v>978</v>
      </c>
      <c r="B25" s="172" t="s">
        <v>878</v>
      </c>
      <c r="C25" s="225" t="s">
        <v>879</v>
      </c>
    </row>
    <row r="26" ht="15.75" customHeight="1">
      <c r="A26" s="225" t="s">
        <v>979</v>
      </c>
      <c r="B26" s="172" t="s">
        <v>880</v>
      </c>
      <c r="C26" s="225" t="s">
        <v>881</v>
      </c>
    </row>
    <row r="27" ht="15.75" customHeight="1">
      <c r="A27" s="225" t="s">
        <v>980</v>
      </c>
      <c r="B27" s="172" t="s">
        <v>882</v>
      </c>
      <c r="C27" s="225" t="s">
        <v>883</v>
      </c>
    </row>
    <row r="28" ht="15.75" customHeight="1">
      <c r="A28" s="225" t="s">
        <v>981</v>
      </c>
      <c r="B28" s="172" t="s">
        <v>884</v>
      </c>
      <c r="C28" s="225" t="s">
        <v>885</v>
      </c>
    </row>
    <row r="29" ht="15.75" customHeight="1">
      <c r="A29" s="225" t="s">
        <v>982</v>
      </c>
      <c r="B29" s="172" t="s">
        <v>886</v>
      </c>
      <c r="C29" s="225" t="s">
        <v>887</v>
      </c>
    </row>
    <row r="30" ht="15.75" customHeight="1">
      <c r="A30" s="225" t="s">
        <v>983</v>
      </c>
      <c r="B30" s="172" t="s">
        <v>888</v>
      </c>
      <c r="C30" s="225" t="s">
        <v>889</v>
      </c>
    </row>
    <row r="31" ht="15.75" customHeight="1">
      <c r="A31" s="225" t="s">
        <v>984</v>
      </c>
      <c r="B31" s="172" t="s">
        <v>890</v>
      </c>
      <c r="C31" s="225" t="s">
        <v>891</v>
      </c>
    </row>
    <row r="32" ht="15.75" customHeight="1">
      <c r="A32" s="225" t="s">
        <v>985</v>
      </c>
      <c r="B32" s="172" t="s">
        <v>892</v>
      </c>
      <c r="C32" s="225" t="s">
        <v>893</v>
      </c>
    </row>
    <row r="33" ht="15.75" customHeight="1">
      <c r="A33" s="238" t="s">
        <v>986</v>
      </c>
      <c r="B33" s="237" t="s">
        <v>894</v>
      </c>
      <c r="C33" s="238" t="s">
        <v>896</v>
      </c>
    </row>
    <row r="34" ht="15.75" customHeight="1">
      <c r="A34" s="238" t="s">
        <v>987</v>
      </c>
      <c r="B34" s="237" t="s">
        <v>897</v>
      </c>
      <c r="C34" s="238" t="s">
        <v>898</v>
      </c>
    </row>
    <row r="35" ht="15.75" customHeight="1">
      <c r="A35" s="238" t="s">
        <v>988</v>
      </c>
      <c r="B35" s="237" t="s">
        <v>899</v>
      </c>
      <c r="C35" s="238" t="s">
        <v>900</v>
      </c>
    </row>
    <row r="36" ht="15.75" customHeight="1">
      <c r="A36" s="238" t="s">
        <v>989</v>
      </c>
      <c r="B36" s="237" t="s">
        <v>901</v>
      </c>
      <c r="C36" s="238" t="s">
        <v>902</v>
      </c>
    </row>
    <row r="37" ht="15.75" customHeight="1">
      <c r="A37" s="238"/>
      <c r="B37" s="237" t="s">
        <v>903</v>
      </c>
      <c r="C37" s="238" t="s">
        <v>904</v>
      </c>
    </row>
    <row r="38" ht="15.75" customHeight="1">
      <c r="A38" s="238" t="s">
        <v>990</v>
      </c>
      <c r="B38" s="237" t="s">
        <v>905</v>
      </c>
      <c r="C38" s="238" t="s">
        <v>906</v>
      </c>
    </row>
    <row r="39" ht="15.75" customHeight="1">
      <c r="A39" s="238"/>
      <c r="B39" s="237" t="s">
        <v>907</v>
      </c>
      <c r="C39" s="238" t="s">
        <v>908</v>
      </c>
    </row>
    <row r="40" ht="15.75" customHeight="1">
      <c r="A40" s="238" t="s">
        <v>991</v>
      </c>
      <c r="B40" s="237" t="s">
        <v>909</v>
      </c>
      <c r="C40" s="238" t="s">
        <v>910</v>
      </c>
    </row>
    <row r="41" ht="15.75" customHeight="1">
      <c r="A41" s="238" t="s">
        <v>993</v>
      </c>
      <c r="B41" s="237" t="s">
        <v>911</v>
      </c>
      <c r="C41" s="238" t="s">
        <v>912</v>
      </c>
    </row>
    <row r="42" ht="15.75" customHeight="1">
      <c r="A42" s="238" t="s">
        <v>994</v>
      </c>
      <c r="B42" s="237" t="s">
        <v>913</v>
      </c>
      <c r="C42" s="238" t="s">
        <v>914</v>
      </c>
    </row>
    <row r="43" ht="15.75" customHeight="1">
      <c r="A43" s="238" t="s">
        <v>995</v>
      </c>
      <c r="B43" s="237" t="s">
        <v>915</v>
      </c>
      <c r="C43" s="238" t="s">
        <v>916</v>
      </c>
    </row>
    <row r="44" ht="15.75" customHeight="1">
      <c r="A44" s="238"/>
      <c r="B44" s="237" t="s">
        <v>917</v>
      </c>
      <c r="C44" s="238" t="s">
        <v>918</v>
      </c>
    </row>
    <row r="45" ht="15.75" customHeight="1">
      <c r="A45" s="238"/>
      <c r="B45" s="237" t="s">
        <v>919</v>
      </c>
      <c r="C45" s="238" t="s">
        <v>920</v>
      </c>
    </row>
    <row r="46" ht="15.75" customHeight="1">
      <c r="A46" s="238" t="s">
        <v>996</v>
      </c>
      <c r="B46" s="237" t="s">
        <v>921</v>
      </c>
      <c r="C46" s="238" t="s">
        <v>922</v>
      </c>
    </row>
    <row r="47" ht="15.75" customHeight="1">
      <c r="A47" s="238" t="s">
        <v>997</v>
      </c>
      <c r="B47" s="237" t="s">
        <v>923</v>
      </c>
      <c r="C47" s="238" t="s">
        <v>924</v>
      </c>
    </row>
    <row r="48" ht="15.75" customHeight="1">
      <c r="A48" s="238"/>
      <c r="B48" s="237" t="s">
        <v>925</v>
      </c>
      <c r="C48" s="238" t="s">
        <v>926</v>
      </c>
    </row>
    <row r="49" ht="15.75" customHeight="1">
      <c r="A49" s="238"/>
      <c r="B49" s="237" t="s">
        <v>927</v>
      </c>
      <c r="C49" s="238" t="s">
        <v>928</v>
      </c>
    </row>
    <row r="50" ht="15.75" customHeight="1">
      <c r="A50" s="238"/>
      <c r="B50" s="237" t="s">
        <v>929</v>
      </c>
      <c r="C50" s="238" t="s">
        <v>930</v>
      </c>
    </row>
    <row r="51" ht="15.75" customHeight="1">
      <c r="A51" s="238"/>
      <c r="B51" s="237" t="s">
        <v>931</v>
      </c>
      <c r="C51" s="238" t="s">
        <v>932</v>
      </c>
    </row>
    <row r="52" ht="15.75" customHeight="1">
      <c r="A52" s="238"/>
      <c r="B52" s="237" t="s">
        <v>933</v>
      </c>
      <c r="C52" s="238" t="s">
        <v>934</v>
      </c>
    </row>
    <row r="53" ht="15.75" customHeight="1">
      <c r="A53" s="238" t="s">
        <v>998</v>
      </c>
      <c r="B53" s="237" t="s">
        <v>935</v>
      </c>
      <c r="C53" s="238" t="s">
        <v>936</v>
      </c>
    </row>
    <row r="54" ht="15.75" customHeight="1">
      <c r="A54" s="238"/>
      <c r="B54" s="237" t="s">
        <v>937</v>
      </c>
      <c r="C54" s="238" t="s">
        <v>938</v>
      </c>
    </row>
    <row r="55" ht="15.75" customHeight="1">
      <c r="A55" s="244" t="s">
        <v>1000</v>
      </c>
      <c r="B55" s="168" t="s">
        <v>939</v>
      </c>
      <c r="C55" s="244" t="s">
        <v>941</v>
      </c>
    </row>
    <row r="56" ht="15.75" customHeight="1">
      <c r="A56" s="244" t="s">
        <v>1001</v>
      </c>
      <c r="B56" s="168" t="s">
        <v>942</v>
      </c>
      <c r="C56" s="244" t="s">
        <v>943</v>
      </c>
    </row>
    <row r="57" ht="15.75" customHeight="1">
      <c r="A57" s="244" t="s">
        <v>1002</v>
      </c>
      <c r="B57" s="168" t="s">
        <v>944</v>
      </c>
      <c r="C57" s="244" t="s">
        <v>945</v>
      </c>
    </row>
    <row r="58" ht="15.75" customHeight="1">
      <c r="A58" s="244" t="s">
        <v>1003</v>
      </c>
      <c r="B58" s="168" t="s">
        <v>946</v>
      </c>
      <c r="C58" s="244" t="s">
        <v>947</v>
      </c>
    </row>
    <row r="59" ht="15.75" customHeight="1">
      <c r="A59" s="250" t="s">
        <v>36</v>
      </c>
      <c r="B59" s="170" t="s">
        <v>948</v>
      </c>
      <c r="C59" s="250" t="s">
        <v>37</v>
      </c>
    </row>
    <row r="60" ht="15.75" customHeight="1">
      <c r="A60" s="250" t="s">
        <v>44</v>
      </c>
      <c r="B60" s="170" t="s">
        <v>951</v>
      </c>
      <c r="C60" s="250" t="s">
        <v>45</v>
      </c>
    </row>
    <row r="61" ht="15.75" customHeight="1">
      <c r="A61" s="250"/>
      <c r="B61" s="170" t="s">
        <v>952</v>
      </c>
      <c r="C61" s="250" t="s">
        <v>953</v>
      </c>
    </row>
    <row r="62" ht="15.75" customHeight="1">
      <c r="A62" s="250" t="s">
        <v>51</v>
      </c>
      <c r="B62" s="170" t="s">
        <v>955</v>
      </c>
      <c r="C62" s="250" t="s">
        <v>52</v>
      </c>
    </row>
    <row r="63" ht="15.75" customHeight="1">
      <c r="A63" s="250" t="s">
        <v>65</v>
      </c>
      <c r="B63" s="170" t="s">
        <v>956</v>
      </c>
      <c r="C63" s="250" t="s">
        <v>66</v>
      </c>
    </row>
    <row r="64" ht="15.75" customHeight="1">
      <c r="A64" s="250" t="s">
        <v>70</v>
      </c>
      <c r="B64" s="170" t="s">
        <v>972</v>
      </c>
      <c r="C64" s="250" t="s">
        <v>71</v>
      </c>
    </row>
    <row r="65" ht="15.75" customHeight="1">
      <c r="A65" s="250"/>
      <c r="B65" s="170" t="s">
        <v>999</v>
      </c>
      <c r="C65" s="250" t="s">
        <v>46</v>
      </c>
    </row>
    <row r="66" ht="15.75" customHeight="1">
      <c r="A66" s="250" t="s">
        <v>73</v>
      </c>
      <c r="B66" s="170" t="s">
        <v>1004</v>
      </c>
      <c r="C66" s="250" t="s">
        <v>74</v>
      </c>
    </row>
    <row r="67" ht="15.75" customHeight="1">
      <c r="A67" s="250" t="s">
        <v>75</v>
      </c>
      <c r="B67" s="170" t="s">
        <v>1005</v>
      </c>
      <c r="C67" s="250" t="s">
        <v>76</v>
      </c>
    </row>
    <row r="68" ht="15.75" customHeight="1">
      <c r="A68" s="250" t="s">
        <v>79</v>
      </c>
      <c r="B68" s="170" t="s">
        <v>1006</v>
      </c>
      <c r="C68" s="250" t="s">
        <v>80</v>
      </c>
    </row>
    <row r="69" ht="15.75" customHeight="1">
      <c r="A69" s="250" t="s">
        <v>82</v>
      </c>
      <c r="B69" s="170" t="s">
        <v>1007</v>
      </c>
      <c r="C69" s="250" t="s">
        <v>83</v>
      </c>
    </row>
    <row r="70" ht="15.75" customHeight="1">
      <c r="A70" s="250" t="s">
        <v>88</v>
      </c>
      <c r="B70" s="170" t="s">
        <v>1008</v>
      </c>
      <c r="C70" s="250" t="s">
        <v>89</v>
      </c>
    </row>
    <row r="71" ht="15.75" customHeight="1">
      <c r="A71" s="250" t="s">
        <v>92</v>
      </c>
      <c r="B71" s="170" t="s">
        <v>1009</v>
      </c>
      <c r="C71" s="250" t="s">
        <v>93</v>
      </c>
    </row>
    <row r="72" ht="15.75" customHeight="1">
      <c r="A72" s="250" t="s">
        <v>95</v>
      </c>
      <c r="B72" s="170" t="s">
        <v>1010</v>
      </c>
      <c r="C72" s="250" t="s">
        <v>96</v>
      </c>
    </row>
    <row r="73" ht="15.75" customHeight="1">
      <c r="A73" s="250" t="s">
        <v>100</v>
      </c>
      <c r="B73" s="170" t="s">
        <v>1011</v>
      </c>
      <c r="C73" s="250" t="s">
        <v>101</v>
      </c>
    </row>
    <row r="74" ht="15.75" customHeight="1">
      <c r="A74" s="250" t="s">
        <v>105</v>
      </c>
      <c r="B74" s="170" t="s">
        <v>1012</v>
      </c>
      <c r="C74" s="250" t="s">
        <v>106</v>
      </c>
    </row>
    <row r="75" ht="15.75" customHeight="1">
      <c r="A75" s="250" t="s">
        <v>134</v>
      </c>
      <c r="B75" s="170" t="s">
        <v>1012</v>
      </c>
      <c r="C75" s="250" t="s">
        <v>106</v>
      </c>
    </row>
    <row r="76" ht="15.75" customHeight="1">
      <c r="A76" s="250" t="s">
        <v>137</v>
      </c>
      <c r="B76" s="170" t="s">
        <v>1013</v>
      </c>
      <c r="C76" s="250" t="s">
        <v>138</v>
      </c>
    </row>
    <row r="77" ht="15.75" customHeight="1">
      <c r="A77" s="250" t="s">
        <v>140</v>
      </c>
      <c r="B77" s="170" t="s">
        <v>1012</v>
      </c>
      <c r="C77" s="250" t="s">
        <v>106</v>
      </c>
    </row>
    <row r="78" ht="15.75" customHeight="1">
      <c r="A78" s="250" t="s">
        <v>144</v>
      </c>
      <c r="B78" s="170" t="s">
        <v>1014</v>
      </c>
      <c r="C78" s="250" t="s">
        <v>145</v>
      </c>
    </row>
    <row r="79" ht="15.75" customHeight="1">
      <c r="A79" s="250" t="s">
        <v>163</v>
      </c>
      <c r="B79" s="170" t="s">
        <v>1015</v>
      </c>
      <c r="C79" s="250" t="s">
        <v>164</v>
      </c>
    </row>
    <row r="80" ht="15.75" customHeight="1">
      <c r="A80" s="250" t="s">
        <v>167</v>
      </c>
      <c r="B80" s="170" t="s">
        <v>1016</v>
      </c>
      <c r="C80" s="250" t="s">
        <v>168</v>
      </c>
    </row>
    <row r="81" ht="15.75" customHeight="1">
      <c r="A81" s="250" t="s">
        <v>171</v>
      </c>
      <c r="B81" s="170" t="s">
        <v>1017</v>
      </c>
      <c r="C81" s="250" t="s">
        <v>172</v>
      </c>
    </row>
    <row r="82" ht="15.75" customHeight="1">
      <c r="A82" s="250" t="s">
        <v>175</v>
      </c>
      <c r="B82" s="170" t="s">
        <v>1018</v>
      </c>
      <c r="C82" s="250" t="s">
        <v>1019</v>
      </c>
    </row>
    <row r="83" ht="15.75" customHeight="1">
      <c r="A83" s="250" t="s">
        <v>178</v>
      </c>
      <c r="B83" s="170" t="s">
        <v>1020</v>
      </c>
      <c r="C83" s="250" t="s">
        <v>179</v>
      </c>
    </row>
    <row r="84" ht="15.75" customHeight="1">
      <c r="A84" s="250" t="s">
        <v>197</v>
      </c>
      <c r="B84" s="170" t="s">
        <v>1021</v>
      </c>
      <c r="C84" s="250" t="s">
        <v>198</v>
      </c>
    </row>
    <row r="85" ht="15.75" customHeight="1">
      <c r="A85" s="250" t="s">
        <v>215</v>
      </c>
      <c r="B85" s="170" t="s">
        <v>1022</v>
      </c>
      <c r="C85" s="250" t="s">
        <v>216</v>
      </c>
    </row>
    <row r="86" ht="15.75" customHeight="1">
      <c r="A86" s="250"/>
      <c r="B86" s="170" t="s">
        <v>1023</v>
      </c>
      <c r="C86" s="250" t="s">
        <v>1024</v>
      </c>
    </row>
    <row r="87" ht="15.75" customHeight="1">
      <c r="A87" s="250" t="s">
        <v>238</v>
      </c>
      <c r="B87" s="170" t="s">
        <v>1025</v>
      </c>
      <c r="C87" s="250" t="s">
        <v>239</v>
      </c>
    </row>
    <row r="88" ht="15.75" customHeight="1">
      <c r="A88" s="250" t="s">
        <v>240</v>
      </c>
      <c r="B88" s="170" t="s">
        <v>1026</v>
      </c>
      <c r="C88" s="250" t="s">
        <v>241</v>
      </c>
    </row>
    <row r="89" ht="15.75" customHeight="1">
      <c r="A89" s="250" t="s">
        <v>243</v>
      </c>
      <c r="B89" s="170" t="s">
        <v>1027</v>
      </c>
      <c r="C89" s="250" t="s">
        <v>244</v>
      </c>
    </row>
    <row r="90" ht="15.75" customHeight="1">
      <c r="A90" s="250" t="s">
        <v>247</v>
      </c>
      <c r="B90" s="170" t="s">
        <v>1028</v>
      </c>
      <c r="C90" s="250" t="s">
        <v>248</v>
      </c>
    </row>
    <row r="91" ht="15.75" customHeight="1">
      <c r="A91" s="250" t="s">
        <v>251</v>
      </c>
      <c r="B91" s="170" t="s">
        <v>1029</v>
      </c>
      <c r="C91" s="250" t="s">
        <v>252</v>
      </c>
    </row>
    <row r="92" ht="15.75" customHeight="1">
      <c r="A92" s="250" t="s">
        <v>253</v>
      </c>
      <c r="B92" s="170" t="s">
        <v>1030</v>
      </c>
      <c r="C92" s="250" t="s">
        <v>254</v>
      </c>
    </row>
    <row r="93" ht="15.75" customHeight="1">
      <c r="A93" s="250" t="s">
        <v>276</v>
      </c>
      <c r="B93" s="170" t="s">
        <v>1031</v>
      </c>
      <c r="C93" s="250" t="s">
        <v>277</v>
      </c>
    </row>
    <row r="94" ht="15.75" customHeight="1">
      <c r="A94" s="250" t="s">
        <v>355</v>
      </c>
      <c r="B94" s="170" t="s">
        <v>1032</v>
      </c>
      <c r="C94" s="250" t="s">
        <v>356</v>
      </c>
    </row>
    <row r="95" ht="15.75" customHeight="1">
      <c r="A95" s="244" t="s">
        <v>288</v>
      </c>
      <c r="B95" s="168" t="s">
        <v>1033</v>
      </c>
      <c r="C95" s="244" t="s">
        <v>289</v>
      </c>
    </row>
    <row r="96" ht="15.75" customHeight="1">
      <c r="A96" s="244" t="s">
        <v>300</v>
      </c>
      <c r="B96" s="168" t="s">
        <v>1034</v>
      </c>
      <c r="C96" s="244" t="s">
        <v>301</v>
      </c>
    </row>
    <row r="97" ht="15.75" customHeight="1">
      <c r="A97" s="244" t="s">
        <v>304</v>
      </c>
      <c r="B97" s="168" t="s">
        <v>1034</v>
      </c>
      <c r="C97" s="244" t="s">
        <v>307</v>
      </c>
    </row>
    <row r="98" ht="15.75" customHeight="1">
      <c r="A98" s="244" t="s">
        <v>306</v>
      </c>
      <c r="B98" s="168" t="s">
        <v>1034</v>
      </c>
      <c r="C98" s="244" t="s">
        <v>307</v>
      </c>
    </row>
    <row r="99" ht="15.75" customHeight="1">
      <c r="A99" s="244" t="s">
        <v>308</v>
      </c>
      <c r="B99" s="168" t="s">
        <v>1035</v>
      </c>
      <c r="C99" s="244" t="s">
        <v>309</v>
      </c>
    </row>
    <row r="100" ht="15.75" customHeight="1">
      <c r="A100" s="244" t="s">
        <v>327</v>
      </c>
      <c r="B100" s="168" t="s">
        <v>1035</v>
      </c>
      <c r="C100" s="244" t="s">
        <v>328</v>
      </c>
    </row>
    <row r="101" ht="15.75" customHeight="1">
      <c r="A101" s="244" t="s">
        <v>330</v>
      </c>
      <c r="B101" s="168" t="s">
        <v>1035</v>
      </c>
      <c r="C101" s="244" t="s">
        <v>331</v>
      </c>
    </row>
    <row r="102" ht="15.75" customHeight="1">
      <c r="A102" s="244" t="s">
        <v>339</v>
      </c>
      <c r="B102" s="168" t="s">
        <v>1036</v>
      </c>
      <c r="C102" s="244" t="s">
        <v>340</v>
      </c>
    </row>
    <row r="103" ht="15.75" customHeight="1">
      <c r="A103" s="244" t="s">
        <v>342</v>
      </c>
      <c r="B103" s="168" t="s">
        <v>1037</v>
      </c>
      <c r="C103" s="244" t="s">
        <v>343</v>
      </c>
    </row>
    <row r="104" ht="15.75" customHeight="1">
      <c r="A104" s="244" t="s">
        <v>362</v>
      </c>
      <c r="B104" s="168" t="s">
        <v>1038</v>
      </c>
      <c r="C104" s="244" t="s">
        <v>363</v>
      </c>
    </row>
    <row r="105" ht="15.75" customHeight="1">
      <c r="A105" s="244" t="s">
        <v>368</v>
      </c>
      <c r="B105" s="168" t="s">
        <v>1039</v>
      </c>
      <c r="C105" s="244" t="s">
        <v>369</v>
      </c>
    </row>
    <row r="106" ht="15.75" customHeight="1">
      <c r="A106" s="244" t="s">
        <v>373</v>
      </c>
      <c r="B106" s="168" t="s">
        <v>1040</v>
      </c>
      <c r="C106" s="244" t="s">
        <v>374</v>
      </c>
    </row>
    <row r="107" ht="15.75" customHeight="1">
      <c r="A107" s="244" t="s">
        <v>375</v>
      </c>
      <c r="B107" s="168" t="s">
        <v>1041</v>
      </c>
      <c r="C107" s="244" t="s">
        <v>376</v>
      </c>
    </row>
    <row r="108" ht="15.75" customHeight="1">
      <c r="A108" s="244" t="s">
        <v>377</v>
      </c>
      <c r="B108" s="168" t="s">
        <v>1042</v>
      </c>
      <c r="C108" s="244" t="s">
        <v>1043</v>
      </c>
    </row>
    <row r="109" ht="15.75" customHeight="1">
      <c r="A109" s="244" t="s">
        <v>383</v>
      </c>
      <c r="B109" s="168" t="s">
        <v>1044</v>
      </c>
      <c r="C109" s="244" t="s">
        <v>384</v>
      </c>
    </row>
    <row r="110" ht="15.75" customHeight="1">
      <c r="A110" s="244" t="s">
        <v>389</v>
      </c>
      <c r="B110" s="168" t="s">
        <v>1045</v>
      </c>
      <c r="C110" s="244" t="s">
        <v>390</v>
      </c>
    </row>
    <row r="111" ht="15.75" customHeight="1">
      <c r="A111" s="244" t="s">
        <v>391</v>
      </c>
      <c r="B111" s="168" t="s">
        <v>1046</v>
      </c>
      <c r="C111" s="244" t="s">
        <v>392</v>
      </c>
    </row>
    <row r="112" ht="15.75" customHeight="1">
      <c r="A112" s="244" t="s">
        <v>395</v>
      </c>
      <c r="B112" s="168" t="s">
        <v>1047</v>
      </c>
      <c r="C112" s="244" t="s">
        <v>396</v>
      </c>
    </row>
    <row r="113" ht="15.75" customHeight="1">
      <c r="A113" s="244" t="s">
        <v>397</v>
      </c>
      <c r="B113" s="168" t="s">
        <v>1048</v>
      </c>
      <c r="C113" s="244" t="s">
        <v>398</v>
      </c>
    </row>
    <row r="114" ht="15.75" customHeight="1">
      <c r="A114" s="244" t="s">
        <v>401</v>
      </c>
      <c r="B114" s="168" t="s">
        <v>1049</v>
      </c>
      <c r="C114" s="244" t="s">
        <v>402</v>
      </c>
    </row>
    <row r="115" ht="15.75" customHeight="1">
      <c r="A115" s="244"/>
      <c r="B115" s="168" t="s">
        <v>1050</v>
      </c>
      <c r="C115" s="244" t="s">
        <v>1051</v>
      </c>
    </row>
    <row r="116" ht="15.75" customHeight="1">
      <c r="A116" s="244"/>
      <c r="B116" s="168" t="s">
        <v>1052</v>
      </c>
      <c r="C116" s="244" t="s">
        <v>1053</v>
      </c>
    </row>
    <row r="117" ht="15.75" customHeight="1">
      <c r="A117" s="244" t="s">
        <v>420</v>
      </c>
      <c r="B117" s="168" t="s">
        <v>1054</v>
      </c>
      <c r="C117" s="244" t="s">
        <v>421</v>
      </c>
    </row>
    <row r="118" ht="15.75" customHeight="1">
      <c r="A118" s="244" t="s">
        <v>433</v>
      </c>
      <c r="B118" s="168" t="s">
        <v>1055</v>
      </c>
      <c r="C118" s="244" t="s">
        <v>434</v>
      </c>
    </row>
    <row r="119" ht="15.75" customHeight="1">
      <c r="A119" s="244" t="s">
        <v>435</v>
      </c>
      <c r="B119" s="168" t="s">
        <v>1055</v>
      </c>
      <c r="C119" s="244" t="s">
        <v>434</v>
      </c>
    </row>
    <row r="120" ht="15.75" customHeight="1">
      <c r="A120" s="244" t="s">
        <v>439</v>
      </c>
      <c r="B120" s="168" t="s">
        <v>1056</v>
      </c>
      <c r="C120" s="244" t="s">
        <v>440</v>
      </c>
    </row>
    <row r="121" ht="15.75" customHeight="1">
      <c r="A121" s="244" t="s">
        <v>441</v>
      </c>
      <c r="B121" s="168" t="s">
        <v>1057</v>
      </c>
      <c r="C121" s="244" t="s">
        <v>440</v>
      </c>
    </row>
    <row r="122" ht="15.75" customHeight="1">
      <c r="A122" s="244" t="s">
        <v>443</v>
      </c>
      <c r="B122" s="168" t="s">
        <v>1058</v>
      </c>
      <c r="C122" s="244" t="s">
        <v>444</v>
      </c>
    </row>
    <row r="123" ht="15.75" customHeight="1">
      <c r="A123" s="244" t="s">
        <v>445</v>
      </c>
      <c r="B123" s="168" t="s">
        <v>1059</v>
      </c>
      <c r="C123" s="244" t="s">
        <v>1060</v>
      </c>
    </row>
    <row r="124" ht="15.75" customHeight="1">
      <c r="A124" s="244" t="s">
        <v>453</v>
      </c>
      <c r="B124" s="168" t="s">
        <v>1061</v>
      </c>
      <c r="C124" s="244" t="s">
        <v>454</v>
      </c>
    </row>
    <row r="125" ht="15.75" customHeight="1">
      <c r="A125" s="244" t="s">
        <v>455</v>
      </c>
      <c r="B125" s="168" t="s">
        <v>1062</v>
      </c>
      <c r="C125" s="244" t="s">
        <v>1063</v>
      </c>
    </row>
    <row r="126" ht="15.75" customHeight="1">
      <c r="A126" s="244" t="s">
        <v>459</v>
      </c>
      <c r="B126" s="168" t="s">
        <v>1064</v>
      </c>
      <c r="C126" s="244" t="s">
        <v>460</v>
      </c>
    </row>
    <row r="127" ht="15.75" customHeight="1">
      <c r="A127" s="244" t="s">
        <v>461</v>
      </c>
      <c r="B127" s="168" t="s">
        <v>1065</v>
      </c>
      <c r="C127" s="244" t="s">
        <v>1066</v>
      </c>
    </row>
    <row r="128" ht="15.75" customHeight="1">
      <c r="A128" s="244" t="s">
        <v>463</v>
      </c>
      <c r="B128" s="168" t="s">
        <v>1067</v>
      </c>
      <c r="C128" s="244" t="s">
        <v>464</v>
      </c>
    </row>
    <row r="129" ht="15.75" customHeight="1">
      <c r="A129" s="244" t="s">
        <v>465</v>
      </c>
      <c r="B129" s="168" t="s">
        <v>1068</v>
      </c>
      <c r="C129" s="244" t="s">
        <v>1069</v>
      </c>
    </row>
    <row r="130" ht="15.75" customHeight="1">
      <c r="A130" s="244" t="s">
        <v>471</v>
      </c>
      <c r="B130" s="168" t="s">
        <v>1070</v>
      </c>
      <c r="C130" s="244" t="s">
        <v>472</v>
      </c>
    </row>
    <row r="131" ht="15.75" customHeight="1">
      <c r="A131" s="244" t="s">
        <v>479</v>
      </c>
      <c r="B131" s="168" t="s">
        <v>1071</v>
      </c>
      <c r="C131" s="244" t="s">
        <v>480</v>
      </c>
    </row>
    <row r="132" ht="15.75" customHeight="1">
      <c r="A132" s="244" t="s">
        <v>481</v>
      </c>
      <c r="B132" s="168" t="s">
        <v>1072</v>
      </c>
      <c r="C132" s="244" t="s">
        <v>482</v>
      </c>
    </row>
    <row r="133" ht="15.75" customHeight="1">
      <c r="A133" s="244" t="s">
        <v>473</v>
      </c>
      <c r="B133" s="168" t="s">
        <v>1072</v>
      </c>
      <c r="C133" s="244" t="s">
        <v>482</v>
      </c>
    </row>
    <row r="134" ht="15.75" customHeight="1">
      <c r="A134" s="244" t="s">
        <v>483</v>
      </c>
      <c r="B134" s="168" t="s">
        <v>1073</v>
      </c>
      <c r="C134" s="244" t="s">
        <v>484</v>
      </c>
    </row>
    <row r="135" ht="15.75" customHeight="1">
      <c r="A135" s="244" t="s">
        <v>485</v>
      </c>
      <c r="B135" s="168" t="s">
        <v>1074</v>
      </c>
      <c r="C135" s="244" t="s">
        <v>486</v>
      </c>
    </row>
    <row r="136" ht="15.75" customHeight="1">
      <c r="A136" s="244" t="s">
        <v>489</v>
      </c>
      <c r="B136" s="168" t="s">
        <v>1075</v>
      </c>
      <c r="C136" s="244" t="s">
        <v>177</v>
      </c>
    </row>
    <row r="137" ht="15.75" customHeight="1">
      <c r="A137" s="244" t="s">
        <v>492</v>
      </c>
      <c r="B137" s="168" t="s">
        <v>1076</v>
      </c>
      <c r="C137" s="244" t="s">
        <v>146</v>
      </c>
    </row>
    <row r="138" ht="15.75" customHeight="1">
      <c r="A138" s="244" t="s">
        <v>493</v>
      </c>
      <c r="B138" s="168" t="s">
        <v>1077</v>
      </c>
      <c r="C138" s="244" t="s">
        <v>146</v>
      </c>
    </row>
    <row r="139" ht="15.75" customHeight="1">
      <c r="A139" s="244" t="s">
        <v>494</v>
      </c>
      <c r="B139" s="168" t="s">
        <v>1078</v>
      </c>
      <c r="C139" s="244" t="s">
        <v>146</v>
      </c>
    </row>
    <row r="140" ht="15.75" customHeight="1">
      <c r="A140" s="244" t="s">
        <v>495</v>
      </c>
      <c r="B140" s="168" t="s">
        <v>1079</v>
      </c>
      <c r="C140" s="244" t="s">
        <v>496</v>
      </c>
    </row>
    <row r="141" ht="15.75" customHeight="1">
      <c r="A141" s="244"/>
      <c r="B141" s="168" t="s">
        <v>1080</v>
      </c>
      <c r="C141" s="244" t="s">
        <v>1081</v>
      </c>
    </row>
    <row r="142" ht="15.75" customHeight="1">
      <c r="A142" s="244" t="s">
        <v>498</v>
      </c>
      <c r="B142" s="168" t="s">
        <v>1082</v>
      </c>
      <c r="C142" s="244" t="s">
        <v>496</v>
      </c>
    </row>
    <row r="143" ht="15.75" customHeight="1">
      <c r="A143" s="244" t="s">
        <v>499</v>
      </c>
      <c r="B143" s="168" t="s">
        <v>1083</v>
      </c>
      <c r="C143" s="244" t="s">
        <v>500</v>
      </c>
    </row>
    <row r="144" ht="15.75" customHeight="1">
      <c r="A144" s="244" t="s">
        <v>501</v>
      </c>
      <c r="B144" s="168" t="s">
        <v>1075</v>
      </c>
      <c r="C144" s="244" t="s">
        <v>1085</v>
      </c>
    </row>
    <row r="145" ht="15.75" customHeight="1">
      <c r="A145" s="244" t="s">
        <v>502</v>
      </c>
      <c r="B145" s="168" t="s">
        <v>1086</v>
      </c>
      <c r="C145" s="244" t="s">
        <v>503</v>
      </c>
    </row>
    <row r="146" ht="15.75" customHeight="1">
      <c r="A146" s="244" t="s">
        <v>504</v>
      </c>
      <c r="B146" s="168" t="s">
        <v>1087</v>
      </c>
      <c r="C146" s="244" t="s">
        <v>505</v>
      </c>
    </row>
    <row r="147" ht="15.75" customHeight="1">
      <c r="A147" s="244" t="s">
        <v>506</v>
      </c>
      <c r="B147" s="168" t="s">
        <v>1088</v>
      </c>
      <c r="C147" s="244" t="s">
        <v>507</v>
      </c>
    </row>
    <row r="148" ht="15.75" customHeight="1">
      <c r="A148" s="244" t="s">
        <v>508</v>
      </c>
      <c r="B148" s="168" t="s">
        <v>1089</v>
      </c>
      <c r="C148" s="244" t="s">
        <v>509</v>
      </c>
    </row>
    <row r="149" ht="15.75" customHeight="1">
      <c r="A149" s="244" t="s">
        <v>510</v>
      </c>
      <c r="B149" s="168" t="s">
        <v>1092</v>
      </c>
      <c r="C149" s="244" t="s">
        <v>56</v>
      </c>
    </row>
    <row r="150" ht="15.75" customHeight="1">
      <c r="A150" s="244" t="s">
        <v>513</v>
      </c>
      <c r="B150" s="168" t="s">
        <v>1093</v>
      </c>
      <c r="C150" s="244" t="s">
        <v>514</v>
      </c>
    </row>
    <row r="151" ht="15.75" customHeight="1">
      <c r="A151" s="244" t="s">
        <v>515</v>
      </c>
      <c r="B151" s="168" t="s">
        <v>1095</v>
      </c>
      <c r="C151" s="244" t="s">
        <v>516</v>
      </c>
    </row>
    <row r="152" ht="15.75" customHeight="1">
      <c r="A152" s="244" t="s">
        <v>517</v>
      </c>
      <c r="B152" s="168" t="s">
        <v>1096</v>
      </c>
      <c r="C152" s="244" t="s">
        <v>518</v>
      </c>
    </row>
    <row r="153" ht="15.75" customHeight="1">
      <c r="A153" s="244" t="s">
        <v>521</v>
      </c>
      <c r="B153" s="168" t="s">
        <v>1099</v>
      </c>
      <c r="C153" s="244" t="s">
        <v>522</v>
      </c>
    </row>
    <row r="154" ht="15.75" customHeight="1">
      <c r="A154" s="244" t="s">
        <v>523</v>
      </c>
      <c r="B154" s="168" t="s">
        <v>1100</v>
      </c>
      <c r="C154" s="244" t="s">
        <v>542</v>
      </c>
    </row>
    <row r="155" ht="15.75" customHeight="1">
      <c r="A155" s="244" t="s">
        <v>525</v>
      </c>
      <c r="B155" s="168" t="s">
        <v>1100</v>
      </c>
      <c r="C155" s="244" t="s">
        <v>542</v>
      </c>
    </row>
    <row r="156" ht="15.75" customHeight="1">
      <c r="A156" s="244" t="s">
        <v>527</v>
      </c>
      <c r="B156" s="168" t="s">
        <v>1102</v>
      </c>
      <c r="C156" s="244" t="s">
        <v>528</v>
      </c>
    </row>
    <row r="157" ht="15.75" customHeight="1">
      <c r="A157" s="244" t="s">
        <v>531</v>
      </c>
      <c r="B157" s="168" t="s">
        <v>1103</v>
      </c>
      <c r="C157" s="244" t="s">
        <v>532</v>
      </c>
    </row>
    <row r="158" ht="15.75" customHeight="1">
      <c r="A158" s="244" t="s">
        <v>533</v>
      </c>
      <c r="B158" s="168" t="s">
        <v>1104</v>
      </c>
      <c r="C158" s="244" t="s">
        <v>534</v>
      </c>
    </row>
    <row r="159" ht="15.75" customHeight="1">
      <c r="A159" s="244" t="s">
        <v>541</v>
      </c>
      <c r="B159" s="168" t="s">
        <v>1100</v>
      </c>
      <c r="C159" s="244" t="s">
        <v>542</v>
      </c>
    </row>
    <row r="160" ht="15.75" customHeight="1">
      <c r="A160" s="244" t="s">
        <v>543</v>
      </c>
      <c r="B160" s="168" t="s">
        <v>1106</v>
      </c>
      <c r="C160" s="244" t="s">
        <v>544</v>
      </c>
    </row>
    <row r="161" ht="15.75" customHeight="1">
      <c r="A161" s="244" t="s">
        <v>545</v>
      </c>
      <c r="B161" s="168" t="s">
        <v>1107</v>
      </c>
      <c r="C161" s="244" t="s">
        <v>161</v>
      </c>
    </row>
    <row r="162" ht="15.75" customHeight="1">
      <c r="A162" s="244" t="s">
        <v>546</v>
      </c>
      <c r="B162" s="168" t="s">
        <v>1109</v>
      </c>
      <c r="C162" s="244" t="s">
        <v>161</v>
      </c>
    </row>
    <row r="163" ht="15.75" customHeight="1">
      <c r="A163" s="244" t="s">
        <v>548</v>
      </c>
      <c r="B163" s="168" t="s">
        <v>1110</v>
      </c>
      <c r="C163" s="244" t="s">
        <v>549</v>
      </c>
    </row>
    <row r="164" ht="15.75" customHeight="1">
      <c r="A164" s="244" t="s">
        <v>579</v>
      </c>
      <c r="B164" s="168" t="s">
        <v>1111</v>
      </c>
      <c r="C164" s="244" t="s">
        <v>580</v>
      </c>
    </row>
    <row r="165" ht="15.75" customHeight="1">
      <c r="A165" s="244" t="s">
        <v>550</v>
      </c>
      <c r="B165" s="168" t="s">
        <v>1112</v>
      </c>
      <c r="C165" s="244" t="s">
        <v>551</v>
      </c>
    </row>
    <row r="166" ht="15.75" customHeight="1">
      <c r="A166" s="244" t="s">
        <v>552</v>
      </c>
      <c r="B166" s="168" t="s">
        <v>1113</v>
      </c>
      <c r="C166" s="244" t="s">
        <v>551</v>
      </c>
    </row>
    <row r="167" ht="15.75" customHeight="1">
      <c r="A167" s="244" t="s">
        <v>553</v>
      </c>
      <c r="B167" s="168" t="s">
        <v>1114</v>
      </c>
      <c r="C167" s="244" t="s">
        <v>551</v>
      </c>
    </row>
    <row r="168" ht="15.75" customHeight="1">
      <c r="A168" s="244" t="s">
        <v>558</v>
      </c>
      <c r="B168" s="168" t="s">
        <v>1115</v>
      </c>
      <c r="C168" s="244" t="s">
        <v>559</v>
      </c>
    </row>
    <row r="169" ht="15.75" customHeight="1">
      <c r="A169" s="244" t="s">
        <v>560</v>
      </c>
      <c r="B169" s="168" t="s">
        <v>1116</v>
      </c>
      <c r="C169" s="244" t="s">
        <v>559</v>
      </c>
    </row>
    <row r="170" ht="15.75" customHeight="1">
      <c r="A170" s="244" t="s">
        <v>561</v>
      </c>
      <c r="B170" s="168" t="s">
        <v>1117</v>
      </c>
      <c r="C170" s="244" t="s">
        <v>562</v>
      </c>
    </row>
    <row r="171" ht="15.75" customHeight="1">
      <c r="A171" s="244" t="s">
        <v>563</v>
      </c>
      <c r="B171" s="168" t="s">
        <v>1118</v>
      </c>
      <c r="C171" s="244" t="s">
        <v>564</v>
      </c>
    </row>
    <row r="172" ht="15.75" customHeight="1">
      <c r="A172" s="244" t="s">
        <v>569</v>
      </c>
      <c r="B172" s="168" t="s">
        <v>1119</v>
      </c>
      <c r="C172" s="244" t="s">
        <v>570</v>
      </c>
    </row>
    <row r="173" ht="15.75" customHeight="1">
      <c r="A173" s="244" t="s">
        <v>571</v>
      </c>
      <c r="B173" s="168" t="s">
        <v>1121</v>
      </c>
      <c r="C173" s="244" t="s">
        <v>570</v>
      </c>
    </row>
    <row r="174" ht="15.75" customHeight="1">
      <c r="A174" s="244" t="s">
        <v>572</v>
      </c>
      <c r="B174" s="168" t="s">
        <v>1122</v>
      </c>
      <c r="C174" s="244" t="s">
        <v>570</v>
      </c>
    </row>
    <row r="175" ht="15.75" customHeight="1">
      <c r="A175" s="244" t="s">
        <v>573</v>
      </c>
      <c r="B175" s="168" t="s">
        <v>1124</v>
      </c>
      <c r="C175" s="244" t="s">
        <v>574</v>
      </c>
    </row>
    <row r="176" ht="15.75" customHeight="1">
      <c r="A176" s="244" t="s">
        <v>1125</v>
      </c>
      <c r="B176" s="168" t="s">
        <v>1126</v>
      </c>
      <c r="C176" s="244" t="s">
        <v>154</v>
      </c>
    </row>
    <row r="177" ht="15.75" customHeight="1">
      <c r="A177" s="244" t="s">
        <v>575</v>
      </c>
      <c r="B177" s="168" t="s">
        <v>1126</v>
      </c>
      <c r="C177" s="244" t="s">
        <v>154</v>
      </c>
    </row>
    <row r="178" ht="15.75" customHeight="1">
      <c r="A178" s="244" t="s">
        <v>576</v>
      </c>
      <c r="B178" s="168" t="s">
        <v>1128</v>
      </c>
      <c r="C178" s="244" t="s">
        <v>577</v>
      </c>
    </row>
    <row r="179" ht="15.75" customHeight="1">
      <c r="A179" s="244" t="s">
        <v>578</v>
      </c>
      <c r="B179" s="168" t="s">
        <v>1129</v>
      </c>
      <c r="C179" s="244" t="s">
        <v>577</v>
      </c>
    </row>
    <row r="180" ht="15.75" customHeight="1">
      <c r="A180" s="244" t="s">
        <v>582</v>
      </c>
      <c r="B180" s="168" t="s">
        <v>1131</v>
      </c>
      <c r="C180" s="244" t="s">
        <v>583</v>
      </c>
    </row>
    <row r="181" ht="15.75" customHeight="1">
      <c r="A181" s="244" t="s">
        <v>584</v>
      </c>
      <c r="B181" s="168" t="s">
        <v>1132</v>
      </c>
      <c r="C181" s="244" t="s">
        <v>583</v>
      </c>
    </row>
    <row r="182" ht="15.75" customHeight="1">
      <c r="A182" s="244" t="s">
        <v>585</v>
      </c>
      <c r="B182" s="168" t="s">
        <v>1134</v>
      </c>
      <c r="C182" s="244" t="s">
        <v>583</v>
      </c>
    </row>
    <row r="183" ht="15.75" customHeight="1">
      <c r="A183" s="244" t="s">
        <v>590</v>
      </c>
      <c r="B183" s="168" t="s">
        <v>1135</v>
      </c>
      <c r="C183" s="244" t="s">
        <v>591</v>
      </c>
    </row>
    <row r="184" ht="15.75" customHeight="1">
      <c r="A184" s="244" t="s">
        <v>595</v>
      </c>
      <c r="B184" s="168" t="s">
        <v>1138</v>
      </c>
      <c r="C184" s="244" t="s">
        <v>596</v>
      </c>
    </row>
    <row r="185" ht="15.75" customHeight="1">
      <c r="A185" s="244" t="s">
        <v>597</v>
      </c>
      <c r="B185" s="168" t="s">
        <v>1139</v>
      </c>
      <c r="C185" s="244" t="s">
        <v>596</v>
      </c>
    </row>
    <row r="186" ht="15.75" customHeight="1">
      <c r="A186" s="244" t="s">
        <v>598</v>
      </c>
      <c r="B186" s="168" t="s">
        <v>1141</v>
      </c>
      <c r="C186" s="244" t="s">
        <v>596</v>
      </c>
    </row>
    <row r="187" ht="15.75" customHeight="1">
      <c r="A187" s="244" t="s">
        <v>599</v>
      </c>
      <c r="B187" s="168" t="s">
        <v>1142</v>
      </c>
      <c r="C187" s="244" t="s">
        <v>600</v>
      </c>
    </row>
    <row r="188" ht="15.75" customHeight="1">
      <c r="A188" s="244" t="s">
        <v>602</v>
      </c>
      <c r="B188" s="168" t="s">
        <v>1144</v>
      </c>
      <c r="C188" s="244" t="s">
        <v>600</v>
      </c>
    </row>
    <row r="189" ht="15.75" customHeight="1">
      <c r="A189" s="244" t="s">
        <v>603</v>
      </c>
      <c r="B189" s="168" t="s">
        <v>1145</v>
      </c>
      <c r="C189" s="244" t="s">
        <v>600</v>
      </c>
    </row>
    <row r="190" ht="15.75" customHeight="1">
      <c r="A190" s="244" t="s">
        <v>612</v>
      </c>
      <c r="B190" s="168" t="s">
        <v>1147</v>
      </c>
      <c r="C190" s="244" t="s">
        <v>613</v>
      </c>
    </row>
    <row r="191" ht="15.75" customHeight="1">
      <c r="A191" s="244" t="s">
        <v>628</v>
      </c>
      <c r="B191" s="168" t="s">
        <v>1148</v>
      </c>
      <c r="C191" s="244" t="s">
        <v>629</v>
      </c>
    </row>
    <row r="192" ht="15.75" customHeight="1">
      <c r="A192" s="244" t="s">
        <v>630</v>
      </c>
      <c r="B192" s="168" t="s">
        <v>1149</v>
      </c>
      <c r="C192" s="244" t="s">
        <v>631</v>
      </c>
    </row>
    <row r="193" ht="15.75" customHeight="1">
      <c r="A193" s="244" t="s">
        <v>632</v>
      </c>
      <c r="B193" s="168" t="s">
        <v>1151</v>
      </c>
      <c r="C193" s="244" t="s">
        <v>633</v>
      </c>
    </row>
    <row r="194" ht="15.75" customHeight="1">
      <c r="A194" s="244" t="s">
        <v>634</v>
      </c>
      <c r="B194" s="168" t="s">
        <v>1152</v>
      </c>
      <c r="C194" s="244" t="s">
        <v>635</v>
      </c>
    </row>
    <row r="195" ht="15.75" customHeight="1">
      <c r="A195" s="244" t="s">
        <v>639</v>
      </c>
      <c r="B195" s="168" t="s">
        <v>1154</v>
      </c>
      <c r="C195" s="244" t="s">
        <v>640</v>
      </c>
    </row>
    <row r="196" ht="15.75" customHeight="1">
      <c r="A196" s="244" t="s">
        <v>642</v>
      </c>
      <c r="B196" s="168" t="s">
        <v>1155</v>
      </c>
      <c r="C196" s="244" t="s">
        <v>643</v>
      </c>
    </row>
    <row r="197" ht="15.75" customHeight="1">
      <c r="A197" s="244" t="s">
        <v>644</v>
      </c>
      <c r="B197" s="168" t="s">
        <v>1157</v>
      </c>
      <c r="C197" s="244" t="s">
        <v>643</v>
      </c>
    </row>
    <row r="198" ht="15.75" customHeight="1">
      <c r="A198" s="244" t="s">
        <v>648</v>
      </c>
      <c r="B198" s="168" t="s">
        <v>1158</v>
      </c>
      <c r="C198" s="244" t="s">
        <v>212</v>
      </c>
    </row>
    <row r="199" ht="15.75" customHeight="1">
      <c r="A199" s="244" t="s">
        <v>660</v>
      </c>
      <c r="B199" s="168" t="s">
        <v>1158</v>
      </c>
      <c r="C199" s="244" t="s">
        <v>212</v>
      </c>
    </row>
    <row r="200" ht="15.75" customHeight="1">
      <c r="A200" s="244" t="s">
        <v>664</v>
      </c>
      <c r="B200" s="168" t="s">
        <v>1158</v>
      </c>
      <c r="C200" s="244" t="s">
        <v>212</v>
      </c>
    </row>
    <row r="201" ht="15.75" customHeight="1">
      <c r="A201" s="244" t="s">
        <v>655</v>
      </c>
      <c r="B201" s="168" t="s">
        <v>1158</v>
      </c>
      <c r="C201" s="244" t="s">
        <v>212</v>
      </c>
    </row>
    <row r="202" ht="15.75" customHeight="1">
      <c r="A202" s="244" t="s">
        <v>668</v>
      </c>
      <c r="B202" s="168" t="s">
        <v>1160</v>
      </c>
      <c r="C202" s="244" t="s">
        <v>669</v>
      </c>
    </row>
    <row r="203" ht="15.75" customHeight="1">
      <c r="A203" s="244" t="s">
        <v>670</v>
      </c>
      <c r="B203" s="168" t="s">
        <v>1162</v>
      </c>
      <c r="C203" s="244" t="s">
        <v>671</v>
      </c>
    </row>
    <row r="204" ht="15.75" customHeight="1">
      <c r="A204" s="244" t="s">
        <v>672</v>
      </c>
      <c r="B204" s="168" t="s">
        <v>1163</v>
      </c>
      <c r="C204" s="244" t="s">
        <v>673</v>
      </c>
    </row>
    <row r="205" ht="15.75" customHeight="1">
      <c r="A205" s="244" t="s">
        <v>674</v>
      </c>
      <c r="B205" s="168" t="s">
        <v>1164</v>
      </c>
      <c r="C205" s="244" t="s">
        <v>675</v>
      </c>
    </row>
    <row r="206" ht="15.75" customHeight="1">
      <c r="A206" s="244" t="s">
        <v>676</v>
      </c>
      <c r="B206" s="168" t="s">
        <v>1165</v>
      </c>
      <c r="C206" s="244" t="s">
        <v>677</v>
      </c>
    </row>
    <row r="207" ht="15.75" customHeight="1">
      <c r="A207" s="244" t="s">
        <v>678</v>
      </c>
      <c r="B207" s="168" t="s">
        <v>1166</v>
      </c>
      <c r="C207" s="244" t="s">
        <v>255</v>
      </c>
    </row>
    <row r="208" ht="15.75" customHeight="1">
      <c r="A208" s="244" t="s">
        <v>679</v>
      </c>
      <c r="B208" s="168" t="s">
        <v>1167</v>
      </c>
      <c r="C208" s="244" t="s">
        <v>255</v>
      </c>
    </row>
    <row r="209" ht="15.75" customHeight="1">
      <c r="A209" s="244" t="s">
        <v>680</v>
      </c>
      <c r="B209" s="168" t="s">
        <v>1169</v>
      </c>
      <c r="C209" s="244" t="s">
        <v>681</v>
      </c>
    </row>
    <row r="210" ht="15.75" customHeight="1">
      <c r="A210" s="244" t="s">
        <v>682</v>
      </c>
      <c r="B210" s="168" t="s">
        <v>1172</v>
      </c>
      <c r="C210" s="244" t="s">
        <v>681</v>
      </c>
    </row>
    <row r="211" ht="15.75" customHeight="1">
      <c r="A211" s="244" t="s">
        <v>683</v>
      </c>
      <c r="B211" s="168" t="s">
        <v>1173</v>
      </c>
      <c r="C211" s="244" t="s">
        <v>681</v>
      </c>
    </row>
    <row r="212" ht="15.75" customHeight="1">
      <c r="A212" s="244" t="s">
        <v>684</v>
      </c>
      <c r="B212" s="168" t="s">
        <v>1174</v>
      </c>
      <c r="C212" s="244" t="s">
        <v>685</v>
      </c>
    </row>
    <row r="213" ht="15.75" customHeight="1">
      <c r="A213" s="244" t="s">
        <v>686</v>
      </c>
      <c r="B213" s="168" t="s">
        <v>1176</v>
      </c>
      <c r="C213" s="244" t="s">
        <v>685</v>
      </c>
    </row>
    <row r="214" ht="15.75" customHeight="1">
      <c r="A214" s="244" t="s">
        <v>687</v>
      </c>
      <c r="B214" s="168" t="s">
        <v>1177</v>
      </c>
      <c r="C214" s="244" t="s">
        <v>685</v>
      </c>
    </row>
    <row r="215" ht="15.75" customHeight="1">
      <c r="A215" s="244" t="s">
        <v>1178</v>
      </c>
      <c r="B215" s="168" t="s">
        <v>1174</v>
      </c>
      <c r="C215" s="244" t="s">
        <v>1180</v>
      </c>
    </row>
    <row r="216" ht="15.75" customHeight="1">
      <c r="A216" s="244" t="s">
        <v>692</v>
      </c>
      <c r="B216" s="168" t="s">
        <v>1181</v>
      </c>
      <c r="C216" s="244" t="s">
        <v>245</v>
      </c>
    </row>
    <row r="217" ht="15.75" customHeight="1">
      <c r="A217" s="244" t="s">
        <v>695</v>
      </c>
      <c r="B217" s="168" t="s">
        <v>1182</v>
      </c>
      <c r="C217" s="244" t="s">
        <v>249</v>
      </c>
    </row>
    <row r="218" ht="15.75" customHeight="1">
      <c r="A218" s="244" t="s">
        <v>696</v>
      </c>
      <c r="B218" s="168" t="s">
        <v>1184</v>
      </c>
      <c r="C218" s="244" t="s">
        <v>697</v>
      </c>
    </row>
    <row r="219" ht="15.75" customHeight="1">
      <c r="A219" s="244" t="s">
        <v>698</v>
      </c>
      <c r="B219" s="168" t="s">
        <v>1185</v>
      </c>
      <c r="C219" s="244" t="s">
        <v>699</v>
      </c>
    </row>
    <row r="220" ht="15.75" customHeight="1"/>
    <row r="221" ht="15.75" customHeight="1">
      <c r="A221" s="15" t="s">
        <v>77</v>
      </c>
      <c r="B221" s="14"/>
      <c r="C221" s="15" t="s">
        <v>1186</v>
      </c>
    </row>
    <row r="222" ht="15.75" customHeight="1"/>
    <row r="223" ht="15.75" customHeight="1">
      <c r="B223" s="8" t="s">
        <v>834</v>
      </c>
    </row>
    <row r="224" ht="15.75" customHeight="1">
      <c r="B224" s="8" t="s">
        <v>895</v>
      </c>
    </row>
    <row r="225" ht="15.75" customHeight="1">
      <c r="B225" s="8" t="s">
        <v>1187</v>
      </c>
    </row>
    <row r="226" ht="15.75" customHeight="1">
      <c r="B226" s="8" t="s">
        <v>1188</v>
      </c>
    </row>
    <row r="227" ht="15.75" customHeight="1">
      <c r="B227" s="8" t="s">
        <v>1189</v>
      </c>
    </row>
    <row r="228" ht="15.75" customHeight="1">
      <c r="B228" s="8" t="s">
        <v>1191</v>
      </c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13"/>
    <col customWidth="1" min="2" max="3" width="10.25"/>
    <col customWidth="1" min="4" max="4" width="10.13"/>
    <col customWidth="1" min="5" max="5" width="6.0"/>
    <col customWidth="1" min="6" max="6" width="29.25"/>
    <col customWidth="1" min="7" max="7" width="37.75"/>
    <col customWidth="1" min="8" max="26" width="7.63"/>
  </cols>
  <sheetData>
    <row r="1">
      <c r="A1" s="256" t="s">
        <v>312</v>
      </c>
      <c r="D1" s="257"/>
      <c r="E1" s="257"/>
      <c r="F1" s="257"/>
      <c r="G1" s="258" t="s">
        <v>1084</v>
      </c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>
      <c r="A2" s="256" t="s">
        <v>1090</v>
      </c>
      <c r="D2" s="257"/>
      <c r="E2" s="257"/>
      <c r="F2" s="257"/>
      <c r="G2" s="258" t="s">
        <v>1091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>
      <c r="A3" s="259" t="s">
        <v>1094</v>
      </c>
      <c r="D3" s="257"/>
      <c r="E3" s="257"/>
      <c r="F3" s="257"/>
      <c r="G3" s="258" t="s">
        <v>1097</v>
      </c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>
      <c r="A5" s="258"/>
      <c r="B5" s="260" t="s">
        <v>1101</v>
      </c>
      <c r="C5" s="260" t="s">
        <v>1105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>
      <c r="A6" s="261" t="s">
        <v>1108</v>
      </c>
      <c r="B6" s="262">
        <f>195902.74</f>
        <v>195902.74</v>
      </c>
      <c r="C6" s="263"/>
      <c r="D6" s="264">
        <f t="shared" ref="D6:D170" si="1">+B6-C6</f>
        <v>195902.74</v>
      </c>
      <c r="E6" s="265" t="s">
        <v>840</v>
      </c>
      <c r="F6" s="257" t="s">
        <v>1120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>
      <c r="A7" s="261" t="s">
        <v>1123</v>
      </c>
      <c r="B7" s="262">
        <f>32424.68</f>
        <v>32424.68</v>
      </c>
      <c r="C7" s="263"/>
      <c r="D7" s="264">
        <f t="shared" si="1"/>
        <v>32424.68</v>
      </c>
      <c r="E7" s="265" t="s">
        <v>833</v>
      </c>
      <c r="F7" s="257" t="s">
        <v>1127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</row>
    <row r="8">
      <c r="A8" s="261" t="s">
        <v>1130</v>
      </c>
      <c r="B8" s="262">
        <f>0</f>
        <v>0</v>
      </c>
      <c r="C8" s="263"/>
      <c r="D8" s="264">
        <f t="shared" si="1"/>
        <v>0</v>
      </c>
      <c r="E8" s="265" t="s">
        <v>836</v>
      </c>
      <c r="F8" s="257" t="s">
        <v>1133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</row>
    <row r="9">
      <c r="A9" s="261" t="s">
        <v>1136</v>
      </c>
      <c r="B9" s="262">
        <f>134016.99</f>
        <v>134016.99</v>
      </c>
      <c r="C9" s="263"/>
      <c r="D9" s="264">
        <f t="shared" si="1"/>
        <v>134016.99</v>
      </c>
      <c r="E9" s="265" t="s">
        <v>838</v>
      </c>
      <c r="F9" s="257" t="s">
        <v>1140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</row>
    <row r="10">
      <c r="A10" s="261" t="s">
        <v>1143</v>
      </c>
      <c r="B10" s="262">
        <f>8666.42</f>
        <v>8666.42</v>
      </c>
      <c r="C10" s="263"/>
      <c r="D10" s="264">
        <f t="shared" si="1"/>
        <v>8666.42</v>
      </c>
      <c r="E10" s="265" t="s">
        <v>842</v>
      </c>
      <c r="F10" s="257" t="s">
        <v>1146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</row>
    <row r="11">
      <c r="A11" s="261" t="s">
        <v>1150</v>
      </c>
      <c r="B11" s="262">
        <f>300</f>
        <v>300</v>
      </c>
      <c r="C11" s="263"/>
      <c r="D11" s="264">
        <f t="shared" si="1"/>
        <v>300</v>
      </c>
      <c r="E11" s="265" t="s">
        <v>844</v>
      </c>
      <c r="F11" s="257" t="s">
        <v>1153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</row>
    <row r="12">
      <c r="A12" s="261" t="s">
        <v>1156</v>
      </c>
      <c r="B12" s="262">
        <f>140793.14</f>
        <v>140793.14</v>
      </c>
      <c r="C12" s="263"/>
      <c r="D12" s="264">
        <f t="shared" si="1"/>
        <v>140793.14</v>
      </c>
      <c r="E12" s="265" t="s">
        <v>848</v>
      </c>
      <c r="F12" s="257" t="s">
        <v>1159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</row>
    <row r="13">
      <c r="A13" s="261" t="s">
        <v>1161</v>
      </c>
      <c r="B13" s="262">
        <f>1741.8</f>
        <v>1741.8</v>
      </c>
      <c r="C13" s="263"/>
      <c r="D13" s="264">
        <f t="shared" si="1"/>
        <v>1741.8</v>
      </c>
      <c r="E13" s="265" t="s">
        <v>846</v>
      </c>
      <c r="F13" s="257" t="s">
        <v>847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</row>
    <row r="14">
      <c r="A14" s="261" t="s">
        <v>1168</v>
      </c>
      <c r="B14" s="262">
        <f>1585.35</f>
        <v>1585.35</v>
      </c>
      <c r="C14" s="263"/>
      <c r="D14" s="264">
        <f t="shared" si="1"/>
        <v>1585.35</v>
      </c>
      <c r="E14" s="265" t="s">
        <v>1170</v>
      </c>
      <c r="F14" s="257" t="s">
        <v>1171</v>
      </c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</row>
    <row r="15">
      <c r="A15" s="261" t="s">
        <v>1175</v>
      </c>
      <c r="B15" s="263"/>
      <c r="C15" s="262">
        <f>8087.54</f>
        <v>8087.54</v>
      </c>
      <c r="D15" s="264">
        <f t="shared" si="1"/>
        <v>-8087.54</v>
      </c>
      <c r="E15" s="265" t="s">
        <v>850</v>
      </c>
      <c r="F15" s="257" t="s">
        <v>1179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</row>
    <row r="16">
      <c r="A16" s="261" t="s">
        <v>1183</v>
      </c>
      <c r="B16" s="262">
        <f>6987.16</f>
        <v>6987.16</v>
      </c>
      <c r="C16" s="263"/>
      <c r="D16" s="264">
        <f t="shared" si="1"/>
        <v>6987.16</v>
      </c>
      <c r="E16" s="265" t="s">
        <v>852</v>
      </c>
      <c r="F16" s="257" t="s">
        <v>853</v>
      </c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</row>
    <row r="17">
      <c r="A17" s="261" t="s">
        <v>1190</v>
      </c>
      <c r="B17" s="262">
        <f>757.16</f>
        <v>757.16</v>
      </c>
      <c r="C17" s="263"/>
      <c r="D17" s="264">
        <f t="shared" si="1"/>
        <v>757.16</v>
      </c>
      <c r="E17" s="265" t="s">
        <v>854</v>
      </c>
      <c r="F17" s="257" t="s">
        <v>1192</v>
      </c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</row>
    <row r="18">
      <c r="A18" s="261" t="s">
        <v>1193</v>
      </c>
      <c r="B18" s="262">
        <f>7900.61</f>
        <v>7900.61</v>
      </c>
      <c r="C18" s="263"/>
      <c r="D18" s="264">
        <f t="shared" si="1"/>
        <v>7900.61</v>
      </c>
      <c r="E18" s="265" t="s">
        <v>856</v>
      </c>
      <c r="F18" s="257" t="s">
        <v>1194</v>
      </c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</row>
    <row r="19">
      <c r="A19" s="261" t="s">
        <v>1195</v>
      </c>
      <c r="B19" s="262">
        <f>2201.26</f>
        <v>2201.26</v>
      </c>
      <c r="C19" s="263"/>
      <c r="D19" s="264">
        <f t="shared" si="1"/>
        <v>2201.26</v>
      </c>
      <c r="E19" s="265" t="s">
        <v>858</v>
      </c>
      <c r="F19" s="257" t="s">
        <v>1196</v>
      </c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</row>
    <row r="20">
      <c r="A20" s="261" t="s">
        <v>1197</v>
      </c>
      <c r="B20" s="262">
        <f>13711.19</f>
        <v>13711.19</v>
      </c>
      <c r="C20" s="263"/>
      <c r="D20" s="264">
        <f t="shared" si="1"/>
        <v>13711.19</v>
      </c>
      <c r="E20" s="265" t="s">
        <v>860</v>
      </c>
      <c r="F20" s="257" t="s">
        <v>1198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</row>
    <row r="21" ht="15.75" customHeight="1">
      <c r="A21" s="261" t="s">
        <v>1199</v>
      </c>
      <c r="B21" s="262">
        <f>10142.22</f>
        <v>10142.22</v>
      </c>
      <c r="C21" s="263"/>
      <c r="D21" s="264">
        <f t="shared" si="1"/>
        <v>10142.22</v>
      </c>
      <c r="E21" s="265" t="s">
        <v>862</v>
      </c>
      <c r="F21" s="257" t="s">
        <v>1200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 ht="15.75" customHeight="1">
      <c r="A22" s="261" t="s">
        <v>1201</v>
      </c>
      <c r="B22" s="262">
        <f>24297.03</f>
        <v>24297.03</v>
      </c>
      <c r="C22" s="263"/>
      <c r="D22" s="264">
        <f t="shared" si="1"/>
        <v>24297.03</v>
      </c>
      <c r="E22" s="265" t="s">
        <v>864</v>
      </c>
      <c r="F22" s="257" t="s">
        <v>1202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</row>
    <row r="23" ht="15.75" customHeight="1">
      <c r="A23" s="261" t="s">
        <v>1203</v>
      </c>
      <c r="B23" s="262">
        <f>80035.03</f>
        <v>80035.03</v>
      </c>
      <c r="C23" s="263"/>
      <c r="D23" s="264">
        <f t="shared" si="1"/>
        <v>80035.03</v>
      </c>
      <c r="E23" s="265" t="s">
        <v>866</v>
      </c>
      <c r="F23" s="257" t="s">
        <v>139</v>
      </c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ht="15.75" customHeight="1">
      <c r="A24" s="261" t="s">
        <v>1204</v>
      </c>
      <c r="B24" s="262">
        <f>75060.71</f>
        <v>75060.71</v>
      </c>
      <c r="C24" s="263"/>
      <c r="D24" s="264">
        <f t="shared" si="1"/>
        <v>75060.71</v>
      </c>
      <c r="E24" s="265" t="s">
        <v>867</v>
      </c>
      <c r="F24" s="257" t="s">
        <v>1205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</row>
    <row r="25" ht="15.75" customHeight="1">
      <c r="A25" s="261" t="s">
        <v>1206</v>
      </c>
      <c r="B25" s="262">
        <f>2193.14</f>
        <v>2193.14</v>
      </c>
      <c r="C25" s="263"/>
      <c r="D25" s="264">
        <f t="shared" si="1"/>
        <v>2193.14</v>
      </c>
      <c r="E25" s="265" t="s">
        <v>869</v>
      </c>
      <c r="F25" s="257" t="s">
        <v>870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</row>
    <row r="26" ht="15.75" customHeight="1">
      <c r="A26" s="261" t="s">
        <v>1207</v>
      </c>
      <c r="B26" s="262">
        <f>77848.36</f>
        <v>77848.36</v>
      </c>
      <c r="C26" s="263"/>
      <c r="D26" s="264">
        <f t="shared" si="1"/>
        <v>77848.36</v>
      </c>
      <c r="E26" s="265" t="s">
        <v>871</v>
      </c>
      <c r="F26" s="257" t="s">
        <v>196</v>
      </c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</row>
    <row r="27" ht="15.75" customHeight="1">
      <c r="A27" s="261" t="s">
        <v>1208</v>
      </c>
      <c r="B27" s="262">
        <f>59868.74</f>
        <v>59868.74</v>
      </c>
      <c r="C27" s="263"/>
      <c r="D27" s="264">
        <f t="shared" si="1"/>
        <v>59868.74</v>
      </c>
      <c r="E27" s="265" t="s">
        <v>872</v>
      </c>
      <c r="F27" s="257" t="s">
        <v>1209</v>
      </c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</row>
    <row r="28" ht="15.75" customHeight="1">
      <c r="A28" s="261" t="s">
        <v>1210</v>
      </c>
      <c r="B28" s="262">
        <f>7230</f>
        <v>7230</v>
      </c>
      <c r="C28" s="263"/>
      <c r="D28" s="264">
        <f t="shared" si="1"/>
        <v>7230</v>
      </c>
      <c r="E28" s="265" t="s">
        <v>874</v>
      </c>
      <c r="F28" s="257" t="s">
        <v>1211</v>
      </c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</row>
    <row r="29" ht="15.75" customHeight="1">
      <c r="A29" s="261" t="s">
        <v>1212</v>
      </c>
      <c r="B29" s="262">
        <f>18424.84</f>
        <v>18424.84</v>
      </c>
      <c r="C29" s="263"/>
      <c r="D29" s="264">
        <f t="shared" si="1"/>
        <v>18424.84</v>
      </c>
      <c r="E29" s="265" t="s">
        <v>876</v>
      </c>
      <c r="F29" s="257" t="s">
        <v>1213</v>
      </c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</row>
    <row r="30" ht="15.75" customHeight="1">
      <c r="A30" s="261" t="s">
        <v>1214</v>
      </c>
      <c r="B30" s="263"/>
      <c r="C30" s="262">
        <f>23994.47</f>
        <v>23994.47</v>
      </c>
      <c r="D30" s="264">
        <f t="shared" si="1"/>
        <v>-23994.47</v>
      </c>
      <c r="E30" s="265" t="s">
        <v>878</v>
      </c>
      <c r="F30" s="257" t="s">
        <v>1215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</row>
    <row r="31" ht="15.75" customHeight="1">
      <c r="A31" s="261" t="s">
        <v>1216</v>
      </c>
      <c r="B31" s="263"/>
      <c r="C31" s="262">
        <f>79147.1</f>
        <v>79147.1</v>
      </c>
      <c r="D31" s="264">
        <f t="shared" si="1"/>
        <v>-79147.1</v>
      </c>
      <c r="E31" s="265" t="s">
        <v>880</v>
      </c>
      <c r="F31" s="257" t="s">
        <v>1217</v>
      </c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</row>
    <row r="32" ht="15.75" customHeight="1">
      <c r="A32" s="261" t="s">
        <v>1218</v>
      </c>
      <c r="B32" s="263"/>
      <c r="C32" s="262">
        <f>63247.57</f>
        <v>63247.57</v>
      </c>
      <c r="D32" s="264">
        <f t="shared" si="1"/>
        <v>-63247.57</v>
      </c>
      <c r="E32" s="265" t="s">
        <v>882</v>
      </c>
      <c r="F32" s="257" t="s">
        <v>1219</v>
      </c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</row>
    <row r="33" ht="15.75" customHeight="1">
      <c r="A33" s="261" t="s">
        <v>1220</v>
      </c>
      <c r="B33" s="263"/>
      <c r="C33" s="262">
        <f>2193.14</f>
        <v>2193.14</v>
      </c>
      <c r="D33" s="264">
        <f t="shared" si="1"/>
        <v>-2193.14</v>
      </c>
      <c r="E33" s="265" t="s">
        <v>884</v>
      </c>
      <c r="F33" s="257" t="s">
        <v>1221</v>
      </c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</row>
    <row r="34" ht="15.75" customHeight="1">
      <c r="A34" s="261" t="s">
        <v>1225</v>
      </c>
      <c r="B34" s="263"/>
      <c r="C34" s="262">
        <f>66711.53</f>
        <v>66711.53</v>
      </c>
      <c r="D34" s="264">
        <f t="shared" si="1"/>
        <v>-66711.53</v>
      </c>
      <c r="E34" s="265" t="s">
        <v>886</v>
      </c>
      <c r="F34" s="257" t="s">
        <v>1226</v>
      </c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</row>
    <row r="35" ht="15.75" customHeight="1">
      <c r="A35" s="261" t="s">
        <v>1227</v>
      </c>
      <c r="B35" s="263"/>
      <c r="C35" s="262">
        <f>31431.12</f>
        <v>31431.12</v>
      </c>
      <c r="D35" s="264">
        <f t="shared" si="1"/>
        <v>-31431.12</v>
      </c>
      <c r="E35" s="265" t="s">
        <v>888</v>
      </c>
      <c r="F35" s="257" t="s">
        <v>1228</v>
      </c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</row>
    <row r="36" ht="15.75" customHeight="1">
      <c r="A36" s="261" t="s">
        <v>1229</v>
      </c>
      <c r="B36" s="263"/>
      <c r="C36" s="262">
        <f>7230</f>
        <v>7230</v>
      </c>
      <c r="D36" s="264">
        <f t="shared" si="1"/>
        <v>-7230</v>
      </c>
      <c r="E36" s="265" t="s">
        <v>890</v>
      </c>
      <c r="F36" s="257" t="s">
        <v>1230</v>
      </c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</row>
    <row r="37" ht="15.75" customHeight="1">
      <c r="A37" s="261" t="s">
        <v>1231</v>
      </c>
      <c r="B37" s="263"/>
      <c r="C37" s="262">
        <f>4653.18</f>
        <v>4653.18</v>
      </c>
      <c r="D37" s="264">
        <f t="shared" si="1"/>
        <v>-4653.18</v>
      </c>
      <c r="E37" s="265" t="s">
        <v>892</v>
      </c>
      <c r="F37" s="257" t="s">
        <v>1232</v>
      </c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</row>
    <row r="38" ht="15.75" customHeight="1">
      <c r="A38" s="261" t="s">
        <v>1233</v>
      </c>
      <c r="B38" s="262">
        <f>3608.62</f>
        <v>3608.62</v>
      </c>
      <c r="C38" s="263"/>
      <c r="D38" s="264">
        <f t="shared" si="1"/>
        <v>3608.62</v>
      </c>
      <c r="E38" s="265" t="s">
        <v>894</v>
      </c>
      <c r="F38" s="257" t="s">
        <v>1234</v>
      </c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</row>
    <row r="39" ht="15.75" customHeight="1">
      <c r="A39" s="261" t="s">
        <v>1235</v>
      </c>
      <c r="B39" s="263"/>
      <c r="C39" s="262">
        <f>183701.09</f>
        <v>183701.09</v>
      </c>
      <c r="D39" s="264">
        <f t="shared" si="1"/>
        <v>-183701.09</v>
      </c>
      <c r="E39" s="265" t="s">
        <v>897</v>
      </c>
      <c r="F39" s="257" t="s">
        <v>1236</v>
      </c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</row>
    <row r="40" ht="15.75" customHeight="1">
      <c r="A40" s="261" t="s">
        <v>1237</v>
      </c>
      <c r="B40" s="262">
        <f>2087.5</f>
        <v>2087.5</v>
      </c>
      <c r="C40" s="263"/>
      <c r="D40" s="264">
        <f t="shared" si="1"/>
        <v>2087.5</v>
      </c>
      <c r="E40" s="265" t="s">
        <v>899</v>
      </c>
      <c r="F40" s="257" t="s">
        <v>900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 ht="15.75" customHeight="1">
      <c r="A41" s="261" t="s">
        <v>1238</v>
      </c>
      <c r="B41" s="263"/>
      <c r="C41" s="262">
        <f>2684.18</f>
        <v>2684.18</v>
      </c>
      <c r="D41" s="264">
        <f t="shared" si="1"/>
        <v>-2684.18</v>
      </c>
      <c r="E41" s="265" t="s">
        <v>901</v>
      </c>
      <c r="F41" s="257" t="s">
        <v>1239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</row>
    <row r="42" ht="15.75" customHeight="1">
      <c r="A42" s="261" t="s">
        <v>1240</v>
      </c>
      <c r="B42" s="263"/>
      <c r="C42" s="262">
        <v>23747.85</v>
      </c>
      <c r="D42" s="264">
        <f t="shared" si="1"/>
        <v>-23747.85</v>
      </c>
      <c r="E42" s="265" t="s">
        <v>903</v>
      </c>
      <c r="F42" s="257" t="s">
        <v>904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ht="15.75" customHeight="1">
      <c r="A43" s="261" t="s">
        <v>1241</v>
      </c>
      <c r="B43" s="263"/>
      <c r="C43" s="262">
        <f>64360.53</f>
        <v>64360.53</v>
      </c>
      <c r="D43" s="264">
        <f t="shared" si="1"/>
        <v>-64360.53</v>
      </c>
      <c r="E43" s="265" t="s">
        <v>905</v>
      </c>
      <c r="F43" s="257" t="s">
        <v>906</v>
      </c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ht="15.75" customHeight="1">
      <c r="A44" s="261" t="s">
        <v>1242</v>
      </c>
      <c r="B44" s="262">
        <f>25</f>
        <v>25</v>
      </c>
      <c r="C44" s="263"/>
      <c r="D44" s="264">
        <f t="shared" si="1"/>
        <v>25</v>
      </c>
      <c r="E44" s="265" t="s">
        <v>907</v>
      </c>
      <c r="F44" s="257" t="s">
        <v>1243</v>
      </c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ht="15.75" customHeight="1">
      <c r="A45" s="261" t="s">
        <v>1244</v>
      </c>
      <c r="B45" s="263"/>
      <c r="C45" s="262">
        <f>335.89</f>
        <v>335.89</v>
      </c>
      <c r="D45" s="264">
        <f t="shared" si="1"/>
        <v>-335.89</v>
      </c>
      <c r="E45" s="265" t="s">
        <v>911</v>
      </c>
      <c r="F45" s="257" t="s">
        <v>1245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ht="15.75" customHeight="1">
      <c r="A46" s="261" t="s">
        <v>1246</v>
      </c>
      <c r="B46" s="263"/>
      <c r="C46" s="262">
        <f>3042.5</f>
        <v>3042.5</v>
      </c>
      <c r="D46" s="264">
        <f t="shared" si="1"/>
        <v>-3042.5</v>
      </c>
      <c r="E46" s="265" t="s">
        <v>913</v>
      </c>
      <c r="F46" s="257" t="s">
        <v>1247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</row>
    <row r="47" ht="15.75" customHeight="1">
      <c r="A47" s="261" t="s">
        <v>1248</v>
      </c>
      <c r="B47" s="262">
        <f>156.98</f>
        <v>156.98</v>
      </c>
      <c r="C47" s="263"/>
      <c r="D47" s="264">
        <f t="shared" si="1"/>
        <v>156.98</v>
      </c>
      <c r="E47" s="265" t="s">
        <v>909</v>
      </c>
      <c r="F47" s="257" t="s">
        <v>1249</v>
      </c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</row>
    <row r="48" ht="15.75" customHeight="1">
      <c r="A48" s="261" t="s">
        <v>1250</v>
      </c>
      <c r="B48" s="263"/>
      <c r="C48" s="262">
        <f>132.71</f>
        <v>132.71</v>
      </c>
      <c r="D48" s="264">
        <f t="shared" si="1"/>
        <v>-132.71</v>
      </c>
      <c r="E48" s="265" t="s">
        <v>915</v>
      </c>
      <c r="F48" s="257" t="s">
        <v>1251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</row>
    <row r="49" ht="15.75" customHeight="1">
      <c r="A49" s="261" t="s">
        <v>1252</v>
      </c>
      <c r="B49" s="262">
        <f>26.91</f>
        <v>26.91</v>
      </c>
      <c r="C49" s="263"/>
      <c r="D49" s="264">
        <f t="shared" si="1"/>
        <v>26.91</v>
      </c>
      <c r="E49" s="265" t="s">
        <v>917</v>
      </c>
      <c r="F49" s="257" t="s">
        <v>918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 ht="15.75" customHeight="1">
      <c r="A50" s="261" t="s">
        <v>1253</v>
      </c>
      <c r="B50" s="262">
        <f>697.21</f>
        <v>697.21</v>
      </c>
      <c r="C50" s="263"/>
      <c r="D50" s="264">
        <f t="shared" si="1"/>
        <v>697.21</v>
      </c>
      <c r="E50" s="265" t="s">
        <v>919</v>
      </c>
      <c r="F50" s="257" t="s">
        <v>1254</v>
      </c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</row>
    <row r="51" ht="15.75" customHeight="1">
      <c r="A51" s="261" t="s">
        <v>1255</v>
      </c>
      <c r="B51" s="263"/>
      <c r="C51" s="262">
        <f>30.5</f>
        <v>30.5</v>
      </c>
      <c r="D51" s="264">
        <f t="shared" si="1"/>
        <v>-30.5</v>
      </c>
      <c r="E51" s="265" t="s">
        <v>921</v>
      </c>
      <c r="F51" s="257" t="s">
        <v>1256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</row>
    <row r="52" ht="15.75" customHeight="1">
      <c r="A52" s="261" t="s">
        <v>1257</v>
      </c>
      <c r="B52" s="263"/>
      <c r="C52" s="262">
        <f>8403.33</f>
        <v>8403.33</v>
      </c>
      <c r="D52" s="264">
        <f t="shared" si="1"/>
        <v>-8403.33</v>
      </c>
      <c r="E52" s="265" t="s">
        <v>923</v>
      </c>
      <c r="F52" s="257" t="s">
        <v>1258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</row>
    <row r="53" ht="15.75" customHeight="1">
      <c r="A53" s="261" t="s">
        <v>1259</v>
      </c>
      <c r="B53" s="263"/>
      <c r="C53" s="262">
        <f>2.73</f>
        <v>2.73</v>
      </c>
      <c r="D53" s="264">
        <f t="shared" si="1"/>
        <v>-2.73</v>
      </c>
      <c r="E53" s="265" t="s">
        <v>925</v>
      </c>
      <c r="F53" s="257" t="s">
        <v>1260</v>
      </c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</row>
    <row r="54" ht="15.75" customHeight="1">
      <c r="A54" s="261" t="s">
        <v>1261</v>
      </c>
      <c r="B54" s="263"/>
      <c r="C54" s="262">
        <f>0.63</f>
        <v>0.63</v>
      </c>
      <c r="D54" s="264">
        <f t="shared" si="1"/>
        <v>-0.63</v>
      </c>
      <c r="E54" s="265" t="s">
        <v>927</v>
      </c>
      <c r="F54" s="257" t="s">
        <v>1262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</row>
    <row r="55" ht="15.75" customHeight="1">
      <c r="A55" s="261" t="s">
        <v>1263</v>
      </c>
      <c r="B55" s="262">
        <f>209.22</f>
        <v>209.22</v>
      </c>
      <c r="C55" s="263"/>
      <c r="D55" s="264">
        <f t="shared" si="1"/>
        <v>209.22</v>
      </c>
      <c r="E55" s="265" t="s">
        <v>929</v>
      </c>
      <c r="F55" s="257" t="s">
        <v>1264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</row>
    <row r="56" ht="15.75" customHeight="1">
      <c r="A56" s="261" t="s">
        <v>1265</v>
      </c>
      <c r="B56" s="263"/>
      <c r="C56" s="262">
        <f t="shared" ref="C56:C57" si="2">0</f>
        <v>0</v>
      </c>
      <c r="D56" s="264">
        <f t="shared" si="1"/>
        <v>0</v>
      </c>
      <c r="E56" s="265" t="s">
        <v>931</v>
      </c>
      <c r="F56" s="257" t="s">
        <v>932</v>
      </c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</row>
    <row r="57" ht="15.75" customHeight="1">
      <c r="A57" s="261" t="s">
        <v>1266</v>
      </c>
      <c r="B57" s="263"/>
      <c r="C57" s="262">
        <f t="shared" si="2"/>
        <v>0</v>
      </c>
      <c r="D57" s="264">
        <f t="shared" si="1"/>
        <v>0</v>
      </c>
      <c r="E57" s="265" t="s">
        <v>933</v>
      </c>
      <c r="F57" s="257" t="s">
        <v>1267</v>
      </c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</row>
    <row r="58" ht="15.75" customHeight="1">
      <c r="A58" s="261" t="s">
        <v>1268</v>
      </c>
      <c r="B58" s="263"/>
      <c r="C58" s="262">
        <f>908.26</f>
        <v>908.26</v>
      </c>
      <c r="D58" s="264">
        <f t="shared" si="1"/>
        <v>-908.26</v>
      </c>
      <c r="E58" s="265" t="s">
        <v>937</v>
      </c>
      <c r="F58" s="257" t="s">
        <v>938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</row>
    <row r="59" ht="15.75" customHeight="1">
      <c r="A59" s="261" t="s">
        <v>1269</v>
      </c>
      <c r="B59" s="263"/>
      <c r="C59" s="262">
        <f>1807.34</f>
        <v>1807.34</v>
      </c>
      <c r="D59" s="264">
        <f t="shared" si="1"/>
        <v>-1807.34</v>
      </c>
      <c r="E59" s="265" t="s">
        <v>935</v>
      </c>
      <c r="F59" s="257" t="s">
        <v>1270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</row>
    <row r="60" ht="15.75" customHeight="1">
      <c r="A60" s="261" t="s">
        <v>1271</v>
      </c>
      <c r="B60" s="263"/>
      <c r="C60" s="262">
        <f>181914.66</f>
        <v>181914.66</v>
      </c>
      <c r="D60" s="264">
        <f t="shared" si="1"/>
        <v>-181914.66</v>
      </c>
      <c r="E60" s="265" t="s">
        <v>942</v>
      </c>
      <c r="F60" s="257" t="s">
        <v>1272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</row>
    <row r="61" ht="15.75" customHeight="1">
      <c r="A61" s="261" t="s">
        <v>1273</v>
      </c>
      <c r="B61" s="263"/>
      <c r="C61" s="262">
        <f>133781</f>
        <v>133781</v>
      </c>
      <c r="D61" s="264">
        <f t="shared" si="1"/>
        <v>-133781</v>
      </c>
      <c r="E61" s="265" t="s">
        <v>939</v>
      </c>
      <c r="F61" s="257" t="s">
        <v>1274</v>
      </c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 ht="15.75" customHeight="1">
      <c r="A62" s="261" t="s">
        <v>1275</v>
      </c>
      <c r="B62" s="263"/>
      <c r="C62" s="262">
        <f>24449</f>
        <v>24449</v>
      </c>
      <c r="D62" s="264">
        <f t="shared" si="1"/>
        <v>-24449</v>
      </c>
      <c r="E62" s="265" t="s">
        <v>944</v>
      </c>
      <c r="F62" s="257" t="s">
        <v>1276</v>
      </c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</row>
    <row r="63" ht="15.75" customHeight="1">
      <c r="A63" s="261" t="s">
        <v>1277</v>
      </c>
      <c r="B63" s="263"/>
      <c r="C63" s="262">
        <f>300</f>
        <v>300</v>
      </c>
      <c r="D63" s="264">
        <f t="shared" si="1"/>
        <v>-300</v>
      </c>
      <c r="E63" s="265" t="s">
        <v>946</v>
      </c>
      <c r="F63" s="257" t="s">
        <v>1278</v>
      </c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</row>
    <row r="64" ht="15.75" customHeight="1">
      <c r="A64" s="261" t="s">
        <v>1279</v>
      </c>
      <c r="B64" s="263"/>
      <c r="C64" s="262">
        <f>10610</f>
        <v>10610</v>
      </c>
      <c r="D64" s="264">
        <f t="shared" si="1"/>
        <v>-10610</v>
      </c>
      <c r="E64" s="265" t="s">
        <v>948</v>
      </c>
      <c r="F64" s="257" t="s">
        <v>1280</v>
      </c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</row>
    <row r="65" ht="15.75" customHeight="1">
      <c r="A65" s="261" t="s">
        <v>1281</v>
      </c>
      <c r="B65" s="263"/>
      <c r="C65" s="262">
        <f>2412.67</f>
        <v>2412.67</v>
      </c>
      <c r="D65" s="264">
        <f t="shared" si="1"/>
        <v>-2412.67</v>
      </c>
      <c r="E65" s="265" t="s">
        <v>951</v>
      </c>
      <c r="F65" s="257" t="s">
        <v>1282</v>
      </c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66" ht="15.75" customHeight="1">
      <c r="A66" s="261" t="s">
        <v>1283</v>
      </c>
      <c r="B66" s="263"/>
      <c r="C66" s="262">
        <f>2478.89</f>
        <v>2478.89</v>
      </c>
      <c r="D66" s="264">
        <f t="shared" si="1"/>
        <v>-2478.89</v>
      </c>
      <c r="E66" s="265" t="s">
        <v>952</v>
      </c>
      <c r="F66" s="257" t="s">
        <v>953</v>
      </c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</row>
    <row r="67" ht="15.75" customHeight="1">
      <c r="A67" s="261" t="s">
        <v>1284</v>
      </c>
      <c r="B67" s="263"/>
      <c r="C67" s="262">
        <f>3100</f>
        <v>3100</v>
      </c>
      <c r="D67" s="264">
        <f t="shared" si="1"/>
        <v>-3100</v>
      </c>
      <c r="E67" s="265" t="s">
        <v>956</v>
      </c>
      <c r="F67" s="257" t="s">
        <v>1285</v>
      </c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</row>
    <row r="68" ht="15.75" customHeight="1">
      <c r="A68" s="261" t="s">
        <v>1286</v>
      </c>
      <c r="B68" s="263"/>
      <c r="C68" s="262">
        <f>688523.09</f>
        <v>688523.09</v>
      </c>
      <c r="D68" s="264">
        <f t="shared" si="1"/>
        <v>-688523.09</v>
      </c>
      <c r="E68" s="265" t="s">
        <v>972</v>
      </c>
      <c r="F68" s="257" t="s">
        <v>1287</v>
      </c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69" ht="15.75" customHeight="1">
      <c r="A69" s="261" t="s">
        <v>1288</v>
      </c>
      <c r="B69" s="263"/>
      <c r="C69" s="262">
        <f>1400</f>
        <v>1400</v>
      </c>
      <c r="D69" s="264">
        <f t="shared" si="1"/>
        <v>-1400</v>
      </c>
      <c r="E69" s="265" t="s">
        <v>999</v>
      </c>
      <c r="F69" s="257" t="s">
        <v>46</v>
      </c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</row>
    <row r="70" ht="15.75" customHeight="1">
      <c r="A70" s="261" t="s">
        <v>1289</v>
      </c>
      <c r="B70" s="263"/>
      <c r="C70" s="262">
        <f>24375</f>
        <v>24375</v>
      </c>
      <c r="D70" s="264">
        <f t="shared" si="1"/>
        <v>-24375</v>
      </c>
      <c r="E70" s="265" t="s">
        <v>1004</v>
      </c>
      <c r="F70" s="257" t="s">
        <v>74</v>
      </c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</row>
    <row r="71" ht="15.75" customHeight="1">
      <c r="A71" s="261" t="s">
        <v>1290</v>
      </c>
      <c r="B71" s="262">
        <f>33823.75</f>
        <v>33823.75</v>
      </c>
      <c r="C71" s="263"/>
      <c r="D71" s="264">
        <f t="shared" si="1"/>
        <v>33823.75</v>
      </c>
      <c r="E71" s="265" t="s">
        <v>1038</v>
      </c>
      <c r="F71" s="257" t="s">
        <v>1291</v>
      </c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</row>
    <row r="72" ht="15.75" customHeight="1">
      <c r="A72" s="261" t="s">
        <v>1292</v>
      </c>
      <c r="B72" s="262">
        <f>7667.82</f>
        <v>7667.82</v>
      </c>
      <c r="C72" s="263"/>
      <c r="D72" s="264">
        <f t="shared" si="1"/>
        <v>7667.82</v>
      </c>
      <c r="E72" s="265" t="s">
        <v>1039</v>
      </c>
      <c r="F72" s="257" t="s">
        <v>1293</v>
      </c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</row>
    <row r="73" ht="15.75" customHeight="1">
      <c r="A73" s="261" t="s">
        <v>1294</v>
      </c>
      <c r="B73" s="263"/>
      <c r="C73" s="262">
        <f>600</f>
        <v>600</v>
      </c>
      <c r="D73" s="264">
        <f t="shared" si="1"/>
        <v>-600</v>
      </c>
      <c r="E73" s="265" t="s">
        <v>1006</v>
      </c>
      <c r="F73" s="257" t="s">
        <v>1295</v>
      </c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ht="15.75" customHeight="1">
      <c r="A74" s="261" t="s">
        <v>1296</v>
      </c>
      <c r="B74" s="263"/>
      <c r="C74" s="262">
        <f>3315.82</f>
        <v>3315.82</v>
      </c>
      <c r="D74" s="264">
        <f t="shared" si="1"/>
        <v>-3315.82</v>
      </c>
      <c r="E74" s="265" t="s">
        <v>1007</v>
      </c>
      <c r="F74" s="257" t="s">
        <v>83</v>
      </c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</row>
    <row r="75" ht="15.75" customHeight="1">
      <c r="A75" s="261" t="s">
        <v>1297</v>
      </c>
      <c r="B75" s="263"/>
      <c r="C75" s="262">
        <f>5852</f>
        <v>5852</v>
      </c>
      <c r="D75" s="264">
        <f t="shared" si="1"/>
        <v>-5852</v>
      </c>
      <c r="E75" s="265" t="s">
        <v>1009</v>
      </c>
      <c r="F75" s="257" t="s">
        <v>1298</v>
      </c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</row>
    <row r="76" ht="15.75" customHeight="1">
      <c r="A76" s="261" t="s">
        <v>1299</v>
      </c>
      <c r="B76" s="263"/>
      <c r="C76" s="262">
        <f>180</f>
        <v>180</v>
      </c>
      <c r="D76" s="264">
        <f t="shared" si="1"/>
        <v>-180</v>
      </c>
      <c r="E76" s="265" t="s">
        <v>1010</v>
      </c>
      <c r="F76" s="257" t="s">
        <v>1300</v>
      </c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</row>
    <row r="77" ht="15.75" customHeight="1">
      <c r="A77" s="261" t="s">
        <v>1301</v>
      </c>
      <c r="B77" s="263"/>
      <c r="C77" s="262">
        <f>218</f>
        <v>218</v>
      </c>
      <c r="D77" s="264">
        <f t="shared" si="1"/>
        <v>-218</v>
      </c>
      <c r="E77" s="265" t="s">
        <v>1012</v>
      </c>
      <c r="F77" s="257" t="s">
        <v>1302</v>
      </c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</row>
    <row r="78" ht="15.75" customHeight="1">
      <c r="A78" s="261" t="s">
        <v>1303</v>
      </c>
      <c r="B78" s="263"/>
      <c r="C78" s="262">
        <f>150</f>
        <v>150</v>
      </c>
      <c r="D78" s="264">
        <f t="shared" si="1"/>
        <v>-150</v>
      </c>
      <c r="E78" s="265" t="s">
        <v>1013</v>
      </c>
      <c r="F78" s="257" t="s">
        <v>1304</v>
      </c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</row>
    <row r="79" ht="15.75" customHeight="1">
      <c r="A79" s="261" t="s">
        <v>1305</v>
      </c>
      <c r="B79" s="263"/>
      <c r="C79" s="262">
        <f>18028.96</f>
        <v>18028.96</v>
      </c>
      <c r="D79" s="264">
        <f t="shared" si="1"/>
        <v>-18028.96</v>
      </c>
      <c r="E79" s="265" t="s">
        <v>1014</v>
      </c>
      <c r="F79" s="257" t="s">
        <v>1306</v>
      </c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</row>
    <row r="80" ht="15.75" customHeight="1">
      <c r="A80" s="261" t="s">
        <v>1307</v>
      </c>
      <c r="B80" s="263"/>
      <c r="C80" s="262">
        <f>689</f>
        <v>689</v>
      </c>
      <c r="D80" s="264">
        <f t="shared" si="1"/>
        <v>-689</v>
      </c>
      <c r="E80" s="265" t="s">
        <v>1016</v>
      </c>
      <c r="F80" s="257" t="s">
        <v>1308</v>
      </c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</row>
    <row r="81" ht="15.75" customHeight="1">
      <c r="A81" s="261" t="s">
        <v>1309</v>
      </c>
      <c r="B81" s="263"/>
      <c r="C81" s="262">
        <f>3931.32</f>
        <v>3931.32</v>
      </c>
      <c r="D81" s="264">
        <f t="shared" si="1"/>
        <v>-3931.32</v>
      </c>
      <c r="E81" s="265" t="s">
        <v>1017</v>
      </c>
      <c r="F81" s="257" t="s">
        <v>1310</v>
      </c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</row>
    <row r="82" ht="15.75" customHeight="1">
      <c r="A82" s="261" t="s">
        <v>1311</v>
      </c>
      <c r="B82" s="263"/>
      <c r="C82" s="262">
        <f>14143.46</f>
        <v>14143.46</v>
      </c>
      <c r="D82" s="264">
        <f t="shared" si="1"/>
        <v>-14143.46</v>
      </c>
      <c r="E82" s="265" t="s">
        <v>1025</v>
      </c>
      <c r="F82" s="257" t="s">
        <v>1312</v>
      </c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</row>
    <row r="83" ht="15.75" customHeight="1">
      <c r="A83" s="261" t="s">
        <v>1313</v>
      </c>
      <c r="B83" s="263"/>
      <c r="C83" s="262">
        <f>9565.88</f>
        <v>9565.88</v>
      </c>
      <c r="D83" s="264">
        <f t="shared" si="1"/>
        <v>-9565.88</v>
      </c>
      <c r="E83" s="265" t="s">
        <v>1027</v>
      </c>
      <c r="F83" s="257" t="s">
        <v>1314</v>
      </c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</row>
    <row r="84" ht="15.75" customHeight="1">
      <c r="A84" s="261" t="s">
        <v>1315</v>
      </c>
      <c r="B84" s="263"/>
      <c r="C84" s="262">
        <f>16500</f>
        <v>16500</v>
      </c>
      <c r="D84" s="264">
        <f t="shared" si="1"/>
        <v>-16500</v>
      </c>
      <c r="E84" s="265" t="s">
        <v>1028</v>
      </c>
      <c r="F84" s="257" t="s">
        <v>1316</v>
      </c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</row>
    <row r="85" ht="15.75" customHeight="1">
      <c r="A85" s="261" t="s">
        <v>1317</v>
      </c>
      <c r="B85" s="263"/>
      <c r="C85" s="262">
        <f>6398.77</f>
        <v>6398.77</v>
      </c>
      <c r="D85" s="264">
        <f t="shared" si="1"/>
        <v>-6398.77</v>
      </c>
      <c r="E85" s="265" t="s">
        <v>1029</v>
      </c>
      <c r="F85" s="257" t="s">
        <v>1318</v>
      </c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</row>
    <row r="86" ht="15.75" customHeight="1">
      <c r="A86" s="261" t="s">
        <v>1319</v>
      </c>
      <c r="B86" s="263"/>
      <c r="C86" s="262">
        <f>1560</f>
        <v>1560</v>
      </c>
      <c r="D86" s="264">
        <f t="shared" si="1"/>
        <v>-1560</v>
      </c>
      <c r="E86" s="265" t="s">
        <v>1030</v>
      </c>
      <c r="F86" s="257" t="s">
        <v>1320</v>
      </c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</row>
    <row r="87" ht="15.75" customHeight="1">
      <c r="A87" s="261" t="s">
        <v>1321</v>
      </c>
      <c r="B87" s="263"/>
      <c r="C87" s="262">
        <f>5563.75</f>
        <v>5563.75</v>
      </c>
      <c r="D87" s="264">
        <f t="shared" si="1"/>
        <v>-5563.75</v>
      </c>
      <c r="E87" s="265" t="s">
        <v>1026</v>
      </c>
      <c r="F87" s="257" t="s">
        <v>1322</v>
      </c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</row>
    <row r="88" ht="15.75" customHeight="1">
      <c r="A88" s="261" t="s">
        <v>1323</v>
      </c>
      <c r="B88" s="263"/>
      <c r="C88" s="262">
        <f>18882.99</f>
        <v>18882.99</v>
      </c>
      <c r="D88" s="264">
        <f t="shared" si="1"/>
        <v>-18882.99</v>
      </c>
      <c r="E88" s="265" t="s">
        <v>1031</v>
      </c>
      <c r="F88" s="257" t="s">
        <v>1324</v>
      </c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</row>
    <row r="89" ht="15.75" customHeight="1">
      <c r="A89" s="261" t="s">
        <v>1325</v>
      </c>
      <c r="B89" s="262">
        <f>18882.99</f>
        <v>18882.99</v>
      </c>
      <c r="C89" s="263"/>
      <c r="D89" s="264">
        <f t="shared" si="1"/>
        <v>18882.99</v>
      </c>
      <c r="E89" s="265" t="s">
        <v>1032</v>
      </c>
      <c r="F89" s="257" t="s">
        <v>1326</v>
      </c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</row>
    <row r="90" ht="15.75" customHeight="1">
      <c r="A90" s="261" t="s">
        <v>1327</v>
      </c>
      <c r="B90" s="263"/>
      <c r="C90" s="262">
        <f>0</f>
        <v>0</v>
      </c>
      <c r="D90" s="264">
        <f t="shared" si="1"/>
        <v>0</v>
      </c>
      <c r="E90" s="265" t="s">
        <v>1327</v>
      </c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</row>
    <row r="91" ht="15.75" customHeight="1">
      <c r="A91" s="261" t="s">
        <v>1328</v>
      </c>
      <c r="B91" s="262">
        <f>104.38</f>
        <v>104.38</v>
      </c>
      <c r="C91" s="263"/>
      <c r="D91" s="264">
        <f t="shared" si="1"/>
        <v>104.38</v>
      </c>
      <c r="E91" s="265" t="s">
        <v>1033</v>
      </c>
      <c r="F91" s="257" t="s">
        <v>289</v>
      </c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</row>
    <row r="92" ht="15.75" customHeight="1">
      <c r="A92" s="261" t="s">
        <v>1329</v>
      </c>
      <c r="B92" s="262">
        <f>17171.47</f>
        <v>17171.47</v>
      </c>
      <c r="C92" s="263"/>
      <c r="D92" s="264">
        <f t="shared" si="1"/>
        <v>17171.47</v>
      </c>
      <c r="E92" s="265" t="s">
        <v>1034</v>
      </c>
      <c r="F92" s="257" t="s">
        <v>1330</v>
      </c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</row>
    <row r="93" ht="15.75" customHeight="1">
      <c r="A93" s="261" t="s">
        <v>1331</v>
      </c>
      <c r="B93" s="262">
        <f>129.31</f>
        <v>129.31</v>
      </c>
      <c r="C93" s="263"/>
      <c r="D93" s="264">
        <f t="shared" si="1"/>
        <v>129.31</v>
      </c>
      <c r="E93" s="265" t="s">
        <v>1035</v>
      </c>
      <c r="F93" s="257" t="s">
        <v>64</v>
      </c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</row>
    <row r="94" ht="15.75" customHeight="1">
      <c r="A94" s="261" t="s">
        <v>1332</v>
      </c>
      <c r="B94" s="262">
        <f>14046.69</f>
        <v>14046.69</v>
      </c>
      <c r="C94" s="263"/>
      <c r="D94" s="264">
        <f t="shared" si="1"/>
        <v>14046.69</v>
      </c>
      <c r="E94" s="265" t="s">
        <v>1036</v>
      </c>
      <c r="F94" s="257" t="s">
        <v>1333</v>
      </c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</row>
    <row r="95" ht="15.75" customHeight="1">
      <c r="A95" s="261" t="s">
        <v>1334</v>
      </c>
      <c r="B95" s="262">
        <f>1170</f>
        <v>1170</v>
      </c>
      <c r="C95" s="263"/>
      <c r="D95" s="264">
        <f t="shared" si="1"/>
        <v>1170</v>
      </c>
      <c r="E95" s="265" t="s">
        <v>1040</v>
      </c>
      <c r="F95" s="257" t="s">
        <v>374</v>
      </c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</row>
    <row r="96" ht="15.75" customHeight="1">
      <c r="A96" s="261" t="s">
        <v>1335</v>
      </c>
      <c r="B96" s="262">
        <f>3003</f>
        <v>3003</v>
      </c>
      <c r="C96" s="263"/>
      <c r="D96" s="264">
        <f t="shared" si="1"/>
        <v>3003</v>
      </c>
      <c r="E96" s="265" t="s">
        <v>1041</v>
      </c>
      <c r="F96" s="257" t="s">
        <v>1336</v>
      </c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</row>
    <row r="97" ht="15.75" customHeight="1">
      <c r="A97" s="261" t="s">
        <v>1337</v>
      </c>
      <c r="B97" s="262">
        <f>239406.09+13288.84</f>
        <v>252694.93</v>
      </c>
      <c r="C97" s="263"/>
      <c r="D97" s="264">
        <f t="shared" si="1"/>
        <v>252694.93</v>
      </c>
      <c r="E97" s="265" t="s">
        <v>1044</v>
      </c>
      <c r="F97" s="257" t="s">
        <v>384</v>
      </c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</row>
    <row r="98" ht="15.75" customHeight="1">
      <c r="A98" s="261" t="s">
        <v>1338</v>
      </c>
      <c r="B98" s="262">
        <f>168498.13+9813.75</f>
        <v>178311.88</v>
      </c>
      <c r="C98" s="263"/>
      <c r="D98" s="264">
        <f t="shared" si="1"/>
        <v>178311.88</v>
      </c>
      <c r="E98" s="265" t="s">
        <v>1045</v>
      </c>
      <c r="F98" s="257" t="s">
        <v>390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</row>
    <row r="99" ht="15.75" customHeight="1">
      <c r="A99" s="261" t="s">
        <v>1340</v>
      </c>
      <c r="B99" s="262">
        <f>5122.76+105.26</f>
        <v>5228.02</v>
      </c>
      <c r="C99" s="263"/>
      <c r="D99" s="264">
        <f t="shared" si="1"/>
        <v>5228.02</v>
      </c>
      <c r="E99" s="265" t="s">
        <v>1047</v>
      </c>
      <c r="F99" s="257" t="s">
        <v>396</v>
      </c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</row>
    <row r="100" ht="15.75" customHeight="1">
      <c r="A100" s="261" t="s">
        <v>1341</v>
      </c>
      <c r="B100" s="262">
        <f>3365.1+187.5</f>
        <v>3552.6</v>
      </c>
      <c r="C100" s="263"/>
      <c r="D100" s="264">
        <f t="shared" si="1"/>
        <v>3552.6</v>
      </c>
      <c r="E100" s="265" t="s">
        <v>1048</v>
      </c>
      <c r="F100" s="257" t="s">
        <v>398</v>
      </c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</row>
    <row r="101" ht="15.75" customHeight="1">
      <c r="A101" s="261" t="s">
        <v>1342</v>
      </c>
      <c r="B101" s="262">
        <f>6920.8+52.5</f>
        <v>6973.3</v>
      </c>
      <c r="C101" s="263"/>
      <c r="D101" s="264">
        <f t="shared" si="1"/>
        <v>6973.3</v>
      </c>
      <c r="E101" s="265" t="s">
        <v>1049</v>
      </c>
      <c r="F101" s="257" t="s">
        <v>1343</v>
      </c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</row>
    <row r="102" ht="15.75" customHeight="1">
      <c r="A102" s="261" t="s">
        <v>1344</v>
      </c>
      <c r="B102" s="262">
        <f>975</f>
        <v>975</v>
      </c>
      <c r="C102" s="263"/>
      <c r="D102" s="264">
        <f t="shared" si="1"/>
        <v>975</v>
      </c>
      <c r="E102" s="265" t="s">
        <v>1050</v>
      </c>
      <c r="F102" s="257" t="s">
        <v>1345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</row>
    <row r="103" ht="15.75" customHeight="1">
      <c r="A103" s="261" t="s">
        <v>1346</v>
      </c>
      <c r="B103" s="262">
        <f>4200+300</f>
        <v>4500</v>
      </c>
      <c r="C103" s="263"/>
      <c r="D103" s="264">
        <f t="shared" si="1"/>
        <v>4500</v>
      </c>
      <c r="E103" s="265" t="s">
        <v>1054</v>
      </c>
      <c r="F103" s="257" t="s">
        <v>1347</v>
      </c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</row>
    <row r="104" ht="15.75" customHeight="1">
      <c r="A104" s="261" t="s">
        <v>1348</v>
      </c>
      <c r="B104" s="262">
        <f>4376.85</f>
        <v>4376.85</v>
      </c>
      <c r="C104" s="263"/>
      <c r="D104" s="264">
        <f t="shared" si="1"/>
        <v>4376.85</v>
      </c>
      <c r="E104" s="265" t="s">
        <v>1055</v>
      </c>
      <c r="F104" s="257" t="s">
        <v>434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</row>
    <row r="105" ht="15.75" customHeight="1">
      <c r="A105" s="261" t="s">
        <v>1349</v>
      </c>
      <c r="B105" s="262">
        <f>5446.67</f>
        <v>5446.67</v>
      </c>
      <c r="C105" s="263"/>
      <c r="D105" s="264">
        <f t="shared" si="1"/>
        <v>5446.67</v>
      </c>
      <c r="E105" s="265" t="s">
        <v>1056</v>
      </c>
      <c r="F105" s="257" t="s">
        <v>1350</v>
      </c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</row>
    <row r="106" ht="15.75" customHeight="1">
      <c r="A106" s="261" t="s">
        <v>1351</v>
      </c>
      <c r="B106" s="262">
        <f>2981.86</f>
        <v>2981.86</v>
      </c>
      <c r="C106" s="263"/>
      <c r="D106" s="264">
        <f t="shared" si="1"/>
        <v>2981.86</v>
      </c>
      <c r="E106" s="265" t="s">
        <v>1057</v>
      </c>
      <c r="F106" s="257" t="s">
        <v>1352</v>
      </c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</row>
    <row r="107" ht="15.75" customHeight="1">
      <c r="A107" s="261" t="s">
        <v>1353</v>
      </c>
      <c r="B107" s="262">
        <f>27647.03</f>
        <v>27647.03</v>
      </c>
      <c r="C107" s="263"/>
      <c r="D107" s="264">
        <f t="shared" si="1"/>
        <v>27647.03</v>
      </c>
      <c r="E107" s="265" t="s">
        <v>1058</v>
      </c>
      <c r="F107" s="257" t="s">
        <v>1354</v>
      </c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</row>
    <row r="108" ht="15.75" customHeight="1">
      <c r="A108" s="261" t="s">
        <v>1355</v>
      </c>
      <c r="B108" s="262">
        <f>684</f>
        <v>684</v>
      </c>
      <c r="C108" s="263"/>
      <c r="D108" s="264">
        <f t="shared" si="1"/>
        <v>684</v>
      </c>
      <c r="E108" s="265" t="s">
        <v>1059</v>
      </c>
      <c r="F108" s="257" t="s">
        <v>1060</v>
      </c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</row>
    <row r="109" ht="15.75" customHeight="1">
      <c r="A109" s="261" t="s">
        <v>1356</v>
      </c>
      <c r="B109" s="262">
        <f>684.95</f>
        <v>684.95</v>
      </c>
      <c r="C109" s="263"/>
      <c r="D109" s="264">
        <f t="shared" si="1"/>
        <v>684.95</v>
      </c>
      <c r="E109" s="265" t="s">
        <v>1061</v>
      </c>
      <c r="F109" s="257" t="s">
        <v>1357</v>
      </c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</row>
    <row r="110" ht="15.75" customHeight="1">
      <c r="A110" s="261" t="s">
        <v>1358</v>
      </c>
      <c r="B110" s="262">
        <f>239.4</f>
        <v>239.4</v>
      </c>
      <c r="C110" s="263"/>
      <c r="D110" s="264">
        <f t="shared" si="1"/>
        <v>239.4</v>
      </c>
      <c r="E110" s="265" t="s">
        <v>1062</v>
      </c>
      <c r="F110" s="257" t="s">
        <v>1359</v>
      </c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</row>
    <row r="111" ht="15.75" customHeight="1">
      <c r="A111" s="261" t="s">
        <v>1360</v>
      </c>
      <c r="B111" s="262">
        <f>16354.36</f>
        <v>16354.36</v>
      </c>
      <c r="C111" s="263"/>
      <c r="D111" s="264">
        <f t="shared" si="1"/>
        <v>16354.36</v>
      </c>
      <c r="E111" s="265" t="s">
        <v>1064</v>
      </c>
      <c r="F111" s="257" t="s">
        <v>1361</v>
      </c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</row>
    <row r="112" ht="15.75" customHeight="1">
      <c r="A112" s="261" t="s">
        <v>1362</v>
      </c>
      <c r="B112" s="262">
        <f>9346.73</f>
        <v>9346.73</v>
      </c>
      <c r="C112" s="263"/>
      <c r="D112" s="264">
        <f t="shared" si="1"/>
        <v>9346.73</v>
      </c>
      <c r="E112" s="265" t="s">
        <v>1065</v>
      </c>
      <c r="F112" s="257" t="s">
        <v>1363</v>
      </c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</row>
    <row r="113" ht="15.75" customHeight="1">
      <c r="A113" s="261" t="s">
        <v>1364</v>
      </c>
      <c r="B113" s="262">
        <f>3824.56</f>
        <v>3824.56</v>
      </c>
      <c r="C113" s="263"/>
      <c r="D113" s="264">
        <f t="shared" si="1"/>
        <v>3824.56</v>
      </c>
      <c r="E113" s="265" t="s">
        <v>1067</v>
      </c>
      <c r="F113" s="257" t="s">
        <v>1365</v>
      </c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</row>
    <row r="114" ht="15.75" customHeight="1">
      <c r="A114" s="261" t="s">
        <v>1366</v>
      </c>
      <c r="B114" s="262">
        <f>2186.03</f>
        <v>2186.03</v>
      </c>
      <c r="C114" s="263"/>
      <c r="D114" s="264">
        <f t="shared" si="1"/>
        <v>2186.03</v>
      </c>
      <c r="E114" s="265" t="s">
        <v>1068</v>
      </c>
      <c r="F114" s="257" t="s">
        <v>1367</v>
      </c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</row>
    <row r="115" ht="15.75" customHeight="1">
      <c r="A115" s="261" t="s">
        <v>1368</v>
      </c>
      <c r="B115" s="262">
        <f>12060</f>
        <v>12060</v>
      </c>
      <c r="C115" s="263"/>
      <c r="D115" s="264">
        <f t="shared" si="1"/>
        <v>12060</v>
      </c>
      <c r="E115" s="265" t="s">
        <v>1042</v>
      </c>
      <c r="F115" s="257" t="s">
        <v>1369</v>
      </c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</row>
    <row r="116" ht="15.75" customHeight="1">
      <c r="A116" s="261" t="s">
        <v>1370</v>
      </c>
      <c r="B116" s="262">
        <f>8400</f>
        <v>8400</v>
      </c>
      <c r="C116" s="263"/>
      <c r="D116" s="264">
        <f t="shared" si="1"/>
        <v>8400</v>
      </c>
      <c r="E116" s="265" t="s">
        <v>1070</v>
      </c>
      <c r="F116" s="257" t="s">
        <v>1371</v>
      </c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</row>
    <row r="117" ht="15.75" customHeight="1">
      <c r="A117" s="261" t="s">
        <v>1372</v>
      </c>
      <c r="B117" s="262">
        <f>1547.21</f>
        <v>1547.21</v>
      </c>
      <c r="C117" s="263"/>
      <c r="D117" s="264">
        <f t="shared" si="1"/>
        <v>1547.21</v>
      </c>
      <c r="E117" s="265" t="s">
        <v>1071</v>
      </c>
      <c r="F117" s="257" t="s">
        <v>1373</v>
      </c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</row>
    <row r="118" ht="15.75" customHeight="1">
      <c r="A118" s="261" t="s">
        <v>1374</v>
      </c>
      <c r="B118" s="262">
        <f>19320.8</f>
        <v>19320.8</v>
      </c>
      <c r="C118" s="263"/>
      <c r="D118" s="264">
        <f t="shared" si="1"/>
        <v>19320.8</v>
      </c>
      <c r="E118" s="265" t="s">
        <v>1072</v>
      </c>
      <c r="F118" s="257" t="s">
        <v>482</v>
      </c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</row>
    <row r="119" ht="15.75" customHeight="1">
      <c r="A119" s="261" t="s">
        <v>1375</v>
      </c>
      <c r="B119" s="262">
        <f>5015.61</f>
        <v>5015.61</v>
      </c>
      <c r="C119" s="263"/>
      <c r="D119" s="264">
        <f t="shared" si="1"/>
        <v>5015.61</v>
      </c>
      <c r="E119" s="265" t="s">
        <v>1075</v>
      </c>
      <c r="F119" s="257" t="s">
        <v>177</v>
      </c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</row>
    <row r="120" ht="15.75" customHeight="1">
      <c r="A120" s="261" t="s">
        <v>1376</v>
      </c>
      <c r="B120" s="262">
        <f>2347.82</f>
        <v>2347.82</v>
      </c>
      <c r="C120" s="263"/>
      <c r="D120" s="264">
        <f t="shared" si="1"/>
        <v>2347.82</v>
      </c>
      <c r="E120" s="265" t="s">
        <v>1076</v>
      </c>
      <c r="F120" s="257" t="s">
        <v>146</v>
      </c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</row>
    <row r="121" ht="15.75" customHeight="1">
      <c r="A121" s="261" t="s">
        <v>1377</v>
      </c>
      <c r="B121" s="262">
        <f>42.62</f>
        <v>42.62</v>
      </c>
      <c r="C121" s="263"/>
      <c r="D121" s="264">
        <f t="shared" si="1"/>
        <v>42.62</v>
      </c>
      <c r="E121" s="265" t="s">
        <v>1077</v>
      </c>
      <c r="F121" s="257" t="s">
        <v>1378</v>
      </c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</row>
    <row r="122" ht="15.75" customHeight="1">
      <c r="A122" s="261" t="s">
        <v>1379</v>
      </c>
      <c r="B122" s="262">
        <f>2098</f>
        <v>2098</v>
      </c>
      <c r="C122" s="263"/>
      <c r="D122" s="264">
        <f t="shared" si="1"/>
        <v>2098</v>
      </c>
      <c r="E122" s="265" t="s">
        <v>1078</v>
      </c>
      <c r="F122" s="257" t="s">
        <v>1380</v>
      </c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</row>
    <row r="123" ht="15.75" customHeight="1">
      <c r="A123" s="261" t="s">
        <v>1381</v>
      </c>
      <c r="B123" s="262">
        <f>2480.51</f>
        <v>2480.51</v>
      </c>
      <c r="C123" s="263"/>
      <c r="D123" s="264">
        <f t="shared" si="1"/>
        <v>2480.51</v>
      </c>
      <c r="E123" s="265" t="s">
        <v>1079</v>
      </c>
      <c r="F123" s="257" t="s">
        <v>1382</v>
      </c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</row>
    <row r="124" ht="15.75" customHeight="1">
      <c r="A124" s="261" t="s">
        <v>1383</v>
      </c>
      <c r="B124" s="262">
        <f>1915.5</f>
        <v>1915.5</v>
      </c>
      <c r="C124" s="263"/>
      <c r="D124" s="264">
        <f t="shared" si="1"/>
        <v>1915.5</v>
      </c>
      <c r="E124" s="265" t="s">
        <v>1080</v>
      </c>
      <c r="F124" s="257" t="s">
        <v>1384</v>
      </c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</row>
    <row r="125" ht="15.75" customHeight="1">
      <c r="A125" s="261" t="s">
        <v>1385</v>
      </c>
      <c r="B125" s="262">
        <f>20.47</f>
        <v>20.47</v>
      </c>
      <c r="C125" s="263"/>
      <c r="D125" s="264">
        <f t="shared" si="1"/>
        <v>20.47</v>
      </c>
      <c r="E125" s="265" t="s">
        <v>1083</v>
      </c>
      <c r="F125" s="257" t="s">
        <v>1386</v>
      </c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</row>
    <row r="126" ht="15.75" customHeight="1">
      <c r="A126" s="261" t="s">
        <v>1387</v>
      </c>
      <c r="B126" s="262">
        <f>6748.27</f>
        <v>6748.27</v>
      </c>
      <c r="C126" s="263"/>
      <c r="D126" s="264">
        <f t="shared" si="1"/>
        <v>6748.27</v>
      </c>
      <c r="E126" s="265" t="s">
        <v>1086</v>
      </c>
      <c r="F126" s="257" t="s">
        <v>1388</v>
      </c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</row>
    <row r="127" ht="15.75" customHeight="1">
      <c r="A127" s="261" t="s">
        <v>1389</v>
      </c>
      <c r="B127" s="262">
        <f>1795.75</f>
        <v>1795.75</v>
      </c>
      <c r="C127" s="263"/>
      <c r="D127" s="264">
        <f t="shared" si="1"/>
        <v>1795.75</v>
      </c>
      <c r="E127" s="265" t="s">
        <v>1087</v>
      </c>
      <c r="F127" s="257" t="s">
        <v>1390</v>
      </c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</row>
    <row r="128" ht="15.75" customHeight="1">
      <c r="A128" s="261" t="s">
        <v>1391</v>
      </c>
      <c r="B128" s="262">
        <f>2539.46</f>
        <v>2539.46</v>
      </c>
      <c r="C128" s="263"/>
      <c r="D128" s="264">
        <f t="shared" si="1"/>
        <v>2539.46</v>
      </c>
      <c r="E128" s="265" t="s">
        <v>1088</v>
      </c>
      <c r="F128" s="257" t="s">
        <v>1392</v>
      </c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</row>
    <row r="129" ht="15.75" customHeight="1">
      <c r="A129" s="261" t="s">
        <v>1393</v>
      </c>
      <c r="B129" s="262">
        <f>9169.53</f>
        <v>9169.53</v>
      </c>
      <c r="C129" s="263"/>
      <c r="D129" s="264">
        <f t="shared" si="1"/>
        <v>9169.53</v>
      </c>
      <c r="E129" s="265" t="s">
        <v>1092</v>
      </c>
      <c r="F129" s="257" t="s">
        <v>56</v>
      </c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</row>
    <row r="130" ht="15.75" customHeight="1">
      <c r="A130" s="261" t="s">
        <v>1394</v>
      </c>
      <c r="B130" s="262">
        <f>62.1</f>
        <v>62.1</v>
      </c>
      <c r="C130" s="263"/>
      <c r="D130" s="264">
        <f t="shared" si="1"/>
        <v>62.1</v>
      </c>
      <c r="E130" s="265" t="s">
        <v>1093</v>
      </c>
      <c r="F130" s="257" t="s">
        <v>514</v>
      </c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</row>
    <row r="131" ht="15.75" customHeight="1">
      <c r="A131" s="261" t="s">
        <v>1395</v>
      </c>
      <c r="B131" s="262">
        <f>528</f>
        <v>528</v>
      </c>
      <c r="C131" s="263"/>
      <c r="D131" s="264">
        <f t="shared" si="1"/>
        <v>528</v>
      </c>
      <c r="E131" s="265" t="s">
        <v>1095</v>
      </c>
      <c r="F131" s="257" t="s">
        <v>516</v>
      </c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</row>
    <row r="132" ht="15.75" customHeight="1">
      <c r="A132" s="261" t="s">
        <v>1396</v>
      </c>
      <c r="B132" s="262">
        <f>5953.55</f>
        <v>5953.55</v>
      </c>
      <c r="C132" s="263"/>
      <c r="D132" s="264">
        <f t="shared" si="1"/>
        <v>5953.55</v>
      </c>
      <c r="E132" s="265" t="s">
        <v>1100</v>
      </c>
      <c r="F132" s="257" t="s">
        <v>1397</v>
      </c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</row>
    <row r="133" ht="15.75" customHeight="1">
      <c r="A133" s="261" t="s">
        <v>1398</v>
      </c>
      <c r="B133" s="262">
        <f>32</f>
        <v>32</v>
      </c>
      <c r="C133" s="263"/>
      <c r="D133" s="264">
        <f t="shared" si="1"/>
        <v>32</v>
      </c>
      <c r="E133" s="265" t="s">
        <v>1096</v>
      </c>
      <c r="F133" s="257" t="s">
        <v>518</v>
      </c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</row>
    <row r="134" ht="15.75" customHeight="1">
      <c r="A134" s="261" t="s">
        <v>1399</v>
      </c>
      <c r="B134" s="262">
        <f>1200.5</f>
        <v>1200.5</v>
      </c>
      <c r="C134" s="263"/>
      <c r="D134" s="264">
        <f t="shared" si="1"/>
        <v>1200.5</v>
      </c>
      <c r="E134" s="265" t="s">
        <v>1110</v>
      </c>
      <c r="F134" s="257" t="s">
        <v>549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</row>
    <row r="135" ht="15.75" customHeight="1">
      <c r="A135" s="261" t="s">
        <v>1400</v>
      </c>
      <c r="B135" s="262">
        <f>1521</f>
        <v>1521</v>
      </c>
      <c r="C135" s="263"/>
      <c r="D135" s="264">
        <f t="shared" si="1"/>
        <v>1521</v>
      </c>
      <c r="E135" s="265" t="s">
        <v>1102</v>
      </c>
      <c r="F135" s="257" t="s">
        <v>1401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</row>
    <row r="136" ht="15.75" customHeight="1">
      <c r="A136" s="261" t="s">
        <v>1402</v>
      </c>
      <c r="B136" s="262">
        <f>191.59</f>
        <v>191.59</v>
      </c>
      <c r="C136" s="263"/>
      <c r="D136" s="264">
        <f t="shared" si="1"/>
        <v>191.59</v>
      </c>
      <c r="E136" s="265" t="s">
        <v>1107</v>
      </c>
      <c r="F136" s="257" t="s">
        <v>161</v>
      </c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</row>
    <row r="137" ht="15.75" customHeight="1">
      <c r="A137" s="261" t="s">
        <v>1403</v>
      </c>
      <c r="B137" s="262">
        <f>10.95</f>
        <v>10.95</v>
      </c>
      <c r="C137" s="263"/>
      <c r="D137" s="264">
        <f t="shared" si="1"/>
        <v>10.95</v>
      </c>
      <c r="E137" s="265" t="s">
        <v>1112</v>
      </c>
      <c r="F137" s="257" t="s">
        <v>1404</v>
      </c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</row>
    <row r="138" ht="15.75" customHeight="1">
      <c r="A138" s="261" t="s">
        <v>1405</v>
      </c>
      <c r="B138" s="262">
        <f>3910</f>
        <v>3910</v>
      </c>
      <c r="C138" s="263"/>
      <c r="D138" s="264">
        <f t="shared" si="1"/>
        <v>3910</v>
      </c>
      <c r="E138" s="265" t="s">
        <v>1113</v>
      </c>
      <c r="F138" s="257" t="s">
        <v>1406</v>
      </c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</row>
    <row r="139" ht="15.75" customHeight="1">
      <c r="A139" s="261" t="s">
        <v>1407</v>
      </c>
      <c r="B139" s="262">
        <f>3481.62</f>
        <v>3481.62</v>
      </c>
      <c r="C139" s="263"/>
      <c r="D139" s="264">
        <f t="shared" si="1"/>
        <v>3481.62</v>
      </c>
      <c r="E139" s="265" t="s">
        <v>1115</v>
      </c>
      <c r="F139" s="257" t="s">
        <v>1408</v>
      </c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</row>
    <row r="140" ht="15.75" customHeight="1">
      <c r="A140" s="261" t="s">
        <v>1409</v>
      </c>
      <c r="B140" s="262">
        <f>8996.28</f>
        <v>8996.28</v>
      </c>
      <c r="C140" s="263"/>
      <c r="D140" s="264">
        <f t="shared" si="1"/>
        <v>8996.28</v>
      </c>
      <c r="E140" s="265" t="s">
        <v>1116</v>
      </c>
      <c r="F140" s="257" t="s">
        <v>1410</v>
      </c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</row>
    <row r="141" ht="15.75" customHeight="1">
      <c r="A141" s="261" t="s">
        <v>1411</v>
      </c>
      <c r="B141" s="262">
        <f>21.17</f>
        <v>21.17</v>
      </c>
      <c r="C141" s="263"/>
      <c r="D141" s="264">
        <f t="shared" si="1"/>
        <v>21.17</v>
      </c>
      <c r="E141" s="265" t="s">
        <v>1118</v>
      </c>
      <c r="F141" s="257" t="s">
        <v>1412</v>
      </c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</row>
    <row r="142" ht="15.75" customHeight="1">
      <c r="A142" s="261" t="s">
        <v>1413</v>
      </c>
      <c r="B142" s="262">
        <f>483.38</f>
        <v>483.38</v>
      </c>
      <c r="C142" s="263"/>
      <c r="D142" s="264">
        <f t="shared" si="1"/>
        <v>483.38</v>
      </c>
      <c r="E142" s="265" t="s">
        <v>1119</v>
      </c>
      <c r="F142" s="257" t="s">
        <v>1414</v>
      </c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</row>
    <row r="143" ht="15.75" customHeight="1">
      <c r="A143" s="261" t="s">
        <v>1415</v>
      </c>
      <c r="B143" s="262">
        <f>402.7</f>
        <v>402.7</v>
      </c>
      <c r="C143" s="263"/>
      <c r="D143" s="264">
        <f t="shared" si="1"/>
        <v>402.7</v>
      </c>
      <c r="E143" s="265" t="s">
        <v>1121</v>
      </c>
      <c r="F143" s="257" t="s">
        <v>1416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</row>
    <row r="144" ht="15.75" customHeight="1">
      <c r="A144" s="261" t="s">
        <v>1417</v>
      </c>
      <c r="B144" s="262">
        <f>67.16</f>
        <v>67.16</v>
      </c>
      <c r="C144" s="263"/>
      <c r="D144" s="264">
        <f t="shared" si="1"/>
        <v>67.16</v>
      </c>
      <c r="E144" s="265" t="s">
        <v>1122</v>
      </c>
      <c r="F144" s="257" t="s">
        <v>1418</v>
      </c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</row>
    <row r="145" ht="15.75" customHeight="1">
      <c r="A145" s="261" t="s">
        <v>1419</v>
      </c>
      <c r="B145" s="262">
        <f>2710.53</f>
        <v>2710.53</v>
      </c>
      <c r="C145" s="263"/>
      <c r="D145" s="264">
        <f t="shared" si="1"/>
        <v>2710.53</v>
      </c>
      <c r="E145" s="265" t="s">
        <v>1124</v>
      </c>
      <c r="F145" s="257" t="s">
        <v>574</v>
      </c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</row>
    <row r="146" ht="15.75" customHeight="1">
      <c r="A146" s="261" t="s">
        <v>1420</v>
      </c>
      <c r="B146" s="262">
        <f>1872.68</f>
        <v>1872.68</v>
      </c>
      <c r="C146" s="263"/>
      <c r="D146" s="264">
        <f t="shared" si="1"/>
        <v>1872.68</v>
      </c>
      <c r="E146" s="265" t="s">
        <v>1126</v>
      </c>
      <c r="F146" s="257" t="s">
        <v>154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</row>
    <row r="147" ht="15.75" customHeight="1">
      <c r="A147" s="261" t="s">
        <v>1421</v>
      </c>
      <c r="B147" s="262">
        <f>47.52</f>
        <v>47.52</v>
      </c>
      <c r="C147" s="263"/>
      <c r="D147" s="264">
        <f t="shared" si="1"/>
        <v>47.52</v>
      </c>
      <c r="E147" s="265" t="s">
        <v>1128</v>
      </c>
      <c r="F147" s="257" t="s">
        <v>1422</v>
      </c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</row>
    <row r="148" ht="15.75" customHeight="1">
      <c r="A148" s="261" t="s">
        <v>1423</v>
      </c>
      <c r="B148" s="262">
        <f>109.4</f>
        <v>109.4</v>
      </c>
      <c r="C148" s="263"/>
      <c r="D148" s="264">
        <f t="shared" si="1"/>
        <v>109.4</v>
      </c>
      <c r="E148" s="265" t="s">
        <v>1129</v>
      </c>
      <c r="F148" s="257" t="s">
        <v>1424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</row>
    <row r="149" ht="15.75" customHeight="1">
      <c r="A149" s="261" t="s">
        <v>1425</v>
      </c>
      <c r="B149" s="262">
        <f>1260.69</f>
        <v>1260.69</v>
      </c>
      <c r="C149" s="263"/>
      <c r="D149" s="264">
        <f t="shared" si="1"/>
        <v>1260.69</v>
      </c>
      <c r="E149" s="265" t="s">
        <v>1131</v>
      </c>
      <c r="F149" s="257" t="s">
        <v>583</v>
      </c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</row>
    <row r="150" ht="15.75" customHeight="1">
      <c r="A150" s="261" t="s">
        <v>1426</v>
      </c>
      <c r="B150" s="262">
        <f>1585.6</f>
        <v>1585.6</v>
      </c>
      <c r="C150" s="263"/>
      <c r="D150" s="264">
        <f t="shared" si="1"/>
        <v>1585.6</v>
      </c>
      <c r="E150" s="265" t="s">
        <v>1135</v>
      </c>
      <c r="F150" s="257" t="s">
        <v>591</v>
      </c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</row>
    <row r="151" ht="15.75" customHeight="1">
      <c r="A151" s="261" t="s">
        <v>1427</v>
      </c>
      <c r="B151" s="262">
        <f>650</f>
        <v>650</v>
      </c>
      <c r="C151" s="263"/>
      <c r="D151" s="264">
        <f t="shared" si="1"/>
        <v>650</v>
      </c>
      <c r="E151" s="265" t="s">
        <v>1138</v>
      </c>
      <c r="F151" s="257" t="s">
        <v>1428</v>
      </c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</row>
    <row r="152" ht="15.75" customHeight="1">
      <c r="A152" s="261" t="s">
        <v>1429</v>
      </c>
      <c r="B152" s="262">
        <f>331.68</f>
        <v>331.68</v>
      </c>
      <c r="C152" s="263"/>
      <c r="D152" s="264">
        <f t="shared" si="1"/>
        <v>331.68</v>
      </c>
      <c r="E152" s="265" t="s">
        <v>1139</v>
      </c>
      <c r="F152" s="257" t="s">
        <v>1430</v>
      </c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</row>
    <row r="153" ht="15.75" customHeight="1">
      <c r="A153" s="261" t="s">
        <v>1431</v>
      </c>
      <c r="B153" s="262">
        <f>70170</f>
        <v>70170</v>
      </c>
      <c r="C153" s="263"/>
      <c r="D153" s="264">
        <f t="shared" si="1"/>
        <v>70170</v>
      </c>
      <c r="E153" s="265" t="s">
        <v>1142</v>
      </c>
      <c r="F153" s="257" t="s">
        <v>1432</v>
      </c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</row>
    <row r="154" ht="15.75" customHeight="1">
      <c r="A154" s="261" t="s">
        <v>1433</v>
      </c>
      <c r="B154" s="262">
        <f>2723.04</f>
        <v>2723.04</v>
      </c>
      <c r="C154" s="263"/>
      <c r="D154" s="264">
        <f t="shared" si="1"/>
        <v>2723.04</v>
      </c>
      <c r="E154" s="265" t="s">
        <v>1148</v>
      </c>
      <c r="F154" s="257" t="s">
        <v>629</v>
      </c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</row>
    <row r="155" ht="15.75" customHeight="1">
      <c r="A155" s="261" t="s">
        <v>1434</v>
      </c>
      <c r="B155" s="262">
        <f>1028.64</f>
        <v>1028.64</v>
      </c>
      <c r="C155" s="263"/>
      <c r="D155" s="264">
        <f t="shared" si="1"/>
        <v>1028.64</v>
      </c>
      <c r="E155" s="265" t="s">
        <v>1149</v>
      </c>
      <c r="F155" s="257" t="s">
        <v>631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</row>
    <row r="156" ht="15.75" customHeight="1">
      <c r="A156" s="261" t="s">
        <v>1435</v>
      </c>
      <c r="B156" s="262">
        <f>550.64</f>
        <v>550.64</v>
      </c>
      <c r="C156" s="263"/>
      <c r="D156" s="264">
        <f t="shared" si="1"/>
        <v>550.64</v>
      </c>
      <c r="E156" s="265" t="s">
        <v>1151</v>
      </c>
      <c r="F156" s="257" t="s">
        <v>635</v>
      </c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</row>
    <row r="157" ht="15.75" customHeight="1">
      <c r="A157" s="261" t="s">
        <v>1436</v>
      </c>
      <c r="B157" s="262">
        <f>167.64</f>
        <v>167.64</v>
      </c>
      <c r="C157" s="263"/>
      <c r="D157" s="264">
        <f t="shared" si="1"/>
        <v>167.64</v>
      </c>
      <c r="E157" s="265" t="s">
        <v>1154</v>
      </c>
      <c r="F157" s="257" t="s">
        <v>640</v>
      </c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</row>
    <row r="158" ht="15.75" customHeight="1">
      <c r="A158" s="261" t="s">
        <v>1437</v>
      </c>
      <c r="B158" s="262">
        <f>795.5</f>
        <v>795.5</v>
      </c>
      <c r="C158" s="263"/>
      <c r="D158" s="264">
        <f t="shared" si="1"/>
        <v>795.5</v>
      </c>
      <c r="E158" s="265" t="s">
        <v>1155</v>
      </c>
      <c r="F158" s="257" t="s">
        <v>1438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</row>
    <row r="159" ht="15.75" customHeight="1">
      <c r="A159" s="261" t="s">
        <v>1439</v>
      </c>
      <c r="B159" s="262">
        <f>1558</f>
        <v>1558</v>
      </c>
      <c r="C159" s="263"/>
      <c r="D159" s="264">
        <f t="shared" si="1"/>
        <v>1558</v>
      </c>
      <c r="E159" s="265" t="s">
        <v>1157</v>
      </c>
      <c r="F159" s="257" t="s">
        <v>1440</v>
      </c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</row>
    <row r="160" ht="15.75" customHeight="1">
      <c r="A160" s="261" t="s">
        <v>1441</v>
      </c>
      <c r="B160" s="262">
        <f>572.32</f>
        <v>572.32</v>
      </c>
      <c r="C160" s="263"/>
      <c r="D160" s="264">
        <f t="shared" si="1"/>
        <v>572.32</v>
      </c>
      <c r="E160" s="265" t="s">
        <v>1158</v>
      </c>
      <c r="F160" s="257" t="s">
        <v>212</v>
      </c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</row>
    <row r="161" ht="15.75" customHeight="1">
      <c r="A161" s="261" t="s">
        <v>1442</v>
      </c>
      <c r="B161" s="262">
        <f>220.88</f>
        <v>220.88</v>
      </c>
      <c r="C161" s="263"/>
      <c r="D161" s="264">
        <f t="shared" si="1"/>
        <v>220.88</v>
      </c>
      <c r="E161" s="265" t="s">
        <v>1160</v>
      </c>
      <c r="F161" s="257" t="s">
        <v>1443</v>
      </c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</row>
    <row r="162" ht="15.75" customHeight="1">
      <c r="A162" s="261" t="s">
        <v>1444</v>
      </c>
      <c r="B162" s="262">
        <f>493.75</f>
        <v>493.75</v>
      </c>
      <c r="C162" s="263"/>
      <c r="D162" s="264">
        <f t="shared" si="1"/>
        <v>493.75</v>
      </c>
      <c r="E162" s="265" t="s">
        <v>1162</v>
      </c>
      <c r="F162" s="257" t="s">
        <v>1445</v>
      </c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</row>
    <row r="163" ht="15.75" customHeight="1">
      <c r="A163" s="261" t="s">
        <v>1446</v>
      </c>
      <c r="B163" s="262">
        <f>99.1</f>
        <v>99.1</v>
      </c>
      <c r="C163" s="263"/>
      <c r="D163" s="264">
        <f t="shared" si="1"/>
        <v>99.1</v>
      </c>
      <c r="E163" s="265" t="s">
        <v>1163</v>
      </c>
      <c r="F163" s="257" t="s">
        <v>1447</v>
      </c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</row>
    <row r="164" ht="15.75" customHeight="1">
      <c r="A164" s="261" t="s">
        <v>1448</v>
      </c>
      <c r="B164" s="262">
        <f>319.84</f>
        <v>319.84</v>
      </c>
      <c r="C164" s="263"/>
      <c r="D164" s="264">
        <f t="shared" si="1"/>
        <v>319.84</v>
      </c>
      <c r="E164" s="265" t="s">
        <v>1165</v>
      </c>
      <c r="F164" s="257" t="s">
        <v>255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</row>
    <row r="165" ht="15.75" customHeight="1">
      <c r="A165" s="261" t="s">
        <v>1449</v>
      </c>
      <c r="B165" s="262">
        <f>135.1</f>
        <v>135.1</v>
      </c>
      <c r="C165" s="263"/>
      <c r="D165" s="264">
        <f t="shared" si="1"/>
        <v>135.1</v>
      </c>
      <c r="E165" s="265" t="s">
        <v>1166</v>
      </c>
      <c r="F165" s="257" t="s">
        <v>1450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</row>
    <row r="166" ht="15.75" customHeight="1">
      <c r="A166" s="261" t="s">
        <v>1451</v>
      </c>
      <c r="B166" s="262">
        <f>20566.77</f>
        <v>20566.77</v>
      </c>
      <c r="C166" s="263"/>
      <c r="D166" s="264">
        <f t="shared" si="1"/>
        <v>20566.77</v>
      </c>
      <c r="E166" s="265" t="s">
        <v>1182</v>
      </c>
      <c r="F166" s="257" t="s">
        <v>249</v>
      </c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</row>
    <row r="167" ht="15.75" customHeight="1">
      <c r="A167" s="261" t="s">
        <v>1452</v>
      </c>
      <c r="B167" s="263"/>
      <c r="C167" s="262">
        <f>58.93</f>
        <v>58.93</v>
      </c>
      <c r="D167" s="264">
        <f t="shared" si="1"/>
        <v>-58.93</v>
      </c>
      <c r="E167" s="265" t="s">
        <v>1022</v>
      </c>
      <c r="F167" s="257" t="s">
        <v>1453</v>
      </c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</row>
    <row r="168" ht="15.75" customHeight="1">
      <c r="A168" s="261" t="s">
        <v>1454</v>
      </c>
      <c r="B168" s="263"/>
      <c r="C168" s="262">
        <f>251.27</f>
        <v>251.27</v>
      </c>
      <c r="D168" s="264">
        <f t="shared" si="1"/>
        <v>-251.27</v>
      </c>
      <c r="E168" s="265" t="s">
        <v>1023</v>
      </c>
      <c r="F168" s="257" t="s">
        <v>1024</v>
      </c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</row>
    <row r="169" ht="15.75" customHeight="1">
      <c r="A169" s="261" t="s">
        <v>1455</v>
      </c>
      <c r="B169" s="262">
        <f>13811.88</f>
        <v>13811.88</v>
      </c>
      <c r="C169" s="263"/>
      <c r="D169" s="264">
        <f t="shared" si="1"/>
        <v>13811.88</v>
      </c>
      <c r="E169" s="265" t="s">
        <v>1169</v>
      </c>
      <c r="F169" s="257" t="s">
        <v>681</v>
      </c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</row>
    <row r="170" ht="15.75" customHeight="1">
      <c r="A170" s="261" t="s">
        <v>1456</v>
      </c>
      <c r="B170" s="262">
        <f>35.31</f>
        <v>35.31</v>
      </c>
      <c r="C170" s="263"/>
      <c r="D170" s="264">
        <f t="shared" si="1"/>
        <v>35.31</v>
      </c>
      <c r="E170" s="265" t="s">
        <v>1174</v>
      </c>
      <c r="F170" s="257" t="s">
        <v>1457</v>
      </c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</row>
    <row r="171" ht="15.75" customHeight="1">
      <c r="A171" s="261" t="s">
        <v>1458</v>
      </c>
      <c r="B171" s="266">
        <f t="shared" ref="B171:C171" si="3">((((((((((((((((((((((((((((((((((((((((((((((((((((((((((((((((((((((((((((((((((((((((((((((((((((((((((((((((((((((((((((((((((((((((((((((((((((((((((((((((((((B6)+(B7)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)+(B149))+(B150))+(B151))+(B152))+(B153))+(B154))+(B155))+(B156))+(B157))+(B158))+(B159))+(B160))+(B161))+(B162))+(B163))+(B164))+(B165))+(B166))+(B167))+(B168))+(B169))+(B170)</f>
        <v>1755087.65</v>
      </c>
      <c r="C171" s="266">
        <f t="shared" si="3"/>
        <v>1755087.65</v>
      </c>
      <c r="D171" s="266">
        <f>+SUM(D6:D170)</f>
        <v>-0.0000000001164153218</v>
      </c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</row>
    <row r="172" ht="15.75" customHeight="1">
      <c r="A172" s="261"/>
      <c r="B172" s="263"/>
      <c r="C172" s="263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</row>
    <row r="173" ht="15.75" customHeight="1">
      <c r="A173" s="257"/>
      <c r="B173" s="257"/>
      <c r="C173" s="257" t="s">
        <v>949</v>
      </c>
      <c r="D173" s="267">
        <f>-SUM(D64:D90)</f>
        <v>778105.04</v>
      </c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  <c r="Z173" s="257"/>
    </row>
    <row r="174" ht="15.75" customHeight="1">
      <c r="A174" s="257"/>
      <c r="B174" s="257"/>
      <c r="C174" s="257" t="s">
        <v>1189</v>
      </c>
      <c r="D174" s="267">
        <f>+SUM(D91:D170)</f>
        <v>785502.88</v>
      </c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  <c r="Z174" s="257"/>
    </row>
    <row r="175" ht="15.75" customHeight="1">
      <c r="A175" s="268"/>
      <c r="B175" s="257"/>
      <c r="C175" s="257" t="s">
        <v>1461</v>
      </c>
      <c r="D175" s="267">
        <f>+D173-D174</f>
        <v>-7397.84</v>
      </c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</row>
    <row r="176" ht="15.75" customHeight="1">
      <c r="A176" s="257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</row>
    <row r="177" ht="15.75" customHeight="1">
      <c r="A177" s="257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</row>
    <row r="178" ht="15.75" customHeight="1">
      <c r="A178" s="257"/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</row>
    <row r="179" ht="15.75" customHeight="1">
      <c r="A179" s="257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  <c r="Z179" s="257"/>
    </row>
    <row r="180" ht="15.75" customHeight="1">
      <c r="A180" s="257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</row>
    <row r="181" ht="15.75" customHeight="1">
      <c r="A181" s="257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</row>
    <row r="182" ht="15.75" customHeight="1">
      <c r="A182" s="257"/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</row>
    <row r="183" ht="15.75" customHeight="1">
      <c r="A183" s="257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</row>
    <row r="184" ht="15.75" customHeight="1">
      <c r="A184" s="257"/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  <c r="Z184" s="257"/>
    </row>
    <row r="185" ht="15.75" customHeight="1">
      <c r="A185" s="257"/>
      <c r="B185" s="25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</row>
    <row r="186" ht="15.75" customHeight="1">
      <c r="A186" s="257"/>
      <c r="B186" s="257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</row>
    <row r="187" ht="15.75" customHeight="1">
      <c r="A187" s="257"/>
      <c r="B187" s="257"/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/>
      <c r="X187" s="257"/>
      <c r="Y187" s="257"/>
      <c r="Z187" s="257"/>
    </row>
    <row r="188" ht="15.75" customHeight="1">
      <c r="A188" s="257"/>
      <c r="B188" s="257"/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  <c r="Z188" s="257"/>
    </row>
    <row r="189" ht="15.75" customHeight="1">
      <c r="A189" s="257"/>
      <c r="B189" s="257"/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  <c r="Z189" s="257"/>
    </row>
    <row r="190" ht="15.75" customHeight="1">
      <c r="A190" s="257"/>
      <c r="B190" s="257"/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</row>
    <row r="191" ht="15.75" customHeight="1">
      <c r="A191" s="257"/>
      <c r="B191" s="257"/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  <c r="Z191" s="257"/>
    </row>
    <row r="192" ht="15.75" customHeight="1">
      <c r="A192" s="257"/>
      <c r="B192" s="257"/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</row>
    <row r="193" ht="15.75" customHeight="1">
      <c r="A193" s="257"/>
      <c r="B193" s="257"/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</row>
    <row r="194" ht="15.75" customHeight="1">
      <c r="A194" s="257"/>
      <c r="B194" s="257"/>
      <c r="C194" s="257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  <c r="Z194" s="257"/>
    </row>
    <row r="195" ht="15.75" customHeight="1">
      <c r="A195" s="257"/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</row>
    <row r="196" ht="15.75" customHeight="1">
      <c r="A196" s="257"/>
      <c r="B196" s="257"/>
      <c r="C196" s="257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  <c r="Z196" s="257"/>
    </row>
    <row r="197" ht="15.75" customHeight="1">
      <c r="A197" s="257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/>
      <c r="X197" s="257"/>
      <c r="Y197" s="257"/>
      <c r="Z197" s="257"/>
    </row>
    <row r="198" ht="15.75" customHeight="1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Y198" s="257"/>
      <c r="Z198" s="257"/>
    </row>
    <row r="199" ht="15.75" customHeight="1">
      <c r="A199" s="257"/>
      <c r="B199" s="257"/>
      <c r="C199" s="257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/>
      <c r="Y199" s="257"/>
      <c r="Z199" s="257"/>
    </row>
    <row r="200" ht="15.75" customHeight="1">
      <c r="A200" s="257"/>
      <c r="B200" s="257"/>
      <c r="C200" s="257"/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/>
      <c r="X200" s="257"/>
      <c r="Y200" s="257"/>
      <c r="Z200" s="257"/>
    </row>
    <row r="201" ht="15.75" customHeight="1">
      <c r="A201" s="257"/>
      <c r="B201" s="257"/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</row>
    <row r="202" ht="15.75" customHeight="1">
      <c r="A202" s="257"/>
      <c r="B202" s="257"/>
      <c r="C202" s="257"/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</row>
    <row r="203" ht="15.75" customHeight="1">
      <c r="A203" s="257"/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</row>
    <row r="204" ht="15.75" customHeight="1">
      <c r="A204" s="257"/>
      <c r="B204" s="257"/>
      <c r="C204" s="257"/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/>
      <c r="X204" s="257"/>
      <c r="Y204" s="257"/>
      <c r="Z204" s="257"/>
    </row>
    <row r="205" ht="15.75" customHeight="1">
      <c r="A205" s="257"/>
      <c r="B205" s="257"/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/>
      <c r="X205" s="257"/>
      <c r="Y205" s="257"/>
      <c r="Z205" s="257"/>
    </row>
    <row r="206" ht="15.75" customHeight="1">
      <c r="A206" s="257"/>
      <c r="B206" s="257"/>
      <c r="C206" s="257"/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  <c r="Z206" s="257"/>
    </row>
    <row r="207" ht="15.75" customHeight="1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  <c r="Z207" s="257"/>
    </row>
    <row r="208" ht="15.75" customHeight="1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  <c r="Z208" s="257"/>
    </row>
    <row r="209" ht="15.75" customHeight="1">
      <c r="A209" s="257"/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  <c r="Z209" s="257"/>
    </row>
    <row r="210" ht="15.75" customHeight="1">
      <c r="A210" s="257"/>
      <c r="B210" s="257"/>
      <c r="C210" s="257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/>
      <c r="X210" s="257"/>
      <c r="Y210" s="257"/>
      <c r="Z210" s="257"/>
    </row>
    <row r="211" ht="15.75" customHeight="1">
      <c r="A211" s="257"/>
      <c r="B211" s="257"/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  <c r="Z211" s="257"/>
    </row>
    <row r="212" ht="15.75" customHeight="1">
      <c r="A212" s="257"/>
      <c r="B212" s="257"/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</row>
    <row r="213" ht="15.75" customHeight="1">
      <c r="A213" s="257"/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Y213" s="257"/>
      <c r="Z213" s="257"/>
    </row>
    <row r="214" ht="15.75" customHeight="1">
      <c r="A214" s="257"/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</row>
    <row r="215" ht="15.75" customHeight="1">
      <c r="A215" s="257"/>
      <c r="B215" s="257"/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</row>
    <row r="216" ht="15.75" customHeight="1">
      <c r="A216" s="257"/>
      <c r="B216" s="257"/>
      <c r="C216" s="257"/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  <c r="Z216" s="257"/>
    </row>
    <row r="217" ht="15.75" customHeight="1">
      <c r="A217" s="257"/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257"/>
      <c r="Y217" s="257"/>
      <c r="Z217" s="257"/>
    </row>
    <row r="218" ht="15.75" customHeight="1">
      <c r="A218" s="257"/>
      <c r="B218" s="257"/>
      <c r="C218" s="257"/>
      <c r="D218" s="257"/>
      <c r="E218" s="257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</row>
    <row r="219" ht="15.75" customHeight="1">
      <c r="A219" s="257"/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</row>
    <row r="220" ht="15.75" customHeight="1">
      <c r="A220" s="257"/>
      <c r="B220" s="257"/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</row>
    <row r="221" ht="15.75" customHeight="1">
      <c r="A221" s="257"/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  <c r="Z221" s="257"/>
    </row>
    <row r="222" ht="15.75" customHeight="1">
      <c r="A222" s="257"/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/>
      <c r="X222" s="257"/>
      <c r="Y222" s="257"/>
      <c r="Z222" s="257"/>
    </row>
    <row r="223" ht="15.75" customHeight="1">
      <c r="A223" s="257"/>
      <c r="B223" s="257"/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</row>
    <row r="224" ht="15.75" customHeight="1">
      <c r="A224" s="257"/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7"/>
      <c r="Z224" s="257"/>
    </row>
    <row r="225" ht="15.75" customHeight="1">
      <c r="A225" s="257"/>
      <c r="B225" s="257"/>
      <c r="C225" s="257"/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  <c r="R225" s="257"/>
      <c r="S225" s="257"/>
      <c r="T225" s="257"/>
      <c r="U225" s="257"/>
      <c r="V225" s="257"/>
      <c r="W225" s="257"/>
      <c r="X225" s="257"/>
      <c r="Y225" s="257"/>
      <c r="Z225" s="257"/>
    </row>
    <row r="226" ht="15.75" customHeight="1">
      <c r="A226" s="257"/>
      <c r="B226" s="257"/>
      <c r="C226" s="257"/>
      <c r="D226" s="257"/>
      <c r="E226" s="257"/>
      <c r="F226" s="257"/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/>
      <c r="X226" s="257"/>
      <c r="Y226" s="257"/>
      <c r="Z226" s="257"/>
    </row>
    <row r="227" ht="15.75" customHeight="1">
      <c r="A227" s="257"/>
      <c r="B227" s="257"/>
      <c r="C227" s="257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7"/>
      <c r="W227" s="257"/>
      <c r="X227" s="257"/>
      <c r="Y227" s="257"/>
      <c r="Z227" s="257"/>
    </row>
    <row r="228" ht="15.75" customHeight="1">
      <c r="A228" s="257"/>
      <c r="B228" s="257"/>
      <c r="C228" s="257"/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/>
      <c r="T228" s="257"/>
      <c r="U228" s="257"/>
      <c r="V228" s="257"/>
      <c r="W228" s="257"/>
      <c r="X228" s="257"/>
      <c r="Y228" s="257"/>
      <c r="Z228" s="257"/>
    </row>
    <row r="229" ht="15.75" customHeight="1">
      <c r="A229" s="257"/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7"/>
      <c r="V229" s="257"/>
      <c r="W229" s="257"/>
      <c r="X229" s="257"/>
      <c r="Y229" s="257"/>
      <c r="Z229" s="257"/>
    </row>
    <row r="230" ht="15.75" customHeight="1">
      <c r="A230" s="257"/>
      <c r="B230" s="257"/>
      <c r="C230" s="257"/>
      <c r="D230" s="257"/>
      <c r="E230" s="257"/>
      <c r="F230" s="257"/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/>
      <c r="S230" s="257"/>
      <c r="T230" s="257"/>
      <c r="U230" s="257"/>
      <c r="V230" s="257"/>
      <c r="W230" s="257"/>
      <c r="X230" s="257"/>
      <c r="Y230" s="257"/>
      <c r="Z230" s="257"/>
    </row>
    <row r="231" ht="15.75" customHeight="1">
      <c r="A231" s="257"/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  <c r="O231" s="257"/>
      <c r="P231" s="257"/>
      <c r="Q231" s="257"/>
      <c r="R231" s="257"/>
      <c r="S231" s="257"/>
      <c r="T231" s="257"/>
      <c r="U231" s="257"/>
      <c r="V231" s="257"/>
      <c r="W231" s="257"/>
      <c r="X231" s="257"/>
      <c r="Y231" s="257"/>
      <c r="Z231" s="257"/>
    </row>
    <row r="232" ht="15.75" customHeight="1">
      <c r="A232" s="257"/>
      <c r="B232" s="257"/>
      <c r="C232" s="257"/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  <c r="Z232" s="257"/>
    </row>
    <row r="233" ht="15.75" customHeight="1">
      <c r="A233" s="257"/>
      <c r="B233" s="257"/>
      <c r="C233" s="257"/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  <c r="S233" s="257"/>
      <c r="T233" s="257"/>
      <c r="U233" s="257"/>
      <c r="V233" s="257"/>
      <c r="W233" s="257"/>
      <c r="X233" s="257"/>
      <c r="Y233" s="257"/>
      <c r="Z233" s="257"/>
    </row>
    <row r="234" ht="15.75" customHeight="1">
      <c r="A234" s="257"/>
      <c r="B234" s="257"/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257"/>
      <c r="W234" s="257"/>
      <c r="X234" s="257"/>
      <c r="Y234" s="257"/>
      <c r="Z234" s="257"/>
    </row>
    <row r="235" ht="15.75" customHeight="1">
      <c r="A235" s="257"/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/>
      <c r="X235" s="257"/>
      <c r="Y235" s="257"/>
      <c r="Z235" s="257"/>
    </row>
    <row r="236" ht="15.75" customHeight="1">
      <c r="A236" s="257"/>
      <c r="B236" s="257"/>
      <c r="C236" s="257"/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/>
      <c r="S236" s="257"/>
      <c r="T236" s="257"/>
      <c r="U236" s="257"/>
      <c r="V236" s="257"/>
      <c r="W236" s="257"/>
      <c r="X236" s="257"/>
      <c r="Y236" s="257"/>
      <c r="Z236" s="257"/>
    </row>
    <row r="237" ht="15.75" customHeight="1">
      <c r="A237" s="257"/>
      <c r="B237" s="257"/>
      <c r="C237" s="257"/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7"/>
      <c r="Q237" s="257"/>
      <c r="R237" s="257"/>
      <c r="S237" s="257"/>
      <c r="T237" s="257"/>
      <c r="U237" s="257"/>
      <c r="V237" s="257"/>
      <c r="W237" s="257"/>
      <c r="X237" s="257"/>
      <c r="Y237" s="257"/>
      <c r="Z237" s="257"/>
    </row>
    <row r="238" ht="15.75" customHeight="1">
      <c r="A238" s="257"/>
      <c r="B238" s="257"/>
      <c r="C238" s="257"/>
      <c r="D238" s="257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  <c r="Z238" s="257"/>
    </row>
    <row r="239" ht="15.75" customHeight="1">
      <c r="A239" s="257"/>
      <c r="B239" s="257"/>
      <c r="C239" s="257"/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/>
      <c r="U239" s="257"/>
      <c r="V239" s="257"/>
      <c r="W239" s="257"/>
      <c r="X239" s="257"/>
      <c r="Y239" s="257"/>
      <c r="Z239" s="257"/>
    </row>
    <row r="240" ht="15.75" customHeight="1">
      <c r="A240" s="257"/>
      <c r="B240" s="257"/>
      <c r="C240" s="257"/>
      <c r="D240" s="257"/>
      <c r="E240" s="257"/>
      <c r="F240" s="257"/>
      <c r="G240" s="257"/>
      <c r="H240" s="257"/>
      <c r="I240" s="257"/>
      <c r="J240" s="257"/>
      <c r="K240" s="257"/>
      <c r="L240" s="257"/>
      <c r="M240" s="257"/>
      <c r="N240" s="257"/>
      <c r="O240" s="257"/>
      <c r="P240" s="257"/>
      <c r="Q240" s="257"/>
      <c r="R240" s="257"/>
      <c r="S240" s="257"/>
      <c r="T240" s="257"/>
      <c r="U240" s="257"/>
      <c r="V240" s="257"/>
      <c r="W240" s="257"/>
      <c r="X240" s="257"/>
      <c r="Y240" s="257"/>
      <c r="Z240" s="257"/>
    </row>
    <row r="241" ht="15.75" customHeight="1">
      <c r="A241" s="257"/>
      <c r="B241" s="257"/>
      <c r="C241" s="257"/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/>
      <c r="X241" s="257"/>
      <c r="Y241" s="257"/>
      <c r="Z241" s="257"/>
    </row>
    <row r="242" ht="15.75" customHeight="1">
      <c r="A242" s="257"/>
      <c r="B242" s="257"/>
      <c r="C242" s="257"/>
      <c r="D242" s="257"/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/>
      <c r="X242" s="257"/>
      <c r="Y242" s="257"/>
      <c r="Z242" s="257"/>
    </row>
    <row r="243" ht="15.75" customHeight="1">
      <c r="A243" s="257"/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</row>
    <row r="244" ht="15.75" customHeight="1">
      <c r="A244" s="257"/>
      <c r="B244" s="257"/>
      <c r="C244" s="257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7"/>
      <c r="Z244" s="257"/>
    </row>
    <row r="245" ht="15.75" customHeight="1">
      <c r="A245" s="257"/>
      <c r="B245" s="257"/>
      <c r="C245" s="257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257"/>
      <c r="X245" s="257"/>
      <c r="Y245" s="257"/>
      <c r="Z245" s="257"/>
    </row>
    <row r="246" ht="15.75" customHeight="1">
      <c r="A246" s="257"/>
      <c r="B246" s="257"/>
      <c r="C246" s="257"/>
      <c r="D246" s="257"/>
      <c r="E246" s="257"/>
      <c r="F246" s="257"/>
      <c r="G246" s="257"/>
      <c r="H246" s="257"/>
      <c r="I246" s="257"/>
      <c r="J246" s="257"/>
      <c r="K246" s="257"/>
      <c r="L246" s="257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257"/>
      <c r="X246" s="257"/>
      <c r="Y246" s="257"/>
      <c r="Z246" s="257"/>
    </row>
    <row r="247" ht="15.75" customHeight="1">
      <c r="A247" s="257"/>
      <c r="B247" s="257"/>
      <c r="C247" s="257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/>
      <c r="X247" s="257"/>
      <c r="Y247" s="257"/>
      <c r="Z247" s="257"/>
    </row>
    <row r="248" ht="15.75" customHeight="1">
      <c r="A248" s="257"/>
      <c r="B248" s="257"/>
      <c r="C248" s="257"/>
      <c r="D248" s="257"/>
      <c r="E248" s="257"/>
      <c r="F248" s="257"/>
      <c r="G248" s="257"/>
      <c r="H248" s="257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57"/>
      <c r="Z248" s="257"/>
    </row>
    <row r="249" ht="15.75" customHeight="1">
      <c r="A249" s="257"/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  <c r="Z249" s="257"/>
    </row>
    <row r="250" ht="15.75" customHeight="1">
      <c r="A250" s="257"/>
      <c r="B250" s="257"/>
      <c r="C250" s="257"/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7"/>
      <c r="P250" s="257"/>
      <c r="Q250" s="257"/>
      <c r="R250" s="257"/>
      <c r="S250" s="257"/>
      <c r="T250" s="257"/>
      <c r="U250" s="257"/>
      <c r="V250" s="257"/>
      <c r="W250" s="257"/>
      <c r="X250" s="257"/>
      <c r="Y250" s="257"/>
      <c r="Z250" s="257"/>
    </row>
    <row r="251" ht="15.75" customHeight="1">
      <c r="A251" s="257"/>
      <c r="B251" s="257"/>
      <c r="C251" s="257"/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/>
      <c r="X251" s="257"/>
      <c r="Y251" s="257"/>
      <c r="Z251" s="257"/>
    </row>
    <row r="252" ht="15.75" customHeight="1">
      <c r="A252" s="257"/>
      <c r="B252" s="257"/>
      <c r="C252" s="257"/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7"/>
      <c r="Q252" s="257"/>
      <c r="R252" s="257"/>
      <c r="S252" s="257"/>
      <c r="T252" s="257"/>
      <c r="U252" s="257"/>
      <c r="V252" s="257"/>
      <c r="W252" s="257"/>
      <c r="X252" s="257"/>
      <c r="Y252" s="257"/>
      <c r="Z252" s="257"/>
    </row>
    <row r="253" ht="15.75" customHeight="1">
      <c r="A253" s="257"/>
      <c r="B253" s="257"/>
      <c r="C253" s="257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  <c r="S253" s="257"/>
      <c r="T253" s="257"/>
      <c r="U253" s="257"/>
      <c r="V253" s="257"/>
      <c r="W253" s="257"/>
      <c r="X253" s="257"/>
      <c r="Y253" s="257"/>
      <c r="Z253" s="257"/>
    </row>
    <row r="254" ht="15.75" customHeight="1">
      <c r="A254" s="257"/>
      <c r="B254" s="257"/>
      <c r="C254" s="257"/>
      <c r="D254" s="257"/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  <c r="O254" s="257"/>
      <c r="P254" s="257"/>
      <c r="Q254" s="257"/>
      <c r="R254" s="257"/>
      <c r="S254" s="257"/>
      <c r="T254" s="257"/>
      <c r="U254" s="257"/>
      <c r="V254" s="257"/>
      <c r="W254" s="257"/>
      <c r="X254" s="257"/>
      <c r="Y254" s="257"/>
      <c r="Z254" s="257"/>
    </row>
    <row r="255" ht="15.75" customHeight="1">
      <c r="A255" s="257"/>
      <c r="B255" s="257"/>
      <c r="C255" s="257"/>
      <c r="D255" s="257"/>
      <c r="E255" s="257"/>
      <c r="F255" s="257"/>
      <c r="G255" s="257"/>
      <c r="H255" s="257"/>
      <c r="I255" s="257"/>
      <c r="J255" s="257"/>
      <c r="K255" s="257"/>
      <c r="L255" s="257"/>
      <c r="M255" s="257"/>
      <c r="N255" s="257"/>
      <c r="O255" s="257"/>
      <c r="P255" s="257"/>
      <c r="Q255" s="257"/>
      <c r="R255" s="257"/>
      <c r="S255" s="257"/>
      <c r="T255" s="257"/>
      <c r="U255" s="257"/>
      <c r="V255" s="257"/>
      <c r="W255" s="257"/>
      <c r="X255" s="257"/>
      <c r="Y255" s="257"/>
      <c r="Z255" s="257"/>
    </row>
    <row r="256" ht="15.75" customHeight="1">
      <c r="A256" s="257"/>
      <c r="B256" s="257"/>
      <c r="C256" s="257"/>
      <c r="D256" s="257"/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  <c r="S256" s="257"/>
      <c r="T256" s="257"/>
      <c r="U256" s="257"/>
      <c r="V256" s="257"/>
      <c r="W256" s="257"/>
      <c r="X256" s="257"/>
      <c r="Y256" s="257"/>
      <c r="Z256" s="257"/>
    </row>
    <row r="257" ht="15.75" customHeight="1">
      <c r="A257" s="257"/>
      <c r="B257" s="257"/>
      <c r="C257" s="257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O257" s="257"/>
      <c r="P257" s="257"/>
      <c r="Q257" s="257"/>
      <c r="R257" s="257"/>
      <c r="S257" s="257"/>
      <c r="T257" s="257"/>
      <c r="U257" s="257"/>
      <c r="V257" s="257"/>
      <c r="W257" s="257"/>
      <c r="X257" s="257"/>
      <c r="Y257" s="257"/>
      <c r="Z257" s="257"/>
    </row>
    <row r="258" ht="15.75" customHeight="1">
      <c r="A258" s="257"/>
      <c r="B258" s="257"/>
      <c r="C258" s="257"/>
      <c r="D258" s="257"/>
      <c r="E258" s="257"/>
      <c r="F258" s="257"/>
      <c r="G258" s="257"/>
      <c r="H258" s="257"/>
      <c r="I258" s="257"/>
      <c r="J258" s="257"/>
      <c r="K258" s="257"/>
      <c r="L258" s="257"/>
      <c r="M258" s="257"/>
      <c r="N258" s="257"/>
      <c r="O258" s="257"/>
      <c r="P258" s="257"/>
      <c r="Q258" s="257"/>
      <c r="R258" s="257"/>
      <c r="S258" s="257"/>
      <c r="T258" s="257"/>
      <c r="U258" s="257"/>
      <c r="V258" s="257"/>
      <c r="W258" s="257"/>
      <c r="X258" s="257"/>
      <c r="Y258" s="257"/>
      <c r="Z258" s="257"/>
    </row>
    <row r="259" ht="15.75" customHeight="1">
      <c r="A259" s="257"/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  <c r="N259" s="257"/>
      <c r="O259" s="257"/>
      <c r="P259" s="257"/>
      <c r="Q259" s="257"/>
      <c r="R259" s="257"/>
      <c r="S259" s="257"/>
      <c r="T259" s="257"/>
      <c r="U259" s="257"/>
      <c r="V259" s="257"/>
      <c r="W259" s="257"/>
      <c r="X259" s="257"/>
      <c r="Y259" s="257"/>
      <c r="Z259" s="257"/>
    </row>
    <row r="260" ht="15.75" customHeight="1">
      <c r="A260" s="257"/>
      <c r="B260" s="257"/>
      <c r="C260" s="257"/>
      <c r="D260" s="257"/>
      <c r="E260" s="257"/>
      <c r="F260" s="257"/>
      <c r="G260" s="257"/>
      <c r="H260" s="257"/>
      <c r="I260" s="257"/>
      <c r="J260" s="257"/>
      <c r="K260" s="257"/>
      <c r="L260" s="257"/>
      <c r="M260" s="257"/>
      <c r="N260" s="257"/>
      <c r="O260" s="257"/>
      <c r="P260" s="257"/>
      <c r="Q260" s="257"/>
      <c r="R260" s="257"/>
      <c r="S260" s="257"/>
      <c r="T260" s="257"/>
      <c r="U260" s="257"/>
      <c r="V260" s="257"/>
      <c r="W260" s="257"/>
      <c r="X260" s="257"/>
      <c r="Y260" s="257"/>
      <c r="Z260" s="257"/>
    </row>
    <row r="261" ht="15.75" customHeight="1">
      <c r="A261" s="257"/>
      <c r="B261" s="257"/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  <c r="N261" s="257"/>
      <c r="O261" s="257"/>
      <c r="P261" s="257"/>
      <c r="Q261" s="257"/>
      <c r="R261" s="257"/>
      <c r="S261" s="257"/>
      <c r="T261" s="257"/>
      <c r="U261" s="257"/>
      <c r="V261" s="257"/>
      <c r="W261" s="257"/>
      <c r="X261" s="257"/>
      <c r="Y261" s="257"/>
      <c r="Z261" s="257"/>
    </row>
    <row r="262" ht="15.75" customHeight="1">
      <c r="A262" s="257"/>
      <c r="B262" s="257"/>
      <c r="C262" s="257"/>
      <c r="D262" s="257"/>
      <c r="E262" s="257"/>
      <c r="F262" s="257"/>
      <c r="G262" s="257"/>
      <c r="H262" s="257"/>
      <c r="I262" s="257"/>
      <c r="J262" s="257"/>
      <c r="K262" s="257"/>
      <c r="L262" s="257"/>
      <c r="M262" s="257"/>
      <c r="N262" s="257"/>
      <c r="O262" s="257"/>
      <c r="P262" s="257"/>
      <c r="Q262" s="257"/>
      <c r="R262" s="257"/>
      <c r="S262" s="257"/>
      <c r="T262" s="257"/>
      <c r="U262" s="257"/>
      <c r="V262" s="257"/>
      <c r="W262" s="257"/>
      <c r="X262" s="257"/>
      <c r="Y262" s="257"/>
      <c r="Z262" s="257"/>
    </row>
    <row r="263" ht="15.75" customHeight="1">
      <c r="A263" s="257"/>
      <c r="B263" s="257"/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  <c r="N263" s="257"/>
      <c r="O263" s="257"/>
      <c r="P263" s="257"/>
      <c r="Q263" s="257"/>
      <c r="R263" s="257"/>
      <c r="S263" s="257"/>
      <c r="T263" s="257"/>
      <c r="U263" s="257"/>
      <c r="V263" s="257"/>
      <c r="W263" s="257"/>
      <c r="X263" s="257"/>
      <c r="Y263" s="257"/>
      <c r="Z263" s="257"/>
    </row>
    <row r="264" ht="15.75" customHeight="1">
      <c r="A264" s="257"/>
      <c r="B264" s="257"/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  <c r="Z264" s="257"/>
    </row>
    <row r="265" ht="15.75" customHeight="1">
      <c r="A265" s="257"/>
      <c r="B265" s="257"/>
      <c r="C265" s="257"/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57"/>
      <c r="O265" s="257"/>
      <c r="P265" s="257"/>
      <c r="Q265" s="257"/>
      <c r="R265" s="257"/>
      <c r="S265" s="257"/>
      <c r="T265" s="257"/>
      <c r="U265" s="257"/>
      <c r="V265" s="257"/>
      <c r="W265" s="257"/>
      <c r="X265" s="257"/>
      <c r="Y265" s="257"/>
      <c r="Z265" s="257"/>
    </row>
    <row r="266" ht="15.75" customHeight="1">
      <c r="A266" s="257"/>
      <c r="B266" s="257"/>
      <c r="C266" s="257"/>
      <c r="D266" s="257"/>
      <c r="E266" s="257"/>
      <c r="F266" s="257"/>
      <c r="G266" s="257"/>
      <c r="H266" s="257"/>
      <c r="I266" s="257"/>
      <c r="J266" s="257"/>
      <c r="K266" s="257"/>
      <c r="L266" s="257"/>
      <c r="M266" s="257"/>
      <c r="N266" s="257"/>
      <c r="O266" s="257"/>
      <c r="P266" s="257"/>
      <c r="Q266" s="257"/>
      <c r="R266" s="257"/>
      <c r="S266" s="257"/>
      <c r="T266" s="257"/>
      <c r="U266" s="257"/>
      <c r="V266" s="257"/>
      <c r="W266" s="257"/>
      <c r="X266" s="257"/>
      <c r="Y266" s="257"/>
      <c r="Z266" s="257"/>
    </row>
    <row r="267" ht="15.75" customHeight="1">
      <c r="A267" s="257"/>
      <c r="B267" s="257"/>
      <c r="C267" s="257"/>
      <c r="D267" s="257"/>
      <c r="E267" s="257"/>
      <c r="F267" s="257"/>
      <c r="G267" s="257"/>
      <c r="H267" s="257"/>
      <c r="I267" s="257"/>
      <c r="J267" s="257"/>
      <c r="K267" s="257"/>
      <c r="L267" s="257"/>
      <c r="M267" s="257"/>
      <c r="N267" s="257"/>
      <c r="O267" s="257"/>
      <c r="P267" s="257"/>
      <c r="Q267" s="257"/>
      <c r="R267" s="257"/>
      <c r="S267" s="257"/>
      <c r="T267" s="257"/>
      <c r="U267" s="257"/>
      <c r="V267" s="257"/>
      <c r="W267" s="257"/>
      <c r="X267" s="257"/>
      <c r="Y267" s="257"/>
      <c r="Z267" s="257"/>
    </row>
    <row r="268" ht="15.75" customHeight="1">
      <c r="A268" s="257"/>
      <c r="B268" s="257"/>
      <c r="C268" s="257"/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7"/>
      <c r="Q268" s="257"/>
      <c r="R268" s="257"/>
      <c r="S268" s="257"/>
      <c r="T268" s="257"/>
      <c r="U268" s="257"/>
      <c r="V268" s="257"/>
      <c r="W268" s="257"/>
      <c r="X268" s="257"/>
      <c r="Y268" s="257"/>
      <c r="Z268" s="257"/>
    </row>
    <row r="269" ht="15.75" customHeight="1">
      <c r="A269" s="257"/>
      <c r="B269" s="257"/>
      <c r="C269" s="257"/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  <c r="O269" s="257"/>
      <c r="P269" s="257"/>
      <c r="Q269" s="257"/>
      <c r="R269" s="257"/>
      <c r="S269" s="257"/>
      <c r="T269" s="257"/>
      <c r="U269" s="257"/>
      <c r="V269" s="257"/>
      <c r="W269" s="257"/>
      <c r="X269" s="257"/>
      <c r="Y269" s="257"/>
      <c r="Z269" s="257"/>
    </row>
    <row r="270" ht="15.75" customHeight="1">
      <c r="A270" s="257"/>
      <c r="B270" s="257"/>
      <c r="C270" s="257"/>
      <c r="D270" s="257"/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7"/>
      <c r="S270" s="257"/>
      <c r="T270" s="257"/>
      <c r="U270" s="257"/>
      <c r="V270" s="257"/>
      <c r="W270" s="257"/>
      <c r="X270" s="257"/>
      <c r="Y270" s="257"/>
      <c r="Z270" s="257"/>
    </row>
    <row r="271" ht="15.75" customHeight="1">
      <c r="A271" s="257"/>
      <c r="B271" s="257"/>
      <c r="C271" s="257"/>
      <c r="D271" s="257"/>
      <c r="E271" s="257"/>
      <c r="F271" s="257"/>
      <c r="G271" s="257"/>
      <c r="H271" s="257"/>
      <c r="I271" s="257"/>
      <c r="J271" s="257"/>
      <c r="K271" s="257"/>
      <c r="L271" s="257"/>
      <c r="M271" s="257"/>
      <c r="N271" s="257"/>
      <c r="O271" s="257"/>
      <c r="P271" s="257"/>
      <c r="Q271" s="257"/>
      <c r="R271" s="257"/>
      <c r="S271" s="257"/>
      <c r="T271" s="257"/>
      <c r="U271" s="257"/>
      <c r="V271" s="257"/>
      <c r="W271" s="257"/>
      <c r="X271" s="257"/>
      <c r="Y271" s="257"/>
      <c r="Z271" s="257"/>
    </row>
    <row r="272" ht="15.75" customHeight="1">
      <c r="A272" s="257"/>
      <c r="B272" s="257"/>
      <c r="C272" s="257"/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7"/>
      <c r="P272" s="257"/>
      <c r="Q272" s="257"/>
      <c r="R272" s="257"/>
      <c r="S272" s="257"/>
      <c r="T272" s="257"/>
      <c r="U272" s="257"/>
      <c r="V272" s="257"/>
      <c r="W272" s="257"/>
      <c r="X272" s="257"/>
      <c r="Y272" s="257"/>
      <c r="Z272" s="257"/>
    </row>
    <row r="273" ht="15.75" customHeight="1">
      <c r="A273" s="257"/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  <c r="O273" s="257"/>
      <c r="P273" s="257"/>
      <c r="Q273" s="257"/>
      <c r="R273" s="257"/>
      <c r="S273" s="257"/>
      <c r="T273" s="257"/>
      <c r="U273" s="257"/>
      <c r="V273" s="257"/>
      <c r="W273" s="257"/>
      <c r="X273" s="257"/>
      <c r="Y273" s="257"/>
      <c r="Z273" s="257"/>
    </row>
    <row r="274" ht="15.75" customHeight="1">
      <c r="A274" s="257"/>
      <c r="B274" s="257"/>
      <c r="C274" s="257"/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  <c r="N274" s="257"/>
      <c r="O274" s="257"/>
      <c r="P274" s="257"/>
      <c r="Q274" s="257"/>
      <c r="R274" s="257"/>
      <c r="S274" s="257"/>
      <c r="T274" s="257"/>
      <c r="U274" s="257"/>
      <c r="V274" s="257"/>
      <c r="W274" s="257"/>
      <c r="X274" s="257"/>
      <c r="Y274" s="257"/>
      <c r="Z274" s="257"/>
    </row>
    <row r="275" ht="15.75" customHeight="1">
      <c r="A275" s="257"/>
      <c r="B275" s="257"/>
      <c r="C275" s="257"/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  <c r="O275" s="257"/>
      <c r="P275" s="257"/>
      <c r="Q275" s="257"/>
      <c r="R275" s="257"/>
      <c r="S275" s="257"/>
      <c r="T275" s="257"/>
      <c r="U275" s="257"/>
      <c r="V275" s="257"/>
      <c r="W275" s="257"/>
      <c r="X275" s="257"/>
      <c r="Y275" s="257"/>
      <c r="Z275" s="257"/>
    </row>
    <row r="276" ht="15.75" customHeight="1">
      <c r="A276" s="257"/>
      <c r="B276" s="257"/>
      <c r="C276" s="257"/>
      <c r="D276" s="257"/>
      <c r="E276" s="257"/>
      <c r="F276" s="257"/>
      <c r="G276" s="257"/>
      <c r="H276" s="257"/>
      <c r="I276" s="257"/>
      <c r="J276" s="257"/>
      <c r="K276" s="257"/>
      <c r="L276" s="257"/>
      <c r="M276" s="257"/>
      <c r="N276" s="257"/>
      <c r="O276" s="257"/>
      <c r="P276" s="257"/>
      <c r="Q276" s="257"/>
      <c r="R276" s="257"/>
      <c r="S276" s="257"/>
      <c r="T276" s="257"/>
      <c r="U276" s="257"/>
      <c r="V276" s="257"/>
      <c r="W276" s="257"/>
      <c r="X276" s="257"/>
      <c r="Y276" s="257"/>
      <c r="Z276" s="257"/>
    </row>
    <row r="277" ht="15.75" customHeight="1">
      <c r="A277" s="257"/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  <c r="O277" s="257"/>
      <c r="P277" s="257"/>
      <c r="Q277" s="257"/>
      <c r="R277" s="257"/>
      <c r="S277" s="257"/>
      <c r="T277" s="257"/>
      <c r="U277" s="257"/>
      <c r="V277" s="257"/>
      <c r="W277" s="257"/>
      <c r="X277" s="257"/>
      <c r="Y277" s="257"/>
      <c r="Z277" s="257"/>
    </row>
    <row r="278" ht="15.75" customHeight="1">
      <c r="A278" s="257"/>
      <c r="B278" s="257"/>
      <c r="C278" s="257"/>
      <c r="D278" s="257"/>
      <c r="E278" s="257"/>
      <c r="F278" s="257"/>
      <c r="G278" s="257"/>
      <c r="H278" s="257"/>
      <c r="I278" s="257"/>
      <c r="J278" s="257"/>
      <c r="K278" s="257"/>
      <c r="L278" s="257"/>
      <c r="M278" s="257"/>
      <c r="N278" s="257"/>
      <c r="O278" s="257"/>
      <c r="P278" s="257"/>
      <c r="Q278" s="257"/>
      <c r="R278" s="257"/>
      <c r="S278" s="257"/>
      <c r="T278" s="257"/>
      <c r="U278" s="257"/>
      <c r="V278" s="257"/>
      <c r="W278" s="257"/>
      <c r="X278" s="257"/>
      <c r="Y278" s="257"/>
      <c r="Z278" s="257"/>
    </row>
    <row r="279" ht="15.75" customHeight="1">
      <c r="A279" s="257"/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  <c r="O279" s="257"/>
      <c r="P279" s="257"/>
      <c r="Q279" s="257"/>
      <c r="R279" s="257"/>
      <c r="S279" s="257"/>
      <c r="T279" s="257"/>
      <c r="U279" s="257"/>
      <c r="V279" s="257"/>
      <c r="W279" s="257"/>
      <c r="X279" s="257"/>
      <c r="Y279" s="257"/>
      <c r="Z279" s="257"/>
    </row>
    <row r="280" ht="15.75" customHeight="1">
      <c r="A280" s="257"/>
      <c r="B280" s="257"/>
      <c r="C280" s="257"/>
      <c r="D280" s="257"/>
      <c r="E280" s="257"/>
      <c r="F280" s="257"/>
      <c r="G280" s="257"/>
      <c r="H280" s="257"/>
      <c r="I280" s="257"/>
      <c r="J280" s="257"/>
      <c r="K280" s="257"/>
      <c r="L280" s="257"/>
      <c r="M280" s="257"/>
      <c r="N280" s="257"/>
      <c r="O280" s="257"/>
      <c r="P280" s="257"/>
      <c r="Q280" s="257"/>
      <c r="R280" s="257"/>
      <c r="S280" s="257"/>
      <c r="T280" s="257"/>
      <c r="U280" s="257"/>
      <c r="V280" s="257"/>
      <c r="W280" s="257"/>
      <c r="X280" s="257"/>
      <c r="Y280" s="257"/>
      <c r="Z280" s="257"/>
    </row>
    <row r="281" ht="15.75" customHeight="1">
      <c r="A281" s="257"/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257"/>
      <c r="M281" s="257"/>
      <c r="N281" s="257"/>
      <c r="O281" s="257"/>
      <c r="P281" s="257"/>
      <c r="Q281" s="257"/>
      <c r="R281" s="257"/>
      <c r="S281" s="257"/>
      <c r="T281" s="257"/>
      <c r="U281" s="257"/>
      <c r="V281" s="257"/>
      <c r="W281" s="257"/>
      <c r="X281" s="257"/>
      <c r="Y281" s="257"/>
      <c r="Z281" s="257"/>
    </row>
    <row r="282" ht="15.75" customHeight="1">
      <c r="A282" s="257"/>
      <c r="B282" s="257"/>
      <c r="C282" s="257"/>
      <c r="D282" s="257"/>
      <c r="E282" s="257"/>
      <c r="F282" s="257"/>
      <c r="G282" s="257"/>
      <c r="H282" s="257"/>
      <c r="I282" s="257"/>
      <c r="J282" s="257"/>
      <c r="K282" s="257"/>
      <c r="L282" s="257"/>
      <c r="M282" s="257"/>
      <c r="N282" s="257"/>
      <c r="O282" s="257"/>
      <c r="P282" s="257"/>
      <c r="Q282" s="257"/>
      <c r="R282" s="257"/>
      <c r="S282" s="257"/>
      <c r="T282" s="257"/>
      <c r="U282" s="257"/>
      <c r="V282" s="257"/>
      <c r="W282" s="257"/>
      <c r="X282" s="257"/>
      <c r="Y282" s="257"/>
      <c r="Z282" s="257"/>
    </row>
    <row r="283" ht="15.75" customHeight="1">
      <c r="A283" s="257"/>
      <c r="B283" s="257"/>
      <c r="C283" s="257"/>
      <c r="D283" s="257"/>
      <c r="E283" s="257"/>
      <c r="F283" s="257"/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/>
      <c r="S283" s="257"/>
      <c r="T283" s="257"/>
      <c r="U283" s="257"/>
      <c r="V283" s="257"/>
      <c r="W283" s="257"/>
      <c r="X283" s="257"/>
      <c r="Y283" s="257"/>
      <c r="Z283" s="257"/>
    </row>
    <row r="284" ht="15.75" customHeight="1">
      <c r="A284" s="257"/>
      <c r="B284" s="257"/>
      <c r="C284" s="257"/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/>
      <c r="O284" s="257"/>
      <c r="P284" s="257"/>
      <c r="Q284" s="257"/>
      <c r="R284" s="257"/>
      <c r="S284" s="257"/>
      <c r="T284" s="257"/>
      <c r="U284" s="257"/>
      <c r="V284" s="257"/>
      <c r="W284" s="257"/>
      <c r="X284" s="257"/>
      <c r="Y284" s="257"/>
      <c r="Z284" s="257"/>
    </row>
    <row r="285" ht="15.75" customHeight="1">
      <c r="A285" s="257"/>
      <c r="B285" s="257"/>
      <c r="C285" s="257"/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/>
      <c r="S285" s="257"/>
      <c r="T285" s="257"/>
      <c r="U285" s="257"/>
      <c r="V285" s="257"/>
      <c r="W285" s="257"/>
      <c r="X285" s="257"/>
      <c r="Y285" s="257"/>
      <c r="Z285" s="257"/>
    </row>
    <row r="286" ht="15.75" customHeight="1">
      <c r="A286" s="257"/>
      <c r="B286" s="257"/>
      <c r="C286" s="257"/>
      <c r="D286" s="257"/>
      <c r="E286" s="257"/>
      <c r="F286" s="257"/>
      <c r="G286" s="257"/>
      <c r="H286" s="257"/>
      <c r="I286" s="257"/>
      <c r="J286" s="257"/>
      <c r="K286" s="257"/>
      <c r="L286" s="257"/>
      <c r="M286" s="257"/>
      <c r="N286" s="257"/>
      <c r="O286" s="257"/>
      <c r="P286" s="257"/>
      <c r="Q286" s="257"/>
      <c r="R286" s="257"/>
      <c r="S286" s="257"/>
      <c r="T286" s="257"/>
      <c r="U286" s="257"/>
      <c r="V286" s="257"/>
      <c r="W286" s="257"/>
      <c r="X286" s="257"/>
      <c r="Y286" s="257"/>
      <c r="Z286" s="257"/>
    </row>
    <row r="287" ht="15.75" customHeight="1">
      <c r="A287" s="257"/>
      <c r="B287" s="257"/>
      <c r="C287" s="257"/>
      <c r="D287" s="257"/>
      <c r="E287" s="257"/>
      <c r="F287" s="257"/>
      <c r="G287" s="257"/>
      <c r="H287" s="257"/>
      <c r="I287" s="257"/>
      <c r="J287" s="257"/>
      <c r="K287" s="257"/>
      <c r="L287" s="257"/>
      <c r="M287" s="257"/>
      <c r="N287" s="257"/>
      <c r="O287" s="257"/>
      <c r="P287" s="257"/>
      <c r="Q287" s="257"/>
      <c r="R287" s="257"/>
      <c r="S287" s="257"/>
      <c r="T287" s="257"/>
      <c r="U287" s="257"/>
      <c r="V287" s="257"/>
      <c r="W287" s="257"/>
      <c r="X287" s="257"/>
      <c r="Y287" s="257"/>
      <c r="Z287" s="257"/>
    </row>
    <row r="288" ht="15.75" customHeight="1">
      <c r="A288" s="257"/>
      <c r="B288" s="257"/>
      <c r="C288" s="257"/>
      <c r="D288" s="257"/>
      <c r="E288" s="257"/>
      <c r="F288" s="257"/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/>
      <c r="S288" s="257"/>
      <c r="T288" s="257"/>
      <c r="U288" s="257"/>
      <c r="V288" s="257"/>
      <c r="W288" s="257"/>
      <c r="X288" s="257"/>
      <c r="Y288" s="257"/>
      <c r="Z288" s="257"/>
    </row>
    <row r="289" ht="15.75" customHeight="1">
      <c r="A289" s="257"/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  <c r="S289" s="257"/>
      <c r="T289" s="257"/>
      <c r="U289" s="257"/>
      <c r="V289" s="257"/>
      <c r="W289" s="257"/>
      <c r="X289" s="257"/>
      <c r="Y289" s="257"/>
      <c r="Z289" s="257"/>
    </row>
    <row r="290" ht="15.75" customHeight="1">
      <c r="A290" s="257"/>
      <c r="B290" s="257"/>
      <c r="C290" s="257"/>
      <c r="D290" s="257"/>
      <c r="E290" s="257"/>
      <c r="F290" s="257"/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/>
      <c r="S290" s="257"/>
      <c r="T290" s="257"/>
      <c r="U290" s="257"/>
      <c r="V290" s="257"/>
      <c r="W290" s="257"/>
      <c r="X290" s="257"/>
      <c r="Y290" s="257"/>
      <c r="Z290" s="257"/>
    </row>
    <row r="291" ht="15.75" customHeight="1">
      <c r="A291" s="257"/>
      <c r="B291" s="257"/>
      <c r="C291" s="257"/>
      <c r="D291" s="257"/>
      <c r="E291" s="257"/>
      <c r="F291" s="257"/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/>
      <c r="S291" s="257"/>
      <c r="T291" s="257"/>
      <c r="U291" s="257"/>
      <c r="V291" s="257"/>
      <c r="W291" s="257"/>
      <c r="X291" s="257"/>
      <c r="Y291" s="257"/>
      <c r="Z291" s="257"/>
    </row>
    <row r="292" ht="15.75" customHeight="1">
      <c r="A292" s="257"/>
      <c r="B292" s="257"/>
      <c r="C292" s="257"/>
      <c r="D292" s="257"/>
      <c r="E292" s="257"/>
      <c r="F292" s="257"/>
      <c r="G292" s="257"/>
      <c r="H292" s="257"/>
      <c r="I292" s="257"/>
      <c r="J292" s="257"/>
      <c r="K292" s="257"/>
      <c r="L292" s="257"/>
      <c r="M292" s="257"/>
      <c r="N292" s="257"/>
      <c r="O292" s="257"/>
      <c r="P292" s="257"/>
      <c r="Q292" s="257"/>
      <c r="R292" s="257"/>
      <c r="S292" s="257"/>
      <c r="T292" s="257"/>
      <c r="U292" s="257"/>
      <c r="V292" s="257"/>
      <c r="W292" s="257"/>
      <c r="X292" s="257"/>
      <c r="Y292" s="257"/>
      <c r="Z292" s="257"/>
    </row>
    <row r="293" ht="15.75" customHeight="1">
      <c r="A293" s="257"/>
      <c r="B293" s="257"/>
      <c r="C293" s="257"/>
      <c r="D293" s="257"/>
      <c r="E293" s="257"/>
      <c r="F293" s="257"/>
      <c r="G293" s="257"/>
      <c r="H293" s="257"/>
      <c r="I293" s="257"/>
      <c r="J293" s="257"/>
      <c r="K293" s="257"/>
      <c r="L293" s="257"/>
      <c r="M293" s="257"/>
      <c r="N293" s="257"/>
      <c r="O293" s="257"/>
      <c r="P293" s="257"/>
      <c r="Q293" s="257"/>
      <c r="R293" s="257"/>
      <c r="S293" s="257"/>
      <c r="T293" s="257"/>
      <c r="U293" s="257"/>
      <c r="V293" s="257"/>
      <c r="W293" s="257"/>
      <c r="X293" s="257"/>
      <c r="Y293" s="257"/>
      <c r="Z293" s="257"/>
    </row>
    <row r="294" ht="15.75" customHeight="1">
      <c r="A294" s="257"/>
      <c r="B294" s="257"/>
      <c r="C294" s="257"/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7"/>
      <c r="P294" s="257"/>
      <c r="Q294" s="257"/>
      <c r="R294" s="257"/>
      <c r="S294" s="257"/>
      <c r="T294" s="257"/>
      <c r="U294" s="257"/>
      <c r="V294" s="257"/>
      <c r="W294" s="257"/>
      <c r="X294" s="257"/>
      <c r="Y294" s="257"/>
      <c r="Z294" s="257"/>
    </row>
    <row r="295" ht="15.75" customHeight="1">
      <c r="A295" s="257"/>
      <c r="B295" s="257"/>
      <c r="C295" s="257"/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  <c r="U295" s="257"/>
      <c r="V295" s="257"/>
      <c r="W295" s="257"/>
      <c r="X295" s="257"/>
      <c r="Y295" s="257"/>
      <c r="Z295" s="257"/>
    </row>
    <row r="296" ht="15.75" customHeight="1">
      <c r="A296" s="257"/>
      <c r="B296" s="257"/>
      <c r="C296" s="257"/>
      <c r="D296" s="257"/>
      <c r="E296" s="257"/>
      <c r="F296" s="257"/>
      <c r="G296" s="257"/>
      <c r="H296" s="257"/>
      <c r="I296" s="257"/>
      <c r="J296" s="257"/>
      <c r="K296" s="257"/>
      <c r="L296" s="257"/>
      <c r="M296" s="257"/>
      <c r="N296" s="257"/>
      <c r="O296" s="257"/>
      <c r="P296" s="257"/>
      <c r="Q296" s="257"/>
      <c r="R296" s="257"/>
      <c r="S296" s="257"/>
      <c r="T296" s="257"/>
      <c r="U296" s="257"/>
      <c r="V296" s="257"/>
      <c r="W296" s="257"/>
      <c r="X296" s="257"/>
      <c r="Y296" s="257"/>
      <c r="Z296" s="257"/>
    </row>
    <row r="297" ht="15.75" customHeight="1">
      <c r="A297" s="257"/>
      <c r="B297" s="257"/>
      <c r="C297" s="257"/>
      <c r="D297" s="257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</row>
    <row r="298" ht="15.75" customHeight="1">
      <c r="A298" s="257"/>
      <c r="B298" s="257"/>
      <c r="C298" s="257"/>
      <c r="D298" s="257"/>
      <c r="E298" s="257"/>
      <c r="F298" s="257"/>
      <c r="G298" s="257"/>
      <c r="H298" s="257"/>
      <c r="I298" s="257"/>
      <c r="J298" s="257"/>
      <c r="K298" s="257"/>
      <c r="L298" s="257"/>
      <c r="M298" s="257"/>
      <c r="N298" s="257"/>
      <c r="O298" s="257"/>
      <c r="P298" s="257"/>
      <c r="Q298" s="257"/>
      <c r="R298" s="257"/>
      <c r="S298" s="257"/>
      <c r="T298" s="257"/>
      <c r="U298" s="257"/>
      <c r="V298" s="257"/>
      <c r="W298" s="257"/>
      <c r="X298" s="257"/>
      <c r="Y298" s="257"/>
      <c r="Z298" s="257"/>
    </row>
    <row r="299" ht="15.75" customHeight="1">
      <c r="A299" s="257"/>
      <c r="B299" s="257"/>
      <c r="C299" s="257"/>
      <c r="D299" s="257"/>
      <c r="E299" s="257"/>
      <c r="F299" s="257"/>
      <c r="G299" s="257"/>
      <c r="H299" s="257"/>
      <c r="I299" s="257"/>
      <c r="J299" s="257"/>
      <c r="K299" s="257"/>
      <c r="L299" s="257"/>
      <c r="M299" s="257"/>
      <c r="N299" s="257"/>
      <c r="O299" s="257"/>
      <c r="P299" s="257"/>
      <c r="Q299" s="257"/>
      <c r="R299" s="257"/>
      <c r="S299" s="257"/>
      <c r="T299" s="257"/>
      <c r="U299" s="257"/>
      <c r="V299" s="257"/>
      <c r="W299" s="257"/>
      <c r="X299" s="257"/>
      <c r="Y299" s="257"/>
      <c r="Z299" s="257"/>
    </row>
    <row r="300" ht="15.75" customHeight="1">
      <c r="A300" s="257"/>
      <c r="B300" s="257"/>
      <c r="C300" s="257"/>
      <c r="D300" s="257"/>
      <c r="E300" s="257"/>
      <c r="F300" s="257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7"/>
      <c r="R300" s="257"/>
      <c r="S300" s="257"/>
      <c r="T300" s="257"/>
      <c r="U300" s="257"/>
      <c r="V300" s="257"/>
      <c r="W300" s="257"/>
      <c r="X300" s="257"/>
      <c r="Y300" s="257"/>
      <c r="Z300" s="257"/>
    </row>
    <row r="301" ht="15.75" customHeight="1">
      <c r="A301" s="257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7"/>
      <c r="R301" s="257"/>
      <c r="S301" s="257"/>
      <c r="T301" s="257"/>
      <c r="U301" s="257"/>
      <c r="V301" s="257"/>
      <c r="W301" s="257"/>
      <c r="X301" s="257"/>
      <c r="Y301" s="257"/>
      <c r="Z301" s="257"/>
    </row>
    <row r="302" ht="15.75" customHeight="1">
      <c r="A302" s="257"/>
      <c r="B302" s="257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7"/>
    </row>
    <row r="303" ht="15.75" customHeight="1">
      <c r="A303" s="257"/>
      <c r="B303" s="257"/>
      <c r="C303" s="257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57"/>
      <c r="O303" s="257"/>
      <c r="P303" s="257"/>
      <c r="Q303" s="257"/>
      <c r="R303" s="257"/>
      <c r="S303" s="257"/>
      <c r="T303" s="257"/>
      <c r="U303" s="257"/>
      <c r="V303" s="257"/>
      <c r="W303" s="257"/>
      <c r="X303" s="257"/>
      <c r="Y303" s="257"/>
      <c r="Z303" s="257"/>
    </row>
    <row r="304" ht="15.75" customHeight="1">
      <c r="A304" s="257"/>
      <c r="B304" s="257"/>
      <c r="C304" s="257"/>
      <c r="D304" s="257"/>
      <c r="E304" s="257"/>
      <c r="F304" s="257"/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/>
      <c r="S304" s="257"/>
      <c r="T304" s="257"/>
      <c r="U304" s="257"/>
      <c r="V304" s="257"/>
      <c r="W304" s="257"/>
      <c r="X304" s="257"/>
      <c r="Y304" s="257"/>
      <c r="Z304" s="257"/>
    </row>
    <row r="305" ht="15.75" customHeight="1">
      <c r="A305" s="257"/>
      <c r="B305" s="257"/>
      <c r="C305" s="257"/>
      <c r="D305" s="257"/>
      <c r="E305" s="257"/>
      <c r="F305" s="257"/>
      <c r="G305" s="257"/>
      <c r="H305" s="257"/>
      <c r="I305" s="257"/>
      <c r="J305" s="257"/>
      <c r="K305" s="257"/>
      <c r="L305" s="257"/>
      <c r="M305" s="257"/>
      <c r="N305" s="257"/>
      <c r="O305" s="257"/>
      <c r="P305" s="257"/>
      <c r="Q305" s="257"/>
      <c r="R305" s="257"/>
      <c r="S305" s="257"/>
      <c r="T305" s="257"/>
      <c r="U305" s="257"/>
      <c r="V305" s="257"/>
      <c r="W305" s="257"/>
      <c r="X305" s="257"/>
      <c r="Y305" s="257"/>
      <c r="Z305" s="257"/>
    </row>
    <row r="306" ht="15.75" customHeight="1">
      <c r="A306" s="257"/>
      <c r="B306" s="257"/>
      <c r="C306" s="257"/>
      <c r="D306" s="257"/>
      <c r="E306" s="257"/>
      <c r="F306" s="257"/>
      <c r="G306" s="257"/>
      <c r="H306" s="257"/>
      <c r="I306" s="257"/>
      <c r="J306" s="257"/>
      <c r="K306" s="257"/>
      <c r="L306" s="257"/>
      <c r="M306" s="257"/>
      <c r="N306" s="257"/>
      <c r="O306" s="257"/>
      <c r="P306" s="257"/>
      <c r="Q306" s="257"/>
      <c r="R306" s="257"/>
      <c r="S306" s="257"/>
      <c r="T306" s="257"/>
      <c r="U306" s="257"/>
      <c r="V306" s="257"/>
      <c r="W306" s="257"/>
      <c r="X306" s="257"/>
      <c r="Y306" s="257"/>
      <c r="Z306" s="257"/>
    </row>
    <row r="307" ht="15.75" customHeight="1">
      <c r="A307" s="257"/>
      <c r="B307" s="257"/>
      <c r="C307" s="257"/>
      <c r="D307" s="257"/>
      <c r="E307" s="257"/>
      <c r="F307" s="257"/>
      <c r="G307" s="257"/>
      <c r="H307" s="257"/>
      <c r="I307" s="257"/>
      <c r="J307" s="257"/>
      <c r="K307" s="257"/>
      <c r="L307" s="257"/>
      <c r="M307" s="257"/>
      <c r="N307" s="257"/>
      <c r="O307" s="257"/>
      <c r="P307" s="257"/>
      <c r="Q307" s="257"/>
      <c r="R307" s="257"/>
      <c r="S307" s="257"/>
      <c r="T307" s="257"/>
      <c r="U307" s="257"/>
      <c r="V307" s="257"/>
      <c r="W307" s="257"/>
      <c r="X307" s="257"/>
      <c r="Y307" s="257"/>
      <c r="Z307" s="257"/>
    </row>
    <row r="308" ht="15.75" customHeight="1">
      <c r="A308" s="257"/>
      <c r="B308" s="257"/>
      <c r="C308" s="257"/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  <c r="V308" s="257"/>
      <c r="W308" s="257"/>
      <c r="X308" s="257"/>
      <c r="Y308" s="257"/>
      <c r="Z308" s="257"/>
    </row>
    <row r="309" ht="15.75" customHeight="1">
      <c r="A309" s="257"/>
      <c r="B309" s="257"/>
      <c r="C309" s="257"/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57"/>
      <c r="O309" s="257"/>
      <c r="P309" s="257"/>
      <c r="Q309" s="257"/>
      <c r="R309" s="257"/>
      <c r="S309" s="257"/>
      <c r="T309" s="257"/>
      <c r="U309" s="257"/>
      <c r="V309" s="257"/>
      <c r="W309" s="257"/>
      <c r="X309" s="257"/>
      <c r="Y309" s="257"/>
      <c r="Z309" s="257"/>
    </row>
    <row r="310" ht="15.75" customHeight="1">
      <c r="A310" s="257"/>
      <c r="B310" s="257"/>
      <c r="C310" s="257"/>
      <c r="D310" s="257"/>
      <c r="E310" s="257"/>
      <c r="F310" s="257"/>
      <c r="G310" s="257"/>
      <c r="H310" s="257"/>
      <c r="I310" s="257"/>
      <c r="J310" s="257"/>
      <c r="K310" s="257"/>
      <c r="L310" s="257"/>
      <c r="M310" s="257"/>
      <c r="N310" s="257"/>
      <c r="O310" s="257"/>
      <c r="P310" s="257"/>
      <c r="Q310" s="257"/>
      <c r="R310" s="257"/>
      <c r="S310" s="257"/>
      <c r="T310" s="257"/>
      <c r="U310" s="257"/>
      <c r="V310" s="257"/>
      <c r="W310" s="257"/>
      <c r="X310" s="257"/>
      <c r="Y310" s="257"/>
      <c r="Z310" s="257"/>
    </row>
    <row r="311" ht="15.75" customHeight="1">
      <c r="A311" s="257"/>
      <c r="B311" s="257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7"/>
    </row>
    <row r="312" ht="15.75" customHeight="1">
      <c r="A312" s="257"/>
      <c r="B312" s="257"/>
      <c r="C312" s="257"/>
      <c r="D312" s="257"/>
      <c r="E312" s="257"/>
      <c r="F312" s="257"/>
      <c r="G312" s="257"/>
      <c r="H312" s="257"/>
      <c r="I312" s="257"/>
      <c r="J312" s="257"/>
      <c r="K312" s="257"/>
      <c r="L312" s="257"/>
      <c r="M312" s="257"/>
      <c r="N312" s="257"/>
      <c r="O312" s="257"/>
      <c r="P312" s="257"/>
      <c r="Q312" s="257"/>
      <c r="R312" s="257"/>
      <c r="S312" s="257"/>
      <c r="T312" s="257"/>
      <c r="U312" s="257"/>
      <c r="V312" s="257"/>
      <c r="W312" s="257"/>
      <c r="X312" s="257"/>
      <c r="Y312" s="257"/>
      <c r="Z312" s="257"/>
    </row>
    <row r="313" ht="15.75" customHeight="1">
      <c r="A313" s="257"/>
      <c r="B313" s="257"/>
      <c r="C313" s="257"/>
      <c r="D313" s="257"/>
      <c r="E313" s="257"/>
      <c r="F313" s="257"/>
      <c r="G313" s="257"/>
      <c r="H313" s="257"/>
      <c r="I313" s="257"/>
      <c r="J313" s="257"/>
      <c r="K313" s="257"/>
      <c r="L313" s="257"/>
      <c r="M313" s="257"/>
      <c r="N313" s="257"/>
      <c r="O313" s="257"/>
      <c r="P313" s="257"/>
      <c r="Q313" s="257"/>
      <c r="R313" s="257"/>
      <c r="S313" s="257"/>
      <c r="T313" s="257"/>
      <c r="U313" s="257"/>
      <c r="V313" s="257"/>
      <c r="W313" s="257"/>
      <c r="X313" s="257"/>
      <c r="Y313" s="257"/>
      <c r="Z313" s="257"/>
    </row>
    <row r="314" ht="15.75" customHeight="1">
      <c r="A314" s="257"/>
      <c r="B314" s="257"/>
      <c r="C314" s="257"/>
      <c r="D314" s="257"/>
      <c r="E314" s="257"/>
      <c r="F314" s="257"/>
      <c r="G314" s="257"/>
      <c r="H314" s="257"/>
      <c r="I314" s="257"/>
      <c r="J314" s="257"/>
      <c r="K314" s="257"/>
      <c r="L314" s="257"/>
      <c r="M314" s="257"/>
      <c r="N314" s="257"/>
      <c r="O314" s="257"/>
      <c r="P314" s="257"/>
      <c r="Q314" s="257"/>
      <c r="R314" s="257"/>
      <c r="S314" s="257"/>
      <c r="T314" s="257"/>
      <c r="U314" s="257"/>
      <c r="V314" s="257"/>
      <c r="W314" s="257"/>
      <c r="X314" s="257"/>
      <c r="Y314" s="257"/>
      <c r="Z314" s="257"/>
    </row>
    <row r="315" ht="15.75" customHeight="1">
      <c r="A315" s="257"/>
      <c r="B315" s="257"/>
      <c r="C315" s="257"/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57"/>
      <c r="O315" s="257"/>
      <c r="P315" s="257"/>
      <c r="Q315" s="257"/>
      <c r="R315" s="257"/>
      <c r="S315" s="257"/>
      <c r="T315" s="257"/>
      <c r="U315" s="257"/>
      <c r="V315" s="257"/>
      <c r="W315" s="257"/>
      <c r="X315" s="257"/>
      <c r="Y315" s="257"/>
      <c r="Z315" s="257"/>
    </row>
    <row r="316" ht="15.75" customHeight="1">
      <c r="A316" s="257"/>
      <c r="B316" s="257"/>
      <c r="C316" s="257"/>
      <c r="D316" s="257"/>
      <c r="E316" s="257"/>
      <c r="F316" s="257"/>
      <c r="G316" s="257"/>
      <c r="H316" s="257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7"/>
    </row>
    <row r="317" ht="15.75" customHeight="1">
      <c r="A317" s="257"/>
      <c r="B317" s="257"/>
      <c r="C317" s="257"/>
      <c r="D317" s="257"/>
      <c r="E317" s="257"/>
      <c r="F317" s="257"/>
      <c r="G317" s="257"/>
      <c r="H317" s="257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7"/>
    </row>
    <row r="318" ht="15.75" customHeight="1">
      <c r="A318" s="257"/>
      <c r="B318" s="257"/>
      <c r="C318" s="257"/>
      <c r="D318" s="257"/>
      <c r="E318" s="257"/>
      <c r="F318" s="257"/>
      <c r="G318" s="257"/>
      <c r="H318" s="257"/>
      <c r="I318" s="257"/>
      <c r="J318" s="257"/>
      <c r="K318" s="257"/>
      <c r="L318" s="257"/>
      <c r="M318" s="257"/>
      <c r="N318" s="257"/>
      <c r="O318" s="257"/>
      <c r="P318" s="257"/>
      <c r="Q318" s="257"/>
      <c r="R318" s="257"/>
      <c r="S318" s="257"/>
      <c r="T318" s="257"/>
      <c r="U318" s="257"/>
      <c r="V318" s="257"/>
      <c r="W318" s="257"/>
      <c r="X318" s="257"/>
      <c r="Y318" s="257"/>
      <c r="Z318" s="257"/>
    </row>
    <row r="319" ht="15.75" customHeight="1">
      <c r="A319" s="257"/>
      <c r="B319" s="257"/>
      <c r="C319" s="257"/>
      <c r="D319" s="257"/>
      <c r="E319" s="257"/>
      <c r="F319" s="257"/>
      <c r="G319" s="257"/>
      <c r="H319" s="257"/>
      <c r="I319" s="257"/>
      <c r="J319" s="257"/>
      <c r="K319" s="257"/>
      <c r="L319" s="257"/>
      <c r="M319" s="257"/>
      <c r="N319" s="257"/>
      <c r="O319" s="257"/>
      <c r="P319" s="257"/>
      <c r="Q319" s="257"/>
      <c r="R319" s="257"/>
      <c r="S319" s="257"/>
      <c r="T319" s="257"/>
      <c r="U319" s="257"/>
      <c r="V319" s="257"/>
      <c r="W319" s="257"/>
      <c r="X319" s="257"/>
      <c r="Y319" s="257"/>
      <c r="Z319" s="257"/>
    </row>
    <row r="320" ht="15.75" customHeight="1">
      <c r="A320" s="257"/>
      <c r="B320" s="257"/>
      <c r="C320" s="257"/>
      <c r="D320" s="257"/>
      <c r="E320" s="257"/>
      <c r="F320" s="257"/>
      <c r="G320" s="257"/>
      <c r="H320" s="257"/>
      <c r="I320" s="257"/>
      <c r="J320" s="257"/>
      <c r="K320" s="257"/>
      <c r="L320" s="257"/>
      <c r="M320" s="257"/>
      <c r="N320" s="257"/>
      <c r="O320" s="257"/>
      <c r="P320" s="257"/>
      <c r="Q320" s="257"/>
      <c r="R320" s="257"/>
      <c r="S320" s="257"/>
      <c r="T320" s="257"/>
      <c r="U320" s="257"/>
      <c r="V320" s="257"/>
      <c r="W320" s="257"/>
      <c r="X320" s="257"/>
      <c r="Y320" s="257"/>
      <c r="Z320" s="257"/>
    </row>
    <row r="321" ht="15.75" customHeight="1">
      <c r="A321" s="257"/>
      <c r="B321" s="257"/>
      <c r="C321" s="257"/>
      <c r="D321" s="257"/>
      <c r="E321" s="257"/>
      <c r="F321" s="257"/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/>
      <c r="S321" s="257"/>
      <c r="T321" s="257"/>
      <c r="U321" s="257"/>
      <c r="V321" s="257"/>
      <c r="W321" s="257"/>
      <c r="X321" s="257"/>
      <c r="Y321" s="257"/>
      <c r="Z321" s="257"/>
    </row>
    <row r="322" ht="15.75" customHeight="1">
      <c r="A322" s="257"/>
      <c r="B322" s="257"/>
      <c r="C322" s="257"/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  <c r="Z322" s="257"/>
    </row>
    <row r="323" ht="15.75" customHeight="1">
      <c r="A323" s="257"/>
      <c r="B323" s="257"/>
      <c r="C323" s="257"/>
      <c r="D323" s="257"/>
      <c r="E323" s="257"/>
      <c r="F323" s="257"/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/>
      <c r="S323" s="257"/>
      <c r="T323" s="257"/>
      <c r="U323" s="257"/>
      <c r="V323" s="257"/>
      <c r="W323" s="257"/>
      <c r="X323" s="257"/>
      <c r="Y323" s="257"/>
      <c r="Z323" s="257"/>
    </row>
    <row r="324" ht="15.75" customHeight="1">
      <c r="A324" s="257"/>
      <c r="B324" s="257"/>
      <c r="C324" s="257"/>
      <c r="D324" s="257"/>
      <c r="E324" s="257"/>
      <c r="F324" s="257"/>
      <c r="G324" s="257"/>
      <c r="H324" s="257"/>
      <c r="I324" s="257"/>
      <c r="J324" s="257"/>
      <c r="K324" s="257"/>
      <c r="L324" s="257"/>
      <c r="M324" s="257"/>
      <c r="N324" s="257"/>
      <c r="O324" s="257"/>
      <c r="P324" s="257"/>
      <c r="Q324" s="257"/>
      <c r="R324" s="257"/>
      <c r="S324" s="257"/>
      <c r="T324" s="257"/>
      <c r="U324" s="257"/>
      <c r="V324" s="257"/>
      <c r="W324" s="257"/>
      <c r="X324" s="257"/>
      <c r="Y324" s="257"/>
      <c r="Z324" s="257"/>
    </row>
    <row r="325" ht="15.75" customHeight="1">
      <c r="A325" s="257"/>
      <c r="B325" s="257"/>
      <c r="C325" s="257"/>
      <c r="D325" s="257"/>
      <c r="E325" s="257"/>
      <c r="F325" s="257"/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/>
      <c r="S325" s="257"/>
      <c r="T325" s="257"/>
      <c r="U325" s="257"/>
      <c r="V325" s="257"/>
      <c r="W325" s="257"/>
      <c r="X325" s="257"/>
      <c r="Y325" s="257"/>
      <c r="Z325" s="257"/>
    </row>
    <row r="326" ht="15.75" customHeight="1">
      <c r="A326" s="257"/>
      <c r="B326" s="257"/>
      <c r="C326" s="257"/>
      <c r="D326" s="257"/>
      <c r="E326" s="257"/>
      <c r="F326" s="257"/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/>
      <c r="U326" s="257"/>
      <c r="V326" s="257"/>
      <c r="W326" s="257"/>
      <c r="X326" s="257"/>
      <c r="Y326" s="257"/>
      <c r="Z326" s="257"/>
    </row>
    <row r="327" ht="15.75" customHeight="1">
      <c r="A327" s="257"/>
      <c r="B327" s="257"/>
      <c r="C327" s="257"/>
      <c r="D327" s="257"/>
      <c r="E327" s="257"/>
      <c r="F327" s="257"/>
      <c r="G327" s="257"/>
      <c r="H327" s="257"/>
      <c r="I327" s="257"/>
      <c r="J327" s="257"/>
      <c r="K327" s="257"/>
      <c r="L327" s="257"/>
      <c r="M327" s="257"/>
      <c r="N327" s="257"/>
      <c r="O327" s="257"/>
      <c r="P327" s="257"/>
      <c r="Q327" s="257"/>
      <c r="R327" s="257"/>
      <c r="S327" s="257"/>
      <c r="T327" s="257"/>
      <c r="U327" s="257"/>
      <c r="V327" s="257"/>
      <c r="W327" s="257"/>
      <c r="X327" s="257"/>
      <c r="Y327" s="257"/>
      <c r="Z327" s="257"/>
    </row>
    <row r="328" ht="15.75" customHeight="1">
      <c r="A328" s="257"/>
      <c r="B328" s="257"/>
      <c r="C328" s="257"/>
      <c r="D328" s="257"/>
      <c r="E328" s="257"/>
      <c r="F328" s="257"/>
      <c r="G328" s="257"/>
      <c r="H328" s="257"/>
      <c r="I328" s="257"/>
      <c r="J328" s="257"/>
      <c r="K328" s="257"/>
      <c r="L328" s="257"/>
      <c r="M328" s="257"/>
      <c r="N328" s="257"/>
      <c r="O328" s="257"/>
      <c r="P328" s="257"/>
      <c r="Q328" s="257"/>
      <c r="R328" s="257"/>
      <c r="S328" s="257"/>
      <c r="T328" s="257"/>
      <c r="U328" s="257"/>
      <c r="V328" s="257"/>
      <c r="W328" s="257"/>
      <c r="X328" s="257"/>
      <c r="Y328" s="257"/>
      <c r="Z328" s="257"/>
    </row>
    <row r="329" ht="15.75" customHeight="1">
      <c r="A329" s="257"/>
      <c r="B329" s="257"/>
      <c r="C329" s="257"/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P329" s="257"/>
      <c r="Q329" s="257"/>
      <c r="R329" s="257"/>
      <c r="S329" s="257"/>
      <c r="T329" s="257"/>
      <c r="U329" s="257"/>
      <c r="V329" s="257"/>
      <c r="W329" s="257"/>
      <c r="X329" s="257"/>
      <c r="Y329" s="257"/>
      <c r="Z329" s="257"/>
    </row>
    <row r="330" ht="15.75" customHeight="1">
      <c r="A330" s="257"/>
      <c r="B330" s="257"/>
      <c r="C330" s="257"/>
      <c r="D330" s="257"/>
      <c r="E330" s="257"/>
      <c r="F330" s="257"/>
      <c r="G330" s="257"/>
      <c r="H330" s="257"/>
      <c r="I330" s="257"/>
      <c r="J330" s="257"/>
      <c r="K330" s="257"/>
      <c r="L330" s="257"/>
      <c r="M330" s="257"/>
      <c r="N330" s="257"/>
      <c r="O330" s="257"/>
      <c r="P330" s="257"/>
      <c r="Q330" s="257"/>
      <c r="R330" s="257"/>
      <c r="S330" s="257"/>
      <c r="T330" s="257"/>
      <c r="U330" s="257"/>
      <c r="V330" s="257"/>
      <c r="W330" s="257"/>
      <c r="X330" s="257"/>
      <c r="Y330" s="257"/>
      <c r="Z330" s="257"/>
    </row>
    <row r="331" ht="15.75" customHeight="1">
      <c r="A331" s="257"/>
      <c r="B331" s="257"/>
      <c r="C331" s="257"/>
      <c r="D331" s="257"/>
      <c r="E331" s="257"/>
      <c r="F331" s="257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/>
      <c r="U331" s="257"/>
      <c r="V331" s="257"/>
      <c r="W331" s="257"/>
      <c r="X331" s="257"/>
      <c r="Y331" s="257"/>
      <c r="Z331" s="257"/>
    </row>
    <row r="332" ht="15.75" customHeight="1">
      <c r="A332" s="257"/>
      <c r="B332" s="257"/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  <c r="Z332" s="257"/>
    </row>
    <row r="333" ht="15.75" customHeight="1">
      <c r="A333" s="257"/>
      <c r="B333" s="257"/>
      <c r="C333" s="257"/>
      <c r="D333" s="257"/>
      <c r="E333" s="257"/>
      <c r="F333" s="257"/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/>
      <c r="U333" s="257"/>
      <c r="V333" s="257"/>
      <c r="W333" s="257"/>
      <c r="X333" s="257"/>
      <c r="Y333" s="257"/>
      <c r="Z333" s="257"/>
    </row>
    <row r="334" ht="15.75" customHeight="1">
      <c r="A334" s="257"/>
      <c r="B334" s="257"/>
      <c r="C334" s="257"/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257"/>
      <c r="V334" s="257"/>
      <c r="W334" s="257"/>
      <c r="X334" s="257"/>
      <c r="Y334" s="257"/>
      <c r="Z334" s="257"/>
    </row>
    <row r="335" ht="15.75" customHeight="1">
      <c r="A335" s="257"/>
      <c r="B335" s="257"/>
      <c r="C335" s="257"/>
      <c r="D335" s="257"/>
      <c r="E335" s="257"/>
      <c r="F335" s="257"/>
      <c r="G335" s="257"/>
      <c r="H335" s="257"/>
      <c r="I335" s="257"/>
      <c r="J335" s="257"/>
      <c r="K335" s="257"/>
      <c r="L335" s="257"/>
      <c r="M335" s="257"/>
      <c r="N335" s="257"/>
      <c r="O335" s="257"/>
      <c r="P335" s="257"/>
      <c r="Q335" s="257"/>
      <c r="R335" s="257"/>
      <c r="S335" s="257"/>
      <c r="T335" s="257"/>
      <c r="U335" s="257"/>
      <c r="V335" s="257"/>
      <c r="W335" s="257"/>
      <c r="X335" s="257"/>
      <c r="Y335" s="257"/>
      <c r="Z335" s="257"/>
    </row>
    <row r="336" ht="15.75" customHeight="1">
      <c r="A336" s="257"/>
      <c r="B336" s="257"/>
      <c r="C336" s="257"/>
      <c r="D336" s="257"/>
      <c r="E336" s="257"/>
      <c r="F336" s="257"/>
      <c r="G336" s="257"/>
      <c r="H336" s="257"/>
      <c r="I336" s="257"/>
      <c r="J336" s="257"/>
      <c r="K336" s="257"/>
      <c r="L336" s="257"/>
      <c r="M336" s="257"/>
      <c r="N336" s="257"/>
      <c r="O336" s="257"/>
      <c r="P336" s="257"/>
      <c r="Q336" s="257"/>
      <c r="R336" s="257"/>
      <c r="S336" s="257"/>
      <c r="T336" s="257"/>
      <c r="U336" s="257"/>
      <c r="V336" s="257"/>
      <c r="W336" s="257"/>
      <c r="X336" s="257"/>
      <c r="Y336" s="257"/>
      <c r="Z336" s="257"/>
    </row>
    <row r="337" ht="15.75" customHeight="1">
      <c r="A337" s="257"/>
      <c r="B337" s="257"/>
      <c r="C337" s="257"/>
      <c r="D337" s="257"/>
      <c r="E337" s="257"/>
      <c r="F337" s="257"/>
      <c r="G337" s="257"/>
      <c r="H337" s="257"/>
      <c r="I337" s="257"/>
      <c r="J337" s="257"/>
      <c r="K337" s="257"/>
      <c r="L337" s="257"/>
      <c r="M337" s="257"/>
      <c r="N337" s="257"/>
      <c r="O337" s="257"/>
      <c r="P337" s="257"/>
      <c r="Q337" s="257"/>
      <c r="R337" s="257"/>
      <c r="S337" s="257"/>
      <c r="T337" s="257"/>
      <c r="U337" s="257"/>
      <c r="V337" s="257"/>
      <c r="W337" s="257"/>
      <c r="X337" s="257"/>
      <c r="Y337" s="257"/>
      <c r="Z337" s="257"/>
    </row>
    <row r="338" ht="15.75" customHeight="1">
      <c r="A338" s="257"/>
      <c r="B338" s="257"/>
      <c r="C338" s="257"/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7"/>
      <c r="P338" s="257"/>
      <c r="Q338" s="257"/>
      <c r="R338" s="257"/>
      <c r="S338" s="257"/>
      <c r="T338" s="257"/>
      <c r="U338" s="257"/>
      <c r="V338" s="257"/>
      <c r="W338" s="257"/>
      <c r="X338" s="257"/>
      <c r="Y338" s="257"/>
      <c r="Z338" s="257"/>
    </row>
    <row r="339" ht="15.75" customHeight="1">
      <c r="A339" s="257"/>
      <c r="B339" s="257"/>
      <c r="C339" s="257"/>
      <c r="D339" s="257"/>
      <c r="E339" s="257"/>
      <c r="F339" s="257"/>
      <c r="G339" s="257"/>
      <c r="H339" s="257"/>
      <c r="I339" s="257"/>
      <c r="J339" s="257"/>
      <c r="K339" s="257"/>
      <c r="L339" s="257"/>
      <c r="M339" s="257"/>
      <c r="N339" s="257"/>
      <c r="O339" s="257"/>
      <c r="P339" s="257"/>
      <c r="Q339" s="257"/>
      <c r="R339" s="257"/>
      <c r="S339" s="257"/>
      <c r="T339" s="257"/>
      <c r="U339" s="257"/>
      <c r="V339" s="257"/>
      <c r="W339" s="257"/>
      <c r="X339" s="257"/>
      <c r="Y339" s="257"/>
      <c r="Z339" s="257"/>
    </row>
    <row r="340" ht="15.75" customHeight="1">
      <c r="A340" s="257"/>
      <c r="B340" s="257"/>
      <c r="C340" s="257"/>
      <c r="D340" s="257"/>
      <c r="E340" s="257"/>
      <c r="F340" s="257"/>
      <c r="G340" s="257"/>
      <c r="H340" s="257"/>
      <c r="I340" s="257"/>
      <c r="J340" s="257"/>
      <c r="K340" s="257"/>
      <c r="L340" s="257"/>
      <c r="M340" s="257"/>
      <c r="N340" s="257"/>
      <c r="O340" s="257"/>
      <c r="P340" s="257"/>
      <c r="Q340" s="257"/>
      <c r="R340" s="257"/>
      <c r="S340" s="257"/>
      <c r="T340" s="257"/>
      <c r="U340" s="257"/>
      <c r="V340" s="257"/>
      <c r="W340" s="257"/>
      <c r="X340" s="257"/>
      <c r="Y340" s="257"/>
      <c r="Z340" s="257"/>
    </row>
    <row r="341" ht="15.75" customHeight="1">
      <c r="A341" s="257"/>
      <c r="B341" s="257"/>
      <c r="C341" s="257"/>
      <c r="D341" s="257"/>
      <c r="E341" s="257"/>
      <c r="F341" s="257"/>
      <c r="G341" s="257"/>
      <c r="H341" s="257"/>
      <c r="I341" s="257"/>
      <c r="J341" s="257"/>
      <c r="K341" s="257"/>
      <c r="L341" s="257"/>
      <c r="M341" s="257"/>
      <c r="N341" s="257"/>
      <c r="O341" s="257"/>
      <c r="P341" s="257"/>
      <c r="Q341" s="257"/>
      <c r="R341" s="257"/>
      <c r="S341" s="257"/>
      <c r="T341" s="257"/>
      <c r="U341" s="257"/>
      <c r="V341" s="257"/>
      <c r="W341" s="257"/>
      <c r="X341" s="257"/>
      <c r="Y341" s="257"/>
      <c r="Z341" s="257"/>
    </row>
    <row r="342" ht="15.75" customHeight="1">
      <c r="A342" s="257"/>
      <c r="B342" s="257"/>
      <c r="C342" s="257"/>
      <c r="D342" s="257"/>
      <c r="E342" s="257"/>
      <c r="F342" s="257"/>
      <c r="G342" s="257"/>
      <c r="H342" s="257"/>
      <c r="I342" s="257"/>
      <c r="J342" s="257"/>
      <c r="K342" s="257"/>
      <c r="L342" s="257"/>
      <c r="M342" s="257"/>
      <c r="N342" s="257"/>
      <c r="O342" s="257"/>
      <c r="P342" s="257"/>
      <c r="Q342" s="257"/>
      <c r="R342" s="257"/>
      <c r="S342" s="257"/>
      <c r="T342" s="257"/>
      <c r="U342" s="257"/>
      <c r="V342" s="257"/>
      <c r="W342" s="257"/>
      <c r="X342" s="257"/>
      <c r="Y342" s="257"/>
      <c r="Z342" s="257"/>
    </row>
    <row r="343" ht="15.75" customHeight="1">
      <c r="A343" s="257"/>
      <c r="B343" s="257"/>
      <c r="C343" s="257"/>
      <c r="D343" s="257"/>
      <c r="E343" s="257"/>
      <c r="F343" s="257"/>
      <c r="G343" s="257"/>
      <c r="H343" s="257"/>
      <c r="I343" s="257"/>
      <c r="J343" s="257"/>
      <c r="K343" s="257"/>
      <c r="L343" s="257"/>
      <c r="M343" s="257"/>
      <c r="N343" s="257"/>
      <c r="O343" s="257"/>
      <c r="P343" s="257"/>
      <c r="Q343" s="257"/>
      <c r="R343" s="257"/>
      <c r="S343" s="257"/>
      <c r="T343" s="257"/>
      <c r="U343" s="257"/>
      <c r="V343" s="257"/>
      <c r="W343" s="257"/>
      <c r="X343" s="257"/>
      <c r="Y343" s="257"/>
      <c r="Z343" s="257"/>
    </row>
    <row r="344" ht="15.75" customHeight="1">
      <c r="A344" s="257"/>
      <c r="B344" s="257"/>
      <c r="C344" s="257"/>
      <c r="D344" s="257"/>
      <c r="E344" s="257"/>
      <c r="F344" s="257"/>
      <c r="G344" s="257"/>
      <c r="H344" s="257"/>
      <c r="I344" s="257"/>
      <c r="J344" s="257"/>
      <c r="K344" s="257"/>
      <c r="L344" s="257"/>
      <c r="M344" s="257"/>
      <c r="N344" s="257"/>
      <c r="O344" s="257"/>
      <c r="P344" s="257"/>
      <c r="Q344" s="257"/>
      <c r="R344" s="257"/>
      <c r="S344" s="257"/>
      <c r="T344" s="257"/>
      <c r="U344" s="257"/>
      <c r="V344" s="257"/>
      <c r="W344" s="257"/>
      <c r="X344" s="257"/>
      <c r="Y344" s="257"/>
      <c r="Z344" s="257"/>
    </row>
    <row r="345" ht="15.75" customHeight="1">
      <c r="A345" s="257"/>
      <c r="B345" s="257"/>
      <c r="C345" s="257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  <c r="N345" s="257"/>
      <c r="O345" s="257"/>
      <c r="P345" s="257"/>
      <c r="Q345" s="257"/>
      <c r="R345" s="257"/>
      <c r="S345" s="257"/>
      <c r="T345" s="257"/>
      <c r="U345" s="257"/>
      <c r="V345" s="257"/>
      <c r="W345" s="257"/>
      <c r="X345" s="257"/>
      <c r="Y345" s="257"/>
      <c r="Z345" s="257"/>
    </row>
    <row r="346" ht="15.75" customHeight="1">
      <c r="A346" s="257"/>
      <c r="B346" s="257"/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/>
      <c r="X346" s="257"/>
      <c r="Y346" s="257"/>
      <c r="Z346" s="257"/>
    </row>
    <row r="347" ht="15.75" customHeight="1">
      <c r="A347" s="257"/>
      <c r="B347" s="257"/>
      <c r="C347" s="257"/>
      <c r="D347" s="257"/>
      <c r="E347" s="257"/>
      <c r="F347" s="257"/>
      <c r="G347" s="257"/>
      <c r="H347" s="257"/>
      <c r="I347" s="257"/>
      <c r="J347" s="257"/>
      <c r="K347" s="257"/>
      <c r="L347" s="257"/>
      <c r="M347" s="257"/>
      <c r="N347" s="257"/>
      <c r="O347" s="257"/>
      <c r="P347" s="257"/>
      <c r="Q347" s="257"/>
      <c r="R347" s="257"/>
      <c r="S347" s="257"/>
      <c r="T347" s="257"/>
      <c r="U347" s="257"/>
      <c r="V347" s="257"/>
      <c r="W347" s="257"/>
      <c r="X347" s="257"/>
      <c r="Y347" s="257"/>
      <c r="Z347" s="257"/>
    </row>
    <row r="348" ht="15.75" customHeight="1">
      <c r="A348" s="257"/>
      <c r="B348" s="257"/>
      <c r="C348" s="257"/>
      <c r="D348" s="257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7"/>
      <c r="Q348" s="257"/>
      <c r="R348" s="257"/>
      <c r="S348" s="257"/>
      <c r="T348" s="257"/>
      <c r="U348" s="257"/>
      <c r="V348" s="257"/>
      <c r="W348" s="257"/>
      <c r="X348" s="257"/>
      <c r="Y348" s="257"/>
      <c r="Z348" s="257"/>
    </row>
    <row r="349" ht="15.75" customHeight="1">
      <c r="A349" s="257"/>
      <c r="B349" s="257"/>
      <c r="C349" s="257"/>
      <c r="D349" s="257"/>
      <c r="E349" s="257"/>
      <c r="F349" s="257"/>
      <c r="G349" s="257"/>
      <c r="H349" s="257"/>
      <c r="I349" s="257"/>
      <c r="J349" s="257"/>
      <c r="K349" s="257"/>
      <c r="L349" s="257"/>
      <c r="M349" s="257"/>
      <c r="N349" s="257"/>
      <c r="O349" s="257"/>
      <c r="P349" s="257"/>
      <c r="Q349" s="257"/>
      <c r="R349" s="257"/>
      <c r="S349" s="257"/>
      <c r="T349" s="257"/>
      <c r="U349" s="257"/>
      <c r="V349" s="257"/>
      <c r="W349" s="257"/>
      <c r="X349" s="257"/>
      <c r="Y349" s="257"/>
      <c r="Z349" s="257"/>
    </row>
    <row r="350" ht="15.75" customHeight="1">
      <c r="A350" s="257"/>
      <c r="B350" s="257"/>
      <c r="C350" s="257"/>
      <c r="D350" s="257"/>
      <c r="E350" s="257"/>
      <c r="F350" s="257"/>
      <c r="G350" s="257"/>
      <c r="H350" s="257"/>
      <c r="I350" s="257"/>
      <c r="J350" s="257"/>
      <c r="K350" s="257"/>
      <c r="L350" s="257"/>
      <c r="M350" s="257"/>
      <c r="N350" s="257"/>
      <c r="O350" s="257"/>
      <c r="P350" s="257"/>
      <c r="Q350" s="257"/>
      <c r="R350" s="257"/>
      <c r="S350" s="257"/>
      <c r="T350" s="257"/>
      <c r="U350" s="257"/>
      <c r="V350" s="257"/>
      <c r="W350" s="257"/>
      <c r="X350" s="257"/>
      <c r="Y350" s="257"/>
      <c r="Z350" s="257"/>
    </row>
    <row r="351" ht="15.75" customHeight="1">
      <c r="A351" s="257"/>
      <c r="B351" s="257"/>
      <c r="C351" s="257"/>
      <c r="D351" s="257"/>
      <c r="E351" s="257"/>
      <c r="F351" s="257"/>
      <c r="G351" s="257"/>
      <c r="H351" s="257"/>
      <c r="I351" s="257"/>
      <c r="J351" s="257"/>
      <c r="K351" s="257"/>
      <c r="L351" s="257"/>
      <c r="M351" s="257"/>
      <c r="N351" s="257"/>
      <c r="O351" s="257"/>
      <c r="P351" s="257"/>
      <c r="Q351" s="257"/>
      <c r="R351" s="257"/>
      <c r="S351" s="257"/>
      <c r="T351" s="257"/>
      <c r="U351" s="257"/>
      <c r="V351" s="257"/>
      <c r="W351" s="257"/>
      <c r="X351" s="257"/>
      <c r="Y351" s="257"/>
      <c r="Z351" s="257"/>
    </row>
    <row r="352" ht="15.75" customHeight="1">
      <c r="A352" s="257"/>
      <c r="B352" s="257"/>
      <c r="C352" s="257"/>
      <c r="D352" s="257"/>
      <c r="E352" s="257"/>
      <c r="F352" s="257"/>
      <c r="G352" s="257"/>
      <c r="H352" s="257"/>
      <c r="I352" s="257"/>
      <c r="J352" s="257"/>
      <c r="K352" s="257"/>
      <c r="L352" s="257"/>
      <c r="M352" s="257"/>
      <c r="N352" s="257"/>
      <c r="O352" s="257"/>
      <c r="P352" s="257"/>
      <c r="Q352" s="257"/>
      <c r="R352" s="257"/>
      <c r="S352" s="257"/>
      <c r="T352" s="257"/>
      <c r="U352" s="257"/>
      <c r="V352" s="257"/>
      <c r="W352" s="257"/>
      <c r="X352" s="257"/>
      <c r="Y352" s="257"/>
      <c r="Z352" s="257"/>
    </row>
    <row r="353" ht="15.75" customHeight="1">
      <c r="A353" s="257"/>
      <c r="B353" s="257"/>
      <c r="C353" s="257"/>
      <c r="D353" s="257"/>
      <c r="E353" s="257"/>
      <c r="F353" s="257"/>
      <c r="G353" s="257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/>
      <c r="S353" s="257"/>
      <c r="T353" s="257"/>
      <c r="U353" s="257"/>
      <c r="V353" s="257"/>
      <c r="W353" s="257"/>
      <c r="X353" s="257"/>
      <c r="Y353" s="257"/>
      <c r="Z353" s="257"/>
    </row>
    <row r="354" ht="15.75" customHeight="1">
      <c r="A354" s="257"/>
      <c r="B354" s="257"/>
      <c r="C354" s="257"/>
      <c r="D354" s="257"/>
      <c r="E354" s="257"/>
      <c r="F354" s="257"/>
      <c r="G354" s="257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/>
      <c r="S354" s="257"/>
      <c r="T354" s="257"/>
      <c r="U354" s="257"/>
      <c r="V354" s="257"/>
      <c r="W354" s="257"/>
      <c r="X354" s="257"/>
      <c r="Y354" s="257"/>
      <c r="Z354" s="257"/>
    </row>
    <row r="355" ht="15.75" customHeight="1">
      <c r="A355" s="257"/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  <c r="Z355" s="257"/>
    </row>
    <row r="356" ht="15.75" customHeight="1">
      <c r="A356" s="257"/>
      <c r="B356" s="257"/>
      <c r="C356" s="257"/>
      <c r="D356" s="257"/>
      <c r="E356" s="257"/>
      <c r="F356" s="257"/>
      <c r="G356" s="257"/>
      <c r="H356" s="257"/>
      <c r="I356" s="257"/>
      <c r="J356" s="257"/>
      <c r="K356" s="257"/>
      <c r="L356" s="257"/>
      <c r="M356" s="257"/>
      <c r="N356" s="257"/>
      <c r="O356" s="257"/>
      <c r="P356" s="257"/>
      <c r="Q356" s="257"/>
      <c r="R356" s="257"/>
      <c r="S356" s="257"/>
      <c r="T356" s="257"/>
      <c r="U356" s="257"/>
      <c r="V356" s="257"/>
      <c r="W356" s="257"/>
      <c r="X356" s="257"/>
      <c r="Y356" s="257"/>
      <c r="Z356" s="257"/>
    </row>
    <row r="357" ht="15.75" customHeight="1">
      <c r="A357" s="257"/>
      <c r="B357" s="257"/>
      <c r="C357" s="257"/>
      <c r="D357" s="257"/>
      <c r="E357" s="257"/>
      <c r="F357" s="257"/>
      <c r="G357" s="257"/>
      <c r="H357" s="257"/>
      <c r="I357" s="257"/>
      <c r="J357" s="257"/>
      <c r="K357" s="257"/>
      <c r="L357" s="257"/>
      <c r="M357" s="257"/>
      <c r="N357" s="257"/>
      <c r="O357" s="257"/>
      <c r="P357" s="257"/>
      <c r="Q357" s="257"/>
      <c r="R357" s="257"/>
      <c r="S357" s="257"/>
      <c r="T357" s="257"/>
      <c r="U357" s="257"/>
      <c r="V357" s="257"/>
      <c r="W357" s="257"/>
      <c r="X357" s="257"/>
      <c r="Y357" s="257"/>
      <c r="Z357" s="257"/>
    </row>
    <row r="358" ht="15.75" customHeight="1">
      <c r="A358" s="257"/>
      <c r="B358" s="257"/>
      <c r="C358" s="257"/>
      <c r="D358" s="257"/>
      <c r="E358" s="257"/>
      <c r="F358" s="257"/>
      <c r="G358" s="257"/>
      <c r="H358" s="257"/>
      <c r="I358" s="257"/>
      <c r="J358" s="257"/>
      <c r="K358" s="257"/>
      <c r="L358" s="257"/>
      <c r="M358" s="257"/>
      <c r="N358" s="257"/>
      <c r="O358" s="257"/>
      <c r="P358" s="257"/>
      <c r="Q358" s="257"/>
      <c r="R358" s="257"/>
      <c r="S358" s="257"/>
      <c r="T358" s="257"/>
      <c r="U358" s="257"/>
      <c r="V358" s="257"/>
      <c r="W358" s="257"/>
      <c r="X358" s="257"/>
      <c r="Y358" s="257"/>
      <c r="Z358" s="257"/>
    </row>
    <row r="359" ht="15.75" customHeight="1">
      <c r="A359" s="257"/>
      <c r="B359" s="257"/>
      <c r="C359" s="257"/>
      <c r="D359" s="257"/>
      <c r="E359" s="257"/>
      <c r="F359" s="257"/>
      <c r="G359" s="257"/>
      <c r="H359" s="257"/>
      <c r="I359" s="257"/>
      <c r="J359" s="257"/>
      <c r="K359" s="257"/>
      <c r="L359" s="257"/>
      <c r="M359" s="257"/>
      <c r="N359" s="257"/>
      <c r="O359" s="257"/>
      <c r="P359" s="257"/>
      <c r="Q359" s="257"/>
      <c r="R359" s="257"/>
      <c r="S359" s="257"/>
      <c r="T359" s="257"/>
      <c r="U359" s="257"/>
      <c r="V359" s="257"/>
      <c r="W359" s="257"/>
      <c r="X359" s="257"/>
      <c r="Y359" s="257"/>
      <c r="Z359" s="257"/>
    </row>
    <row r="360" ht="15.75" customHeight="1">
      <c r="A360" s="257"/>
      <c r="B360" s="257"/>
      <c r="C360" s="257"/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7"/>
      <c r="P360" s="257"/>
      <c r="Q360" s="257"/>
      <c r="R360" s="257"/>
      <c r="S360" s="257"/>
      <c r="T360" s="257"/>
      <c r="U360" s="257"/>
      <c r="V360" s="257"/>
      <c r="W360" s="257"/>
      <c r="X360" s="257"/>
      <c r="Y360" s="257"/>
      <c r="Z360" s="257"/>
    </row>
    <row r="361" ht="15.75" customHeight="1">
      <c r="A361" s="257"/>
      <c r="B361" s="257"/>
      <c r="C361" s="257"/>
      <c r="D361" s="257"/>
      <c r="E361" s="257"/>
      <c r="F361" s="257"/>
      <c r="G361" s="257"/>
      <c r="H361" s="257"/>
      <c r="I361" s="257"/>
      <c r="J361" s="257"/>
      <c r="K361" s="257"/>
      <c r="L361" s="257"/>
      <c r="M361" s="257"/>
      <c r="N361" s="257"/>
      <c r="O361" s="257"/>
      <c r="P361" s="257"/>
      <c r="Q361" s="257"/>
      <c r="R361" s="257"/>
      <c r="S361" s="257"/>
      <c r="T361" s="257"/>
      <c r="U361" s="257"/>
      <c r="V361" s="257"/>
      <c r="W361" s="257"/>
      <c r="X361" s="257"/>
      <c r="Y361" s="257"/>
      <c r="Z361" s="257"/>
    </row>
    <row r="362" ht="15.75" customHeight="1">
      <c r="A362" s="257"/>
      <c r="B362" s="257"/>
      <c r="C362" s="257"/>
      <c r="D362" s="257"/>
      <c r="E362" s="257"/>
      <c r="F362" s="257"/>
      <c r="G362" s="257"/>
      <c r="H362" s="257"/>
      <c r="I362" s="257"/>
      <c r="J362" s="257"/>
      <c r="K362" s="257"/>
      <c r="L362" s="257"/>
      <c r="M362" s="257"/>
      <c r="N362" s="257"/>
      <c r="O362" s="257"/>
      <c r="P362" s="257"/>
      <c r="Q362" s="257"/>
      <c r="R362" s="257"/>
      <c r="S362" s="257"/>
      <c r="T362" s="257"/>
      <c r="U362" s="257"/>
      <c r="V362" s="257"/>
      <c r="W362" s="257"/>
      <c r="X362" s="257"/>
      <c r="Y362" s="257"/>
      <c r="Z362" s="257"/>
    </row>
    <row r="363" ht="15.75" customHeight="1">
      <c r="A363" s="257"/>
      <c r="B363" s="257"/>
      <c r="C363" s="257"/>
      <c r="D363" s="257"/>
      <c r="E363" s="257"/>
      <c r="F363" s="257"/>
      <c r="G363" s="257"/>
      <c r="H363" s="257"/>
      <c r="I363" s="257"/>
      <c r="J363" s="257"/>
      <c r="K363" s="257"/>
      <c r="L363" s="257"/>
      <c r="M363" s="257"/>
      <c r="N363" s="257"/>
      <c r="O363" s="257"/>
      <c r="P363" s="257"/>
      <c r="Q363" s="257"/>
      <c r="R363" s="257"/>
      <c r="S363" s="257"/>
      <c r="T363" s="257"/>
      <c r="U363" s="257"/>
      <c r="V363" s="257"/>
      <c r="W363" s="257"/>
      <c r="X363" s="257"/>
      <c r="Y363" s="257"/>
      <c r="Z363" s="257"/>
    </row>
    <row r="364" ht="15.75" customHeight="1">
      <c r="A364" s="257"/>
      <c r="B364" s="257"/>
      <c r="C364" s="257"/>
      <c r="D364" s="257"/>
      <c r="E364" s="257"/>
      <c r="F364" s="257"/>
      <c r="G364" s="257"/>
      <c r="H364" s="257"/>
      <c r="I364" s="257"/>
      <c r="J364" s="257"/>
      <c r="K364" s="257"/>
      <c r="L364" s="257"/>
      <c r="M364" s="257"/>
      <c r="N364" s="257"/>
      <c r="O364" s="257"/>
      <c r="P364" s="257"/>
      <c r="Q364" s="257"/>
      <c r="R364" s="257"/>
      <c r="S364" s="257"/>
      <c r="T364" s="257"/>
      <c r="U364" s="257"/>
      <c r="V364" s="257"/>
      <c r="W364" s="257"/>
      <c r="X364" s="257"/>
      <c r="Y364" s="257"/>
      <c r="Z364" s="257"/>
    </row>
    <row r="365" ht="15.75" customHeight="1">
      <c r="A365" s="257"/>
      <c r="B365" s="257"/>
      <c r="C365" s="257"/>
      <c r="D365" s="257"/>
      <c r="E365" s="257"/>
      <c r="F365" s="257"/>
      <c r="G365" s="257"/>
      <c r="H365" s="257"/>
      <c r="I365" s="257"/>
      <c r="J365" s="257"/>
      <c r="K365" s="257"/>
      <c r="L365" s="257"/>
      <c r="M365" s="257"/>
      <c r="N365" s="257"/>
      <c r="O365" s="257"/>
      <c r="P365" s="257"/>
      <c r="Q365" s="257"/>
      <c r="R365" s="257"/>
      <c r="S365" s="257"/>
      <c r="T365" s="257"/>
      <c r="U365" s="257"/>
      <c r="V365" s="257"/>
      <c r="W365" s="257"/>
      <c r="X365" s="257"/>
      <c r="Y365" s="257"/>
      <c r="Z365" s="257"/>
    </row>
    <row r="366" ht="15.75" customHeight="1">
      <c r="A366" s="257"/>
      <c r="B366" s="257"/>
      <c r="C366" s="257"/>
      <c r="D366" s="257"/>
      <c r="E366" s="257"/>
      <c r="F366" s="257"/>
      <c r="G366" s="257"/>
      <c r="H366" s="257"/>
      <c r="I366" s="257"/>
      <c r="J366" s="257"/>
      <c r="K366" s="257"/>
      <c r="L366" s="257"/>
      <c r="M366" s="257"/>
      <c r="N366" s="257"/>
      <c r="O366" s="257"/>
      <c r="P366" s="257"/>
      <c r="Q366" s="257"/>
      <c r="R366" s="257"/>
      <c r="S366" s="257"/>
      <c r="T366" s="257"/>
      <c r="U366" s="257"/>
      <c r="V366" s="257"/>
      <c r="W366" s="257"/>
      <c r="X366" s="257"/>
      <c r="Y366" s="257"/>
      <c r="Z366" s="257"/>
    </row>
    <row r="367" ht="15.75" customHeight="1">
      <c r="A367" s="257"/>
      <c r="B367" s="257"/>
      <c r="C367" s="257"/>
      <c r="D367" s="257"/>
      <c r="E367" s="257"/>
      <c r="F367" s="257"/>
      <c r="G367" s="257"/>
      <c r="H367" s="257"/>
      <c r="I367" s="257"/>
      <c r="J367" s="257"/>
      <c r="K367" s="257"/>
      <c r="L367" s="257"/>
      <c r="M367" s="257"/>
      <c r="N367" s="257"/>
      <c r="O367" s="257"/>
      <c r="P367" s="257"/>
      <c r="Q367" s="257"/>
      <c r="R367" s="257"/>
      <c r="S367" s="257"/>
      <c r="T367" s="257"/>
      <c r="U367" s="257"/>
      <c r="V367" s="257"/>
      <c r="W367" s="257"/>
      <c r="X367" s="257"/>
      <c r="Y367" s="257"/>
      <c r="Z367" s="257"/>
    </row>
    <row r="368" ht="15.75" customHeight="1">
      <c r="A368" s="257"/>
      <c r="B368" s="257"/>
      <c r="C368" s="257"/>
      <c r="D368" s="257"/>
      <c r="E368" s="257"/>
      <c r="F368" s="257"/>
      <c r="G368" s="257"/>
      <c r="H368" s="257"/>
      <c r="I368" s="257"/>
      <c r="J368" s="257"/>
      <c r="K368" s="257"/>
      <c r="L368" s="257"/>
      <c r="M368" s="257"/>
      <c r="N368" s="257"/>
      <c r="O368" s="257"/>
      <c r="P368" s="257"/>
      <c r="Q368" s="257"/>
      <c r="R368" s="257"/>
      <c r="S368" s="257"/>
      <c r="T368" s="257"/>
      <c r="U368" s="257"/>
      <c r="V368" s="257"/>
      <c r="W368" s="257"/>
      <c r="X368" s="257"/>
      <c r="Y368" s="257"/>
      <c r="Z368" s="257"/>
    </row>
    <row r="369" ht="15.75" customHeight="1">
      <c r="A369" s="257"/>
      <c r="B369" s="257"/>
      <c r="C369" s="257"/>
      <c r="D369" s="257"/>
      <c r="E369" s="257"/>
      <c r="F369" s="257"/>
      <c r="G369" s="257"/>
      <c r="H369" s="257"/>
      <c r="I369" s="257"/>
      <c r="J369" s="257"/>
      <c r="K369" s="257"/>
      <c r="L369" s="257"/>
      <c r="M369" s="257"/>
      <c r="N369" s="257"/>
      <c r="O369" s="257"/>
      <c r="P369" s="257"/>
      <c r="Q369" s="257"/>
      <c r="R369" s="257"/>
      <c r="S369" s="257"/>
      <c r="T369" s="257"/>
      <c r="U369" s="257"/>
      <c r="V369" s="257"/>
      <c r="W369" s="257"/>
      <c r="X369" s="257"/>
      <c r="Y369" s="257"/>
      <c r="Z369" s="257"/>
    </row>
    <row r="370" ht="15.75" customHeight="1">
      <c r="A370" s="257"/>
      <c r="B370" s="257"/>
      <c r="C370" s="257"/>
      <c r="D370" s="257"/>
      <c r="E370" s="257"/>
      <c r="F370" s="257"/>
      <c r="G370" s="257"/>
      <c r="H370" s="257"/>
      <c r="I370" s="257"/>
      <c r="J370" s="257"/>
      <c r="K370" s="257"/>
      <c r="L370" s="257"/>
      <c r="M370" s="257"/>
      <c r="N370" s="257"/>
      <c r="O370" s="257"/>
      <c r="P370" s="257"/>
      <c r="Q370" s="257"/>
      <c r="R370" s="257"/>
      <c r="S370" s="257"/>
      <c r="T370" s="257"/>
      <c r="U370" s="257"/>
      <c r="V370" s="257"/>
      <c r="W370" s="257"/>
      <c r="X370" s="257"/>
      <c r="Y370" s="257"/>
      <c r="Z370" s="257"/>
    </row>
    <row r="371" ht="15.75" customHeight="1">
      <c r="A371" s="257"/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57"/>
      <c r="O371" s="257"/>
      <c r="P371" s="257"/>
      <c r="Q371" s="257"/>
      <c r="R371" s="257"/>
      <c r="S371" s="257"/>
      <c r="T371" s="257"/>
      <c r="U371" s="257"/>
      <c r="V371" s="257"/>
      <c r="W371" s="257"/>
      <c r="X371" s="257"/>
      <c r="Y371" s="257"/>
      <c r="Z371" s="257"/>
    </row>
    <row r="372" ht="15.75" customHeight="1">
      <c r="A372" s="257"/>
      <c r="B372" s="257"/>
      <c r="C372" s="257"/>
      <c r="D372" s="257"/>
      <c r="E372" s="257"/>
      <c r="F372" s="257"/>
      <c r="G372" s="257"/>
      <c r="H372" s="257"/>
      <c r="I372" s="257"/>
      <c r="J372" s="257"/>
      <c r="K372" s="257"/>
      <c r="L372" s="257"/>
      <c r="M372" s="257"/>
      <c r="N372" s="257"/>
      <c r="O372" s="257"/>
      <c r="P372" s="257"/>
      <c r="Q372" s="257"/>
      <c r="R372" s="257"/>
      <c r="S372" s="257"/>
      <c r="T372" s="257"/>
      <c r="U372" s="257"/>
      <c r="V372" s="257"/>
      <c r="W372" s="257"/>
      <c r="X372" s="257"/>
      <c r="Y372" s="257"/>
      <c r="Z372" s="257"/>
    </row>
    <row r="373" ht="15.75" customHeight="1">
      <c r="A373" s="257"/>
      <c r="B373" s="257"/>
      <c r="C373" s="257"/>
      <c r="D373" s="257"/>
      <c r="E373" s="257"/>
      <c r="F373" s="257"/>
      <c r="G373" s="257"/>
      <c r="H373" s="257"/>
      <c r="I373" s="257"/>
      <c r="J373" s="257"/>
      <c r="K373" s="257"/>
      <c r="L373" s="257"/>
      <c r="M373" s="257"/>
      <c r="N373" s="257"/>
      <c r="O373" s="257"/>
      <c r="P373" s="257"/>
      <c r="Q373" s="257"/>
      <c r="R373" s="257"/>
      <c r="S373" s="257"/>
      <c r="T373" s="257"/>
      <c r="U373" s="257"/>
      <c r="V373" s="257"/>
      <c r="W373" s="257"/>
      <c r="X373" s="257"/>
      <c r="Y373" s="257"/>
      <c r="Z373" s="257"/>
    </row>
    <row r="374" ht="15.75" customHeight="1">
      <c r="A374" s="257"/>
      <c r="B374" s="257"/>
      <c r="C374" s="257"/>
      <c r="D374" s="257"/>
      <c r="E374" s="257"/>
      <c r="F374" s="257"/>
      <c r="G374" s="257"/>
      <c r="H374" s="257"/>
      <c r="I374" s="257"/>
      <c r="J374" s="257"/>
      <c r="K374" s="257"/>
      <c r="L374" s="257"/>
      <c r="M374" s="257"/>
      <c r="N374" s="257"/>
      <c r="O374" s="257"/>
      <c r="P374" s="257"/>
      <c r="Q374" s="257"/>
      <c r="R374" s="257"/>
      <c r="S374" s="257"/>
      <c r="T374" s="257"/>
      <c r="U374" s="257"/>
      <c r="V374" s="257"/>
      <c r="W374" s="257"/>
      <c r="X374" s="257"/>
      <c r="Y374" s="257"/>
      <c r="Z374" s="257"/>
    </row>
    <row r="375" ht="15.75" customHeight="1">
      <c r="A375" s="257"/>
      <c r="B375" s="257"/>
      <c r="C375" s="257"/>
      <c r="D375" s="257"/>
      <c r="E375" s="257"/>
      <c r="F375" s="257"/>
      <c r="G375" s="257"/>
      <c r="H375" s="257"/>
      <c r="I375" s="257"/>
      <c r="J375" s="257"/>
      <c r="K375" s="257"/>
      <c r="L375" s="257"/>
      <c r="M375" s="257"/>
      <c r="N375" s="257"/>
      <c r="O375" s="257"/>
      <c r="P375" s="257"/>
      <c r="Q375" s="257"/>
      <c r="R375" s="257"/>
      <c r="S375" s="257"/>
      <c r="T375" s="257"/>
      <c r="U375" s="257"/>
      <c r="V375" s="257"/>
      <c r="W375" s="257"/>
      <c r="X375" s="257"/>
      <c r="Y375" s="257"/>
      <c r="Z375" s="257"/>
    </row>
    <row r="376" ht="15.75" customHeight="1">
      <c r="A376" s="257"/>
      <c r="B376" s="257"/>
      <c r="C376" s="257"/>
      <c r="D376" s="257"/>
      <c r="E376" s="257"/>
      <c r="F376" s="257"/>
      <c r="G376" s="257"/>
      <c r="H376" s="257"/>
      <c r="I376" s="257"/>
      <c r="J376" s="257"/>
      <c r="K376" s="257"/>
      <c r="L376" s="257"/>
      <c r="M376" s="257"/>
      <c r="N376" s="257"/>
      <c r="O376" s="257"/>
      <c r="P376" s="257"/>
      <c r="Q376" s="257"/>
      <c r="R376" s="257"/>
      <c r="S376" s="257"/>
      <c r="T376" s="257"/>
      <c r="U376" s="257"/>
      <c r="V376" s="257"/>
      <c r="W376" s="257"/>
      <c r="X376" s="257"/>
      <c r="Y376" s="257"/>
      <c r="Z376" s="257"/>
    </row>
    <row r="377" ht="15.75" customHeight="1">
      <c r="A377" s="257"/>
      <c r="B377" s="257"/>
      <c r="C377" s="257"/>
      <c r="D377" s="257"/>
      <c r="E377" s="257"/>
      <c r="F377" s="257"/>
      <c r="G377" s="257"/>
      <c r="H377" s="257"/>
      <c r="I377" s="257"/>
      <c r="J377" s="257"/>
      <c r="K377" s="257"/>
      <c r="L377" s="257"/>
      <c r="M377" s="257"/>
      <c r="N377" s="257"/>
      <c r="O377" s="257"/>
      <c r="P377" s="257"/>
      <c r="Q377" s="257"/>
      <c r="R377" s="257"/>
      <c r="S377" s="257"/>
      <c r="T377" s="257"/>
      <c r="U377" s="257"/>
      <c r="V377" s="257"/>
      <c r="W377" s="257"/>
      <c r="X377" s="257"/>
      <c r="Y377" s="257"/>
      <c r="Z377" s="257"/>
    </row>
    <row r="378" ht="15.75" customHeight="1">
      <c r="A378" s="257"/>
      <c r="B378" s="257"/>
      <c r="C378" s="257"/>
      <c r="D378" s="257"/>
      <c r="E378" s="257"/>
      <c r="F378" s="257"/>
      <c r="G378" s="257"/>
      <c r="H378" s="257"/>
      <c r="I378" s="257"/>
      <c r="J378" s="257"/>
      <c r="K378" s="257"/>
      <c r="L378" s="257"/>
      <c r="M378" s="257"/>
      <c r="N378" s="257"/>
      <c r="O378" s="257"/>
      <c r="P378" s="257"/>
      <c r="Q378" s="257"/>
      <c r="R378" s="257"/>
      <c r="S378" s="257"/>
      <c r="T378" s="257"/>
      <c r="U378" s="257"/>
      <c r="V378" s="257"/>
      <c r="W378" s="257"/>
      <c r="X378" s="257"/>
      <c r="Y378" s="257"/>
      <c r="Z378" s="257"/>
    </row>
    <row r="379" ht="15.75" customHeight="1">
      <c r="A379" s="257"/>
      <c r="B379" s="257"/>
      <c r="C379" s="257"/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57"/>
      <c r="O379" s="257"/>
      <c r="P379" s="257"/>
      <c r="Q379" s="257"/>
      <c r="R379" s="257"/>
      <c r="S379" s="257"/>
      <c r="T379" s="257"/>
      <c r="U379" s="257"/>
      <c r="V379" s="257"/>
      <c r="W379" s="257"/>
      <c r="X379" s="257"/>
      <c r="Y379" s="257"/>
      <c r="Z379" s="257"/>
    </row>
    <row r="380" ht="15.75" customHeight="1">
      <c r="A380" s="257"/>
      <c r="B380" s="257"/>
      <c r="C380" s="257"/>
      <c r="D380" s="257"/>
      <c r="E380" s="257"/>
      <c r="F380" s="257"/>
      <c r="G380" s="257"/>
      <c r="H380" s="257"/>
      <c r="I380" s="257"/>
      <c r="J380" s="257"/>
      <c r="K380" s="257"/>
      <c r="L380" s="257"/>
      <c r="M380" s="257"/>
      <c r="N380" s="257"/>
      <c r="O380" s="257"/>
      <c r="P380" s="257"/>
      <c r="Q380" s="257"/>
      <c r="R380" s="257"/>
      <c r="S380" s="257"/>
      <c r="T380" s="257"/>
      <c r="U380" s="257"/>
      <c r="V380" s="257"/>
      <c r="W380" s="257"/>
      <c r="X380" s="257"/>
      <c r="Y380" s="257"/>
      <c r="Z380" s="257"/>
    </row>
    <row r="381" ht="15.75" customHeight="1">
      <c r="A381" s="257"/>
      <c r="B381" s="257"/>
      <c r="C381" s="257"/>
      <c r="D381" s="257"/>
      <c r="E381" s="257"/>
      <c r="F381" s="257"/>
      <c r="G381" s="257"/>
      <c r="H381" s="257"/>
      <c r="I381" s="257"/>
      <c r="J381" s="257"/>
      <c r="K381" s="257"/>
      <c r="L381" s="257"/>
      <c r="M381" s="257"/>
      <c r="N381" s="257"/>
      <c r="O381" s="257"/>
      <c r="P381" s="257"/>
      <c r="Q381" s="257"/>
      <c r="R381" s="257"/>
      <c r="S381" s="257"/>
      <c r="T381" s="257"/>
      <c r="U381" s="257"/>
      <c r="V381" s="257"/>
      <c r="W381" s="257"/>
      <c r="X381" s="257"/>
      <c r="Y381" s="257"/>
      <c r="Z381" s="257"/>
    </row>
    <row r="382" ht="15.75" customHeight="1">
      <c r="A382" s="257"/>
      <c r="B382" s="257"/>
      <c r="C382" s="257"/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7"/>
      <c r="P382" s="257"/>
      <c r="Q382" s="257"/>
      <c r="R382" s="257"/>
      <c r="S382" s="257"/>
      <c r="T382" s="257"/>
      <c r="U382" s="257"/>
      <c r="V382" s="257"/>
      <c r="W382" s="257"/>
      <c r="X382" s="257"/>
      <c r="Y382" s="257"/>
      <c r="Z382" s="257"/>
    </row>
    <row r="383" ht="15.75" customHeight="1">
      <c r="A383" s="257"/>
      <c r="B383" s="257"/>
      <c r="C383" s="257"/>
      <c r="D383" s="257"/>
      <c r="E383" s="257"/>
      <c r="F383" s="257"/>
      <c r="G383" s="257"/>
      <c r="H383" s="257"/>
      <c r="I383" s="257"/>
      <c r="J383" s="257"/>
      <c r="K383" s="257"/>
      <c r="L383" s="257"/>
      <c r="M383" s="257"/>
      <c r="N383" s="257"/>
      <c r="O383" s="257"/>
      <c r="P383" s="257"/>
      <c r="Q383" s="257"/>
      <c r="R383" s="257"/>
      <c r="S383" s="257"/>
      <c r="T383" s="257"/>
      <c r="U383" s="257"/>
      <c r="V383" s="257"/>
      <c r="W383" s="257"/>
      <c r="X383" s="257"/>
      <c r="Y383" s="257"/>
      <c r="Z383" s="257"/>
    </row>
    <row r="384" ht="15.75" customHeight="1">
      <c r="A384" s="257"/>
      <c r="B384" s="257"/>
      <c r="C384" s="257"/>
      <c r="D384" s="257"/>
      <c r="E384" s="257"/>
      <c r="F384" s="257"/>
      <c r="G384" s="257"/>
      <c r="H384" s="257"/>
      <c r="I384" s="257"/>
      <c r="J384" s="257"/>
      <c r="K384" s="257"/>
      <c r="L384" s="257"/>
      <c r="M384" s="257"/>
      <c r="N384" s="257"/>
      <c r="O384" s="257"/>
      <c r="P384" s="257"/>
      <c r="Q384" s="257"/>
      <c r="R384" s="257"/>
      <c r="S384" s="257"/>
      <c r="T384" s="257"/>
      <c r="U384" s="257"/>
      <c r="V384" s="257"/>
      <c r="W384" s="257"/>
      <c r="X384" s="257"/>
      <c r="Y384" s="257"/>
      <c r="Z384" s="257"/>
    </row>
    <row r="385" ht="15.75" customHeight="1">
      <c r="A385" s="257"/>
      <c r="B385" s="257"/>
      <c r="C385" s="257"/>
      <c r="D385" s="257"/>
      <c r="E385" s="257"/>
      <c r="F385" s="257"/>
      <c r="G385" s="257"/>
      <c r="H385" s="257"/>
      <c r="I385" s="257"/>
      <c r="J385" s="257"/>
      <c r="K385" s="257"/>
      <c r="L385" s="257"/>
      <c r="M385" s="257"/>
      <c r="N385" s="257"/>
      <c r="O385" s="257"/>
      <c r="P385" s="257"/>
      <c r="Q385" s="257"/>
      <c r="R385" s="257"/>
      <c r="S385" s="257"/>
      <c r="T385" s="257"/>
      <c r="U385" s="257"/>
      <c r="V385" s="257"/>
      <c r="W385" s="257"/>
      <c r="X385" s="257"/>
      <c r="Y385" s="257"/>
      <c r="Z385" s="257"/>
    </row>
    <row r="386" ht="15.75" customHeight="1">
      <c r="A386" s="257"/>
      <c r="B386" s="257"/>
      <c r="C386" s="257"/>
      <c r="D386" s="257"/>
      <c r="E386" s="257"/>
      <c r="F386" s="257"/>
      <c r="G386" s="257"/>
      <c r="H386" s="257"/>
      <c r="I386" s="257"/>
      <c r="J386" s="257"/>
      <c r="K386" s="257"/>
      <c r="L386" s="257"/>
      <c r="M386" s="257"/>
      <c r="N386" s="257"/>
      <c r="O386" s="257"/>
      <c r="P386" s="257"/>
      <c r="Q386" s="257"/>
      <c r="R386" s="257"/>
      <c r="S386" s="257"/>
      <c r="T386" s="257"/>
      <c r="U386" s="257"/>
      <c r="V386" s="257"/>
      <c r="W386" s="257"/>
      <c r="X386" s="257"/>
      <c r="Y386" s="257"/>
      <c r="Z386" s="257"/>
    </row>
    <row r="387" ht="15.75" customHeight="1">
      <c r="A387" s="257"/>
      <c r="B387" s="257"/>
      <c r="C387" s="257"/>
      <c r="D387" s="257"/>
      <c r="E387" s="257"/>
      <c r="F387" s="257"/>
      <c r="G387" s="257"/>
      <c r="H387" s="257"/>
      <c r="I387" s="257"/>
      <c r="J387" s="257"/>
      <c r="K387" s="257"/>
      <c r="L387" s="257"/>
      <c r="M387" s="257"/>
      <c r="N387" s="257"/>
      <c r="O387" s="257"/>
      <c r="P387" s="257"/>
      <c r="Q387" s="257"/>
      <c r="R387" s="257"/>
      <c r="S387" s="257"/>
      <c r="T387" s="257"/>
      <c r="U387" s="257"/>
      <c r="V387" s="257"/>
      <c r="W387" s="257"/>
      <c r="X387" s="257"/>
      <c r="Y387" s="257"/>
      <c r="Z387" s="257"/>
    </row>
    <row r="388" ht="15.75" customHeight="1">
      <c r="A388" s="257"/>
      <c r="B388" s="257"/>
      <c r="C388" s="257"/>
      <c r="D388" s="257"/>
      <c r="E388" s="257"/>
      <c r="F388" s="257"/>
      <c r="G388" s="257"/>
      <c r="H388" s="257"/>
      <c r="I388" s="257"/>
      <c r="J388" s="257"/>
      <c r="K388" s="257"/>
      <c r="L388" s="257"/>
      <c r="M388" s="257"/>
      <c r="N388" s="257"/>
      <c r="O388" s="257"/>
      <c r="P388" s="257"/>
      <c r="Q388" s="257"/>
      <c r="R388" s="257"/>
      <c r="S388" s="257"/>
      <c r="T388" s="257"/>
      <c r="U388" s="257"/>
      <c r="V388" s="257"/>
      <c r="W388" s="257"/>
      <c r="X388" s="257"/>
      <c r="Y388" s="257"/>
      <c r="Z388" s="257"/>
    </row>
    <row r="389" ht="15.75" customHeight="1">
      <c r="A389" s="257"/>
      <c r="B389" s="257"/>
      <c r="C389" s="257"/>
      <c r="D389" s="257"/>
      <c r="E389" s="257"/>
      <c r="F389" s="257"/>
      <c r="G389" s="257"/>
      <c r="H389" s="257"/>
      <c r="I389" s="257"/>
      <c r="J389" s="257"/>
      <c r="K389" s="257"/>
      <c r="L389" s="257"/>
      <c r="M389" s="257"/>
      <c r="N389" s="257"/>
      <c r="O389" s="257"/>
      <c r="P389" s="257"/>
      <c r="Q389" s="257"/>
      <c r="R389" s="257"/>
      <c r="S389" s="257"/>
      <c r="T389" s="257"/>
      <c r="U389" s="257"/>
      <c r="V389" s="257"/>
      <c r="W389" s="257"/>
      <c r="X389" s="257"/>
      <c r="Y389" s="257"/>
      <c r="Z389" s="257"/>
    </row>
    <row r="390" ht="15.75" customHeight="1">
      <c r="A390" s="257"/>
      <c r="B390" s="257"/>
      <c r="C390" s="257"/>
      <c r="D390" s="257"/>
      <c r="E390" s="257"/>
      <c r="F390" s="257"/>
      <c r="G390" s="257"/>
      <c r="H390" s="257"/>
      <c r="I390" s="257"/>
      <c r="J390" s="257"/>
      <c r="K390" s="257"/>
      <c r="L390" s="257"/>
      <c r="M390" s="257"/>
      <c r="N390" s="257"/>
      <c r="O390" s="257"/>
      <c r="P390" s="257"/>
      <c r="Q390" s="257"/>
      <c r="R390" s="257"/>
      <c r="S390" s="257"/>
      <c r="T390" s="257"/>
      <c r="U390" s="257"/>
      <c r="V390" s="257"/>
      <c r="W390" s="257"/>
      <c r="X390" s="257"/>
      <c r="Y390" s="257"/>
      <c r="Z390" s="257"/>
    </row>
    <row r="391" ht="15.75" customHeight="1">
      <c r="A391" s="257"/>
      <c r="B391" s="257"/>
      <c r="C391" s="257"/>
      <c r="D391" s="257"/>
      <c r="E391" s="257"/>
      <c r="F391" s="257"/>
      <c r="G391" s="257"/>
      <c r="H391" s="257"/>
      <c r="I391" s="257"/>
      <c r="J391" s="257"/>
      <c r="K391" s="257"/>
      <c r="L391" s="257"/>
      <c r="M391" s="257"/>
      <c r="N391" s="257"/>
      <c r="O391" s="257"/>
      <c r="P391" s="257"/>
      <c r="Q391" s="257"/>
      <c r="R391" s="257"/>
      <c r="S391" s="257"/>
      <c r="T391" s="257"/>
      <c r="U391" s="257"/>
      <c r="V391" s="257"/>
      <c r="W391" s="257"/>
      <c r="X391" s="257"/>
      <c r="Y391" s="257"/>
      <c r="Z391" s="257"/>
    </row>
    <row r="392" ht="15.75" customHeight="1">
      <c r="A392" s="257"/>
      <c r="B392" s="257"/>
      <c r="C392" s="257"/>
      <c r="D392" s="257"/>
      <c r="E392" s="257"/>
      <c r="F392" s="257"/>
      <c r="G392" s="257"/>
      <c r="H392" s="257"/>
      <c r="I392" s="257"/>
      <c r="J392" s="257"/>
      <c r="K392" s="257"/>
      <c r="L392" s="257"/>
      <c r="M392" s="257"/>
      <c r="N392" s="257"/>
      <c r="O392" s="257"/>
      <c r="P392" s="257"/>
      <c r="Q392" s="257"/>
      <c r="R392" s="257"/>
      <c r="S392" s="257"/>
      <c r="T392" s="257"/>
      <c r="U392" s="257"/>
      <c r="V392" s="257"/>
      <c r="W392" s="257"/>
      <c r="X392" s="257"/>
      <c r="Y392" s="257"/>
      <c r="Z392" s="257"/>
    </row>
    <row r="393" ht="15.75" customHeight="1">
      <c r="A393" s="257"/>
      <c r="B393" s="257"/>
      <c r="C393" s="257"/>
      <c r="D393" s="257"/>
      <c r="E393" s="257"/>
      <c r="F393" s="257"/>
      <c r="G393" s="257"/>
      <c r="H393" s="257"/>
      <c r="I393" s="257"/>
      <c r="J393" s="257"/>
      <c r="K393" s="257"/>
      <c r="L393" s="257"/>
      <c r="M393" s="257"/>
      <c r="N393" s="257"/>
      <c r="O393" s="257"/>
      <c r="P393" s="257"/>
      <c r="Q393" s="257"/>
      <c r="R393" s="257"/>
      <c r="S393" s="257"/>
      <c r="T393" s="257"/>
      <c r="U393" s="257"/>
      <c r="V393" s="257"/>
      <c r="W393" s="257"/>
      <c r="X393" s="257"/>
      <c r="Y393" s="257"/>
      <c r="Z393" s="257"/>
    </row>
    <row r="394" ht="15.75" customHeight="1">
      <c r="A394" s="257"/>
      <c r="B394" s="257"/>
      <c r="C394" s="257"/>
      <c r="D394" s="257"/>
      <c r="E394" s="257"/>
      <c r="F394" s="257"/>
      <c r="G394" s="257"/>
      <c r="H394" s="257"/>
      <c r="I394" s="257"/>
      <c r="J394" s="257"/>
      <c r="K394" s="257"/>
      <c r="L394" s="257"/>
      <c r="M394" s="257"/>
      <c r="N394" s="257"/>
      <c r="O394" s="257"/>
      <c r="P394" s="257"/>
      <c r="Q394" s="257"/>
      <c r="R394" s="257"/>
      <c r="S394" s="257"/>
      <c r="T394" s="257"/>
      <c r="U394" s="257"/>
      <c r="V394" s="257"/>
      <c r="W394" s="257"/>
      <c r="X394" s="257"/>
      <c r="Y394" s="257"/>
      <c r="Z394" s="257"/>
    </row>
    <row r="395" ht="15.75" customHeight="1">
      <c r="A395" s="257"/>
      <c r="B395" s="257"/>
      <c r="C395" s="257"/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7"/>
      <c r="Q395" s="257"/>
      <c r="R395" s="257"/>
      <c r="S395" s="257"/>
      <c r="T395" s="257"/>
      <c r="U395" s="257"/>
      <c r="V395" s="257"/>
      <c r="W395" s="257"/>
      <c r="X395" s="257"/>
      <c r="Y395" s="257"/>
      <c r="Z395" s="257"/>
    </row>
    <row r="396" ht="15.75" customHeight="1">
      <c r="A396" s="257"/>
      <c r="B396" s="257"/>
      <c r="C396" s="257"/>
      <c r="D396" s="257"/>
      <c r="E396" s="257"/>
      <c r="F396" s="257"/>
      <c r="G396" s="257"/>
      <c r="H396" s="257"/>
      <c r="I396" s="257"/>
      <c r="J396" s="257"/>
      <c r="K396" s="257"/>
      <c r="L396" s="257"/>
      <c r="M396" s="257"/>
      <c r="N396" s="257"/>
      <c r="O396" s="257"/>
      <c r="P396" s="257"/>
      <c r="Q396" s="257"/>
      <c r="R396" s="257"/>
      <c r="S396" s="257"/>
      <c r="T396" s="257"/>
      <c r="U396" s="257"/>
      <c r="V396" s="257"/>
      <c r="W396" s="257"/>
      <c r="X396" s="257"/>
      <c r="Y396" s="257"/>
      <c r="Z396" s="257"/>
    </row>
    <row r="397" ht="15.75" customHeight="1">
      <c r="A397" s="257"/>
      <c r="B397" s="257"/>
      <c r="C397" s="257"/>
      <c r="D397" s="257"/>
      <c r="E397" s="257"/>
      <c r="F397" s="257"/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/>
      <c r="S397" s="257"/>
      <c r="T397" s="257"/>
      <c r="U397" s="257"/>
      <c r="V397" s="257"/>
      <c r="W397" s="257"/>
      <c r="X397" s="257"/>
      <c r="Y397" s="257"/>
      <c r="Z397" s="257"/>
    </row>
    <row r="398" ht="15.75" customHeight="1">
      <c r="A398" s="257"/>
      <c r="B398" s="257"/>
      <c r="C398" s="257"/>
      <c r="D398" s="257"/>
      <c r="E398" s="257"/>
      <c r="F398" s="257"/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/>
      <c r="S398" s="257"/>
      <c r="T398" s="257"/>
      <c r="U398" s="257"/>
      <c r="V398" s="257"/>
      <c r="W398" s="257"/>
      <c r="X398" s="257"/>
      <c r="Y398" s="257"/>
      <c r="Z398" s="257"/>
    </row>
    <row r="399" ht="15.75" customHeight="1">
      <c r="A399" s="257"/>
      <c r="B399" s="257"/>
      <c r="C399" s="257"/>
      <c r="D399" s="257"/>
      <c r="E399" s="257"/>
      <c r="F399" s="257"/>
      <c r="G399" s="257"/>
      <c r="H399" s="257"/>
      <c r="I399" s="257"/>
      <c r="J399" s="257"/>
      <c r="K399" s="257"/>
      <c r="L399" s="257"/>
      <c r="M399" s="257"/>
      <c r="N399" s="257"/>
      <c r="O399" s="257"/>
      <c r="P399" s="257"/>
      <c r="Q399" s="257"/>
      <c r="R399" s="257"/>
      <c r="S399" s="257"/>
      <c r="T399" s="257"/>
      <c r="U399" s="257"/>
      <c r="V399" s="257"/>
      <c r="W399" s="257"/>
      <c r="X399" s="257"/>
      <c r="Y399" s="257"/>
      <c r="Z399" s="257"/>
    </row>
    <row r="400" ht="15.75" customHeight="1">
      <c r="A400" s="257"/>
      <c r="B400" s="257"/>
      <c r="C400" s="257"/>
      <c r="D400" s="257"/>
      <c r="E400" s="257"/>
      <c r="F400" s="257"/>
      <c r="G400" s="257"/>
      <c r="H400" s="257"/>
      <c r="I400" s="257"/>
      <c r="J400" s="257"/>
      <c r="K400" s="257"/>
      <c r="L400" s="257"/>
      <c r="M400" s="257"/>
      <c r="N400" s="257"/>
      <c r="O400" s="257"/>
      <c r="P400" s="257"/>
      <c r="Q400" s="257"/>
      <c r="R400" s="257"/>
      <c r="S400" s="257"/>
      <c r="T400" s="257"/>
      <c r="U400" s="257"/>
      <c r="V400" s="257"/>
      <c r="W400" s="257"/>
      <c r="X400" s="257"/>
      <c r="Y400" s="257"/>
      <c r="Z400" s="257"/>
    </row>
    <row r="401" ht="15.75" customHeight="1">
      <c r="A401" s="257"/>
      <c r="B401" s="257"/>
      <c r="C401" s="257"/>
      <c r="D401" s="257"/>
      <c r="E401" s="257"/>
      <c r="F401" s="257"/>
      <c r="G401" s="257"/>
      <c r="H401" s="257"/>
      <c r="I401" s="257"/>
      <c r="J401" s="257"/>
      <c r="K401" s="257"/>
      <c r="L401" s="257"/>
      <c r="M401" s="257"/>
      <c r="N401" s="257"/>
      <c r="O401" s="257"/>
      <c r="P401" s="257"/>
      <c r="Q401" s="257"/>
      <c r="R401" s="257"/>
      <c r="S401" s="257"/>
      <c r="T401" s="257"/>
      <c r="U401" s="257"/>
      <c r="V401" s="257"/>
      <c r="W401" s="257"/>
      <c r="X401" s="257"/>
      <c r="Y401" s="257"/>
      <c r="Z401" s="257"/>
    </row>
    <row r="402" ht="15.75" customHeight="1">
      <c r="A402" s="257"/>
      <c r="B402" s="257"/>
      <c r="C402" s="257"/>
      <c r="D402" s="257"/>
      <c r="E402" s="257"/>
      <c r="F402" s="257"/>
      <c r="G402" s="257"/>
      <c r="H402" s="257"/>
      <c r="I402" s="257"/>
      <c r="J402" s="257"/>
      <c r="K402" s="257"/>
      <c r="L402" s="257"/>
      <c r="M402" s="257"/>
      <c r="N402" s="257"/>
      <c r="O402" s="257"/>
      <c r="P402" s="257"/>
      <c r="Q402" s="257"/>
      <c r="R402" s="257"/>
      <c r="S402" s="257"/>
      <c r="T402" s="257"/>
      <c r="U402" s="257"/>
      <c r="V402" s="257"/>
      <c r="W402" s="257"/>
      <c r="X402" s="257"/>
      <c r="Y402" s="257"/>
      <c r="Z402" s="257"/>
    </row>
    <row r="403" ht="15.75" customHeight="1">
      <c r="A403" s="257"/>
      <c r="B403" s="257"/>
      <c r="C403" s="257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7"/>
      <c r="Q403" s="257"/>
      <c r="R403" s="257"/>
      <c r="S403" s="257"/>
      <c r="T403" s="257"/>
      <c r="U403" s="257"/>
      <c r="V403" s="257"/>
      <c r="W403" s="257"/>
      <c r="X403" s="257"/>
      <c r="Y403" s="257"/>
      <c r="Z403" s="257"/>
    </row>
    <row r="404" ht="15.75" customHeight="1">
      <c r="A404" s="257"/>
      <c r="B404" s="257"/>
      <c r="C404" s="257"/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7"/>
      <c r="P404" s="257"/>
      <c r="Q404" s="257"/>
      <c r="R404" s="257"/>
      <c r="S404" s="257"/>
      <c r="T404" s="257"/>
      <c r="U404" s="257"/>
      <c r="V404" s="257"/>
      <c r="W404" s="257"/>
      <c r="X404" s="257"/>
      <c r="Y404" s="257"/>
      <c r="Z404" s="257"/>
    </row>
    <row r="405" ht="15.75" customHeight="1">
      <c r="A405" s="257"/>
      <c r="B405" s="257"/>
      <c r="C405" s="257"/>
      <c r="D405" s="257"/>
      <c r="E405" s="257"/>
      <c r="F405" s="257"/>
      <c r="G405" s="257"/>
      <c r="H405" s="257"/>
      <c r="I405" s="257"/>
      <c r="J405" s="257"/>
      <c r="K405" s="257"/>
      <c r="L405" s="257"/>
      <c r="M405" s="257"/>
      <c r="N405" s="257"/>
      <c r="O405" s="257"/>
      <c r="P405" s="257"/>
      <c r="Q405" s="257"/>
      <c r="R405" s="257"/>
      <c r="S405" s="257"/>
      <c r="T405" s="257"/>
      <c r="U405" s="257"/>
      <c r="V405" s="257"/>
      <c r="W405" s="257"/>
      <c r="X405" s="257"/>
      <c r="Y405" s="257"/>
      <c r="Z405" s="257"/>
    </row>
    <row r="406" ht="15.75" customHeight="1">
      <c r="A406" s="257"/>
      <c r="B406" s="257"/>
      <c r="C406" s="257"/>
      <c r="D406" s="257"/>
      <c r="E406" s="257"/>
      <c r="F406" s="257"/>
      <c r="G406" s="257"/>
      <c r="H406" s="257"/>
      <c r="I406" s="257"/>
      <c r="J406" s="257"/>
      <c r="K406" s="257"/>
      <c r="L406" s="257"/>
      <c r="M406" s="257"/>
      <c r="N406" s="257"/>
      <c r="O406" s="257"/>
      <c r="P406" s="257"/>
      <c r="Q406" s="257"/>
      <c r="R406" s="257"/>
      <c r="S406" s="257"/>
      <c r="T406" s="257"/>
      <c r="U406" s="257"/>
      <c r="V406" s="257"/>
      <c r="W406" s="257"/>
      <c r="X406" s="257"/>
      <c r="Y406" s="257"/>
      <c r="Z406" s="257"/>
    </row>
    <row r="407" ht="15.75" customHeight="1">
      <c r="A407" s="257"/>
      <c r="B407" s="257"/>
      <c r="C407" s="257"/>
      <c r="D407" s="257"/>
      <c r="E407" s="257"/>
      <c r="F407" s="257"/>
      <c r="G407" s="257"/>
      <c r="H407" s="257"/>
      <c r="I407" s="257"/>
      <c r="J407" s="257"/>
      <c r="K407" s="257"/>
      <c r="L407" s="257"/>
      <c r="M407" s="257"/>
      <c r="N407" s="257"/>
      <c r="O407" s="257"/>
      <c r="P407" s="257"/>
      <c r="Q407" s="257"/>
      <c r="R407" s="257"/>
      <c r="S407" s="257"/>
      <c r="T407" s="257"/>
      <c r="U407" s="257"/>
      <c r="V407" s="257"/>
      <c r="W407" s="257"/>
      <c r="X407" s="257"/>
      <c r="Y407" s="257"/>
      <c r="Z407" s="257"/>
    </row>
    <row r="408" ht="15.75" customHeight="1">
      <c r="A408" s="257"/>
      <c r="B408" s="257"/>
      <c r="C408" s="257"/>
      <c r="D408" s="257"/>
      <c r="E408" s="257"/>
      <c r="F408" s="257"/>
      <c r="G408" s="257"/>
      <c r="H408" s="257"/>
      <c r="I408" s="257"/>
      <c r="J408" s="257"/>
      <c r="K408" s="257"/>
      <c r="L408" s="257"/>
      <c r="M408" s="257"/>
      <c r="N408" s="257"/>
      <c r="O408" s="257"/>
      <c r="P408" s="257"/>
      <c r="Q408" s="257"/>
      <c r="R408" s="257"/>
      <c r="S408" s="257"/>
      <c r="T408" s="257"/>
      <c r="U408" s="257"/>
      <c r="V408" s="257"/>
      <c r="W408" s="257"/>
      <c r="X408" s="257"/>
      <c r="Y408" s="257"/>
      <c r="Z408" s="257"/>
    </row>
    <row r="409" ht="15.75" customHeight="1">
      <c r="A409" s="257"/>
      <c r="B409" s="257"/>
      <c r="C409" s="257"/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57"/>
      <c r="O409" s="257"/>
      <c r="P409" s="257"/>
      <c r="Q409" s="257"/>
      <c r="R409" s="257"/>
      <c r="S409" s="257"/>
      <c r="T409" s="257"/>
      <c r="U409" s="257"/>
      <c r="V409" s="257"/>
      <c r="W409" s="257"/>
      <c r="X409" s="257"/>
      <c r="Y409" s="257"/>
      <c r="Z409" s="257"/>
    </row>
    <row r="410" ht="15.75" customHeight="1">
      <c r="A410" s="257"/>
      <c r="B410" s="257"/>
      <c r="C410" s="257"/>
      <c r="D410" s="257"/>
      <c r="E410" s="257"/>
      <c r="F410" s="257"/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/>
      <c r="T410" s="257"/>
      <c r="U410" s="257"/>
      <c r="V410" s="257"/>
      <c r="W410" s="257"/>
      <c r="X410" s="257"/>
      <c r="Y410" s="257"/>
      <c r="Z410" s="257"/>
    </row>
    <row r="411" ht="15.75" customHeight="1">
      <c r="A411" s="257"/>
      <c r="B411" s="257"/>
      <c r="C411" s="257"/>
      <c r="D411" s="257"/>
      <c r="E411" s="257"/>
      <c r="F411" s="257"/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/>
      <c r="T411" s="257"/>
      <c r="U411" s="257"/>
      <c r="V411" s="257"/>
      <c r="W411" s="257"/>
      <c r="X411" s="257"/>
      <c r="Y411" s="257"/>
      <c r="Z411" s="257"/>
    </row>
    <row r="412" ht="15.75" customHeight="1">
      <c r="A412" s="257"/>
      <c r="B412" s="257"/>
      <c r="C412" s="257"/>
      <c r="D412" s="257"/>
      <c r="E412" s="257"/>
      <c r="F412" s="257"/>
      <c r="G412" s="257"/>
      <c r="H412" s="257"/>
      <c r="I412" s="257"/>
      <c r="J412" s="257"/>
      <c r="K412" s="257"/>
      <c r="L412" s="257"/>
      <c r="M412" s="257"/>
      <c r="N412" s="257"/>
      <c r="O412" s="257"/>
      <c r="P412" s="257"/>
      <c r="Q412" s="257"/>
      <c r="R412" s="257"/>
      <c r="S412" s="257"/>
      <c r="T412" s="257"/>
      <c r="U412" s="257"/>
      <c r="V412" s="257"/>
      <c r="W412" s="257"/>
      <c r="X412" s="257"/>
      <c r="Y412" s="257"/>
      <c r="Z412" s="257"/>
    </row>
    <row r="413" ht="15.75" customHeight="1">
      <c r="A413" s="257"/>
      <c r="B413" s="257"/>
      <c r="C413" s="257"/>
      <c r="D413" s="257"/>
      <c r="E413" s="257"/>
      <c r="F413" s="257"/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/>
      <c r="T413" s="257"/>
      <c r="U413" s="257"/>
      <c r="V413" s="257"/>
      <c r="W413" s="257"/>
      <c r="X413" s="257"/>
      <c r="Y413" s="257"/>
      <c r="Z413" s="257"/>
    </row>
    <row r="414" ht="15.75" customHeight="1">
      <c r="A414" s="257"/>
      <c r="B414" s="257"/>
      <c r="C414" s="257"/>
      <c r="D414" s="257"/>
      <c r="E414" s="257"/>
      <c r="F414" s="257"/>
      <c r="G414" s="257"/>
      <c r="H414" s="257"/>
      <c r="I414" s="257"/>
      <c r="J414" s="257"/>
      <c r="K414" s="257"/>
      <c r="L414" s="257"/>
      <c r="M414" s="257"/>
      <c r="N414" s="257"/>
      <c r="O414" s="257"/>
      <c r="P414" s="257"/>
      <c r="Q414" s="257"/>
      <c r="R414" s="257"/>
      <c r="S414" s="257"/>
      <c r="T414" s="257"/>
      <c r="U414" s="257"/>
      <c r="V414" s="257"/>
      <c r="W414" s="257"/>
      <c r="X414" s="257"/>
      <c r="Y414" s="257"/>
      <c r="Z414" s="257"/>
    </row>
    <row r="415" ht="15.75" customHeight="1">
      <c r="A415" s="257"/>
      <c r="B415" s="257"/>
      <c r="C415" s="257"/>
      <c r="D415" s="257"/>
      <c r="E415" s="257"/>
      <c r="F415" s="257"/>
      <c r="G415" s="257"/>
      <c r="H415" s="257"/>
      <c r="I415" s="257"/>
      <c r="J415" s="257"/>
      <c r="K415" s="257"/>
      <c r="L415" s="257"/>
      <c r="M415" s="257"/>
      <c r="N415" s="257"/>
      <c r="O415" s="257"/>
      <c r="P415" s="257"/>
      <c r="Q415" s="257"/>
      <c r="R415" s="257"/>
      <c r="S415" s="257"/>
      <c r="T415" s="257"/>
      <c r="U415" s="257"/>
      <c r="V415" s="257"/>
      <c r="W415" s="257"/>
      <c r="X415" s="257"/>
      <c r="Y415" s="257"/>
      <c r="Z415" s="257"/>
    </row>
    <row r="416" ht="15.75" customHeight="1">
      <c r="A416" s="257"/>
      <c r="B416" s="257"/>
      <c r="C416" s="257"/>
      <c r="D416" s="257"/>
      <c r="E416" s="257"/>
      <c r="F416" s="257"/>
      <c r="G416" s="257"/>
      <c r="H416" s="257"/>
      <c r="I416" s="257"/>
      <c r="J416" s="257"/>
      <c r="K416" s="257"/>
      <c r="L416" s="257"/>
      <c r="M416" s="257"/>
      <c r="N416" s="257"/>
      <c r="O416" s="257"/>
      <c r="P416" s="257"/>
      <c r="Q416" s="257"/>
      <c r="R416" s="257"/>
      <c r="S416" s="257"/>
      <c r="T416" s="257"/>
      <c r="U416" s="257"/>
      <c r="V416" s="257"/>
      <c r="W416" s="257"/>
      <c r="X416" s="257"/>
      <c r="Y416" s="257"/>
      <c r="Z416" s="257"/>
    </row>
    <row r="417" ht="15.75" customHeight="1">
      <c r="A417" s="257"/>
      <c r="B417" s="257"/>
      <c r="C417" s="257"/>
      <c r="D417" s="257"/>
      <c r="E417" s="257"/>
      <c r="F417" s="257"/>
      <c r="G417" s="257"/>
      <c r="H417" s="257"/>
      <c r="I417" s="257"/>
      <c r="J417" s="257"/>
      <c r="K417" s="257"/>
      <c r="L417" s="257"/>
      <c r="M417" s="257"/>
      <c r="N417" s="257"/>
      <c r="O417" s="257"/>
      <c r="P417" s="257"/>
      <c r="Q417" s="257"/>
      <c r="R417" s="257"/>
      <c r="S417" s="257"/>
      <c r="T417" s="257"/>
      <c r="U417" s="257"/>
      <c r="V417" s="257"/>
      <c r="W417" s="257"/>
      <c r="X417" s="257"/>
      <c r="Y417" s="257"/>
      <c r="Z417" s="257"/>
    </row>
    <row r="418" ht="15.75" customHeight="1">
      <c r="A418" s="257"/>
      <c r="B418" s="257"/>
      <c r="C418" s="257"/>
      <c r="D418" s="257"/>
      <c r="E418" s="257"/>
      <c r="F418" s="257"/>
      <c r="G418" s="257"/>
      <c r="H418" s="257"/>
      <c r="I418" s="257"/>
      <c r="J418" s="257"/>
      <c r="K418" s="257"/>
      <c r="L418" s="257"/>
      <c r="M418" s="257"/>
      <c r="N418" s="257"/>
      <c r="O418" s="257"/>
      <c r="P418" s="257"/>
      <c r="Q418" s="257"/>
      <c r="R418" s="257"/>
      <c r="S418" s="257"/>
      <c r="T418" s="257"/>
      <c r="U418" s="257"/>
      <c r="V418" s="257"/>
      <c r="W418" s="257"/>
      <c r="X418" s="257"/>
      <c r="Y418" s="257"/>
      <c r="Z418" s="257"/>
    </row>
    <row r="419" ht="15.75" customHeight="1">
      <c r="A419" s="257"/>
      <c r="B419" s="257"/>
      <c r="C419" s="257"/>
      <c r="D419" s="257"/>
      <c r="E419" s="257"/>
      <c r="F419" s="257"/>
      <c r="G419" s="257"/>
      <c r="H419" s="257"/>
      <c r="I419" s="257"/>
      <c r="J419" s="257"/>
      <c r="K419" s="257"/>
      <c r="L419" s="257"/>
      <c r="M419" s="257"/>
      <c r="N419" s="257"/>
      <c r="O419" s="257"/>
      <c r="P419" s="257"/>
      <c r="Q419" s="257"/>
      <c r="R419" s="257"/>
      <c r="S419" s="257"/>
      <c r="T419" s="257"/>
      <c r="U419" s="257"/>
      <c r="V419" s="257"/>
      <c r="W419" s="257"/>
      <c r="X419" s="257"/>
      <c r="Y419" s="257"/>
      <c r="Z419" s="257"/>
    </row>
    <row r="420" ht="15.75" customHeight="1">
      <c r="A420" s="257"/>
      <c r="B420" s="257"/>
      <c r="C420" s="257"/>
      <c r="D420" s="257"/>
      <c r="E420" s="257"/>
      <c r="F420" s="257"/>
      <c r="G420" s="257"/>
      <c r="H420" s="257"/>
      <c r="I420" s="257"/>
      <c r="J420" s="257"/>
      <c r="K420" s="257"/>
      <c r="L420" s="257"/>
      <c r="M420" s="257"/>
      <c r="N420" s="257"/>
      <c r="O420" s="257"/>
      <c r="P420" s="257"/>
      <c r="Q420" s="257"/>
      <c r="R420" s="257"/>
      <c r="S420" s="257"/>
      <c r="T420" s="257"/>
      <c r="U420" s="257"/>
      <c r="V420" s="257"/>
      <c r="W420" s="257"/>
      <c r="X420" s="257"/>
      <c r="Y420" s="257"/>
      <c r="Z420" s="257"/>
    </row>
    <row r="421" ht="15.75" customHeight="1">
      <c r="A421" s="257"/>
      <c r="B421" s="257"/>
      <c r="C421" s="257"/>
      <c r="D421" s="257"/>
      <c r="E421" s="257"/>
      <c r="F421" s="257"/>
      <c r="G421" s="257"/>
      <c r="H421" s="257"/>
      <c r="I421" s="257"/>
      <c r="J421" s="257"/>
      <c r="K421" s="257"/>
      <c r="L421" s="257"/>
      <c r="M421" s="257"/>
      <c r="N421" s="257"/>
      <c r="O421" s="257"/>
      <c r="P421" s="257"/>
      <c r="Q421" s="257"/>
      <c r="R421" s="257"/>
      <c r="S421" s="257"/>
      <c r="T421" s="257"/>
      <c r="U421" s="257"/>
      <c r="V421" s="257"/>
      <c r="W421" s="257"/>
      <c r="X421" s="257"/>
      <c r="Y421" s="257"/>
      <c r="Z421" s="257"/>
    </row>
    <row r="422" ht="15.75" customHeight="1">
      <c r="A422" s="257"/>
      <c r="B422" s="257"/>
      <c r="C422" s="257"/>
      <c r="D422" s="257"/>
      <c r="E422" s="257"/>
      <c r="F422" s="257"/>
      <c r="G422" s="257"/>
      <c r="H422" s="257"/>
      <c r="I422" s="257"/>
      <c r="J422" s="257"/>
      <c r="K422" s="257"/>
      <c r="L422" s="257"/>
      <c r="M422" s="257"/>
      <c r="N422" s="257"/>
      <c r="O422" s="257"/>
      <c r="P422" s="257"/>
      <c r="Q422" s="257"/>
      <c r="R422" s="257"/>
      <c r="S422" s="257"/>
      <c r="T422" s="257"/>
      <c r="U422" s="257"/>
      <c r="V422" s="257"/>
      <c r="W422" s="257"/>
      <c r="X422" s="257"/>
      <c r="Y422" s="257"/>
      <c r="Z422" s="257"/>
    </row>
    <row r="423" ht="15.75" customHeight="1">
      <c r="A423" s="257"/>
      <c r="B423" s="257"/>
      <c r="C423" s="257"/>
      <c r="D423" s="257"/>
      <c r="E423" s="257"/>
      <c r="F423" s="257"/>
      <c r="G423" s="257"/>
      <c r="H423" s="257"/>
      <c r="I423" s="257"/>
      <c r="J423" s="257"/>
      <c r="K423" s="257"/>
      <c r="L423" s="257"/>
      <c r="M423" s="257"/>
      <c r="N423" s="257"/>
      <c r="O423" s="257"/>
      <c r="P423" s="257"/>
      <c r="Q423" s="257"/>
      <c r="R423" s="257"/>
      <c r="S423" s="257"/>
      <c r="T423" s="257"/>
      <c r="U423" s="257"/>
      <c r="V423" s="257"/>
      <c r="W423" s="257"/>
      <c r="X423" s="257"/>
      <c r="Y423" s="257"/>
      <c r="Z423" s="257"/>
    </row>
    <row r="424" ht="15.75" customHeight="1">
      <c r="A424" s="257"/>
      <c r="B424" s="257"/>
      <c r="C424" s="257"/>
      <c r="D424" s="257"/>
      <c r="E424" s="257"/>
      <c r="F424" s="257"/>
      <c r="G424" s="257"/>
      <c r="H424" s="257"/>
      <c r="I424" s="257"/>
      <c r="J424" s="257"/>
      <c r="K424" s="257"/>
      <c r="L424" s="257"/>
      <c r="M424" s="257"/>
      <c r="N424" s="257"/>
      <c r="O424" s="257"/>
      <c r="P424" s="257"/>
      <c r="Q424" s="257"/>
      <c r="R424" s="257"/>
      <c r="S424" s="257"/>
      <c r="T424" s="257"/>
      <c r="U424" s="257"/>
      <c r="V424" s="257"/>
      <c r="W424" s="257"/>
      <c r="X424" s="257"/>
      <c r="Y424" s="257"/>
      <c r="Z424" s="257"/>
    </row>
    <row r="425" ht="15.75" customHeight="1">
      <c r="A425" s="257"/>
      <c r="B425" s="257"/>
      <c r="C425" s="257"/>
      <c r="D425" s="257"/>
      <c r="E425" s="257"/>
      <c r="F425" s="257"/>
      <c r="G425" s="257"/>
      <c r="H425" s="257"/>
      <c r="I425" s="257"/>
      <c r="J425" s="257"/>
      <c r="K425" s="257"/>
      <c r="L425" s="257"/>
      <c r="M425" s="257"/>
      <c r="N425" s="257"/>
      <c r="O425" s="257"/>
      <c r="P425" s="257"/>
      <c r="Q425" s="257"/>
      <c r="R425" s="257"/>
      <c r="S425" s="257"/>
      <c r="T425" s="257"/>
      <c r="U425" s="257"/>
      <c r="V425" s="257"/>
      <c r="W425" s="257"/>
      <c r="X425" s="257"/>
      <c r="Y425" s="257"/>
      <c r="Z425" s="257"/>
    </row>
    <row r="426" ht="15.75" customHeight="1">
      <c r="A426" s="257"/>
      <c r="B426" s="257"/>
      <c r="C426" s="257"/>
      <c r="D426" s="257"/>
      <c r="E426" s="257"/>
      <c r="F426" s="257"/>
      <c r="G426" s="257"/>
      <c r="H426" s="257"/>
      <c r="I426" s="257"/>
      <c r="J426" s="257"/>
      <c r="K426" s="257"/>
      <c r="L426" s="257"/>
      <c r="M426" s="257"/>
      <c r="N426" s="257"/>
      <c r="O426" s="257"/>
      <c r="P426" s="257"/>
      <c r="Q426" s="257"/>
      <c r="R426" s="257"/>
      <c r="S426" s="257"/>
      <c r="T426" s="257"/>
      <c r="U426" s="257"/>
      <c r="V426" s="257"/>
      <c r="W426" s="257"/>
      <c r="X426" s="257"/>
      <c r="Y426" s="257"/>
      <c r="Z426" s="257"/>
    </row>
    <row r="427" ht="15.75" customHeight="1">
      <c r="A427" s="257"/>
      <c r="B427" s="257"/>
      <c r="C427" s="257"/>
      <c r="D427" s="257"/>
      <c r="E427" s="257"/>
      <c r="F427" s="257"/>
      <c r="G427" s="257"/>
      <c r="H427" s="257"/>
      <c r="I427" s="257"/>
      <c r="J427" s="257"/>
      <c r="K427" s="257"/>
      <c r="L427" s="257"/>
      <c r="M427" s="257"/>
      <c r="N427" s="257"/>
      <c r="O427" s="257"/>
      <c r="P427" s="257"/>
      <c r="Q427" s="257"/>
      <c r="R427" s="257"/>
      <c r="S427" s="257"/>
      <c r="T427" s="257"/>
      <c r="U427" s="257"/>
      <c r="V427" s="257"/>
      <c r="W427" s="257"/>
      <c r="X427" s="257"/>
      <c r="Y427" s="257"/>
      <c r="Z427" s="257"/>
    </row>
    <row r="428" ht="15.75" customHeight="1">
      <c r="A428" s="257"/>
      <c r="B428" s="257"/>
      <c r="C428" s="257"/>
      <c r="D428" s="257"/>
      <c r="E428" s="257"/>
      <c r="F428" s="257"/>
      <c r="G428" s="257"/>
      <c r="H428" s="257"/>
      <c r="I428" s="257"/>
      <c r="J428" s="257"/>
      <c r="K428" s="257"/>
      <c r="L428" s="257"/>
      <c r="M428" s="257"/>
      <c r="N428" s="257"/>
      <c r="O428" s="257"/>
      <c r="P428" s="257"/>
      <c r="Q428" s="257"/>
      <c r="R428" s="257"/>
      <c r="S428" s="257"/>
      <c r="T428" s="257"/>
      <c r="U428" s="257"/>
      <c r="V428" s="257"/>
      <c r="W428" s="257"/>
      <c r="X428" s="257"/>
      <c r="Y428" s="257"/>
      <c r="Z428" s="257"/>
    </row>
    <row r="429" ht="15.75" customHeight="1">
      <c r="A429" s="257"/>
      <c r="B429" s="257"/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Q429" s="257"/>
      <c r="R429" s="257"/>
      <c r="S429" s="257"/>
      <c r="T429" s="257"/>
      <c r="U429" s="257"/>
      <c r="V429" s="257"/>
      <c r="W429" s="257"/>
      <c r="X429" s="257"/>
      <c r="Y429" s="257"/>
      <c r="Z429" s="257"/>
    </row>
    <row r="430" ht="15.75" customHeight="1">
      <c r="A430" s="257"/>
      <c r="B430" s="257"/>
      <c r="C430" s="257"/>
      <c r="D430" s="257"/>
      <c r="E430" s="257"/>
      <c r="F430" s="257"/>
      <c r="G430" s="257"/>
      <c r="H430" s="257"/>
      <c r="I430" s="257"/>
      <c r="J430" s="257"/>
      <c r="K430" s="257"/>
      <c r="L430" s="257"/>
      <c r="M430" s="257"/>
      <c r="N430" s="257"/>
      <c r="O430" s="257"/>
      <c r="P430" s="257"/>
      <c r="Q430" s="257"/>
      <c r="R430" s="257"/>
      <c r="S430" s="257"/>
      <c r="T430" s="257"/>
      <c r="U430" s="257"/>
      <c r="V430" s="257"/>
      <c r="W430" s="257"/>
      <c r="X430" s="257"/>
      <c r="Y430" s="257"/>
      <c r="Z430" s="257"/>
    </row>
    <row r="431" ht="15.75" customHeight="1">
      <c r="A431" s="257"/>
      <c r="B431" s="257"/>
      <c r="C431" s="257"/>
      <c r="D431" s="257"/>
      <c r="E431" s="257"/>
      <c r="F431" s="257"/>
      <c r="G431" s="257"/>
      <c r="H431" s="257"/>
      <c r="I431" s="257"/>
      <c r="J431" s="257"/>
      <c r="K431" s="257"/>
      <c r="L431" s="257"/>
      <c r="M431" s="257"/>
      <c r="N431" s="257"/>
      <c r="O431" s="257"/>
      <c r="P431" s="257"/>
      <c r="Q431" s="257"/>
      <c r="R431" s="257"/>
      <c r="S431" s="257"/>
      <c r="T431" s="257"/>
      <c r="U431" s="257"/>
      <c r="V431" s="257"/>
      <c r="W431" s="257"/>
      <c r="X431" s="257"/>
      <c r="Y431" s="257"/>
      <c r="Z431" s="257"/>
    </row>
    <row r="432" ht="15.75" customHeight="1">
      <c r="A432" s="257"/>
      <c r="B432" s="257"/>
      <c r="C432" s="257"/>
      <c r="D432" s="257"/>
      <c r="E432" s="257"/>
      <c r="F432" s="257"/>
      <c r="G432" s="257"/>
      <c r="H432" s="257"/>
      <c r="I432" s="257"/>
      <c r="J432" s="257"/>
      <c r="K432" s="257"/>
      <c r="L432" s="257"/>
      <c r="M432" s="257"/>
      <c r="N432" s="257"/>
      <c r="O432" s="257"/>
      <c r="P432" s="257"/>
      <c r="Q432" s="257"/>
      <c r="R432" s="257"/>
      <c r="S432" s="257"/>
      <c r="T432" s="257"/>
      <c r="U432" s="257"/>
      <c r="V432" s="257"/>
      <c r="W432" s="257"/>
      <c r="X432" s="257"/>
      <c r="Y432" s="257"/>
      <c r="Z432" s="257"/>
    </row>
    <row r="433" ht="15.75" customHeight="1">
      <c r="A433" s="257"/>
      <c r="B433" s="257"/>
      <c r="C433" s="257"/>
      <c r="D433" s="257"/>
      <c r="E433" s="257"/>
      <c r="F433" s="257"/>
      <c r="G433" s="257"/>
      <c r="H433" s="257"/>
      <c r="I433" s="257"/>
      <c r="J433" s="257"/>
      <c r="K433" s="257"/>
      <c r="L433" s="257"/>
      <c r="M433" s="257"/>
      <c r="N433" s="257"/>
      <c r="O433" s="257"/>
      <c r="P433" s="257"/>
      <c r="Q433" s="257"/>
      <c r="R433" s="257"/>
      <c r="S433" s="257"/>
      <c r="T433" s="257"/>
      <c r="U433" s="257"/>
      <c r="V433" s="257"/>
      <c r="W433" s="257"/>
      <c r="X433" s="257"/>
      <c r="Y433" s="257"/>
      <c r="Z433" s="257"/>
    </row>
    <row r="434" ht="15.75" customHeight="1">
      <c r="A434" s="257"/>
      <c r="B434" s="257"/>
      <c r="C434" s="257"/>
      <c r="D434" s="257"/>
      <c r="E434" s="257"/>
      <c r="F434" s="257"/>
      <c r="G434" s="257"/>
      <c r="H434" s="257"/>
      <c r="I434" s="257"/>
      <c r="J434" s="257"/>
      <c r="K434" s="257"/>
      <c r="L434" s="257"/>
      <c r="M434" s="257"/>
      <c r="N434" s="257"/>
      <c r="O434" s="257"/>
      <c r="P434" s="257"/>
      <c r="Q434" s="257"/>
      <c r="R434" s="257"/>
      <c r="S434" s="257"/>
      <c r="T434" s="257"/>
      <c r="U434" s="257"/>
      <c r="V434" s="257"/>
      <c r="W434" s="257"/>
      <c r="X434" s="257"/>
      <c r="Y434" s="257"/>
      <c r="Z434" s="257"/>
    </row>
    <row r="435" ht="15.75" customHeight="1">
      <c r="A435" s="257"/>
      <c r="B435" s="257"/>
      <c r="C435" s="257"/>
      <c r="D435" s="257"/>
      <c r="E435" s="257"/>
      <c r="F435" s="257"/>
      <c r="G435" s="257"/>
      <c r="H435" s="257"/>
      <c r="I435" s="257"/>
      <c r="J435" s="257"/>
      <c r="K435" s="257"/>
      <c r="L435" s="257"/>
      <c r="M435" s="257"/>
      <c r="N435" s="257"/>
      <c r="O435" s="257"/>
      <c r="P435" s="257"/>
      <c r="Q435" s="257"/>
      <c r="R435" s="257"/>
      <c r="S435" s="257"/>
      <c r="T435" s="257"/>
      <c r="U435" s="257"/>
      <c r="V435" s="257"/>
      <c r="W435" s="257"/>
      <c r="X435" s="257"/>
      <c r="Y435" s="257"/>
      <c r="Z435" s="257"/>
    </row>
    <row r="436" ht="15.75" customHeight="1">
      <c r="A436" s="257"/>
      <c r="B436" s="257"/>
      <c r="C436" s="257"/>
      <c r="D436" s="257"/>
      <c r="E436" s="257"/>
      <c r="F436" s="257"/>
      <c r="G436" s="257"/>
      <c r="H436" s="257"/>
      <c r="I436" s="257"/>
      <c r="J436" s="257"/>
      <c r="K436" s="257"/>
      <c r="L436" s="257"/>
      <c r="M436" s="257"/>
      <c r="N436" s="257"/>
      <c r="O436" s="257"/>
      <c r="P436" s="257"/>
      <c r="Q436" s="257"/>
      <c r="R436" s="257"/>
      <c r="S436" s="257"/>
      <c r="T436" s="257"/>
      <c r="U436" s="257"/>
      <c r="V436" s="257"/>
      <c r="W436" s="257"/>
      <c r="X436" s="257"/>
      <c r="Y436" s="257"/>
      <c r="Z436" s="257"/>
    </row>
    <row r="437" ht="15.75" customHeight="1">
      <c r="A437" s="257"/>
      <c r="B437" s="257"/>
      <c r="C437" s="257"/>
      <c r="D437" s="257"/>
      <c r="E437" s="257"/>
      <c r="F437" s="257"/>
      <c r="G437" s="257"/>
      <c r="H437" s="257"/>
      <c r="I437" s="257"/>
      <c r="J437" s="257"/>
      <c r="K437" s="257"/>
      <c r="L437" s="257"/>
      <c r="M437" s="257"/>
      <c r="N437" s="257"/>
      <c r="O437" s="257"/>
      <c r="P437" s="257"/>
      <c r="Q437" s="257"/>
      <c r="R437" s="257"/>
      <c r="S437" s="257"/>
      <c r="T437" s="257"/>
      <c r="U437" s="257"/>
      <c r="V437" s="257"/>
      <c r="W437" s="257"/>
      <c r="X437" s="257"/>
      <c r="Y437" s="257"/>
      <c r="Z437" s="257"/>
    </row>
    <row r="438" ht="15.75" customHeight="1">
      <c r="A438" s="257"/>
      <c r="B438" s="257"/>
      <c r="C438" s="257"/>
      <c r="D438" s="257"/>
      <c r="E438" s="257"/>
      <c r="F438" s="257"/>
      <c r="G438" s="257"/>
      <c r="H438" s="257"/>
      <c r="I438" s="257"/>
      <c r="J438" s="257"/>
      <c r="K438" s="257"/>
      <c r="L438" s="257"/>
      <c r="M438" s="257"/>
      <c r="N438" s="257"/>
      <c r="O438" s="257"/>
      <c r="P438" s="257"/>
      <c r="Q438" s="257"/>
      <c r="R438" s="257"/>
      <c r="S438" s="257"/>
      <c r="T438" s="257"/>
      <c r="U438" s="257"/>
      <c r="V438" s="257"/>
      <c r="W438" s="257"/>
      <c r="X438" s="257"/>
      <c r="Y438" s="257"/>
      <c r="Z438" s="257"/>
    </row>
    <row r="439" ht="15.75" customHeight="1">
      <c r="A439" s="257"/>
      <c r="B439" s="257"/>
      <c r="C439" s="257"/>
      <c r="D439" s="257"/>
      <c r="E439" s="257"/>
      <c r="F439" s="257"/>
      <c r="G439" s="257"/>
      <c r="H439" s="257"/>
      <c r="I439" s="257"/>
      <c r="J439" s="257"/>
      <c r="K439" s="257"/>
      <c r="L439" s="257"/>
      <c r="M439" s="257"/>
      <c r="N439" s="257"/>
      <c r="O439" s="257"/>
      <c r="P439" s="257"/>
      <c r="Q439" s="257"/>
      <c r="R439" s="257"/>
      <c r="S439" s="257"/>
      <c r="T439" s="257"/>
      <c r="U439" s="257"/>
      <c r="V439" s="257"/>
      <c r="W439" s="257"/>
      <c r="X439" s="257"/>
      <c r="Y439" s="257"/>
      <c r="Z439" s="257"/>
    </row>
    <row r="440" ht="15.75" customHeight="1">
      <c r="A440" s="257"/>
      <c r="B440" s="257"/>
      <c r="C440" s="257"/>
      <c r="D440" s="257"/>
      <c r="E440" s="257"/>
      <c r="F440" s="257"/>
      <c r="G440" s="257"/>
      <c r="H440" s="257"/>
      <c r="I440" s="257"/>
      <c r="J440" s="257"/>
      <c r="K440" s="257"/>
      <c r="L440" s="257"/>
      <c r="M440" s="257"/>
      <c r="N440" s="257"/>
      <c r="O440" s="257"/>
      <c r="P440" s="257"/>
      <c r="Q440" s="257"/>
      <c r="R440" s="257"/>
      <c r="S440" s="257"/>
      <c r="T440" s="257"/>
      <c r="U440" s="257"/>
      <c r="V440" s="257"/>
      <c r="W440" s="257"/>
      <c r="X440" s="257"/>
      <c r="Y440" s="257"/>
      <c r="Z440" s="257"/>
    </row>
    <row r="441" ht="15.75" customHeight="1">
      <c r="A441" s="257"/>
      <c r="B441" s="257"/>
      <c r="C441" s="257"/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7"/>
      <c r="Q441" s="257"/>
      <c r="R441" s="257"/>
      <c r="S441" s="257"/>
      <c r="T441" s="257"/>
      <c r="U441" s="257"/>
      <c r="V441" s="257"/>
      <c r="W441" s="257"/>
      <c r="X441" s="257"/>
      <c r="Y441" s="257"/>
      <c r="Z441" s="257"/>
    </row>
    <row r="442" ht="15.75" customHeight="1">
      <c r="A442" s="257"/>
      <c r="B442" s="257"/>
      <c r="C442" s="257"/>
      <c r="D442" s="257"/>
      <c r="E442" s="257"/>
      <c r="F442" s="257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/>
      <c r="Y442" s="257"/>
      <c r="Z442" s="257"/>
    </row>
    <row r="443" ht="15.75" customHeight="1">
      <c r="A443" s="257"/>
      <c r="B443" s="257"/>
      <c r="C443" s="257"/>
      <c r="D443" s="257"/>
      <c r="E443" s="257"/>
      <c r="F443" s="257"/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/>
      <c r="Y443" s="257"/>
      <c r="Z443" s="257"/>
    </row>
    <row r="444" ht="15.75" customHeight="1">
      <c r="A444" s="257"/>
      <c r="B444" s="257"/>
      <c r="C444" s="257"/>
      <c r="D444" s="257"/>
      <c r="E444" s="257"/>
      <c r="F444" s="257"/>
      <c r="G444" s="257"/>
      <c r="H444" s="257"/>
      <c r="I444" s="257"/>
      <c r="J444" s="257"/>
      <c r="K444" s="257"/>
      <c r="L444" s="257"/>
      <c r="M444" s="257"/>
      <c r="N444" s="257"/>
      <c r="O444" s="257"/>
      <c r="P444" s="257"/>
      <c r="Q444" s="257"/>
      <c r="R444" s="257"/>
      <c r="S444" s="257"/>
      <c r="T444" s="257"/>
      <c r="U444" s="257"/>
      <c r="V444" s="257"/>
      <c r="W444" s="257"/>
      <c r="X444" s="257"/>
      <c r="Y444" s="257"/>
      <c r="Z444" s="257"/>
    </row>
    <row r="445" ht="15.75" customHeight="1">
      <c r="A445" s="257"/>
      <c r="B445" s="257"/>
      <c r="C445" s="257"/>
      <c r="D445" s="257"/>
      <c r="E445" s="257"/>
      <c r="F445" s="257"/>
      <c r="G445" s="257"/>
      <c r="H445" s="257"/>
      <c r="I445" s="257"/>
      <c r="J445" s="257"/>
      <c r="K445" s="257"/>
      <c r="L445" s="257"/>
      <c r="M445" s="257"/>
      <c r="N445" s="257"/>
      <c r="O445" s="257"/>
      <c r="P445" s="257"/>
      <c r="Q445" s="257"/>
      <c r="R445" s="257"/>
      <c r="S445" s="257"/>
      <c r="T445" s="257"/>
      <c r="U445" s="257"/>
      <c r="V445" s="257"/>
      <c r="W445" s="257"/>
      <c r="X445" s="257"/>
      <c r="Y445" s="257"/>
      <c r="Z445" s="257"/>
    </row>
    <row r="446" ht="15.75" customHeight="1">
      <c r="A446" s="257"/>
      <c r="B446" s="257"/>
      <c r="C446" s="257"/>
      <c r="D446" s="257"/>
      <c r="E446" s="257"/>
      <c r="F446" s="257"/>
      <c r="G446" s="257"/>
      <c r="H446" s="257"/>
      <c r="I446" s="257"/>
      <c r="J446" s="257"/>
      <c r="K446" s="257"/>
      <c r="L446" s="257"/>
      <c r="M446" s="257"/>
      <c r="N446" s="257"/>
      <c r="O446" s="257"/>
      <c r="P446" s="257"/>
      <c r="Q446" s="257"/>
      <c r="R446" s="257"/>
      <c r="S446" s="257"/>
      <c r="T446" s="257"/>
      <c r="U446" s="257"/>
      <c r="V446" s="257"/>
      <c r="W446" s="257"/>
      <c r="X446" s="257"/>
      <c r="Y446" s="257"/>
      <c r="Z446" s="257"/>
    </row>
    <row r="447" ht="15.75" customHeight="1">
      <c r="A447" s="257"/>
      <c r="B447" s="257"/>
      <c r="C447" s="257"/>
      <c r="D447" s="257"/>
      <c r="E447" s="257"/>
      <c r="F447" s="257"/>
      <c r="G447" s="257"/>
      <c r="H447" s="257"/>
      <c r="I447" s="257"/>
      <c r="J447" s="257"/>
      <c r="K447" s="257"/>
      <c r="L447" s="257"/>
      <c r="M447" s="257"/>
      <c r="N447" s="257"/>
      <c r="O447" s="257"/>
      <c r="P447" s="257"/>
      <c r="Q447" s="257"/>
      <c r="R447" s="257"/>
      <c r="S447" s="257"/>
      <c r="T447" s="257"/>
      <c r="U447" s="257"/>
      <c r="V447" s="257"/>
      <c r="W447" s="257"/>
      <c r="X447" s="257"/>
      <c r="Y447" s="257"/>
      <c r="Z447" s="257"/>
    </row>
    <row r="448" ht="15.75" customHeight="1">
      <c r="A448" s="257"/>
      <c r="B448" s="257"/>
      <c r="C448" s="257"/>
      <c r="D448" s="257"/>
      <c r="E448" s="257"/>
      <c r="F448" s="257"/>
      <c r="G448" s="257"/>
      <c r="H448" s="257"/>
      <c r="I448" s="257"/>
      <c r="J448" s="257"/>
      <c r="K448" s="257"/>
      <c r="L448" s="257"/>
      <c r="M448" s="257"/>
      <c r="N448" s="257"/>
      <c r="O448" s="257"/>
      <c r="P448" s="257"/>
      <c r="Q448" s="257"/>
      <c r="R448" s="257"/>
      <c r="S448" s="257"/>
      <c r="T448" s="257"/>
      <c r="U448" s="257"/>
      <c r="V448" s="257"/>
      <c r="W448" s="257"/>
      <c r="X448" s="257"/>
      <c r="Y448" s="257"/>
      <c r="Z448" s="257"/>
    </row>
    <row r="449" ht="15.75" customHeight="1">
      <c r="A449" s="257"/>
      <c r="B449" s="257"/>
      <c r="C449" s="257"/>
      <c r="D449" s="257"/>
      <c r="E449" s="257"/>
      <c r="F449" s="257"/>
      <c r="G449" s="257"/>
      <c r="H449" s="257"/>
      <c r="I449" s="257"/>
      <c r="J449" s="257"/>
      <c r="K449" s="257"/>
      <c r="L449" s="257"/>
      <c r="M449" s="257"/>
      <c r="N449" s="257"/>
      <c r="O449" s="257"/>
      <c r="P449" s="257"/>
      <c r="Q449" s="257"/>
      <c r="R449" s="257"/>
      <c r="S449" s="257"/>
      <c r="T449" s="257"/>
      <c r="U449" s="257"/>
      <c r="V449" s="257"/>
      <c r="W449" s="257"/>
      <c r="X449" s="257"/>
      <c r="Y449" s="257"/>
      <c r="Z449" s="257"/>
    </row>
    <row r="450" ht="15.75" customHeight="1">
      <c r="A450" s="257"/>
      <c r="B450" s="257"/>
      <c r="C450" s="257"/>
      <c r="D450" s="257"/>
      <c r="E450" s="257"/>
      <c r="F450" s="257"/>
      <c r="G450" s="257"/>
      <c r="H450" s="257"/>
      <c r="I450" s="257"/>
      <c r="J450" s="257"/>
      <c r="K450" s="257"/>
      <c r="L450" s="257"/>
      <c r="M450" s="257"/>
      <c r="N450" s="257"/>
      <c r="O450" s="257"/>
      <c r="P450" s="257"/>
      <c r="Q450" s="257"/>
      <c r="R450" s="257"/>
      <c r="S450" s="257"/>
      <c r="T450" s="257"/>
      <c r="U450" s="257"/>
      <c r="V450" s="257"/>
      <c r="W450" s="257"/>
      <c r="X450" s="257"/>
      <c r="Y450" s="257"/>
      <c r="Z450" s="257"/>
    </row>
    <row r="451" ht="15.75" customHeight="1">
      <c r="A451" s="257"/>
      <c r="B451" s="257"/>
      <c r="C451" s="257"/>
      <c r="D451" s="257"/>
      <c r="E451" s="257"/>
      <c r="F451" s="257"/>
      <c r="G451" s="257"/>
      <c r="H451" s="257"/>
      <c r="I451" s="257"/>
      <c r="J451" s="257"/>
      <c r="K451" s="257"/>
      <c r="L451" s="257"/>
      <c r="M451" s="257"/>
      <c r="N451" s="257"/>
      <c r="O451" s="257"/>
      <c r="P451" s="257"/>
      <c r="Q451" s="257"/>
      <c r="R451" s="257"/>
      <c r="S451" s="257"/>
      <c r="T451" s="257"/>
      <c r="U451" s="257"/>
      <c r="V451" s="257"/>
      <c r="W451" s="257"/>
      <c r="X451" s="257"/>
      <c r="Y451" s="257"/>
      <c r="Z451" s="257"/>
    </row>
    <row r="452" ht="15.75" customHeight="1">
      <c r="A452" s="257"/>
      <c r="B452" s="257"/>
      <c r="C452" s="257"/>
      <c r="D452" s="257"/>
      <c r="E452" s="257"/>
      <c r="F452" s="257"/>
      <c r="G452" s="257"/>
      <c r="H452" s="257"/>
      <c r="I452" s="257"/>
      <c r="J452" s="257"/>
      <c r="K452" s="257"/>
      <c r="L452" s="257"/>
      <c r="M452" s="257"/>
      <c r="N452" s="257"/>
      <c r="O452" s="257"/>
      <c r="P452" s="257"/>
      <c r="Q452" s="257"/>
      <c r="R452" s="257"/>
      <c r="S452" s="257"/>
      <c r="T452" s="257"/>
      <c r="U452" s="257"/>
      <c r="V452" s="257"/>
      <c r="W452" s="257"/>
      <c r="X452" s="257"/>
      <c r="Y452" s="257"/>
      <c r="Z452" s="257"/>
    </row>
    <row r="453" ht="15.75" customHeight="1">
      <c r="A453" s="257"/>
      <c r="B453" s="257"/>
      <c r="C453" s="257"/>
      <c r="D453" s="257"/>
      <c r="E453" s="257"/>
      <c r="F453" s="257"/>
      <c r="G453" s="257"/>
      <c r="H453" s="257"/>
      <c r="I453" s="257"/>
      <c r="J453" s="257"/>
      <c r="K453" s="257"/>
      <c r="L453" s="257"/>
      <c r="M453" s="257"/>
      <c r="N453" s="257"/>
      <c r="O453" s="257"/>
      <c r="P453" s="257"/>
      <c r="Q453" s="257"/>
      <c r="R453" s="257"/>
      <c r="S453" s="257"/>
      <c r="T453" s="257"/>
      <c r="U453" s="257"/>
      <c r="V453" s="257"/>
      <c r="W453" s="257"/>
      <c r="X453" s="257"/>
      <c r="Y453" s="257"/>
      <c r="Z453" s="257"/>
    </row>
    <row r="454" ht="15.75" customHeight="1">
      <c r="A454" s="257"/>
      <c r="B454" s="257"/>
      <c r="C454" s="257"/>
      <c r="D454" s="257"/>
      <c r="E454" s="257"/>
      <c r="F454" s="257"/>
      <c r="G454" s="257"/>
      <c r="H454" s="257"/>
      <c r="I454" s="257"/>
      <c r="J454" s="257"/>
      <c r="K454" s="257"/>
      <c r="L454" s="257"/>
      <c r="M454" s="257"/>
      <c r="N454" s="257"/>
      <c r="O454" s="257"/>
      <c r="P454" s="257"/>
      <c r="Q454" s="257"/>
      <c r="R454" s="257"/>
      <c r="S454" s="257"/>
      <c r="T454" s="257"/>
      <c r="U454" s="257"/>
      <c r="V454" s="257"/>
      <c r="W454" s="257"/>
      <c r="X454" s="257"/>
      <c r="Y454" s="257"/>
      <c r="Z454" s="257"/>
    </row>
    <row r="455" ht="15.75" customHeight="1">
      <c r="A455" s="257"/>
      <c r="B455" s="257"/>
      <c r="C455" s="257"/>
      <c r="D455" s="257"/>
      <c r="E455" s="257"/>
      <c r="F455" s="257"/>
      <c r="G455" s="257"/>
      <c r="H455" s="257"/>
      <c r="I455" s="257"/>
      <c r="J455" s="257"/>
      <c r="K455" s="257"/>
      <c r="L455" s="257"/>
      <c r="M455" s="257"/>
      <c r="N455" s="257"/>
      <c r="O455" s="257"/>
      <c r="P455" s="257"/>
      <c r="Q455" s="257"/>
      <c r="R455" s="257"/>
      <c r="S455" s="257"/>
      <c r="T455" s="257"/>
      <c r="U455" s="257"/>
      <c r="V455" s="257"/>
      <c r="W455" s="257"/>
      <c r="X455" s="257"/>
      <c r="Y455" s="257"/>
      <c r="Z455" s="257"/>
    </row>
    <row r="456" ht="15.75" customHeight="1">
      <c r="A456" s="257"/>
      <c r="B456" s="257"/>
      <c r="C456" s="257"/>
      <c r="D456" s="257"/>
      <c r="E456" s="257"/>
      <c r="F456" s="257"/>
      <c r="G456" s="257"/>
      <c r="H456" s="257"/>
      <c r="I456" s="257"/>
      <c r="J456" s="257"/>
      <c r="K456" s="257"/>
      <c r="L456" s="257"/>
      <c r="M456" s="257"/>
      <c r="N456" s="257"/>
      <c r="O456" s="257"/>
      <c r="P456" s="257"/>
      <c r="Q456" s="257"/>
      <c r="R456" s="257"/>
      <c r="S456" s="257"/>
      <c r="T456" s="257"/>
      <c r="U456" s="257"/>
      <c r="V456" s="257"/>
      <c r="W456" s="257"/>
      <c r="X456" s="257"/>
      <c r="Y456" s="257"/>
      <c r="Z456" s="257"/>
    </row>
    <row r="457" ht="15.75" customHeight="1">
      <c r="A457" s="257"/>
      <c r="B457" s="257"/>
      <c r="C457" s="257"/>
      <c r="D457" s="257"/>
      <c r="E457" s="257"/>
      <c r="F457" s="257"/>
      <c r="G457" s="257"/>
      <c r="H457" s="257"/>
      <c r="I457" s="257"/>
      <c r="J457" s="257"/>
      <c r="K457" s="257"/>
      <c r="L457" s="257"/>
      <c r="M457" s="257"/>
      <c r="N457" s="257"/>
      <c r="O457" s="257"/>
      <c r="P457" s="257"/>
      <c r="Q457" s="257"/>
      <c r="R457" s="257"/>
      <c r="S457" s="257"/>
      <c r="T457" s="257"/>
      <c r="U457" s="257"/>
      <c r="V457" s="257"/>
      <c r="W457" s="257"/>
      <c r="X457" s="257"/>
      <c r="Y457" s="257"/>
      <c r="Z457" s="257"/>
    </row>
    <row r="458" ht="15.75" customHeight="1">
      <c r="A458" s="257"/>
      <c r="B458" s="257"/>
      <c r="C458" s="257"/>
      <c r="D458" s="257"/>
      <c r="E458" s="257"/>
      <c r="F458" s="257"/>
      <c r="G458" s="257"/>
      <c r="H458" s="257"/>
      <c r="I458" s="257"/>
      <c r="J458" s="257"/>
      <c r="K458" s="257"/>
      <c r="L458" s="257"/>
      <c r="M458" s="257"/>
      <c r="N458" s="257"/>
      <c r="O458" s="257"/>
      <c r="P458" s="257"/>
      <c r="Q458" s="257"/>
      <c r="R458" s="257"/>
      <c r="S458" s="257"/>
      <c r="T458" s="257"/>
      <c r="U458" s="257"/>
      <c r="V458" s="257"/>
      <c r="W458" s="257"/>
      <c r="X458" s="257"/>
      <c r="Y458" s="257"/>
      <c r="Z458" s="257"/>
    </row>
    <row r="459" ht="15.75" customHeight="1">
      <c r="A459" s="257"/>
      <c r="B459" s="257"/>
      <c r="C459" s="257"/>
      <c r="D459" s="257"/>
      <c r="E459" s="257"/>
      <c r="F459" s="257"/>
      <c r="G459" s="257"/>
      <c r="H459" s="257"/>
      <c r="I459" s="257"/>
      <c r="J459" s="257"/>
      <c r="K459" s="257"/>
      <c r="L459" s="257"/>
      <c r="M459" s="257"/>
      <c r="N459" s="257"/>
      <c r="O459" s="257"/>
      <c r="P459" s="257"/>
      <c r="Q459" s="257"/>
      <c r="R459" s="257"/>
      <c r="S459" s="257"/>
      <c r="T459" s="257"/>
      <c r="U459" s="257"/>
      <c r="V459" s="257"/>
      <c r="W459" s="257"/>
      <c r="X459" s="257"/>
      <c r="Y459" s="257"/>
      <c r="Z459" s="257"/>
    </row>
    <row r="460" ht="15.75" customHeight="1">
      <c r="A460" s="257"/>
      <c r="B460" s="257"/>
      <c r="C460" s="257"/>
      <c r="D460" s="257"/>
      <c r="E460" s="257"/>
      <c r="F460" s="257"/>
      <c r="G460" s="257"/>
      <c r="H460" s="257"/>
      <c r="I460" s="257"/>
      <c r="J460" s="257"/>
      <c r="K460" s="257"/>
      <c r="L460" s="257"/>
      <c r="M460" s="257"/>
      <c r="N460" s="257"/>
      <c r="O460" s="257"/>
      <c r="P460" s="257"/>
      <c r="Q460" s="257"/>
      <c r="R460" s="257"/>
      <c r="S460" s="257"/>
      <c r="T460" s="257"/>
      <c r="U460" s="257"/>
      <c r="V460" s="257"/>
      <c r="W460" s="257"/>
      <c r="X460" s="257"/>
      <c r="Y460" s="257"/>
      <c r="Z460" s="257"/>
    </row>
    <row r="461" ht="15.75" customHeight="1">
      <c r="A461" s="257"/>
      <c r="B461" s="257"/>
      <c r="C461" s="257"/>
      <c r="D461" s="257"/>
      <c r="E461" s="257"/>
      <c r="F461" s="257"/>
      <c r="G461" s="257"/>
      <c r="H461" s="257"/>
      <c r="I461" s="257"/>
      <c r="J461" s="257"/>
      <c r="K461" s="257"/>
      <c r="L461" s="257"/>
      <c r="M461" s="257"/>
      <c r="N461" s="257"/>
      <c r="O461" s="257"/>
      <c r="P461" s="257"/>
      <c r="Q461" s="257"/>
      <c r="R461" s="257"/>
      <c r="S461" s="257"/>
      <c r="T461" s="257"/>
      <c r="U461" s="257"/>
      <c r="V461" s="257"/>
      <c r="W461" s="257"/>
      <c r="X461" s="257"/>
      <c r="Y461" s="257"/>
      <c r="Z461" s="257"/>
    </row>
    <row r="462" ht="15.75" customHeight="1">
      <c r="A462" s="257"/>
      <c r="B462" s="257"/>
      <c r="C462" s="257"/>
      <c r="D462" s="257"/>
      <c r="E462" s="257"/>
      <c r="F462" s="257"/>
      <c r="G462" s="257"/>
      <c r="H462" s="257"/>
      <c r="I462" s="257"/>
      <c r="J462" s="257"/>
      <c r="K462" s="257"/>
      <c r="L462" s="257"/>
      <c r="M462" s="257"/>
      <c r="N462" s="257"/>
      <c r="O462" s="257"/>
      <c r="P462" s="257"/>
      <c r="Q462" s="257"/>
      <c r="R462" s="257"/>
      <c r="S462" s="257"/>
      <c r="T462" s="257"/>
      <c r="U462" s="257"/>
      <c r="V462" s="257"/>
      <c r="W462" s="257"/>
      <c r="X462" s="257"/>
      <c r="Y462" s="257"/>
      <c r="Z462" s="257"/>
    </row>
    <row r="463" ht="15.75" customHeight="1">
      <c r="A463" s="257"/>
      <c r="B463" s="257"/>
      <c r="C463" s="257"/>
      <c r="D463" s="257"/>
      <c r="E463" s="257"/>
      <c r="F463" s="257"/>
      <c r="G463" s="257"/>
      <c r="H463" s="257"/>
      <c r="I463" s="257"/>
      <c r="J463" s="257"/>
      <c r="K463" s="257"/>
      <c r="L463" s="257"/>
      <c r="M463" s="257"/>
      <c r="N463" s="257"/>
      <c r="O463" s="257"/>
      <c r="P463" s="257"/>
      <c r="Q463" s="257"/>
      <c r="R463" s="257"/>
      <c r="S463" s="257"/>
      <c r="T463" s="257"/>
      <c r="U463" s="257"/>
      <c r="V463" s="257"/>
      <c r="W463" s="257"/>
      <c r="X463" s="257"/>
      <c r="Y463" s="257"/>
      <c r="Z463" s="257"/>
    </row>
    <row r="464" ht="15.75" customHeight="1">
      <c r="A464" s="257"/>
      <c r="B464" s="257"/>
      <c r="C464" s="257"/>
      <c r="D464" s="257"/>
      <c r="E464" s="257"/>
      <c r="F464" s="257"/>
      <c r="G464" s="257"/>
      <c r="H464" s="257"/>
      <c r="I464" s="257"/>
      <c r="J464" s="257"/>
      <c r="K464" s="257"/>
      <c r="L464" s="257"/>
      <c r="M464" s="257"/>
      <c r="N464" s="257"/>
      <c r="O464" s="257"/>
      <c r="P464" s="257"/>
      <c r="Q464" s="257"/>
      <c r="R464" s="257"/>
      <c r="S464" s="257"/>
      <c r="T464" s="257"/>
      <c r="U464" s="257"/>
      <c r="V464" s="257"/>
      <c r="W464" s="257"/>
      <c r="X464" s="257"/>
      <c r="Y464" s="257"/>
      <c r="Z464" s="257"/>
    </row>
    <row r="465" ht="15.75" customHeight="1">
      <c r="A465" s="257"/>
      <c r="B465" s="257"/>
      <c r="C465" s="257"/>
      <c r="D465" s="257"/>
      <c r="E465" s="257"/>
      <c r="F465" s="257"/>
      <c r="G465" s="257"/>
      <c r="H465" s="257"/>
      <c r="I465" s="257"/>
      <c r="J465" s="257"/>
      <c r="K465" s="257"/>
      <c r="L465" s="257"/>
      <c r="M465" s="257"/>
      <c r="N465" s="257"/>
      <c r="O465" s="257"/>
      <c r="P465" s="257"/>
      <c r="Q465" s="257"/>
      <c r="R465" s="257"/>
      <c r="S465" s="257"/>
      <c r="T465" s="257"/>
      <c r="U465" s="257"/>
      <c r="V465" s="257"/>
      <c r="W465" s="257"/>
      <c r="X465" s="257"/>
      <c r="Y465" s="257"/>
      <c r="Z465" s="257"/>
    </row>
    <row r="466" ht="15.75" customHeight="1">
      <c r="A466" s="257"/>
      <c r="B466" s="257"/>
      <c r="C466" s="257"/>
      <c r="D466" s="257"/>
      <c r="E466" s="257"/>
      <c r="F466" s="257"/>
      <c r="G466" s="257"/>
      <c r="H466" s="257"/>
      <c r="I466" s="257"/>
      <c r="J466" s="257"/>
      <c r="K466" s="257"/>
      <c r="L466" s="257"/>
      <c r="M466" s="257"/>
      <c r="N466" s="257"/>
      <c r="O466" s="257"/>
      <c r="P466" s="257"/>
      <c r="Q466" s="257"/>
      <c r="R466" s="257"/>
      <c r="S466" s="257"/>
      <c r="T466" s="257"/>
      <c r="U466" s="257"/>
      <c r="V466" s="257"/>
      <c r="W466" s="257"/>
      <c r="X466" s="257"/>
      <c r="Y466" s="257"/>
      <c r="Z466" s="257"/>
    </row>
    <row r="467" ht="15.75" customHeight="1">
      <c r="A467" s="257"/>
      <c r="B467" s="257"/>
      <c r="C467" s="257"/>
      <c r="D467" s="257"/>
      <c r="E467" s="257"/>
      <c r="F467" s="257"/>
      <c r="G467" s="257"/>
      <c r="H467" s="257"/>
      <c r="I467" s="257"/>
      <c r="J467" s="257"/>
      <c r="K467" s="257"/>
      <c r="L467" s="257"/>
      <c r="M467" s="257"/>
      <c r="N467" s="257"/>
      <c r="O467" s="257"/>
      <c r="P467" s="257"/>
      <c r="Q467" s="257"/>
      <c r="R467" s="257"/>
      <c r="S467" s="257"/>
      <c r="T467" s="257"/>
      <c r="U467" s="257"/>
      <c r="V467" s="257"/>
      <c r="W467" s="257"/>
      <c r="X467" s="257"/>
      <c r="Y467" s="257"/>
      <c r="Z467" s="257"/>
    </row>
    <row r="468" ht="15.75" customHeight="1">
      <c r="A468" s="257"/>
      <c r="B468" s="257"/>
      <c r="C468" s="257"/>
      <c r="D468" s="257"/>
      <c r="E468" s="257"/>
      <c r="F468" s="257"/>
      <c r="G468" s="257"/>
      <c r="H468" s="257"/>
      <c r="I468" s="257"/>
      <c r="J468" s="257"/>
      <c r="K468" s="257"/>
      <c r="L468" s="257"/>
      <c r="M468" s="257"/>
      <c r="N468" s="257"/>
      <c r="O468" s="257"/>
      <c r="P468" s="257"/>
      <c r="Q468" s="257"/>
      <c r="R468" s="257"/>
      <c r="S468" s="257"/>
      <c r="T468" s="257"/>
      <c r="U468" s="257"/>
      <c r="V468" s="257"/>
      <c r="W468" s="257"/>
      <c r="X468" s="257"/>
      <c r="Y468" s="257"/>
      <c r="Z468" s="257"/>
    </row>
    <row r="469" ht="15.75" customHeight="1">
      <c r="A469" s="257"/>
      <c r="B469" s="257"/>
      <c r="C469" s="257"/>
      <c r="D469" s="257"/>
      <c r="E469" s="257"/>
      <c r="F469" s="257"/>
      <c r="G469" s="257"/>
      <c r="H469" s="257"/>
      <c r="I469" s="257"/>
      <c r="J469" s="257"/>
      <c r="K469" s="257"/>
      <c r="L469" s="257"/>
      <c r="M469" s="257"/>
      <c r="N469" s="257"/>
      <c r="O469" s="257"/>
      <c r="P469" s="257"/>
      <c r="Q469" s="257"/>
      <c r="R469" s="257"/>
      <c r="S469" s="257"/>
      <c r="T469" s="257"/>
      <c r="U469" s="257"/>
      <c r="V469" s="257"/>
      <c r="W469" s="257"/>
      <c r="X469" s="257"/>
      <c r="Y469" s="257"/>
      <c r="Z469" s="257"/>
    </row>
    <row r="470" ht="15.75" customHeight="1">
      <c r="A470" s="257"/>
      <c r="B470" s="257"/>
      <c r="C470" s="257"/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7"/>
      <c r="P470" s="257"/>
      <c r="Q470" s="257"/>
      <c r="R470" s="257"/>
      <c r="S470" s="257"/>
      <c r="T470" s="257"/>
      <c r="U470" s="257"/>
      <c r="V470" s="257"/>
      <c r="W470" s="257"/>
      <c r="X470" s="257"/>
      <c r="Y470" s="257"/>
      <c r="Z470" s="257"/>
    </row>
    <row r="471" ht="15.75" customHeight="1">
      <c r="A471" s="257"/>
      <c r="B471" s="257"/>
      <c r="C471" s="257"/>
      <c r="D471" s="257"/>
      <c r="E471" s="257"/>
      <c r="F471" s="257"/>
      <c r="G471" s="257"/>
      <c r="H471" s="257"/>
      <c r="I471" s="257"/>
      <c r="J471" s="257"/>
      <c r="K471" s="257"/>
      <c r="L471" s="257"/>
      <c r="M471" s="257"/>
      <c r="N471" s="257"/>
      <c r="O471" s="257"/>
      <c r="P471" s="257"/>
      <c r="Q471" s="257"/>
      <c r="R471" s="257"/>
      <c r="S471" s="257"/>
      <c r="T471" s="257"/>
      <c r="U471" s="257"/>
      <c r="V471" s="257"/>
      <c r="W471" s="257"/>
      <c r="X471" s="257"/>
      <c r="Y471" s="257"/>
      <c r="Z471" s="257"/>
    </row>
    <row r="472" ht="15.75" customHeight="1">
      <c r="A472" s="257"/>
      <c r="B472" s="257"/>
      <c r="C472" s="257"/>
      <c r="D472" s="257"/>
      <c r="E472" s="257"/>
      <c r="F472" s="257"/>
      <c r="G472" s="257"/>
      <c r="H472" s="257"/>
      <c r="I472" s="257"/>
      <c r="J472" s="257"/>
      <c r="K472" s="257"/>
      <c r="L472" s="257"/>
      <c r="M472" s="257"/>
      <c r="N472" s="257"/>
      <c r="O472" s="257"/>
      <c r="P472" s="257"/>
      <c r="Q472" s="257"/>
      <c r="R472" s="257"/>
      <c r="S472" s="257"/>
      <c r="T472" s="257"/>
      <c r="U472" s="257"/>
      <c r="V472" s="257"/>
      <c r="W472" s="257"/>
      <c r="X472" s="257"/>
      <c r="Y472" s="257"/>
      <c r="Z472" s="257"/>
    </row>
    <row r="473" ht="15.75" customHeight="1">
      <c r="A473" s="257"/>
      <c r="B473" s="257"/>
      <c r="C473" s="257"/>
      <c r="D473" s="257"/>
      <c r="E473" s="257"/>
      <c r="F473" s="257"/>
      <c r="G473" s="257"/>
      <c r="H473" s="257"/>
      <c r="I473" s="257"/>
      <c r="J473" s="257"/>
      <c r="K473" s="257"/>
      <c r="L473" s="257"/>
      <c r="M473" s="257"/>
      <c r="N473" s="257"/>
      <c r="O473" s="257"/>
      <c r="P473" s="257"/>
      <c r="Q473" s="257"/>
      <c r="R473" s="257"/>
      <c r="S473" s="257"/>
      <c r="T473" s="257"/>
      <c r="U473" s="257"/>
      <c r="V473" s="257"/>
      <c r="W473" s="257"/>
      <c r="X473" s="257"/>
      <c r="Y473" s="257"/>
      <c r="Z473" s="257"/>
    </row>
    <row r="474" ht="15.75" customHeight="1">
      <c r="A474" s="257"/>
      <c r="B474" s="257"/>
      <c r="C474" s="257"/>
      <c r="D474" s="257"/>
      <c r="E474" s="257"/>
      <c r="F474" s="257"/>
      <c r="G474" s="257"/>
      <c r="H474" s="257"/>
      <c r="I474" s="257"/>
      <c r="J474" s="257"/>
      <c r="K474" s="257"/>
      <c r="L474" s="257"/>
      <c r="M474" s="257"/>
      <c r="N474" s="257"/>
      <c r="O474" s="257"/>
      <c r="P474" s="257"/>
      <c r="Q474" s="257"/>
      <c r="R474" s="257"/>
      <c r="S474" s="257"/>
      <c r="T474" s="257"/>
      <c r="U474" s="257"/>
      <c r="V474" s="257"/>
      <c r="W474" s="257"/>
      <c r="X474" s="257"/>
      <c r="Y474" s="257"/>
      <c r="Z474" s="257"/>
    </row>
    <row r="475" ht="15.75" customHeight="1">
      <c r="A475" s="257"/>
      <c r="B475" s="257"/>
      <c r="C475" s="257"/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57"/>
      <c r="O475" s="257"/>
      <c r="P475" s="257"/>
      <c r="Q475" s="257"/>
      <c r="R475" s="257"/>
      <c r="S475" s="257"/>
      <c r="T475" s="257"/>
      <c r="U475" s="257"/>
      <c r="V475" s="257"/>
      <c r="W475" s="257"/>
      <c r="X475" s="257"/>
      <c r="Y475" s="257"/>
      <c r="Z475" s="257"/>
    </row>
    <row r="476" ht="15.75" customHeight="1">
      <c r="A476" s="257"/>
      <c r="B476" s="257"/>
      <c r="C476" s="257"/>
      <c r="D476" s="257"/>
      <c r="E476" s="257"/>
      <c r="F476" s="257"/>
      <c r="G476" s="257"/>
      <c r="H476" s="257"/>
      <c r="I476" s="257"/>
      <c r="J476" s="257"/>
      <c r="K476" s="257"/>
      <c r="L476" s="257"/>
      <c r="M476" s="257"/>
      <c r="N476" s="257"/>
      <c r="O476" s="257"/>
      <c r="P476" s="257"/>
      <c r="Q476" s="257"/>
      <c r="R476" s="257"/>
      <c r="S476" s="257"/>
      <c r="T476" s="257"/>
      <c r="U476" s="257"/>
      <c r="V476" s="257"/>
      <c r="W476" s="257"/>
      <c r="X476" s="257"/>
      <c r="Y476" s="257"/>
      <c r="Z476" s="257"/>
    </row>
    <row r="477" ht="15.75" customHeight="1">
      <c r="A477" s="257"/>
      <c r="B477" s="257"/>
      <c r="C477" s="257"/>
      <c r="D477" s="257"/>
      <c r="E477" s="257"/>
      <c r="F477" s="257"/>
      <c r="G477" s="257"/>
      <c r="H477" s="257"/>
      <c r="I477" s="257"/>
      <c r="J477" s="257"/>
      <c r="K477" s="257"/>
      <c r="L477" s="257"/>
      <c r="M477" s="257"/>
      <c r="N477" s="257"/>
      <c r="O477" s="257"/>
      <c r="P477" s="257"/>
      <c r="Q477" s="257"/>
      <c r="R477" s="257"/>
      <c r="S477" s="257"/>
      <c r="T477" s="257"/>
      <c r="U477" s="257"/>
      <c r="V477" s="257"/>
      <c r="W477" s="257"/>
      <c r="X477" s="257"/>
      <c r="Y477" s="257"/>
      <c r="Z477" s="257"/>
    </row>
    <row r="478" ht="15.75" customHeight="1">
      <c r="A478" s="257"/>
      <c r="B478" s="257"/>
      <c r="C478" s="257"/>
      <c r="D478" s="257"/>
      <c r="E478" s="257"/>
      <c r="F478" s="257"/>
      <c r="G478" s="257"/>
      <c r="H478" s="257"/>
      <c r="I478" s="257"/>
      <c r="J478" s="257"/>
      <c r="K478" s="257"/>
      <c r="L478" s="257"/>
      <c r="M478" s="257"/>
      <c r="N478" s="257"/>
      <c r="O478" s="257"/>
      <c r="P478" s="257"/>
      <c r="Q478" s="257"/>
      <c r="R478" s="257"/>
      <c r="S478" s="257"/>
      <c r="T478" s="257"/>
      <c r="U478" s="257"/>
      <c r="V478" s="257"/>
      <c r="W478" s="257"/>
      <c r="X478" s="257"/>
      <c r="Y478" s="257"/>
      <c r="Z478" s="257"/>
    </row>
    <row r="479" ht="15.75" customHeight="1">
      <c r="A479" s="257"/>
      <c r="B479" s="257"/>
      <c r="C479" s="257"/>
      <c r="D479" s="257"/>
      <c r="E479" s="257"/>
      <c r="F479" s="257"/>
      <c r="G479" s="257"/>
      <c r="H479" s="257"/>
      <c r="I479" s="257"/>
      <c r="J479" s="257"/>
      <c r="K479" s="257"/>
      <c r="L479" s="257"/>
      <c r="M479" s="257"/>
      <c r="N479" s="257"/>
      <c r="O479" s="257"/>
      <c r="P479" s="257"/>
      <c r="Q479" s="257"/>
      <c r="R479" s="257"/>
      <c r="S479" s="257"/>
      <c r="T479" s="257"/>
      <c r="U479" s="257"/>
      <c r="V479" s="257"/>
      <c r="W479" s="257"/>
      <c r="X479" s="257"/>
      <c r="Y479" s="257"/>
      <c r="Z479" s="257"/>
    </row>
    <row r="480" ht="15.75" customHeight="1">
      <c r="A480" s="257"/>
      <c r="B480" s="257"/>
      <c r="C480" s="257"/>
      <c r="D480" s="257"/>
      <c r="E480" s="257"/>
      <c r="F480" s="257"/>
      <c r="G480" s="257"/>
      <c r="H480" s="257"/>
      <c r="I480" s="257"/>
      <c r="J480" s="257"/>
      <c r="K480" s="257"/>
      <c r="L480" s="257"/>
      <c r="M480" s="257"/>
      <c r="N480" s="257"/>
      <c r="O480" s="257"/>
      <c r="P480" s="257"/>
      <c r="Q480" s="257"/>
      <c r="R480" s="257"/>
      <c r="S480" s="257"/>
      <c r="T480" s="257"/>
      <c r="U480" s="257"/>
      <c r="V480" s="257"/>
      <c r="W480" s="257"/>
      <c r="X480" s="257"/>
      <c r="Y480" s="257"/>
      <c r="Z480" s="257"/>
    </row>
    <row r="481" ht="15.75" customHeight="1">
      <c r="A481" s="257"/>
      <c r="B481" s="257"/>
      <c r="C481" s="257"/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7"/>
      <c r="Q481" s="257"/>
      <c r="R481" s="257"/>
      <c r="S481" s="257"/>
      <c r="T481" s="257"/>
      <c r="U481" s="257"/>
      <c r="V481" s="257"/>
      <c r="W481" s="257"/>
      <c r="X481" s="257"/>
      <c r="Y481" s="257"/>
      <c r="Z481" s="257"/>
    </row>
    <row r="482" ht="15.75" customHeight="1">
      <c r="A482" s="257"/>
      <c r="B482" s="257"/>
      <c r="C482" s="257"/>
      <c r="D482" s="257"/>
      <c r="E482" s="257"/>
      <c r="F482" s="257"/>
      <c r="G482" s="257"/>
      <c r="H482" s="257"/>
      <c r="I482" s="257"/>
      <c r="J482" s="257"/>
      <c r="K482" s="257"/>
      <c r="L482" s="257"/>
      <c r="M482" s="257"/>
      <c r="N482" s="257"/>
      <c r="O482" s="257"/>
      <c r="P482" s="257"/>
      <c r="Q482" s="257"/>
      <c r="R482" s="257"/>
      <c r="S482" s="257"/>
      <c r="T482" s="257"/>
      <c r="U482" s="257"/>
      <c r="V482" s="257"/>
      <c r="W482" s="257"/>
      <c r="X482" s="257"/>
      <c r="Y482" s="257"/>
      <c r="Z482" s="257"/>
    </row>
    <row r="483" ht="15.75" customHeight="1">
      <c r="A483" s="257"/>
      <c r="B483" s="257"/>
      <c r="C483" s="257"/>
      <c r="D483" s="257"/>
      <c r="E483" s="257"/>
      <c r="F483" s="257"/>
      <c r="G483" s="257"/>
      <c r="H483" s="257"/>
      <c r="I483" s="257"/>
      <c r="J483" s="257"/>
      <c r="K483" s="257"/>
      <c r="L483" s="257"/>
      <c r="M483" s="257"/>
      <c r="N483" s="257"/>
      <c r="O483" s="257"/>
      <c r="P483" s="257"/>
      <c r="Q483" s="257"/>
      <c r="R483" s="257"/>
      <c r="S483" s="257"/>
      <c r="T483" s="257"/>
      <c r="U483" s="257"/>
      <c r="V483" s="257"/>
      <c r="W483" s="257"/>
      <c r="X483" s="257"/>
      <c r="Y483" s="257"/>
      <c r="Z483" s="257"/>
    </row>
    <row r="484" ht="15.75" customHeight="1">
      <c r="A484" s="257"/>
      <c r="B484" s="257"/>
      <c r="C484" s="257"/>
      <c r="D484" s="257"/>
      <c r="E484" s="257"/>
      <c r="F484" s="257"/>
      <c r="G484" s="257"/>
      <c r="H484" s="257"/>
      <c r="I484" s="257"/>
      <c r="J484" s="257"/>
      <c r="K484" s="257"/>
      <c r="L484" s="257"/>
      <c r="M484" s="257"/>
      <c r="N484" s="257"/>
      <c r="O484" s="257"/>
      <c r="P484" s="257"/>
      <c r="Q484" s="257"/>
      <c r="R484" s="257"/>
      <c r="S484" s="257"/>
      <c r="T484" s="257"/>
      <c r="U484" s="257"/>
      <c r="V484" s="257"/>
      <c r="W484" s="257"/>
      <c r="X484" s="257"/>
      <c r="Y484" s="257"/>
      <c r="Z484" s="257"/>
    </row>
    <row r="485" ht="15.75" customHeight="1">
      <c r="A485" s="257"/>
      <c r="B485" s="257"/>
      <c r="C485" s="257"/>
      <c r="D485" s="257"/>
      <c r="E485" s="257"/>
      <c r="F485" s="257"/>
      <c r="G485" s="257"/>
      <c r="H485" s="257"/>
      <c r="I485" s="257"/>
      <c r="J485" s="257"/>
      <c r="K485" s="257"/>
      <c r="L485" s="257"/>
      <c r="M485" s="257"/>
      <c r="N485" s="257"/>
      <c r="O485" s="257"/>
      <c r="P485" s="257"/>
      <c r="Q485" s="257"/>
      <c r="R485" s="257"/>
      <c r="S485" s="257"/>
      <c r="T485" s="257"/>
      <c r="U485" s="257"/>
      <c r="V485" s="257"/>
      <c r="W485" s="257"/>
      <c r="X485" s="257"/>
      <c r="Y485" s="257"/>
      <c r="Z485" s="257"/>
    </row>
    <row r="486" ht="15.75" customHeight="1">
      <c r="A486" s="257"/>
      <c r="B486" s="257"/>
      <c r="C486" s="257"/>
      <c r="D486" s="257"/>
      <c r="E486" s="257"/>
      <c r="F486" s="257"/>
      <c r="G486" s="257"/>
      <c r="H486" s="257"/>
      <c r="I486" s="257"/>
      <c r="J486" s="257"/>
      <c r="K486" s="257"/>
      <c r="L486" s="257"/>
      <c r="M486" s="257"/>
      <c r="N486" s="257"/>
      <c r="O486" s="257"/>
      <c r="P486" s="257"/>
      <c r="Q486" s="257"/>
      <c r="R486" s="257"/>
      <c r="S486" s="257"/>
      <c r="T486" s="257"/>
      <c r="U486" s="257"/>
      <c r="V486" s="257"/>
      <c r="W486" s="257"/>
      <c r="X486" s="257"/>
      <c r="Y486" s="257"/>
      <c r="Z486" s="257"/>
    </row>
    <row r="487" ht="15.75" customHeight="1">
      <c r="A487" s="257"/>
      <c r="B487" s="257"/>
      <c r="C487" s="257"/>
      <c r="D487" s="257"/>
      <c r="E487" s="257"/>
      <c r="F487" s="257"/>
      <c r="G487" s="257"/>
      <c r="H487" s="257"/>
      <c r="I487" s="257"/>
      <c r="J487" s="257"/>
      <c r="K487" s="257"/>
      <c r="L487" s="257"/>
      <c r="M487" s="257"/>
      <c r="N487" s="257"/>
      <c r="O487" s="257"/>
      <c r="P487" s="257"/>
      <c r="Q487" s="257"/>
      <c r="R487" s="257"/>
      <c r="S487" s="257"/>
      <c r="T487" s="257"/>
      <c r="U487" s="257"/>
      <c r="V487" s="257"/>
      <c r="W487" s="257"/>
      <c r="X487" s="257"/>
      <c r="Y487" s="257"/>
      <c r="Z487" s="257"/>
    </row>
    <row r="488" ht="15.75" customHeight="1">
      <c r="A488" s="257"/>
      <c r="B488" s="257"/>
      <c r="C488" s="257"/>
      <c r="D488" s="257"/>
      <c r="E488" s="257"/>
      <c r="F488" s="257"/>
      <c r="G488" s="257"/>
      <c r="H488" s="257"/>
      <c r="I488" s="257"/>
      <c r="J488" s="257"/>
      <c r="K488" s="257"/>
      <c r="L488" s="257"/>
      <c r="M488" s="257"/>
      <c r="N488" s="257"/>
      <c r="O488" s="257"/>
      <c r="P488" s="257"/>
      <c r="Q488" s="257"/>
      <c r="R488" s="257"/>
      <c r="S488" s="257"/>
      <c r="T488" s="257"/>
      <c r="U488" s="257"/>
      <c r="V488" s="257"/>
      <c r="W488" s="257"/>
      <c r="X488" s="257"/>
      <c r="Y488" s="257"/>
      <c r="Z488" s="257"/>
    </row>
    <row r="489" ht="15.75" customHeight="1">
      <c r="A489" s="257"/>
      <c r="B489" s="257"/>
      <c r="C489" s="257"/>
      <c r="D489" s="257"/>
      <c r="E489" s="257"/>
      <c r="F489" s="257"/>
      <c r="G489" s="257"/>
      <c r="H489" s="257"/>
      <c r="I489" s="257"/>
      <c r="J489" s="257"/>
      <c r="K489" s="257"/>
      <c r="L489" s="257"/>
      <c r="M489" s="257"/>
      <c r="N489" s="257"/>
      <c r="O489" s="257"/>
      <c r="P489" s="257"/>
      <c r="Q489" s="257"/>
      <c r="R489" s="257"/>
      <c r="S489" s="257"/>
      <c r="T489" s="257"/>
      <c r="U489" s="257"/>
      <c r="V489" s="257"/>
      <c r="W489" s="257"/>
      <c r="X489" s="257"/>
      <c r="Y489" s="257"/>
      <c r="Z489" s="257"/>
    </row>
    <row r="490" ht="15.75" customHeight="1">
      <c r="A490" s="257"/>
      <c r="B490" s="257"/>
      <c r="C490" s="257"/>
      <c r="D490" s="257"/>
      <c r="E490" s="257"/>
      <c r="F490" s="257"/>
      <c r="G490" s="257"/>
      <c r="H490" s="257"/>
      <c r="I490" s="257"/>
      <c r="J490" s="257"/>
      <c r="K490" s="257"/>
      <c r="L490" s="257"/>
      <c r="M490" s="257"/>
      <c r="N490" s="257"/>
      <c r="O490" s="257"/>
      <c r="P490" s="257"/>
      <c r="Q490" s="257"/>
      <c r="R490" s="257"/>
      <c r="S490" s="257"/>
      <c r="T490" s="257"/>
      <c r="U490" s="257"/>
      <c r="V490" s="257"/>
      <c r="W490" s="257"/>
      <c r="X490" s="257"/>
      <c r="Y490" s="257"/>
      <c r="Z490" s="257"/>
    </row>
    <row r="491" ht="15.75" customHeight="1">
      <c r="A491" s="257"/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  <c r="Z491" s="257"/>
    </row>
    <row r="492" ht="15.75" customHeight="1">
      <c r="A492" s="257"/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  <c r="Z492" s="257"/>
    </row>
    <row r="493" ht="15.75" customHeight="1">
      <c r="A493" s="257"/>
      <c r="B493" s="257"/>
      <c r="C493" s="257"/>
      <c r="D493" s="257"/>
      <c r="E493" s="257"/>
      <c r="F493" s="257"/>
      <c r="G493" s="257"/>
      <c r="H493" s="257"/>
      <c r="I493" s="257"/>
      <c r="J493" s="257"/>
      <c r="K493" s="257"/>
      <c r="L493" s="257"/>
      <c r="M493" s="257"/>
      <c r="N493" s="257"/>
      <c r="O493" s="257"/>
      <c r="P493" s="257"/>
      <c r="Q493" s="257"/>
      <c r="R493" s="257"/>
      <c r="S493" s="257"/>
      <c r="T493" s="257"/>
      <c r="U493" s="257"/>
      <c r="V493" s="257"/>
      <c r="W493" s="257"/>
      <c r="X493" s="257"/>
      <c r="Y493" s="257"/>
      <c r="Z493" s="257"/>
    </row>
    <row r="494" ht="15.75" customHeight="1">
      <c r="A494" s="257"/>
      <c r="B494" s="257"/>
      <c r="C494" s="257"/>
      <c r="D494" s="257"/>
      <c r="E494" s="257"/>
      <c r="F494" s="257"/>
      <c r="G494" s="257"/>
      <c r="H494" s="257"/>
      <c r="I494" s="257"/>
      <c r="J494" s="257"/>
      <c r="K494" s="257"/>
      <c r="L494" s="257"/>
      <c r="M494" s="257"/>
      <c r="N494" s="257"/>
      <c r="O494" s="257"/>
      <c r="P494" s="257"/>
      <c r="Q494" s="257"/>
      <c r="R494" s="257"/>
      <c r="S494" s="257"/>
      <c r="T494" s="257"/>
      <c r="U494" s="257"/>
      <c r="V494" s="257"/>
      <c r="W494" s="257"/>
      <c r="X494" s="257"/>
      <c r="Y494" s="257"/>
      <c r="Z494" s="257"/>
    </row>
    <row r="495" ht="15.75" customHeight="1">
      <c r="A495" s="257"/>
      <c r="B495" s="257"/>
      <c r="C495" s="257"/>
      <c r="D495" s="257"/>
      <c r="E495" s="257"/>
      <c r="F495" s="257"/>
      <c r="G495" s="257"/>
      <c r="H495" s="257"/>
      <c r="I495" s="257"/>
      <c r="J495" s="257"/>
      <c r="K495" s="257"/>
      <c r="L495" s="257"/>
      <c r="M495" s="257"/>
      <c r="N495" s="257"/>
      <c r="O495" s="257"/>
      <c r="P495" s="257"/>
      <c r="Q495" s="257"/>
      <c r="R495" s="257"/>
      <c r="S495" s="257"/>
      <c r="T495" s="257"/>
      <c r="U495" s="257"/>
      <c r="V495" s="257"/>
      <c r="W495" s="257"/>
      <c r="X495" s="257"/>
      <c r="Y495" s="257"/>
      <c r="Z495" s="257"/>
    </row>
    <row r="496" ht="15.75" customHeight="1">
      <c r="A496" s="257"/>
      <c r="B496" s="257"/>
      <c r="C496" s="257"/>
      <c r="D496" s="257"/>
      <c r="E496" s="257"/>
      <c r="F496" s="257"/>
      <c r="G496" s="257"/>
      <c r="H496" s="257"/>
      <c r="I496" s="257"/>
      <c r="J496" s="257"/>
      <c r="K496" s="257"/>
      <c r="L496" s="257"/>
      <c r="M496" s="257"/>
      <c r="N496" s="257"/>
      <c r="O496" s="257"/>
      <c r="P496" s="257"/>
      <c r="Q496" s="257"/>
      <c r="R496" s="257"/>
      <c r="S496" s="257"/>
      <c r="T496" s="257"/>
      <c r="U496" s="257"/>
      <c r="V496" s="257"/>
      <c r="W496" s="257"/>
      <c r="X496" s="257"/>
      <c r="Y496" s="257"/>
      <c r="Z496" s="257"/>
    </row>
    <row r="497" ht="15.75" customHeight="1">
      <c r="A497" s="257"/>
      <c r="B497" s="257"/>
      <c r="C497" s="257"/>
      <c r="D497" s="257"/>
      <c r="E497" s="257"/>
      <c r="F497" s="257"/>
      <c r="G497" s="257"/>
      <c r="H497" s="257"/>
      <c r="I497" s="257"/>
      <c r="J497" s="257"/>
      <c r="K497" s="257"/>
      <c r="L497" s="257"/>
      <c r="M497" s="257"/>
      <c r="N497" s="257"/>
      <c r="O497" s="257"/>
      <c r="P497" s="257"/>
      <c r="Q497" s="257"/>
      <c r="R497" s="257"/>
      <c r="S497" s="257"/>
      <c r="T497" s="257"/>
      <c r="U497" s="257"/>
      <c r="V497" s="257"/>
      <c r="W497" s="257"/>
      <c r="X497" s="257"/>
      <c r="Y497" s="257"/>
      <c r="Z497" s="257"/>
    </row>
    <row r="498" ht="15.75" customHeight="1">
      <c r="A498" s="257"/>
      <c r="B498" s="257"/>
      <c r="C498" s="257"/>
      <c r="D498" s="257"/>
      <c r="E498" s="257"/>
      <c r="F498" s="257"/>
      <c r="G498" s="257"/>
      <c r="H498" s="257"/>
      <c r="I498" s="257"/>
      <c r="J498" s="257"/>
      <c r="K498" s="257"/>
      <c r="L498" s="257"/>
      <c r="M498" s="257"/>
      <c r="N498" s="257"/>
      <c r="O498" s="257"/>
      <c r="P498" s="257"/>
      <c r="Q498" s="257"/>
      <c r="R498" s="257"/>
      <c r="S498" s="257"/>
      <c r="T498" s="257"/>
      <c r="U498" s="257"/>
      <c r="V498" s="257"/>
      <c r="W498" s="257"/>
      <c r="X498" s="257"/>
      <c r="Y498" s="257"/>
      <c r="Z498" s="257"/>
    </row>
    <row r="499" ht="15.75" customHeight="1">
      <c r="A499" s="257"/>
      <c r="B499" s="257"/>
      <c r="C499" s="257"/>
      <c r="D499" s="257"/>
      <c r="E499" s="257"/>
      <c r="F499" s="257"/>
      <c r="G499" s="257"/>
      <c r="H499" s="257"/>
      <c r="I499" s="257"/>
      <c r="J499" s="257"/>
      <c r="K499" s="257"/>
      <c r="L499" s="257"/>
      <c r="M499" s="257"/>
      <c r="N499" s="257"/>
      <c r="O499" s="257"/>
      <c r="P499" s="257"/>
      <c r="Q499" s="257"/>
      <c r="R499" s="257"/>
      <c r="S499" s="257"/>
      <c r="T499" s="257"/>
      <c r="U499" s="257"/>
      <c r="V499" s="257"/>
      <c r="W499" s="257"/>
      <c r="X499" s="257"/>
      <c r="Y499" s="257"/>
      <c r="Z499" s="257"/>
    </row>
    <row r="500" ht="15.75" customHeight="1">
      <c r="A500" s="257"/>
      <c r="B500" s="257"/>
      <c r="C500" s="257"/>
      <c r="D500" s="257"/>
      <c r="E500" s="257"/>
      <c r="F500" s="257"/>
      <c r="G500" s="257"/>
      <c r="H500" s="257"/>
      <c r="I500" s="257"/>
      <c r="J500" s="257"/>
      <c r="K500" s="257"/>
      <c r="L500" s="257"/>
      <c r="M500" s="257"/>
      <c r="N500" s="257"/>
      <c r="O500" s="257"/>
      <c r="P500" s="257"/>
      <c r="Q500" s="257"/>
      <c r="R500" s="257"/>
      <c r="S500" s="257"/>
      <c r="T500" s="257"/>
      <c r="U500" s="257"/>
      <c r="V500" s="257"/>
      <c r="W500" s="257"/>
      <c r="X500" s="257"/>
      <c r="Y500" s="257"/>
      <c r="Z500" s="257"/>
    </row>
    <row r="501" ht="15.75" customHeight="1">
      <c r="A501" s="257"/>
      <c r="B501" s="257"/>
      <c r="C501" s="257"/>
      <c r="D501" s="257"/>
      <c r="E501" s="257"/>
      <c r="F501" s="257"/>
      <c r="G501" s="257"/>
      <c r="H501" s="257"/>
      <c r="I501" s="257"/>
      <c r="J501" s="257"/>
      <c r="K501" s="257"/>
      <c r="L501" s="257"/>
      <c r="M501" s="257"/>
      <c r="N501" s="257"/>
      <c r="O501" s="257"/>
      <c r="P501" s="257"/>
      <c r="Q501" s="257"/>
      <c r="R501" s="257"/>
      <c r="S501" s="257"/>
      <c r="T501" s="257"/>
      <c r="U501" s="257"/>
      <c r="V501" s="257"/>
      <c r="W501" s="257"/>
      <c r="X501" s="257"/>
      <c r="Y501" s="257"/>
      <c r="Z501" s="257"/>
    </row>
    <row r="502" ht="15.75" customHeight="1">
      <c r="A502" s="257"/>
      <c r="B502" s="257"/>
      <c r="C502" s="257"/>
      <c r="D502" s="257"/>
      <c r="E502" s="257"/>
      <c r="F502" s="257"/>
      <c r="G502" s="257"/>
      <c r="H502" s="257"/>
      <c r="I502" s="257"/>
      <c r="J502" s="257"/>
      <c r="K502" s="257"/>
      <c r="L502" s="257"/>
      <c r="M502" s="257"/>
      <c r="N502" s="257"/>
      <c r="O502" s="257"/>
      <c r="P502" s="257"/>
      <c r="Q502" s="257"/>
      <c r="R502" s="257"/>
      <c r="S502" s="257"/>
      <c r="T502" s="257"/>
      <c r="U502" s="257"/>
      <c r="V502" s="257"/>
      <c r="W502" s="257"/>
      <c r="X502" s="257"/>
      <c r="Y502" s="257"/>
      <c r="Z502" s="257"/>
    </row>
    <row r="503" ht="15.75" customHeight="1">
      <c r="A503" s="257"/>
      <c r="B503" s="257"/>
      <c r="C503" s="257"/>
      <c r="D503" s="257"/>
      <c r="E503" s="257"/>
      <c r="F503" s="257"/>
      <c r="G503" s="257"/>
      <c r="H503" s="257"/>
      <c r="I503" s="257"/>
      <c r="J503" s="257"/>
      <c r="K503" s="257"/>
      <c r="L503" s="257"/>
      <c r="M503" s="257"/>
      <c r="N503" s="257"/>
      <c r="O503" s="257"/>
      <c r="P503" s="257"/>
      <c r="Q503" s="257"/>
      <c r="R503" s="257"/>
      <c r="S503" s="257"/>
      <c r="T503" s="257"/>
      <c r="U503" s="257"/>
      <c r="V503" s="257"/>
      <c r="W503" s="257"/>
      <c r="X503" s="257"/>
      <c r="Y503" s="257"/>
      <c r="Z503" s="257"/>
    </row>
    <row r="504" ht="15.75" customHeight="1">
      <c r="A504" s="257"/>
      <c r="B504" s="257"/>
      <c r="C504" s="257"/>
      <c r="D504" s="257"/>
      <c r="E504" s="257"/>
      <c r="F504" s="257"/>
      <c r="G504" s="257"/>
      <c r="H504" s="257"/>
      <c r="I504" s="257"/>
      <c r="J504" s="257"/>
      <c r="K504" s="257"/>
      <c r="L504" s="257"/>
      <c r="M504" s="257"/>
      <c r="N504" s="257"/>
      <c r="O504" s="257"/>
      <c r="P504" s="257"/>
      <c r="Q504" s="257"/>
      <c r="R504" s="257"/>
      <c r="S504" s="257"/>
      <c r="T504" s="257"/>
      <c r="U504" s="257"/>
      <c r="V504" s="257"/>
      <c r="W504" s="257"/>
      <c r="X504" s="257"/>
      <c r="Y504" s="257"/>
      <c r="Z504" s="257"/>
    </row>
    <row r="505" ht="15.75" customHeight="1">
      <c r="A505" s="257"/>
      <c r="B505" s="257"/>
      <c r="C505" s="257"/>
      <c r="D505" s="257"/>
      <c r="E505" s="257"/>
      <c r="F505" s="257"/>
      <c r="G505" s="257"/>
      <c r="H505" s="257"/>
      <c r="I505" s="257"/>
      <c r="J505" s="257"/>
      <c r="K505" s="257"/>
      <c r="L505" s="257"/>
      <c r="M505" s="257"/>
      <c r="N505" s="257"/>
      <c r="O505" s="257"/>
      <c r="P505" s="257"/>
      <c r="Q505" s="257"/>
      <c r="R505" s="257"/>
      <c r="S505" s="257"/>
      <c r="T505" s="257"/>
      <c r="U505" s="257"/>
      <c r="V505" s="257"/>
      <c r="W505" s="257"/>
      <c r="X505" s="257"/>
      <c r="Y505" s="257"/>
      <c r="Z505" s="257"/>
    </row>
    <row r="506" ht="15.75" customHeight="1">
      <c r="A506" s="257"/>
      <c r="B506" s="257"/>
      <c r="C506" s="257"/>
      <c r="D506" s="257"/>
      <c r="E506" s="257"/>
      <c r="F506" s="257"/>
      <c r="G506" s="257"/>
      <c r="H506" s="257"/>
      <c r="I506" s="257"/>
      <c r="J506" s="257"/>
      <c r="K506" s="257"/>
      <c r="L506" s="257"/>
      <c r="M506" s="257"/>
      <c r="N506" s="257"/>
      <c r="O506" s="257"/>
      <c r="P506" s="257"/>
      <c r="Q506" s="257"/>
      <c r="R506" s="257"/>
      <c r="S506" s="257"/>
      <c r="T506" s="257"/>
      <c r="U506" s="257"/>
      <c r="V506" s="257"/>
      <c r="W506" s="257"/>
      <c r="X506" s="257"/>
      <c r="Y506" s="257"/>
      <c r="Z506" s="257"/>
    </row>
    <row r="507" ht="15.75" customHeight="1">
      <c r="A507" s="257"/>
      <c r="B507" s="257"/>
      <c r="C507" s="257"/>
      <c r="D507" s="257"/>
      <c r="E507" s="257"/>
      <c r="F507" s="257"/>
      <c r="G507" s="257"/>
      <c r="H507" s="257"/>
      <c r="I507" s="257"/>
      <c r="J507" s="257"/>
      <c r="K507" s="257"/>
      <c r="L507" s="257"/>
      <c r="M507" s="257"/>
      <c r="N507" s="257"/>
      <c r="O507" s="257"/>
      <c r="P507" s="257"/>
      <c r="Q507" s="257"/>
      <c r="R507" s="257"/>
      <c r="S507" s="257"/>
      <c r="T507" s="257"/>
      <c r="U507" s="257"/>
      <c r="V507" s="257"/>
      <c r="W507" s="257"/>
      <c r="X507" s="257"/>
      <c r="Y507" s="257"/>
      <c r="Z507" s="257"/>
    </row>
    <row r="508" ht="15.75" customHeight="1">
      <c r="A508" s="257"/>
      <c r="B508" s="257"/>
      <c r="C508" s="257"/>
      <c r="D508" s="257"/>
      <c r="E508" s="257"/>
      <c r="F508" s="257"/>
      <c r="G508" s="257"/>
      <c r="H508" s="257"/>
      <c r="I508" s="257"/>
      <c r="J508" s="257"/>
      <c r="K508" s="257"/>
      <c r="L508" s="257"/>
      <c r="M508" s="257"/>
      <c r="N508" s="257"/>
      <c r="O508" s="257"/>
      <c r="P508" s="257"/>
      <c r="Q508" s="257"/>
      <c r="R508" s="257"/>
      <c r="S508" s="257"/>
      <c r="T508" s="257"/>
      <c r="U508" s="257"/>
      <c r="V508" s="257"/>
      <c r="W508" s="257"/>
      <c r="X508" s="257"/>
      <c r="Y508" s="257"/>
      <c r="Z508" s="257"/>
    </row>
    <row r="509" ht="15.75" customHeight="1">
      <c r="A509" s="257"/>
      <c r="B509" s="257"/>
      <c r="C509" s="257"/>
      <c r="D509" s="257"/>
      <c r="E509" s="257"/>
      <c r="F509" s="257"/>
      <c r="G509" s="257"/>
      <c r="H509" s="257"/>
      <c r="I509" s="257"/>
      <c r="J509" s="257"/>
      <c r="K509" s="257"/>
      <c r="L509" s="257"/>
      <c r="M509" s="257"/>
      <c r="N509" s="257"/>
      <c r="O509" s="257"/>
      <c r="P509" s="257"/>
      <c r="Q509" s="257"/>
      <c r="R509" s="257"/>
      <c r="S509" s="257"/>
      <c r="T509" s="257"/>
      <c r="U509" s="257"/>
      <c r="V509" s="257"/>
      <c r="W509" s="257"/>
      <c r="X509" s="257"/>
      <c r="Y509" s="257"/>
      <c r="Z509" s="257"/>
    </row>
    <row r="510" ht="15.75" customHeight="1">
      <c r="A510" s="257"/>
      <c r="B510" s="257"/>
      <c r="C510" s="257"/>
      <c r="D510" s="257"/>
      <c r="E510" s="257"/>
      <c r="F510" s="257"/>
      <c r="G510" s="257"/>
      <c r="H510" s="257"/>
      <c r="I510" s="257"/>
      <c r="J510" s="257"/>
      <c r="K510" s="257"/>
      <c r="L510" s="257"/>
      <c r="M510" s="257"/>
      <c r="N510" s="257"/>
      <c r="O510" s="257"/>
      <c r="P510" s="257"/>
      <c r="Q510" s="257"/>
      <c r="R510" s="257"/>
      <c r="S510" s="257"/>
      <c r="T510" s="257"/>
      <c r="U510" s="257"/>
      <c r="V510" s="257"/>
      <c r="W510" s="257"/>
      <c r="X510" s="257"/>
      <c r="Y510" s="257"/>
      <c r="Z510" s="257"/>
    </row>
    <row r="511" ht="15.75" customHeight="1">
      <c r="A511" s="257"/>
      <c r="B511" s="257"/>
      <c r="C511" s="257"/>
      <c r="D511" s="257"/>
      <c r="E511" s="257"/>
      <c r="F511" s="257"/>
      <c r="G511" s="257"/>
      <c r="H511" s="257"/>
      <c r="I511" s="257"/>
      <c r="J511" s="257"/>
      <c r="K511" s="257"/>
      <c r="L511" s="257"/>
      <c r="M511" s="257"/>
      <c r="N511" s="257"/>
      <c r="O511" s="257"/>
      <c r="P511" s="257"/>
      <c r="Q511" s="257"/>
      <c r="R511" s="257"/>
      <c r="S511" s="257"/>
      <c r="T511" s="257"/>
      <c r="U511" s="257"/>
      <c r="V511" s="257"/>
      <c r="W511" s="257"/>
      <c r="X511" s="257"/>
      <c r="Y511" s="257"/>
      <c r="Z511" s="257"/>
    </row>
    <row r="512" ht="15.75" customHeight="1">
      <c r="A512" s="257"/>
      <c r="B512" s="257"/>
      <c r="C512" s="257"/>
      <c r="D512" s="257"/>
      <c r="E512" s="257"/>
      <c r="F512" s="257"/>
      <c r="G512" s="257"/>
      <c r="H512" s="257"/>
      <c r="I512" s="257"/>
      <c r="J512" s="257"/>
      <c r="K512" s="257"/>
      <c r="L512" s="257"/>
      <c r="M512" s="257"/>
      <c r="N512" s="257"/>
      <c r="O512" s="257"/>
      <c r="P512" s="257"/>
      <c r="Q512" s="257"/>
      <c r="R512" s="257"/>
      <c r="S512" s="257"/>
      <c r="T512" s="257"/>
      <c r="U512" s="257"/>
      <c r="V512" s="257"/>
      <c r="W512" s="257"/>
      <c r="X512" s="257"/>
      <c r="Y512" s="257"/>
      <c r="Z512" s="257"/>
    </row>
    <row r="513" ht="15.75" customHeight="1">
      <c r="A513" s="257"/>
      <c r="B513" s="257"/>
      <c r="C513" s="257"/>
      <c r="D513" s="257"/>
      <c r="E513" s="257"/>
      <c r="F513" s="257"/>
      <c r="G513" s="257"/>
      <c r="H513" s="257"/>
      <c r="I513" s="257"/>
      <c r="J513" s="257"/>
      <c r="K513" s="257"/>
      <c r="L513" s="257"/>
      <c r="M513" s="257"/>
      <c r="N513" s="257"/>
      <c r="O513" s="257"/>
      <c r="P513" s="257"/>
      <c r="Q513" s="257"/>
      <c r="R513" s="257"/>
      <c r="S513" s="257"/>
      <c r="T513" s="257"/>
      <c r="U513" s="257"/>
      <c r="V513" s="257"/>
      <c r="W513" s="257"/>
      <c r="X513" s="257"/>
      <c r="Y513" s="257"/>
      <c r="Z513" s="257"/>
    </row>
    <row r="514" ht="15.75" customHeight="1">
      <c r="A514" s="257"/>
      <c r="B514" s="257"/>
      <c r="C514" s="257"/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7"/>
      <c r="P514" s="257"/>
      <c r="Q514" s="257"/>
      <c r="R514" s="257"/>
      <c r="S514" s="257"/>
      <c r="T514" s="257"/>
      <c r="U514" s="257"/>
      <c r="V514" s="257"/>
      <c r="W514" s="257"/>
      <c r="X514" s="257"/>
      <c r="Y514" s="257"/>
      <c r="Z514" s="257"/>
    </row>
    <row r="515" ht="15.75" customHeight="1">
      <c r="A515" s="257"/>
      <c r="B515" s="257"/>
      <c r="C515" s="257"/>
      <c r="D515" s="257"/>
      <c r="E515" s="257"/>
      <c r="F515" s="257"/>
      <c r="G515" s="257"/>
      <c r="H515" s="257"/>
      <c r="I515" s="257"/>
      <c r="J515" s="257"/>
      <c r="K515" s="257"/>
      <c r="L515" s="257"/>
      <c r="M515" s="257"/>
      <c r="N515" s="257"/>
      <c r="O515" s="257"/>
      <c r="P515" s="257"/>
      <c r="Q515" s="257"/>
      <c r="R515" s="257"/>
      <c r="S515" s="257"/>
      <c r="T515" s="257"/>
      <c r="U515" s="257"/>
      <c r="V515" s="257"/>
      <c r="W515" s="257"/>
      <c r="X515" s="257"/>
      <c r="Y515" s="257"/>
      <c r="Z515" s="257"/>
    </row>
    <row r="516" ht="15.75" customHeight="1">
      <c r="A516" s="257"/>
      <c r="B516" s="257"/>
      <c r="C516" s="257"/>
      <c r="D516" s="257"/>
      <c r="E516" s="257"/>
      <c r="F516" s="257"/>
      <c r="G516" s="257"/>
      <c r="H516" s="257"/>
      <c r="I516" s="257"/>
      <c r="J516" s="257"/>
      <c r="K516" s="257"/>
      <c r="L516" s="257"/>
      <c r="M516" s="257"/>
      <c r="N516" s="257"/>
      <c r="O516" s="257"/>
      <c r="P516" s="257"/>
      <c r="Q516" s="257"/>
      <c r="R516" s="257"/>
      <c r="S516" s="257"/>
      <c r="T516" s="257"/>
      <c r="U516" s="257"/>
      <c r="V516" s="257"/>
      <c r="W516" s="257"/>
      <c r="X516" s="257"/>
      <c r="Y516" s="257"/>
      <c r="Z516" s="257"/>
    </row>
    <row r="517" ht="15.75" customHeight="1">
      <c r="A517" s="257"/>
      <c r="B517" s="257"/>
      <c r="C517" s="257"/>
      <c r="D517" s="257"/>
      <c r="E517" s="257"/>
      <c r="F517" s="257"/>
      <c r="G517" s="257"/>
      <c r="H517" s="257"/>
      <c r="I517" s="257"/>
      <c r="J517" s="257"/>
      <c r="K517" s="257"/>
      <c r="L517" s="257"/>
      <c r="M517" s="257"/>
      <c r="N517" s="257"/>
      <c r="O517" s="257"/>
      <c r="P517" s="257"/>
      <c r="Q517" s="257"/>
      <c r="R517" s="257"/>
      <c r="S517" s="257"/>
      <c r="T517" s="257"/>
      <c r="U517" s="257"/>
      <c r="V517" s="257"/>
      <c r="W517" s="257"/>
      <c r="X517" s="257"/>
      <c r="Y517" s="257"/>
      <c r="Z517" s="257"/>
    </row>
    <row r="518" ht="15.75" customHeight="1">
      <c r="A518" s="257"/>
      <c r="B518" s="257"/>
      <c r="C518" s="257"/>
      <c r="D518" s="257"/>
      <c r="E518" s="257"/>
      <c r="F518" s="257"/>
      <c r="G518" s="257"/>
      <c r="H518" s="257"/>
      <c r="I518" s="257"/>
      <c r="J518" s="257"/>
      <c r="K518" s="257"/>
      <c r="L518" s="257"/>
      <c r="M518" s="257"/>
      <c r="N518" s="257"/>
      <c r="O518" s="257"/>
      <c r="P518" s="257"/>
      <c r="Q518" s="257"/>
      <c r="R518" s="257"/>
      <c r="S518" s="257"/>
      <c r="T518" s="257"/>
      <c r="U518" s="257"/>
      <c r="V518" s="257"/>
      <c r="W518" s="257"/>
      <c r="X518" s="257"/>
      <c r="Y518" s="257"/>
      <c r="Z518" s="257"/>
    </row>
    <row r="519" ht="15.75" customHeight="1">
      <c r="A519" s="257"/>
      <c r="B519" s="257"/>
      <c r="C519" s="257"/>
      <c r="D519" s="257"/>
      <c r="E519" s="257"/>
      <c r="F519" s="257"/>
      <c r="G519" s="257"/>
      <c r="H519" s="257"/>
      <c r="I519" s="257"/>
      <c r="J519" s="257"/>
      <c r="K519" s="257"/>
      <c r="L519" s="257"/>
      <c r="M519" s="257"/>
      <c r="N519" s="257"/>
      <c r="O519" s="257"/>
      <c r="P519" s="257"/>
      <c r="Q519" s="257"/>
      <c r="R519" s="257"/>
      <c r="S519" s="257"/>
      <c r="T519" s="257"/>
      <c r="U519" s="257"/>
      <c r="V519" s="257"/>
      <c r="W519" s="257"/>
      <c r="X519" s="257"/>
      <c r="Y519" s="257"/>
      <c r="Z519" s="257"/>
    </row>
    <row r="520" ht="15.75" customHeight="1">
      <c r="A520" s="257"/>
      <c r="B520" s="257"/>
      <c r="C520" s="257"/>
      <c r="D520" s="257"/>
      <c r="E520" s="257"/>
      <c r="F520" s="257"/>
      <c r="G520" s="257"/>
      <c r="H520" s="257"/>
      <c r="I520" s="257"/>
      <c r="J520" s="257"/>
      <c r="K520" s="257"/>
      <c r="L520" s="257"/>
      <c r="M520" s="257"/>
      <c r="N520" s="257"/>
      <c r="O520" s="257"/>
      <c r="P520" s="257"/>
      <c r="Q520" s="257"/>
      <c r="R520" s="257"/>
      <c r="S520" s="257"/>
      <c r="T520" s="257"/>
      <c r="U520" s="257"/>
      <c r="V520" s="257"/>
      <c r="W520" s="257"/>
      <c r="X520" s="257"/>
      <c r="Y520" s="257"/>
      <c r="Z520" s="257"/>
    </row>
    <row r="521" ht="15.75" customHeight="1">
      <c r="A521" s="257"/>
      <c r="B521" s="257"/>
      <c r="C521" s="257"/>
      <c r="D521" s="257"/>
      <c r="E521" s="257"/>
      <c r="F521" s="257"/>
      <c r="G521" s="257"/>
      <c r="H521" s="257"/>
      <c r="I521" s="257"/>
      <c r="J521" s="257"/>
      <c r="K521" s="257"/>
      <c r="L521" s="257"/>
      <c r="M521" s="257"/>
      <c r="N521" s="257"/>
      <c r="O521" s="257"/>
      <c r="P521" s="257"/>
      <c r="Q521" s="257"/>
      <c r="R521" s="257"/>
      <c r="S521" s="257"/>
      <c r="T521" s="257"/>
      <c r="U521" s="257"/>
      <c r="V521" s="257"/>
      <c r="W521" s="257"/>
      <c r="X521" s="257"/>
      <c r="Y521" s="257"/>
      <c r="Z521" s="257"/>
    </row>
    <row r="522" ht="15.75" customHeight="1">
      <c r="A522" s="257"/>
      <c r="B522" s="257"/>
      <c r="C522" s="257"/>
      <c r="D522" s="257"/>
      <c r="E522" s="257"/>
      <c r="F522" s="257"/>
      <c r="G522" s="257"/>
      <c r="H522" s="257"/>
      <c r="I522" s="257"/>
      <c r="J522" s="257"/>
      <c r="K522" s="257"/>
      <c r="L522" s="257"/>
      <c r="M522" s="257"/>
      <c r="N522" s="257"/>
      <c r="O522" s="257"/>
      <c r="P522" s="257"/>
      <c r="Q522" s="257"/>
      <c r="R522" s="257"/>
      <c r="S522" s="257"/>
      <c r="T522" s="257"/>
      <c r="U522" s="257"/>
      <c r="V522" s="257"/>
      <c r="W522" s="257"/>
      <c r="X522" s="257"/>
      <c r="Y522" s="257"/>
      <c r="Z522" s="257"/>
    </row>
    <row r="523" ht="15.75" customHeight="1">
      <c r="A523" s="257"/>
      <c r="B523" s="257"/>
      <c r="C523" s="257"/>
      <c r="D523" s="257"/>
      <c r="E523" s="257"/>
      <c r="F523" s="257"/>
      <c r="G523" s="257"/>
      <c r="H523" s="257"/>
      <c r="I523" s="257"/>
      <c r="J523" s="257"/>
      <c r="K523" s="257"/>
      <c r="L523" s="257"/>
      <c r="M523" s="257"/>
      <c r="N523" s="257"/>
      <c r="O523" s="257"/>
      <c r="P523" s="257"/>
      <c r="Q523" s="257"/>
      <c r="R523" s="257"/>
      <c r="S523" s="257"/>
      <c r="T523" s="257"/>
      <c r="U523" s="257"/>
      <c r="V523" s="257"/>
      <c r="W523" s="257"/>
      <c r="X523" s="257"/>
      <c r="Y523" s="257"/>
      <c r="Z523" s="257"/>
    </row>
    <row r="524" ht="15.75" customHeight="1">
      <c r="A524" s="257"/>
      <c r="B524" s="257"/>
      <c r="C524" s="257"/>
      <c r="D524" s="257"/>
      <c r="E524" s="257"/>
      <c r="F524" s="257"/>
      <c r="G524" s="257"/>
      <c r="H524" s="257"/>
      <c r="I524" s="257"/>
      <c r="J524" s="257"/>
      <c r="K524" s="257"/>
      <c r="L524" s="257"/>
      <c r="M524" s="257"/>
      <c r="N524" s="257"/>
      <c r="O524" s="257"/>
      <c r="P524" s="257"/>
      <c r="Q524" s="257"/>
      <c r="R524" s="257"/>
      <c r="S524" s="257"/>
      <c r="T524" s="257"/>
      <c r="U524" s="257"/>
      <c r="V524" s="257"/>
      <c r="W524" s="257"/>
      <c r="X524" s="257"/>
      <c r="Y524" s="257"/>
      <c r="Z524" s="257"/>
    </row>
    <row r="525" ht="15.75" customHeight="1">
      <c r="A525" s="257"/>
      <c r="B525" s="257"/>
      <c r="C525" s="257"/>
      <c r="D525" s="257"/>
      <c r="E525" s="257"/>
      <c r="F525" s="257"/>
      <c r="G525" s="257"/>
      <c r="H525" s="257"/>
      <c r="I525" s="257"/>
      <c r="J525" s="257"/>
      <c r="K525" s="257"/>
      <c r="L525" s="257"/>
      <c r="M525" s="257"/>
      <c r="N525" s="257"/>
      <c r="O525" s="257"/>
      <c r="P525" s="257"/>
      <c r="Q525" s="257"/>
      <c r="R525" s="257"/>
      <c r="S525" s="257"/>
      <c r="T525" s="257"/>
      <c r="U525" s="257"/>
      <c r="V525" s="257"/>
      <c r="W525" s="257"/>
      <c r="X525" s="257"/>
      <c r="Y525" s="257"/>
      <c r="Z525" s="257"/>
    </row>
    <row r="526" ht="15.75" customHeight="1">
      <c r="A526" s="257"/>
      <c r="B526" s="257"/>
      <c r="C526" s="257"/>
      <c r="D526" s="257"/>
      <c r="E526" s="257"/>
      <c r="F526" s="257"/>
      <c r="G526" s="257"/>
      <c r="H526" s="257"/>
      <c r="I526" s="257"/>
      <c r="J526" s="257"/>
      <c r="K526" s="257"/>
      <c r="L526" s="257"/>
      <c r="M526" s="257"/>
      <c r="N526" s="257"/>
      <c r="O526" s="257"/>
      <c r="P526" s="257"/>
      <c r="Q526" s="257"/>
      <c r="R526" s="257"/>
      <c r="S526" s="257"/>
      <c r="T526" s="257"/>
      <c r="U526" s="257"/>
      <c r="V526" s="257"/>
      <c r="W526" s="257"/>
      <c r="X526" s="257"/>
      <c r="Y526" s="257"/>
      <c r="Z526" s="257"/>
    </row>
    <row r="527" ht="15.75" customHeight="1">
      <c r="A527" s="257"/>
      <c r="B527" s="257"/>
      <c r="C527" s="257"/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7"/>
      <c r="Q527" s="257"/>
      <c r="R527" s="257"/>
      <c r="S527" s="257"/>
      <c r="T527" s="257"/>
      <c r="U527" s="257"/>
      <c r="V527" s="257"/>
      <c r="W527" s="257"/>
      <c r="X527" s="257"/>
      <c r="Y527" s="257"/>
      <c r="Z527" s="257"/>
    </row>
    <row r="528" ht="15.75" customHeight="1">
      <c r="A528" s="257"/>
      <c r="B528" s="257"/>
      <c r="C528" s="257"/>
      <c r="D528" s="257"/>
      <c r="E528" s="257"/>
      <c r="F528" s="257"/>
      <c r="G528" s="257"/>
      <c r="H528" s="257"/>
      <c r="I528" s="257"/>
      <c r="J528" s="257"/>
      <c r="K528" s="257"/>
      <c r="L528" s="257"/>
      <c r="M528" s="257"/>
      <c r="N528" s="257"/>
      <c r="O528" s="257"/>
      <c r="P528" s="257"/>
      <c r="Q528" s="257"/>
      <c r="R528" s="257"/>
      <c r="S528" s="257"/>
      <c r="T528" s="257"/>
      <c r="U528" s="257"/>
      <c r="V528" s="257"/>
      <c r="W528" s="257"/>
      <c r="X528" s="257"/>
      <c r="Y528" s="257"/>
      <c r="Z528" s="257"/>
    </row>
    <row r="529" ht="15.75" customHeight="1">
      <c r="A529" s="257"/>
      <c r="B529" s="257"/>
      <c r="C529" s="257"/>
      <c r="D529" s="257"/>
      <c r="E529" s="257"/>
      <c r="F529" s="257"/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/>
      <c r="S529" s="257"/>
      <c r="T529" s="257"/>
      <c r="U529" s="257"/>
      <c r="V529" s="257"/>
      <c r="W529" s="257"/>
      <c r="X529" s="257"/>
      <c r="Y529" s="257"/>
      <c r="Z529" s="257"/>
    </row>
    <row r="530" ht="15.75" customHeight="1">
      <c r="A530" s="257"/>
      <c r="B530" s="257"/>
      <c r="C530" s="257"/>
      <c r="D530" s="257"/>
      <c r="E530" s="257"/>
      <c r="F530" s="257"/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/>
      <c r="S530" s="257"/>
      <c r="T530" s="257"/>
      <c r="U530" s="257"/>
      <c r="V530" s="257"/>
      <c r="W530" s="257"/>
      <c r="X530" s="257"/>
      <c r="Y530" s="257"/>
      <c r="Z530" s="257"/>
    </row>
    <row r="531" ht="15.75" customHeight="1">
      <c r="A531" s="257"/>
      <c r="B531" s="257"/>
      <c r="C531" s="257"/>
      <c r="D531" s="257"/>
      <c r="E531" s="257"/>
      <c r="F531" s="257"/>
      <c r="G531" s="257"/>
      <c r="H531" s="257"/>
      <c r="I531" s="257"/>
      <c r="J531" s="257"/>
      <c r="K531" s="257"/>
      <c r="L531" s="257"/>
      <c r="M531" s="257"/>
      <c r="N531" s="257"/>
      <c r="O531" s="257"/>
      <c r="P531" s="257"/>
      <c r="Q531" s="257"/>
      <c r="R531" s="257"/>
      <c r="S531" s="257"/>
      <c r="T531" s="257"/>
      <c r="U531" s="257"/>
      <c r="V531" s="257"/>
      <c r="W531" s="257"/>
      <c r="X531" s="257"/>
      <c r="Y531" s="257"/>
      <c r="Z531" s="257"/>
    </row>
    <row r="532" ht="15.75" customHeight="1">
      <c r="A532" s="257"/>
      <c r="B532" s="257"/>
      <c r="C532" s="257"/>
      <c r="D532" s="257"/>
      <c r="E532" s="257"/>
      <c r="F532" s="257"/>
      <c r="G532" s="257"/>
      <c r="H532" s="257"/>
      <c r="I532" s="257"/>
      <c r="J532" s="257"/>
      <c r="K532" s="257"/>
      <c r="L532" s="257"/>
      <c r="M532" s="257"/>
      <c r="N532" s="257"/>
      <c r="O532" s="257"/>
      <c r="P532" s="257"/>
      <c r="Q532" s="257"/>
      <c r="R532" s="257"/>
      <c r="S532" s="257"/>
      <c r="T532" s="257"/>
      <c r="U532" s="257"/>
      <c r="V532" s="257"/>
      <c r="W532" s="257"/>
      <c r="X532" s="257"/>
      <c r="Y532" s="257"/>
      <c r="Z532" s="257"/>
    </row>
    <row r="533" ht="15.75" customHeight="1">
      <c r="A533" s="257"/>
      <c r="B533" s="257"/>
      <c r="C533" s="257"/>
      <c r="D533" s="257"/>
      <c r="E533" s="257"/>
      <c r="F533" s="257"/>
      <c r="G533" s="257"/>
      <c r="H533" s="257"/>
      <c r="I533" s="257"/>
      <c r="J533" s="257"/>
      <c r="K533" s="257"/>
      <c r="L533" s="257"/>
      <c r="M533" s="257"/>
      <c r="N533" s="257"/>
      <c r="O533" s="257"/>
      <c r="P533" s="257"/>
      <c r="Q533" s="257"/>
      <c r="R533" s="257"/>
      <c r="S533" s="257"/>
      <c r="T533" s="257"/>
      <c r="U533" s="257"/>
      <c r="V533" s="257"/>
      <c r="W533" s="257"/>
      <c r="X533" s="257"/>
      <c r="Y533" s="257"/>
      <c r="Z533" s="257"/>
    </row>
    <row r="534" ht="15.75" customHeight="1">
      <c r="A534" s="257"/>
      <c r="B534" s="257"/>
      <c r="C534" s="257"/>
      <c r="D534" s="257"/>
      <c r="E534" s="257"/>
      <c r="F534" s="257"/>
      <c r="G534" s="257"/>
      <c r="H534" s="257"/>
      <c r="I534" s="257"/>
      <c r="J534" s="257"/>
      <c r="K534" s="257"/>
      <c r="L534" s="257"/>
      <c r="M534" s="257"/>
      <c r="N534" s="257"/>
      <c r="O534" s="257"/>
      <c r="P534" s="257"/>
      <c r="Q534" s="257"/>
      <c r="R534" s="257"/>
      <c r="S534" s="257"/>
      <c r="T534" s="257"/>
      <c r="U534" s="257"/>
      <c r="V534" s="257"/>
      <c r="W534" s="257"/>
      <c r="X534" s="257"/>
      <c r="Y534" s="257"/>
      <c r="Z534" s="257"/>
    </row>
    <row r="535" ht="15.75" customHeight="1">
      <c r="A535" s="257"/>
      <c r="B535" s="257"/>
      <c r="C535" s="257"/>
      <c r="D535" s="257"/>
      <c r="E535" s="257"/>
      <c r="F535" s="257"/>
      <c r="G535" s="257"/>
      <c r="H535" s="257"/>
      <c r="I535" s="257"/>
      <c r="J535" s="257"/>
      <c r="K535" s="257"/>
      <c r="L535" s="257"/>
      <c r="M535" s="257"/>
      <c r="N535" s="257"/>
      <c r="O535" s="257"/>
      <c r="P535" s="257"/>
      <c r="Q535" s="257"/>
      <c r="R535" s="257"/>
      <c r="S535" s="257"/>
      <c r="T535" s="257"/>
      <c r="U535" s="257"/>
      <c r="V535" s="257"/>
      <c r="W535" s="257"/>
      <c r="X535" s="257"/>
      <c r="Y535" s="257"/>
      <c r="Z535" s="257"/>
    </row>
    <row r="536" ht="15.75" customHeight="1">
      <c r="A536" s="257"/>
      <c r="B536" s="257"/>
      <c r="C536" s="257"/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7"/>
      <c r="P536" s="257"/>
      <c r="Q536" s="257"/>
      <c r="R536" s="257"/>
      <c r="S536" s="257"/>
      <c r="T536" s="257"/>
      <c r="U536" s="257"/>
      <c r="V536" s="257"/>
      <c r="W536" s="257"/>
      <c r="X536" s="257"/>
      <c r="Y536" s="257"/>
      <c r="Z536" s="257"/>
    </row>
    <row r="537" ht="15.75" customHeight="1">
      <c r="A537" s="257"/>
      <c r="B537" s="257"/>
      <c r="C537" s="257"/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57"/>
      <c r="O537" s="257"/>
      <c r="P537" s="257"/>
      <c r="Q537" s="257"/>
      <c r="R537" s="257"/>
      <c r="S537" s="257"/>
      <c r="T537" s="257"/>
      <c r="U537" s="257"/>
      <c r="V537" s="257"/>
      <c r="W537" s="257"/>
      <c r="X537" s="257"/>
      <c r="Y537" s="257"/>
      <c r="Z537" s="257"/>
    </row>
    <row r="538" ht="15.75" customHeight="1">
      <c r="A538" s="257"/>
      <c r="B538" s="257"/>
      <c r="C538" s="257"/>
      <c r="D538" s="257"/>
      <c r="E538" s="257"/>
      <c r="F538" s="257"/>
      <c r="G538" s="257"/>
      <c r="H538" s="257"/>
      <c r="I538" s="257"/>
      <c r="J538" s="257"/>
      <c r="K538" s="257"/>
      <c r="L538" s="257"/>
      <c r="M538" s="257"/>
      <c r="N538" s="257"/>
      <c r="O538" s="257"/>
      <c r="P538" s="257"/>
      <c r="Q538" s="257"/>
      <c r="R538" s="257"/>
      <c r="S538" s="257"/>
      <c r="T538" s="257"/>
      <c r="U538" s="257"/>
      <c r="V538" s="257"/>
      <c r="W538" s="257"/>
      <c r="X538" s="257"/>
      <c r="Y538" s="257"/>
      <c r="Z538" s="257"/>
    </row>
    <row r="539" ht="15.75" customHeight="1">
      <c r="A539" s="257"/>
      <c r="B539" s="257"/>
      <c r="C539" s="257"/>
      <c r="D539" s="257"/>
      <c r="E539" s="257"/>
      <c r="F539" s="257"/>
      <c r="G539" s="257"/>
      <c r="H539" s="257"/>
      <c r="I539" s="257"/>
      <c r="J539" s="257"/>
      <c r="K539" s="257"/>
      <c r="L539" s="257"/>
      <c r="M539" s="257"/>
      <c r="N539" s="257"/>
      <c r="O539" s="257"/>
      <c r="P539" s="257"/>
      <c r="Q539" s="257"/>
      <c r="R539" s="257"/>
      <c r="S539" s="257"/>
      <c r="T539" s="257"/>
      <c r="U539" s="257"/>
      <c r="V539" s="257"/>
      <c r="W539" s="257"/>
      <c r="X539" s="257"/>
      <c r="Y539" s="257"/>
      <c r="Z539" s="257"/>
    </row>
    <row r="540" ht="15.75" customHeight="1">
      <c r="A540" s="257"/>
      <c r="B540" s="257"/>
      <c r="C540" s="257"/>
      <c r="D540" s="257"/>
      <c r="E540" s="257"/>
      <c r="F540" s="257"/>
      <c r="G540" s="257"/>
      <c r="H540" s="257"/>
      <c r="I540" s="257"/>
      <c r="J540" s="257"/>
      <c r="K540" s="257"/>
      <c r="L540" s="257"/>
      <c r="M540" s="257"/>
      <c r="N540" s="257"/>
      <c r="O540" s="257"/>
      <c r="P540" s="257"/>
      <c r="Q540" s="257"/>
      <c r="R540" s="257"/>
      <c r="S540" s="257"/>
      <c r="T540" s="257"/>
      <c r="U540" s="257"/>
      <c r="V540" s="257"/>
      <c r="W540" s="257"/>
      <c r="X540" s="257"/>
      <c r="Y540" s="257"/>
      <c r="Z540" s="257"/>
    </row>
    <row r="541" ht="15.75" customHeight="1">
      <c r="A541" s="257"/>
      <c r="B541" s="257"/>
      <c r="C541" s="257"/>
      <c r="D541" s="257"/>
      <c r="E541" s="257"/>
      <c r="F541" s="257"/>
      <c r="G541" s="257"/>
      <c r="H541" s="257"/>
      <c r="I541" s="257"/>
      <c r="J541" s="257"/>
      <c r="K541" s="257"/>
      <c r="L541" s="257"/>
      <c r="M541" s="257"/>
      <c r="N541" s="257"/>
      <c r="O541" s="257"/>
      <c r="P541" s="257"/>
      <c r="Q541" s="257"/>
      <c r="R541" s="257"/>
      <c r="S541" s="257"/>
      <c r="T541" s="257"/>
      <c r="U541" s="257"/>
      <c r="V541" s="257"/>
      <c r="W541" s="257"/>
      <c r="X541" s="257"/>
      <c r="Y541" s="257"/>
      <c r="Z541" s="257"/>
    </row>
    <row r="542" ht="15.75" customHeight="1">
      <c r="A542" s="257"/>
      <c r="B542" s="257"/>
      <c r="C542" s="257"/>
      <c r="D542" s="257"/>
      <c r="E542" s="257"/>
      <c r="F542" s="257"/>
      <c r="G542" s="257"/>
      <c r="H542" s="257"/>
      <c r="I542" s="257"/>
      <c r="J542" s="257"/>
      <c r="K542" s="257"/>
      <c r="L542" s="257"/>
      <c r="M542" s="257"/>
      <c r="N542" s="257"/>
      <c r="O542" s="257"/>
      <c r="P542" s="257"/>
      <c r="Q542" s="257"/>
      <c r="R542" s="257"/>
      <c r="S542" s="257"/>
      <c r="T542" s="257"/>
      <c r="U542" s="257"/>
      <c r="V542" s="257"/>
      <c r="W542" s="257"/>
      <c r="X542" s="257"/>
      <c r="Y542" s="257"/>
      <c r="Z542" s="257"/>
    </row>
    <row r="543" ht="15.75" customHeight="1">
      <c r="A543" s="257"/>
      <c r="B543" s="257"/>
      <c r="C543" s="257"/>
      <c r="D543" s="257"/>
      <c r="E543" s="257"/>
      <c r="F543" s="257"/>
      <c r="G543" s="257"/>
      <c r="H543" s="257"/>
      <c r="I543" s="257"/>
      <c r="J543" s="257"/>
      <c r="K543" s="257"/>
      <c r="L543" s="257"/>
      <c r="M543" s="257"/>
      <c r="N543" s="257"/>
      <c r="O543" s="257"/>
      <c r="P543" s="257"/>
      <c r="Q543" s="257"/>
      <c r="R543" s="257"/>
      <c r="S543" s="257"/>
      <c r="T543" s="257"/>
      <c r="U543" s="257"/>
      <c r="V543" s="257"/>
      <c r="W543" s="257"/>
      <c r="X543" s="257"/>
      <c r="Y543" s="257"/>
      <c r="Z543" s="257"/>
    </row>
    <row r="544" ht="15.75" customHeight="1">
      <c r="A544" s="257"/>
      <c r="B544" s="257"/>
      <c r="C544" s="257"/>
      <c r="D544" s="257"/>
      <c r="E544" s="257"/>
      <c r="F544" s="257"/>
      <c r="G544" s="257"/>
      <c r="H544" s="257"/>
      <c r="I544" s="257"/>
      <c r="J544" s="257"/>
      <c r="K544" s="257"/>
      <c r="L544" s="257"/>
      <c r="M544" s="257"/>
      <c r="N544" s="257"/>
      <c r="O544" s="257"/>
      <c r="P544" s="257"/>
      <c r="Q544" s="257"/>
      <c r="R544" s="257"/>
      <c r="S544" s="257"/>
      <c r="T544" s="257"/>
      <c r="U544" s="257"/>
      <c r="V544" s="257"/>
      <c r="W544" s="257"/>
      <c r="X544" s="257"/>
      <c r="Y544" s="257"/>
      <c r="Z544" s="257"/>
    </row>
    <row r="545" ht="15.75" customHeight="1">
      <c r="A545" s="257"/>
      <c r="B545" s="257"/>
      <c r="C545" s="257"/>
      <c r="D545" s="257"/>
      <c r="E545" s="257"/>
      <c r="F545" s="257"/>
      <c r="G545" s="257"/>
      <c r="H545" s="257"/>
      <c r="I545" s="257"/>
      <c r="J545" s="257"/>
      <c r="K545" s="257"/>
      <c r="L545" s="257"/>
      <c r="M545" s="257"/>
      <c r="N545" s="257"/>
      <c r="O545" s="257"/>
      <c r="P545" s="257"/>
      <c r="Q545" s="257"/>
      <c r="R545" s="257"/>
      <c r="S545" s="257"/>
      <c r="T545" s="257"/>
      <c r="U545" s="257"/>
      <c r="V545" s="257"/>
      <c r="W545" s="257"/>
      <c r="X545" s="257"/>
      <c r="Y545" s="257"/>
      <c r="Z545" s="257"/>
    </row>
    <row r="546" ht="15.75" customHeight="1">
      <c r="A546" s="257"/>
      <c r="B546" s="257"/>
      <c r="C546" s="257"/>
      <c r="D546" s="257"/>
      <c r="E546" s="257"/>
      <c r="F546" s="257"/>
      <c r="G546" s="257"/>
      <c r="H546" s="257"/>
      <c r="I546" s="257"/>
      <c r="J546" s="257"/>
      <c r="K546" s="257"/>
      <c r="L546" s="257"/>
      <c r="M546" s="257"/>
      <c r="N546" s="257"/>
      <c r="O546" s="257"/>
      <c r="P546" s="257"/>
      <c r="Q546" s="257"/>
      <c r="R546" s="257"/>
      <c r="S546" s="257"/>
      <c r="T546" s="257"/>
      <c r="U546" s="257"/>
      <c r="V546" s="257"/>
      <c r="W546" s="257"/>
      <c r="X546" s="257"/>
      <c r="Y546" s="257"/>
      <c r="Z546" s="257"/>
    </row>
    <row r="547" ht="15.75" customHeight="1">
      <c r="A547" s="257"/>
      <c r="B547" s="257"/>
      <c r="C547" s="257"/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57"/>
      <c r="O547" s="257"/>
      <c r="P547" s="257"/>
      <c r="Q547" s="257"/>
      <c r="R547" s="257"/>
      <c r="S547" s="257"/>
      <c r="T547" s="257"/>
      <c r="U547" s="257"/>
      <c r="V547" s="257"/>
      <c r="W547" s="257"/>
      <c r="X547" s="257"/>
      <c r="Y547" s="257"/>
      <c r="Z547" s="257"/>
    </row>
    <row r="548" ht="15.75" customHeight="1">
      <c r="A548" s="257"/>
      <c r="B548" s="257"/>
      <c r="C548" s="257"/>
      <c r="D548" s="257"/>
      <c r="E548" s="257"/>
      <c r="F548" s="257"/>
      <c r="G548" s="257"/>
      <c r="H548" s="257"/>
      <c r="I548" s="257"/>
      <c r="J548" s="257"/>
      <c r="K548" s="257"/>
      <c r="L548" s="257"/>
      <c r="M548" s="257"/>
      <c r="N548" s="257"/>
      <c r="O548" s="257"/>
      <c r="P548" s="257"/>
      <c r="Q548" s="257"/>
      <c r="R548" s="257"/>
      <c r="S548" s="257"/>
      <c r="T548" s="257"/>
      <c r="U548" s="257"/>
      <c r="V548" s="257"/>
      <c r="W548" s="257"/>
      <c r="X548" s="257"/>
      <c r="Y548" s="257"/>
      <c r="Z548" s="257"/>
    </row>
    <row r="549" ht="15.75" customHeight="1">
      <c r="A549" s="257"/>
      <c r="B549" s="257"/>
      <c r="C549" s="257"/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57"/>
      <c r="O549" s="257"/>
      <c r="P549" s="257"/>
      <c r="Q549" s="257"/>
      <c r="R549" s="257"/>
      <c r="S549" s="257"/>
      <c r="T549" s="257"/>
      <c r="U549" s="257"/>
      <c r="V549" s="257"/>
      <c r="W549" s="257"/>
      <c r="X549" s="257"/>
      <c r="Y549" s="257"/>
      <c r="Z549" s="257"/>
    </row>
    <row r="550" ht="15.75" customHeight="1">
      <c r="A550" s="257"/>
      <c r="B550" s="257"/>
      <c r="C550" s="257"/>
      <c r="D550" s="257"/>
      <c r="E550" s="257"/>
      <c r="F550" s="257"/>
      <c r="G550" s="257"/>
      <c r="H550" s="257"/>
      <c r="I550" s="257"/>
      <c r="J550" s="257"/>
      <c r="K550" s="257"/>
      <c r="L550" s="257"/>
      <c r="M550" s="257"/>
      <c r="N550" s="257"/>
      <c r="O550" s="257"/>
      <c r="P550" s="257"/>
      <c r="Q550" s="257"/>
      <c r="R550" s="257"/>
      <c r="S550" s="257"/>
      <c r="T550" s="257"/>
      <c r="U550" s="257"/>
      <c r="V550" s="257"/>
      <c r="W550" s="257"/>
      <c r="X550" s="257"/>
      <c r="Y550" s="257"/>
      <c r="Z550" s="257"/>
    </row>
    <row r="551" ht="15.75" customHeight="1">
      <c r="A551" s="257"/>
      <c r="B551" s="257"/>
      <c r="C551" s="257"/>
      <c r="D551" s="257"/>
      <c r="E551" s="257"/>
      <c r="F551" s="257"/>
      <c r="G551" s="257"/>
      <c r="H551" s="257"/>
      <c r="I551" s="257"/>
      <c r="J551" s="257"/>
      <c r="K551" s="257"/>
      <c r="L551" s="257"/>
      <c r="M551" s="257"/>
      <c r="N551" s="257"/>
      <c r="O551" s="257"/>
      <c r="P551" s="257"/>
      <c r="Q551" s="257"/>
      <c r="R551" s="257"/>
      <c r="S551" s="257"/>
      <c r="T551" s="257"/>
      <c r="U551" s="257"/>
      <c r="V551" s="257"/>
      <c r="W551" s="257"/>
      <c r="X551" s="257"/>
      <c r="Y551" s="257"/>
      <c r="Z551" s="257"/>
    </row>
    <row r="552" ht="15.75" customHeight="1">
      <c r="A552" s="257"/>
      <c r="B552" s="257"/>
      <c r="C552" s="257"/>
      <c r="D552" s="257"/>
      <c r="E552" s="257"/>
      <c r="F552" s="257"/>
      <c r="G552" s="257"/>
      <c r="H552" s="257"/>
      <c r="I552" s="257"/>
      <c r="J552" s="257"/>
      <c r="K552" s="257"/>
      <c r="L552" s="257"/>
      <c r="M552" s="257"/>
      <c r="N552" s="257"/>
      <c r="O552" s="257"/>
      <c r="P552" s="257"/>
      <c r="Q552" s="257"/>
      <c r="R552" s="257"/>
      <c r="S552" s="257"/>
      <c r="T552" s="257"/>
      <c r="U552" s="257"/>
      <c r="V552" s="257"/>
      <c r="W552" s="257"/>
      <c r="X552" s="257"/>
      <c r="Y552" s="257"/>
      <c r="Z552" s="257"/>
    </row>
    <row r="553" ht="15.75" customHeight="1">
      <c r="A553" s="257"/>
      <c r="B553" s="257"/>
      <c r="C553" s="257"/>
      <c r="D553" s="257"/>
      <c r="E553" s="257"/>
      <c r="F553" s="257"/>
      <c r="G553" s="257"/>
      <c r="H553" s="257"/>
      <c r="I553" s="257"/>
      <c r="J553" s="257"/>
      <c r="K553" s="257"/>
      <c r="L553" s="257"/>
      <c r="M553" s="257"/>
      <c r="N553" s="257"/>
      <c r="O553" s="257"/>
      <c r="P553" s="257"/>
      <c r="Q553" s="257"/>
      <c r="R553" s="257"/>
      <c r="S553" s="257"/>
      <c r="T553" s="257"/>
      <c r="U553" s="257"/>
      <c r="V553" s="257"/>
      <c r="W553" s="257"/>
      <c r="X553" s="257"/>
      <c r="Y553" s="257"/>
      <c r="Z553" s="257"/>
    </row>
    <row r="554" ht="15.75" customHeight="1">
      <c r="A554" s="257"/>
      <c r="B554" s="257"/>
      <c r="C554" s="257"/>
      <c r="D554" s="257"/>
      <c r="E554" s="257"/>
      <c r="F554" s="257"/>
      <c r="G554" s="257"/>
      <c r="H554" s="257"/>
      <c r="I554" s="257"/>
      <c r="J554" s="257"/>
      <c r="K554" s="257"/>
      <c r="L554" s="257"/>
      <c r="M554" s="257"/>
      <c r="N554" s="257"/>
      <c r="O554" s="257"/>
      <c r="P554" s="257"/>
      <c r="Q554" s="257"/>
      <c r="R554" s="257"/>
      <c r="S554" s="257"/>
      <c r="T554" s="257"/>
      <c r="U554" s="257"/>
      <c r="V554" s="257"/>
      <c r="W554" s="257"/>
      <c r="X554" s="257"/>
      <c r="Y554" s="257"/>
      <c r="Z554" s="257"/>
    </row>
    <row r="555" ht="15.75" customHeight="1">
      <c r="A555" s="257"/>
      <c r="B555" s="257"/>
      <c r="C555" s="257"/>
      <c r="D555" s="257"/>
      <c r="E555" s="257"/>
      <c r="F555" s="257"/>
      <c r="G555" s="257"/>
      <c r="H555" s="257"/>
      <c r="I555" s="257"/>
      <c r="J555" s="257"/>
      <c r="K555" s="257"/>
      <c r="L555" s="257"/>
      <c r="M555" s="257"/>
      <c r="N555" s="257"/>
      <c r="O555" s="257"/>
      <c r="P555" s="257"/>
      <c r="Q555" s="257"/>
      <c r="R555" s="257"/>
      <c r="S555" s="257"/>
      <c r="T555" s="257"/>
      <c r="U555" s="257"/>
      <c r="V555" s="257"/>
      <c r="W555" s="257"/>
      <c r="X555" s="257"/>
      <c r="Y555" s="257"/>
      <c r="Z555" s="257"/>
    </row>
    <row r="556" ht="15.75" customHeight="1">
      <c r="A556" s="257"/>
      <c r="B556" s="257"/>
      <c r="C556" s="257"/>
      <c r="D556" s="257"/>
      <c r="E556" s="257"/>
      <c r="F556" s="257"/>
      <c r="G556" s="257"/>
      <c r="H556" s="257"/>
      <c r="I556" s="257"/>
      <c r="J556" s="257"/>
      <c r="K556" s="257"/>
      <c r="L556" s="257"/>
      <c r="M556" s="257"/>
      <c r="N556" s="257"/>
      <c r="O556" s="257"/>
      <c r="P556" s="257"/>
      <c r="Q556" s="257"/>
      <c r="R556" s="257"/>
      <c r="S556" s="257"/>
      <c r="T556" s="257"/>
      <c r="U556" s="257"/>
      <c r="V556" s="257"/>
      <c r="W556" s="257"/>
      <c r="X556" s="257"/>
      <c r="Y556" s="257"/>
      <c r="Z556" s="257"/>
    </row>
    <row r="557" ht="15.75" customHeight="1">
      <c r="A557" s="257"/>
      <c r="B557" s="257"/>
      <c r="C557" s="257"/>
      <c r="D557" s="257"/>
      <c r="E557" s="257"/>
      <c r="F557" s="257"/>
      <c r="G557" s="257"/>
      <c r="H557" s="257"/>
      <c r="I557" s="257"/>
      <c r="J557" s="257"/>
      <c r="K557" s="257"/>
      <c r="L557" s="257"/>
      <c r="M557" s="257"/>
      <c r="N557" s="257"/>
      <c r="O557" s="257"/>
      <c r="P557" s="257"/>
      <c r="Q557" s="257"/>
      <c r="R557" s="257"/>
      <c r="S557" s="257"/>
      <c r="T557" s="257"/>
      <c r="U557" s="257"/>
      <c r="V557" s="257"/>
      <c r="W557" s="257"/>
      <c r="X557" s="257"/>
      <c r="Y557" s="257"/>
      <c r="Z557" s="257"/>
    </row>
    <row r="558" ht="15.75" customHeight="1">
      <c r="A558" s="257"/>
      <c r="B558" s="257"/>
      <c r="C558" s="257"/>
      <c r="D558" s="257"/>
      <c r="E558" s="257"/>
      <c r="F558" s="257"/>
      <c r="G558" s="257"/>
      <c r="H558" s="257"/>
      <c r="I558" s="257"/>
      <c r="J558" s="257"/>
      <c r="K558" s="257"/>
      <c r="L558" s="257"/>
      <c r="M558" s="257"/>
      <c r="N558" s="257"/>
      <c r="O558" s="257"/>
      <c r="P558" s="257"/>
      <c r="Q558" s="257"/>
      <c r="R558" s="257"/>
      <c r="S558" s="257"/>
      <c r="T558" s="257"/>
      <c r="U558" s="257"/>
      <c r="V558" s="257"/>
      <c r="W558" s="257"/>
      <c r="X558" s="257"/>
      <c r="Y558" s="257"/>
      <c r="Z558" s="257"/>
    </row>
    <row r="559" ht="15.75" customHeight="1">
      <c r="A559" s="257"/>
      <c r="B559" s="257"/>
      <c r="C559" s="257"/>
      <c r="D559" s="257"/>
      <c r="E559" s="257"/>
      <c r="F559" s="257"/>
      <c r="G559" s="257"/>
      <c r="H559" s="257"/>
      <c r="I559" s="257"/>
      <c r="J559" s="257"/>
      <c r="K559" s="257"/>
      <c r="L559" s="257"/>
      <c r="M559" s="257"/>
      <c r="N559" s="257"/>
      <c r="O559" s="257"/>
      <c r="P559" s="257"/>
      <c r="Q559" s="257"/>
      <c r="R559" s="257"/>
      <c r="S559" s="257"/>
      <c r="T559" s="257"/>
      <c r="U559" s="257"/>
      <c r="V559" s="257"/>
      <c r="W559" s="257"/>
      <c r="X559" s="257"/>
      <c r="Y559" s="257"/>
      <c r="Z559" s="257"/>
    </row>
    <row r="560" ht="15.75" customHeight="1">
      <c r="A560" s="257"/>
      <c r="B560" s="257"/>
      <c r="C560" s="257"/>
      <c r="D560" s="257"/>
      <c r="E560" s="257"/>
      <c r="F560" s="257"/>
      <c r="G560" s="257"/>
      <c r="H560" s="257"/>
      <c r="I560" s="257"/>
      <c r="J560" s="257"/>
      <c r="K560" s="257"/>
      <c r="L560" s="257"/>
      <c r="M560" s="257"/>
      <c r="N560" s="257"/>
      <c r="O560" s="257"/>
      <c r="P560" s="257"/>
      <c r="Q560" s="257"/>
      <c r="R560" s="257"/>
      <c r="S560" s="257"/>
      <c r="T560" s="257"/>
      <c r="U560" s="257"/>
      <c r="V560" s="257"/>
      <c r="W560" s="257"/>
      <c r="X560" s="257"/>
      <c r="Y560" s="257"/>
      <c r="Z560" s="257"/>
    </row>
    <row r="561" ht="15.75" customHeight="1">
      <c r="A561" s="257"/>
      <c r="B561" s="257"/>
      <c r="C561" s="257"/>
      <c r="D561" s="257"/>
      <c r="E561" s="257"/>
      <c r="F561" s="257"/>
      <c r="G561" s="257"/>
      <c r="H561" s="257"/>
      <c r="I561" s="257"/>
      <c r="J561" s="257"/>
      <c r="K561" s="257"/>
      <c r="L561" s="257"/>
      <c r="M561" s="257"/>
      <c r="N561" s="257"/>
      <c r="O561" s="257"/>
      <c r="P561" s="257"/>
      <c r="Q561" s="257"/>
      <c r="R561" s="257"/>
      <c r="S561" s="257"/>
      <c r="T561" s="257"/>
      <c r="U561" s="257"/>
      <c r="V561" s="257"/>
      <c r="W561" s="257"/>
      <c r="X561" s="257"/>
      <c r="Y561" s="257"/>
      <c r="Z561" s="257"/>
    </row>
    <row r="562" ht="15.75" customHeight="1">
      <c r="A562" s="257"/>
      <c r="B562" s="257"/>
      <c r="C562" s="257"/>
      <c r="D562" s="257"/>
      <c r="E562" s="257"/>
      <c r="F562" s="257"/>
      <c r="G562" s="257"/>
      <c r="H562" s="257"/>
      <c r="I562" s="257"/>
      <c r="J562" s="257"/>
      <c r="K562" s="257"/>
      <c r="L562" s="257"/>
      <c r="M562" s="257"/>
      <c r="N562" s="257"/>
      <c r="O562" s="257"/>
      <c r="P562" s="257"/>
      <c r="Q562" s="257"/>
      <c r="R562" s="257"/>
      <c r="S562" s="257"/>
      <c r="T562" s="257"/>
      <c r="U562" s="257"/>
      <c r="V562" s="257"/>
      <c r="W562" s="257"/>
      <c r="X562" s="257"/>
      <c r="Y562" s="257"/>
      <c r="Z562" s="257"/>
    </row>
    <row r="563" ht="15.75" customHeight="1">
      <c r="A563" s="257"/>
      <c r="B563" s="257"/>
      <c r="C563" s="257"/>
      <c r="D563" s="257"/>
      <c r="E563" s="257"/>
      <c r="F563" s="257"/>
      <c r="G563" s="257"/>
      <c r="H563" s="257"/>
      <c r="I563" s="257"/>
      <c r="J563" s="257"/>
      <c r="K563" s="257"/>
      <c r="L563" s="257"/>
      <c r="M563" s="257"/>
      <c r="N563" s="257"/>
      <c r="O563" s="257"/>
      <c r="P563" s="257"/>
      <c r="Q563" s="257"/>
      <c r="R563" s="257"/>
      <c r="S563" s="257"/>
      <c r="T563" s="257"/>
      <c r="U563" s="257"/>
      <c r="V563" s="257"/>
      <c r="W563" s="257"/>
      <c r="X563" s="257"/>
      <c r="Y563" s="257"/>
      <c r="Z563" s="257"/>
    </row>
    <row r="564" ht="15.75" customHeight="1">
      <c r="A564" s="257"/>
      <c r="B564" s="257"/>
      <c r="C564" s="257"/>
      <c r="D564" s="257"/>
      <c r="E564" s="257"/>
      <c r="F564" s="257"/>
      <c r="G564" s="257"/>
      <c r="H564" s="257"/>
      <c r="I564" s="257"/>
      <c r="J564" s="257"/>
      <c r="K564" s="257"/>
      <c r="L564" s="257"/>
      <c r="M564" s="257"/>
      <c r="N564" s="257"/>
      <c r="O564" s="257"/>
      <c r="P564" s="257"/>
      <c r="Q564" s="257"/>
      <c r="R564" s="257"/>
      <c r="S564" s="257"/>
      <c r="T564" s="257"/>
      <c r="U564" s="257"/>
      <c r="V564" s="257"/>
      <c r="W564" s="257"/>
      <c r="X564" s="257"/>
      <c r="Y564" s="257"/>
      <c r="Z564" s="257"/>
    </row>
    <row r="565" ht="15.75" customHeight="1">
      <c r="A565" s="257"/>
      <c r="B565" s="257"/>
      <c r="C565" s="257"/>
      <c r="D565" s="257"/>
      <c r="E565" s="257"/>
      <c r="F565" s="257"/>
      <c r="G565" s="257"/>
      <c r="H565" s="257"/>
      <c r="I565" s="257"/>
      <c r="J565" s="257"/>
      <c r="K565" s="257"/>
      <c r="L565" s="257"/>
      <c r="M565" s="257"/>
      <c r="N565" s="257"/>
      <c r="O565" s="257"/>
      <c r="P565" s="257"/>
      <c r="Q565" s="257"/>
      <c r="R565" s="257"/>
      <c r="S565" s="257"/>
      <c r="T565" s="257"/>
      <c r="U565" s="257"/>
      <c r="V565" s="257"/>
      <c r="W565" s="257"/>
      <c r="X565" s="257"/>
      <c r="Y565" s="257"/>
      <c r="Z565" s="257"/>
    </row>
    <row r="566" ht="15.75" customHeight="1">
      <c r="A566" s="257"/>
      <c r="B566" s="257"/>
      <c r="C566" s="257"/>
      <c r="D566" s="257"/>
      <c r="E566" s="257"/>
      <c r="F566" s="257"/>
      <c r="G566" s="257"/>
      <c r="H566" s="257"/>
      <c r="I566" s="257"/>
      <c r="J566" s="257"/>
      <c r="K566" s="257"/>
      <c r="L566" s="257"/>
      <c r="M566" s="257"/>
      <c r="N566" s="257"/>
      <c r="O566" s="257"/>
      <c r="P566" s="257"/>
      <c r="Q566" s="257"/>
      <c r="R566" s="257"/>
      <c r="S566" s="257"/>
      <c r="T566" s="257"/>
      <c r="U566" s="257"/>
      <c r="V566" s="257"/>
      <c r="W566" s="257"/>
      <c r="X566" s="257"/>
      <c r="Y566" s="257"/>
      <c r="Z566" s="257"/>
    </row>
    <row r="567" ht="15.75" customHeight="1">
      <c r="A567" s="257"/>
      <c r="B567" s="257"/>
      <c r="C567" s="257"/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7"/>
      <c r="Q567" s="257"/>
      <c r="R567" s="257"/>
      <c r="S567" s="257"/>
      <c r="T567" s="257"/>
      <c r="U567" s="257"/>
      <c r="V567" s="257"/>
      <c r="W567" s="257"/>
      <c r="X567" s="257"/>
      <c r="Y567" s="257"/>
      <c r="Z567" s="257"/>
    </row>
    <row r="568" ht="15.75" customHeight="1">
      <c r="A568" s="257"/>
      <c r="B568" s="257"/>
      <c r="C568" s="257"/>
      <c r="D568" s="257"/>
      <c r="E568" s="257"/>
      <c r="F568" s="257"/>
      <c r="G568" s="257"/>
      <c r="H568" s="257"/>
      <c r="I568" s="257"/>
      <c r="J568" s="257"/>
      <c r="K568" s="257"/>
      <c r="L568" s="257"/>
      <c r="M568" s="257"/>
      <c r="N568" s="257"/>
      <c r="O568" s="257"/>
      <c r="P568" s="257"/>
      <c r="Q568" s="257"/>
      <c r="R568" s="257"/>
      <c r="S568" s="257"/>
      <c r="T568" s="257"/>
      <c r="U568" s="257"/>
      <c r="V568" s="257"/>
      <c r="W568" s="257"/>
      <c r="X568" s="257"/>
      <c r="Y568" s="257"/>
      <c r="Z568" s="257"/>
    </row>
    <row r="569" ht="15.75" customHeight="1">
      <c r="A569" s="257"/>
      <c r="B569" s="257"/>
      <c r="C569" s="257"/>
      <c r="D569" s="257"/>
      <c r="E569" s="257"/>
      <c r="F569" s="257"/>
      <c r="G569" s="257"/>
      <c r="H569" s="257"/>
      <c r="I569" s="257"/>
      <c r="J569" s="257"/>
      <c r="K569" s="257"/>
      <c r="L569" s="257"/>
      <c r="M569" s="257"/>
      <c r="N569" s="257"/>
      <c r="O569" s="257"/>
      <c r="P569" s="257"/>
      <c r="Q569" s="257"/>
      <c r="R569" s="257"/>
      <c r="S569" s="257"/>
      <c r="T569" s="257"/>
      <c r="U569" s="257"/>
      <c r="V569" s="257"/>
      <c r="W569" s="257"/>
      <c r="X569" s="257"/>
      <c r="Y569" s="257"/>
      <c r="Z569" s="257"/>
    </row>
    <row r="570" ht="15.75" customHeight="1">
      <c r="A570" s="257"/>
      <c r="B570" s="257"/>
      <c r="C570" s="257"/>
      <c r="D570" s="257"/>
      <c r="E570" s="257"/>
      <c r="F570" s="257"/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/>
      <c r="T570" s="257"/>
      <c r="U570" s="257"/>
      <c r="V570" s="257"/>
      <c r="W570" s="257"/>
      <c r="X570" s="257"/>
      <c r="Y570" s="257"/>
      <c r="Z570" s="257"/>
    </row>
    <row r="571" ht="15.75" customHeight="1">
      <c r="A571" s="257"/>
      <c r="B571" s="257"/>
      <c r="C571" s="257"/>
      <c r="D571" s="257"/>
      <c r="E571" s="257"/>
      <c r="F571" s="257"/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/>
      <c r="T571" s="257"/>
      <c r="U571" s="257"/>
      <c r="V571" s="257"/>
      <c r="W571" s="257"/>
      <c r="X571" s="257"/>
      <c r="Y571" s="257"/>
      <c r="Z571" s="257"/>
    </row>
    <row r="572" ht="15.75" customHeight="1">
      <c r="A572" s="257"/>
      <c r="B572" s="257"/>
      <c r="C572" s="257"/>
      <c r="D572" s="257"/>
      <c r="E572" s="257"/>
      <c r="F572" s="257"/>
      <c r="G572" s="257"/>
      <c r="H572" s="257"/>
      <c r="I572" s="257"/>
      <c r="J572" s="257"/>
      <c r="K572" s="257"/>
      <c r="L572" s="257"/>
      <c r="M572" s="257"/>
      <c r="N572" s="257"/>
      <c r="O572" s="257"/>
      <c r="P572" s="257"/>
      <c r="Q572" s="257"/>
      <c r="R572" s="257"/>
      <c r="S572" s="257"/>
      <c r="T572" s="257"/>
      <c r="U572" s="257"/>
      <c r="V572" s="257"/>
      <c r="W572" s="257"/>
      <c r="X572" s="257"/>
      <c r="Y572" s="257"/>
      <c r="Z572" s="257"/>
    </row>
    <row r="573" ht="15.75" customHeight="1">
      <c r="A573" s="257"/>
      <c r="B573" s="257"/>
      <c r="C573" s="257"/>
      <c r="D573" s="257"/>
      <c r="E573" s="257"/>
      <c r="F573" s="257"/>
      <c r="G573" s="257"/>
      <c r="H573" s="257"/>
      <c r="I573" s="257"/>
      <c r="J573" s="257"/>
      <c r="K573" s="257"/>
      <c r="L573" s="257"/>
      <c r="M573" s="257"/>
      <c r="N573" s="257"/>
      <c r="O573" s="257"/>
      <c r="P573" s="257"/>
      <c r="Q573" s="257"/>
      <c r="R573" s="257"/>
      <c r="S573" s="257"/>
      <c r="T573" s="257"/>
      <c r="U573" s="257"/>
      <c r="V573" s="257"/>
      <c r="W573" s="257"/>
      <c r="X573" s="257"/>
      <c r="Y573" s="257"/>
      <c r="Z573" s="257"/>
    </row>
    <row r="574" ht="15.75" customHeight="1">
      <c r="A574" s="257"/>
      <c r="B574" s="257"/>
      <c r="C574" s="257"/>
      <c r="D574" s="257"/>
      <c r="E574" s="257"/>
      <c r="F574" s="257"/>
      <c r="G574" s="257"/>
      <c r="H574" s="257"/>
      <c r="I574" s="257"/>
      <c r="J574" s="257"/>
      <c r="K574" s="257"/>
      <c r="L574" s="257"/>
      <c r="M574" s="257"/>
      <c r="N574" s="257"/>
      <c r="O574" s="257"/>
      <c r="P574" s="257"/>
      <c r="Q574" s="257"/>
      <c r="R574" s="257"/>
      <c r="S574" s="257"/>
      <c r="T574" s="257"/>
      <c r="U574" s="257"/>
      <c r="V574" s="257"/>
      <c r="W574" s="257"/>
      <c r="X574" s="257"/>
      <c r="Y574" s="257"/>
      <c r="Z574" s="257"/>
    </row>
    <row r="575" ht="15.75" customHeight="1">
      <c r="A575" s="257"/>
      <c r="B575" s="257"/>
      <c r="C575" s="257"/>
      <c r="D575" s="257"/>
      <c r="E575" s="257"/>
      <c r="F575" s="257"/>
      <c r="G575" s="257"/>
      <c r="H575" s="257"/>
      <c r="I575" s="257"/>
      <c r="J575" s="257"/>
      <c r="K575" s="257"/>
      <c r="L575" s="257"/>
      <c r="M575" s="257"/>
      <c r="N575" s="257"/>
      <c r="O575" s="257"/>
      <c r="P575" s="257"/>
      <c r="Q575" s="257"/>
      <c r="R575" s="257"/>
      <c r="S575" s="257"/>
      <c r="T575" s="257"/>
      <c r="U575" s="257"/>
      <c r="V575" s="257"/>
      <c r="W575" s="257"/>
      <c r="X575" s="257"/>
      <c r="Y575" s="257"/>
      <c r="Z575" s="257"/>
    </row>
    <row r="576" ht="15.75" customHeight="1">
      <c r="A576" s="257"/>
      <c r="B576" s="257"/>
      <c r="C576" s="257"/>
      <c r="D576" s="257"/>
      <c r="E576" s="257"/>
      <c r="F576" s="257"/>
      <c r="G576" s="257"/>
      <c r="H576" s="257"/>
      <c r="I576" s="257"/>
      <c r="J576" s="257"/>
      <c r="K576" s="257"/>
      <c r="L576" s="257"/>
      <c r="M576" s="257"/>
      <c r="N576" s="257"/>
      <c r="O576" s="257"/>
      <c r="P576" s="257"/>
      <c r="Q576" s="257"/>
      <c r="R576" s="257"/>
      <c r="S576" s="257"/>
      <c r="T576" s="257"/>
      <c r="U576" s="257"/>
      <c r="V576" s="257"/>
      <c r="W576" s="257"/>
      <c r="X576" s="257"/>
      <c r="Y576" s="257"/>
      <c r="Z576" s="257"/>
    </row>
    <row r="577" ht="15.75" customHeight="1">
      <c r="A577" s="257"/>
      <c r="B577" s="257"/>
      <c r="C577" s="257"/>
      <c r="D577" s="257"/>
      <c r="E577" s="257"/>
      <c r="F577" s="257"/>
      <c r="G577" s="257"/>
      <c r="H577" s="257"/>
      <c r="I577" s="257"/>
      <c r="J577" s="257"/>
      <c r="K577" s="257"/>
      <c r="L577" s="257"/>
      <c r="M577" s="257"/>
      <c r="N577" s="257"/>
      <c r="O577" s="257"/>
      <c r="P577" s="257"/>
      <c r="Q577" s="257"/>
      <c r="R577" s="257"/>
      <c r="S577" s="257"/>
      <c r="T577" s="257"/>
      <c r="U577" s="257"/>
      <c r="V577" s="257"/>
      <c r="W577" s="257"/>
      <c r="X577" s="257"/>
      <c r="Y577" s="257"/>
      <c r="Z577" s="257"/>
    </row>
    <row r="578" ht="15.75" customHeight="1">
      <c r="A578" s="257"/>
      <c r="B578" s="257"/>
      <c r="C578" s="257"/>
      <c r="D578" s="257"/>
      <c r="E578" s="257"/>
      <c r="F578" s="257"/>
      <c r="G578" s="257"/>
      <c r="H578" s="257"/>
      <c r="I578" s="257"/>
      <c r="J578" s="257"/>
      <c r="K578" s="257"/>
      <c r="L578" s="257"/>
      <c r="M578" s="257"/>
      <c r="N578" s="257"/>
      <c r="O578" s="257"/>
      <c r="P578" s="257"/>
      <c r="Q578" s="257"/>
      <c r="R578" s="257"/>
      <c r="S578" s="257"/>
      <c r="T578" s="257"/>
      <c r="U578" s="257"/>
      <c r="V578" s="257"/>
      <c r="W578" s="257"/>
      <c r="X578" s="257"/>
      <c r="Y578" s="257"/>
      <c r="Z578" s="257"/>
    </row>
    <row r="579" ht="15.75" customHeight="1">
      <c r="A579" s="257"/>
      <c r="B579" s="257"/>
      <c r="C579" s="257"/>
      <c r="D579" s="257"/>
      <c r="E579" s="257"/>
      <c r="F579" s="257"/>
      <c r="G579" s="257"/>
      <c r="H579" s="257"/>
      <c r="I579" s="257"/>
      <c r="J579" s="257"/>
      <c r="K579" s="257"/>
      <c r="L579" s="257"/>
      <c r="M579" s="257"/>
      <c r="N579" s="257"/>
      <c r="O579" s="257"/>
      <c r="P579" s="257"/>
      <c r="Q579" s="257"/>
      <c r="R579" s="257"/>
      <c r="S579" s="257"/>
      <c r="T579" s="257"/>
      <c r="U579" s="257"/>
      <c r="V579" s="257"/>
      <c r="W579" s="257"/>
      <c r="X579" s="257"/>
      <c r="Y579" s="257"/>
      <c r="Z579" s="257"/>
    </row>
    <row r="580" ht="15.75" customHeight="1">
      <c r="A580" s="257"/>
      <c r="B580" s="257"/>
      <c r="C580" s="257"/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7"/>
      <c r="P580" s="257"/>
      <c r="Q580" s="257"/>
      <c r="R580" s="257"/>
      <c r="S580" s="257"/>
      <c r="T580" s="257"/>
      <c r="U580" s="257"/>
      <c r="V580" s="257"/>
      <c r="W580" s="257"/>
      <c r="X580" s="257"/>
      <c r="Y580" s="257"/>
      <c r="Z580" s="257"/>
    </row>
    <row r="581" ht="15.75" customHeight="1">
      <c r="A581" s="257"/>
      <c r="B581" s="257"/>
      <c r="C581" s="257"/>
      <c r="D581" s="257"/>
      <c r="E581" s="257"/>
      <c r="F581" s="257"/>
      <c r="G581" s="257"/>
      <c r="H581" s="257"/>
      <c r="I581" s="257"/>
      <c r="J581" s="257"/>
      <c r="K581" s="257"/>
      <c r="L581" s="257"/>
      <c r="M581" s="257"/>
      <c r="N581" s="257"/>
      <c r="O581" s="257"/>
      <c r="P581" s="257"/>
      <c r="Q581" s="257"/>
      <c r="R581" s="257"/>
      <c r="S581" s="257"/>
      <c r="T581" s="257"/>
      <c r="U581" s="257"/>
      <c r="V581" s="257"/>
      <c r="W581" s="257"/>
      <c r="X581" s="257"/>
      <c r="Y581" s="257"/>
      <c r="Z581" s="257"/>
    </row>
    <row r="582" ht="15.75" customHeight="1">
      <c r="A582" s="257"/>
      <c r="B582" s="257"/>
      <c r="C582" s="257"/>
      <c r="D582" s="257"/>
      <c r="E582" s="257"/>
      <c r="F582" s="257"/>
      <c r="G582" s="257"/>
      <c r="H582" s="257"/>
      <c r="I582" s="257"/>
      <c r="J582" s="257"/>
      <c r="K582" s="257"/>
      <c r="L582" s="257"/>
      <c r="M582" s="257"/>
      <c r="N582" s="257"/>
      <c r="O582" s="257"/>
      <c r="P582" s="257"/>
      <c r="Q582" s="257"/>
      <c r="R582" s="257"/>
      <c r="S582" s="257"/>
      <c r="T582" s="257"/>
      <c r="U582" s="257"/>
      <c r="V582" s="257"/>
      <c r="W582" s="257"/>
      <c r="X582" s="257"/>
      <c r="Y582" s="257"/>
      <c r="Z582" s="257"/>
    </row>
    <row r="583" ht="15.75" customHeight="1">
      <c r="A583" s="257"/>
      <c r="B583" s="257"/>
      <c r="C583" s="257"/>
      <c r="D583" s="257"/>
      <c r="E583" s="257"/>
      <c r="F583" s="257"/>
      <c r="G583" s="257"/>
      <c r="H583" s="257"/>
      <c r="I583" s="257"/>
      <c r="J583" s="257"/>
      <c r="K583" s="257"/>
      <c r="L583" s="257"/>
      <c r="M583" s="257"/>
      <c r="N583" s="257"/>
      <c r="O583" s="257"/>
      <c r="P583" s="257"/>
      <c r="Q583" s="257"/>
      <c r="R583" s="257"/>
      <c r="S583" s="257"/>
      <c r="T583" s="257"/>
      <c r="U583" s="257"/>
      <c r="V583" s="257"/>
      <c r="W583" s="257"/>
      <c r="X583" s="257"/>
      <c r="Y583" s="257"/>
      <c r="Z583" s="257"/>
    </row>
    <row r="584" ht="15.75" customHeight="1">
      <c r="A584" s="257"/>
      <c r="B584" s="257"/>
      <c r="C584" s="257"/>
      <c r="D584" s="257"/>
      <c r="E584" s="257"/>
      <c r="F584" s="257"/>
      <c r="G584" s="257"/>
      <c r="H584" s="257"/>
      <c r="I584" s="257"/>
      <c r="J584" s="257"/>
      <c r="K584" s="257"/>
      <c r="L584" s="257"/>
      <c r="M584" s="257"/>
      <c r="N584" s="257"/>
      <c r="O584" s="257"/>
      <c r="P584" s="257"/>
      <c r="Q584" s="257"/>
      <c r="R584" s="257"/>
      <c r="S584" s="257"/>
      <c r="T584" s="257"/>
      <c r="U584" s="257"/>
      <c r="V584" s="257"/>
      <c r="W584" s="257"/>
      <c r="X584" s="257"/>
      <c r="Y584" s="257"/>
      <c r="Z584" s="257"/>
    </row>
    <row r="585" ht="15.75" customHeight="1">
      <c r="A585" s="257"/>
      <c r="B585" s="257"/>
      <c r="C585" s="257"/>
      <c r="D585" s="257"/>
      <c r="E585" s="257"/>
      <c r="F585" s="257"/>
      <c r="G585" s="257"/>
      <c r="H585" s="257"/>
      <c r="I585" s="257"/>
      <c r="J585" s="257"/>
      <c r="K585" s="257"/>
      <c r="L585" s="257"/>
      <c r="M585" s="257"/>
      <c r="N585" s="257"/>
      <c r="O585" s="257"/>
      <c r="P585" s="257"/>
      <c r="Q585" s="257"/>
      <c r="R585" s="257"/>
      <c r="S585" s="257"/>
      <c r="T585" s="257"/>
      <c r="U585" s="257"/>
      <c r="V585" s="257"/>
      <c r="W585" s="257"/>
      <c r="X585" s="257"/>
      <c r="Y585" s="257"/>
      <c r="Z585" s="257"/>
    </row>
    <row r="586" ht="15.75" customHeight="1">
      <c r="A586" s="257"/>
      <c r="B586" s="257"/>
      <c r="C586" s="257"/>
      <c r="D586" s="257"/>
      <c r="E586" s="257"/>
      <c r="F586" s="257"/>
      <c r="G586" s="257"/>
      <c r="H586" s="257"/>
      <c r="I586" s="257"/>
      <c r="J586" s="257"/>
      <c r="K586" s="257"/>
      <c r="L586" s="257"/>
      <c r="M586" s="257"/>
      <c r="N586" s="257"/>
      <c r="O586" s="257"/>
      <c r="P586" s="257"/>
      <c r="Q586" s="257"/>
      <c r="R586" s="257"/>
      <c r="S586" s="257"/>
      <c r="T586" s="257"/>
      <c r="U586" s="257"/>
      <c r="V586" s="257"/>
      <c r="W586" s="257"/>
      <c r="X586" s="257"/>
      <c r="Y586" s="257"/>
      <c r="Z586" s="257"/>
    </row>
    <row r="587" ht="15.75" customHeight="1">
      <c r="A587" s="257"/>
      <c r="B587" s="257"/>
      <c r="C587" s="257"/>
      <c r="D587" s="257"/>
      <c r="E587" s="257"/>
      <c r="F587" s="257"/>
      <c r="G587" s="257"/>
      <c r="H587" s="257"/>
      <c r="I587" s="257"/>
      <c r="J587" s="257"/>
      <c r="K587" s="257"/>
      <c r="L587" s="257"/>
      <c r="M587" s="257"/>
      <c r="N587" s="257"/>
      <c r="O587" s="257"/>
      <c r="P587" s="257"/>
      <c r="Q587" s="257"/>
      <c r="R587" s="257"/>
      <c r="S587" s="257"/>
      <c r="T587" s="257"/>
      <c r="U587" s="257"/>
      <c r="V587" s="257"/>
      <c r="W587" s="257"/>
      <c r="X587" s="257"/>
      <c r="Y587" s="257"/>
      <c r="Z587" s="257"/>
    </row>
    <row r="588" ht="15.75" customHeight="1">
      <c r="A588" s="257"/>
      <c r="B588" s="257"/>
      <c r="C588" s="257"/>
      <c r="D588" s="257"/>
      <c r="E588" s="257"/>
      <c r="F588" s="257"/>
      <c r="G588" s="257"/>
      <c r="H588" s="257"/>
      <c r="I588" s="257"/>
      <c r="J588" s="257"/>
      <c r="K588" s="257"/>
      <c r="L588" s="257"/>
      <c r="M588" s="257"/>
      <c r="N588" s="257"/>
      <c r="O588" s="257"/>
      <c r="P588" s="257"/>
      <c r="Q588" s="257"/>
      <c r="R588" s="257"/>
      <c r="S588" s="257"/>
      <c r="T588" s="257"/>
      <c r="U588" s="257"/>
      <c r="V588" s="257"/>
      <c r="W588" s="257"/>
      <c r="X588" s="257"/>
      <c r="Y588" s="257"/>
      <c r="Z588" s="257"/>
    </row>
    <row r="589" ht="15.75" customHeight="1">
      <c r="A589" s="257"/>
      <c r="B589" s="257"/>
      <c r="C589" s="257"/>
      <c r="D589" s="257"/>
      <c r="E589" s="257"/>
      <c r="F589" s="257"/>
      <c r="G589" s="257"/>
      <c r="H589" s="257"/>
      <c r="I589" s="257"/>
      <c r="J589" s="257"/>
      <c r="K589" s="257"/>
      <c r="L589" s="257"/>
      <c r="M589" s="257"/>
      <c r="N589" s="257"/>
      <c r="O589" s="257"/>
      <c r="P589" s="257"/>
      <c r="Q589" s="257"/>
      <c r="R589" s="257"/>
      <c r="S589" s="257"/>
      <c r="T589" s="257"/>
      <c r="U589" s="257"/>
      <c r="V589" s="257"/>
      <c r="W589" s="257"/>
      <c r="X589" s="257"/>
      <c r="Y589" s="257"/>
      <c r="Z589" s="257"/>
    </row>
    <row r="590" ht="15.75" customHeight="1">
      <c r="A590" s="257"/>
      <c r="B590" s="257"/>
      <c r="C590" s="257"/>
      <c r="D590" s="257"/>
      <c r="E590" s="257"/>
      <c r="F590" s="257"/>
      <c r="G590" s="257"/>
      <c r="H590" s="257"/>
      <c r="I590" s="257"/>
      <c r="J590" s="257"/>
      <c r="K590" s="257"/>
      <c r="L590" s="257"/>
      <c r="M590" s="257"/>
      <c r="N590" s="257"/>
      <c r="O590" s="257"/>
      <c r="P590" s="257"/>
      <c r="Q590" s="257"/>
      <c r="R590" s="257"/>
      <c r="S590" s="257"/>
      <c r="T590" s="257"/>
      <c r="U590" s="257"/>
      <c r="V590" s="257"/>
      <c r="W590" s="257"/>
      <c r="X590" s="257"/>
      <c r="Y590" s="257"/>
      <c r="Z590" s="257"/>
    </row>
    <row r="591" ht="15.75" customHeight="1">
      <c r="A591" s="257"/>
      <c r="B591" s="257"/>
      <c r="C591" s="257"/>
      <c r="D591" s="257"/>
      <c r="E591" s="257"/>
      <c r="F591" s="257"/>
      <c r="G591" s="257"/>
      <c r="H591" s="257"/>
      <c r="I591" s="257"/>
      <c r="J591" s="257"/>
      <c r="K591" s="257"/>
      <c r="L591" s="257"/>
      <c r="M591" s="257"/>
      <c r="N591" s="257"/>
      <c r="O591" s="257"/>
      <c r="P591" s="257"/>
      <c r="Q591" s="257"/>
      <c r="R591" s="257"/>
      <c r="S591" s="257"/>
      <c r="T591" s="257"/>
      <c r="U591" s="257"/>
      <c r="V591" s="257"/>
      <c r="W591" s="257"/>
      <c r="X591" s="257"/>
      <c r="Y591" s="257"/>
      <c r="Z591" s="257"/>
    </row>
    <row r="592" ht="15.75" customHeight="1">
      <c r="A592" s="257"/>
      <c r="B592" s="257"/>
      <c r="C592" s="257"/>
      <c r="D592" s="257"/>
      <c r="E592" s="257"/>
      <c r="F592" s="257"/>
      <c r="G592" s="257"/>
      <c r="H592" s="257"/>
      <c r="I592" s="257"/>
      <c r="J592" s="257"/>
      <c r="K592" s="257"/>
      <c r="L592" s="257"/>
      <c r="M592" s="257"/>
      <c r="N592" s="257"/>
      <c r="O592" s="257"/>
      <c r="P592" s="257"/>
      <c r="Q592" s="257"/>
      <c r="R592" s="257"/>
      <c r="S592" s="257"/>
      <c r="T592" s="257"/>
      <c r="U592" s="257"/>
      <c r="V592" s="257"/>
      <c r="W592" s="257"/>
      <c r="X592" s="257"/>
      <c r="Y592" s="257"/>
      <c r="Z592" s="257"/>
    </row>
    <row r="593" ht="15.75" customHeight="1">
      <c r="A593" s="257"/>
      <c r="B593" s="257"/>
      <c r="C593" s="257"/>
      <c r="D593" s="257"/>
      <c r="E593" s="257"/>
      <c r="F593" s="257"/>
      <c r="G593" s="257"/>
      <c r="H593" s="257"/>
      <c r="I593" s="257"/>
      <c r="J593" s="257"/>
      <c r="K593" s="257"/>
      <c r="L593" s="257"/>
      <c r="M593" s="257"/>
      <c r="N593" s="257"/>
      <c r="O593" s="257"/>
      <c r="P593" s="257"/>
      <c r="Q593" s="257"/>
      <c r="R593" s="257"/>
      <c r="S593" s="257"/>
      <c r="T593" s="257"/>
      <c r="U593" s="257"/>
      <c r="V593" s="257"/>
      <c r="W593" s="257"/>
      <c r="X593" s="257"/>
      <c r="Y593" s="257"/>
      <c r="Z593" s="257"/>
    </row>
    <row r="594" ht="15.75" customHeight="1">
      <c r="A594" s="257"/>
      <c r="B594" s="257"/>
      <c r="C594" s="257"/>
      <c r="D594" s="257"/>
      <c r="E594" s="257"/>
      <c r="F594" s="257"/>
      <c r="G594" s="257"/>
      <c r="H594" s="257"/>
      <c r="I594" s="257"/>
      <c r="J594" s="257"/>
      <c r="K594" s="257"/>
      <c r="L594" s="257"/>
      <c r="M594" s="257"/>
      <c r="N594" s="257"/>
      <c r="O594" s="257"/>
      <c r="P594" s="257"/>
      <c r="Q594" s="257"/>
      <c r="R594" s="257"/>
      <c r="S594" s="257"/>
      <c r="T594" s="257"/>
      <c r="U594" s="257"/>
      <c r="V594" s="257"/>
      <c r="W594" s="257"/>
      <c r="X594" s="257"/>
      <c r="Y594" s="257"/>
      <c r="Z594" s="257"/>
    </row>
    <row r="595" ht="15.75" customHeight="1">
      <c r="A595" s="257"/>
      <c r="B595" s="257"/>
      <c r="C595" s="257"/>
      <c r="D595" s="257"/>
      <c r="E595" s="257"/>
      <c r="F595" s="257"/>
      <c r="G595" s="257"/>
      <c r="H595" s="257"/>
      <c r="I595" s="257"/>
      <c r="J595" s="257"/>
      <c r="K595" s="257"/>
      <c r="L595" s="257"/>
      <c r="M595" s="257"/>
      <c r="N595" s="257"/>
      <c r="O595" s="257"/>
      <c r="P595" s="257"/>
      <c r="Q595" s="257"/>
      <c r="R595" s="257"/>
      <c r="S595" s="257"/>
      <c r="T595" s="257"/>
      <c r="U595" s="257"/>
      <c r="V595" s="257"/>
      <c r="W595" s="257"/>
      <c r="X595" s="257"/>
      <c r="Y595" s="257"/>
      <c r="Z595" s="257"/>
    </row>
    <row r="596" ht="15.75" customHeight="1">
      <c r="A596" s="257"/>
      <c r="B596" s="257"/>
      <c r="C596" s="257"/>
      <c r="D596" s="257"/>
      <c r="E596" s="257"/>
      <c r="F596" s="257"/>
      <c r="G596" s="257"/>
      <c r="H596" s="257"/>
      <c r="I596" s="257"/>
      <c r="J596" s="257"/>
      <c r="K596" s="257"/>
      <c r="L596" s="257"/>
      <c r="M596" s="257"/>
      <c r="N596" s="257"/>
      <c r="O596" s="257"/>
      <c r="P596" s="257"/>
      <c r="Q596" s="257"/>
      <c r="R596" s="257"/>
      <c r="S596" s="257"/>
      <c r="T596" s="257"/>
      <c r="U596" s="257"/>
      <c r="V596" s="257"/>
      <c r="W596" s="257"/>
      <c r="X596" s="257"/>
      <c r="Y596" s="257"/>
      <c r="Z596" s="257"/>
    </row>
    <row r="597" ht="15.75" customHeight="1">
      <c r="A597" s="257"/>
      <c r="B597" s="257"/>
      <c r="C597" s="257"/>
      <c r="D597" s="257"/>
      <c r="E597" s="257"/>
      <c r="F597" s="257"/>
      <c r="G597" s="257"/>
      <c r="H597" s="257"/>
      <c r="I597" s="257"/>
      <c r="J597" s="257"/>
      <c r="K597" s="257"/>
      <c r="L597" s="257"/>
      <c r="M597" s="257"/>
      <c r="N597" s="257"/>
      <c r="O597" s="257"/>
      <c r="P597" s="257"/>
      <c r="Q597" s="257"/>
      <c r="R597" s="257"/>
      <c r="S597" s="257"/>
      <c r="T597" s="257"/>
      <c r="U597" s="257"/>
      <c r="V597" s="257"/>
      <c r="W597" s="257"/>
      <c r="X597" s="257"/>
      <c r="Y597" s="257"/>
      <c r="Z597" s="257"/>
    </row>
    <row r="598" ht="15.75" customHeight="1">
      <c r="A598" s="257"/>
      <c r="B598" s="257"/>
      <c r="C598" s="257"/>
      <c r="D598" s="257"/>
      <c r="E598" s="257"/>
      <c r="F598" s="257"/>
      <c r="G598" s="257"/>
      <c r="H598" s="257"/>
      <c r="I598" s="257"/>
      <c r="J598" s="257"/>
      <c r="K598" s="257"/>
      <c r="L598" s="257"/>
      <c r="M598" s="257"/>
      <c r="N598" s="257"/>
      <c r="O598" s="257"/>
      <c r="P598" s="257"/>
      <c r="Q598" s="257"/>
      <c r="R598" s="257"/>
      <c r="S598" s="257"/>
      <c r="T598" s="257"/>
      <c r="U598" s="257"/>
      <c r="V598" s="257"/>
      <c r="W598" s="257"/>
      <c r="X598" s="257"/>
      <c r="Y598" s="257"/>
      <c r="Z598" s="257"/>
    </row>
    <row r="599" ht="15.75" customHeight="1">
      <c r="A599" s="257"/>
      <c r="B599" s="257"/>
      <c r="C599" s="257"/>
      <c r="D599" s="257"/>
      <c r="E599" s="257"/>
      <c r="F599" s="257"/>
      <c r="G599" s="257"/>
      <c r="H599" s="257"/>
      <c r="I599" s="257"/>
      <c r="J599" s="257"/>
      <c r="K599" s="257"/>
      <c r="L599" s="257"/>
      <c r="M599" s="257"/>
      <c r="N599" s="257"/>
      <c r="O599" s="257"/>
      <c r="P599" s="257"/>
      <c r="Q599" s="257"/>
      <c r="R599" s="257"/>
      <c r="S599" s="257"/>
      <c r="T599" s="257"/>
      <c r="U599" s="257"/>
      <c r="V599" s="257"/>
      <c r="W599" s="257"/>
      <c r="X599" s="257"/>
      <c r="Y599" s="257"/>
      <c r="Z599" s="257"/>
    </row>
    <row r="600" ht="15.75" customHeight="1">
      <c r="A600" s="257"/>
      <c r="B600" s="257"/>
      <c r="C600" s="257"/>
      <c r="D600" s="257"/>
      <c r="E600" s="257"/>
      <c r="F600" s="257"/>
      <c r="G600" s="257"/>
      <c r="H600" s="257"/>
      <c r="I600" s="257"/>
      <c r="J600" s="257"/>
      <c r="K600" s="257"/>
      <c r="L600" s="257"/>
      <c r="M600" s="257"/>
      <c r="N600" s="257"/>
      <c r="O600" s="257"/>
      <c r="P600" s="257"/>
      <c r="Q600" s="257"/>
      <c r="R600" s="257"/>
      <c r="S600" s="257"/>
      <c r="T600" s="257"/>
      <c r="U600" s="257"/>
      <c r="V600" s="257"/>
      <c r="W600" s="257"/>
      <c r="X600" s="257"/>
      <c r="Y600" s="257"/>
      <c r="Z600" s="257"/>
    </row>
    <row r="601" ht="15.75" customHeight="1">
      <c r="A601" s="257"/>
      <c r="B601" s="257"/>
      <c r="C601" s="257"/>
      <c r="D601" s="257"/>
      <c r="E601" s="257"/>
      <c r="F601" s="257"/>
      <c r="G601" s="257"/>
      <c r="H601" s="257"/>
      <c r="I601" s="257"/>
      <c r="J601" s="257"/>
      <c r="K601" s="257"/>
      <c r="L601" s="257"/>
      <c r="M601" s="257"/>
      <c r="N601" s="257"/>
      <c r="O601" s="257"/>
      <c r="P601" s="257"/>
      <c r="Q601" s="257"/>
      <c r="R601" s="257"/>
      <c r="S601" s="257"/>
      <c r="T601" s="257"/>
      <c r="U601" s="257"/>
      <c r="V601" s="257"/>
      <c r="W601" s="257"/>
      <c r="X601" s="257"/>
      <c r="Y601" s="257"/>
      <c r="Z601" s="257"/>
    </row>
    <row r="602" ht="15.75" customHeight="1">
      <c r="A602" s="257"/>
      <c r="B602" s="257"/>
      <c r="C602" s="257"/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7"/>
      <c r="P602" s="257"/>
      <c r="Q602" s="257"/>
      <c r="R602" s="257"/>
      <c r="S602" s="257"/>
      <c r="T602" s="257"/>
      <c r="U602" s="257"/>
      <c r="V602" s="257"/>
      <c r="W602" s="257"/>
      <c r="X602" s="257"/>
      <c r="Y602" s="257"/>
      <c r="Z602" s="257"/>
    </row>
    <row r="603" ht="15.75" customHeight="1">
      <c r="A603" s="257"/>
      <c r="B603" s="257"/>
      <c r="C603" s="257"/>
      <c r="D603" s="257"/>
      <c r="E603" s="257"/>
      <c r="F603" s="257"/>
      <c r="G603" s="257"/>
      <c r="H603" s="257"/>
      <c r="I603" s="257"/>
      <c r="J603" s="257"/>
      <c r="K603" s="257"/>
      <c r="L603" s="257"/>
      <c r="M603" s="257"/>
      <c r="N603" s="257"/>
      <c r="O603" s="257"/>
      <c r="P603" s="257"/>
      <c r="Q603" s="257"/>
      <c r="R603" s="257"/>
      <c r="S603" s="257"/>
      <c r="T603" s="257"/>
      <c r="U603" s="257"/>
      <c r="V603" s="257"/>
      <c r="W603" s="257"/>
      <c r="X603" s="257"/>
      <c r="Y603" s="257"/>
      <c r="Z603" s="257"/>
    </row>
    <row r="604" ht="15.75" customHeight="1">
      <c r="A604" s="257"/>
      <c r="B604" s="257"/>
      <c r="C604" s="257"/>
      <c r="D604" s="257"/>
      <c r="E604" s="257"/>
      <c r="F604" s="257"/>
      <c r="G604" s="257"/>
      <c r="H604" s="257"/>
      <c r="I604" s="257"/>
      <c r="J604" s="257"/>
      <c r="K604" s="257"/>
      <c r="L604" s="257"/>
      <c r="M604" s="257"/>
      <c r="N604" s="257"/>
      <c r="O604" s="257"/>
      <c r="P604" s="257"/>
      <c r="Q604" s="257"/>
      <c r="R604" s="257"/>
      <c r="S604" s="257"/>
      <c r="T604" s="257"/>
      <c r="U604" s="257"/>
      <c r="V604" s="257"/>
      <c r="W604" s="257"/>
      <c r="X604" s="257"/>
      <c r="Y604" s="257"/>
      <c r="Z604" s="257"/>
    </row>
    <row r="605" ht="15.75" customHeight="1">
      <c r="A605" s="257"/>
      <c r="B605" s="257"/>
      <c r="C605" s="257"/>
      <c r="D605" s="257"/>
      <c r="E605" s="257"/>
      <c r="F605" s="257"/>
      <c r="G605" s="257"/>
      <c r="H605" s="257"/>
      <c r="I605" s="257"/>
      <c r="J605" s="257"/>
      <c r="K605" s="257"/>
      <c r="L605" s="257"/>
      <c r="M605" s="257"/>
      <c r="N605" s="257"/>
      <c r="O605" s="257"/>
      <c r="P605" s="257"/>
      <c r="Q605" s="257"/>
      <c r="R605" s="257"/>
      <c r="S605" s="257"/>
      <c r="T605" s="257"/>
      <c r="U605" s="257"/>
      <c r="V605" s="257"/>
      <c r="W605" s="257"/>
      <c r="X605" s="257"/>
      <c r="Y605" s="257"/>
      <c r="Z605" s="257"/>
    </row>
    <row r="606" ht="15.75" customHeight="1">
      <c r="A606" s="257"/>
      <c r="B606" s="257"/>
      <c r="C606" s="257"/>
      <c r="D606" s="257"/>
      <c r="E606" s="257"/>
      <c r="F606" s="257"/>
      <c r="G606" s="257"/>
      <c r="H606" s="257"/>
      <c r="I606" s="257"/>
      <c r="J606" s="257"/>
      <c r="K606" s="257"/>
      <c r="L606" s="257"/>
      <c r="M606" s="257"/>
      <c r="N606" s="257"/>
      <c r="O606" s="257"/>
      <c r="P606" s="257"/>
      <c r="Q606" s="257"/>
      <c r="R606" s="257"/>
      <c r="S606" s="257"/>
      <c r="T606" s="257"/>
      <c r="U606" s="257"/>
      <c r="V606" s="257"/>
      <c r="W606" s="257"/>
      <c r="X606" s="257"/>
      <c r="Y606" s="257"/>
      <c r="Z606" s="257"/>
    </row>
    <row r="607" ht="15.75" customHeight="1">
      <c r="A607" s="257"/>
      <c r="B607" s="257"/>
      <c r="C607" s="257"/>
      <c r="D607" s="257"/>
      <c r="E607" s="257"/>
      <c r="F607" s="257"/>
      <c r="G607" s="257"/>
      <c r="H607" s="257"/>
      <c r="I607" s="257"/>
      <c r="J607" s="257"/>
      <c r="K607" s="257"/>
      <c r="L607" s="257"/>
      <c r="M607" s="257"/>
      <c r="N607" s="257"/>
      <c r="O607" s="257"/>
      <c r="P607" s="257"/>
      <c r="Q607" s="257"/>
      <c r="R607" s="257"/>
      <c r="S607" s="257"/>
      <c r="T607" s="257"/>
      <c r="U607" s="257"/>
      <c r="V607" s="257"/>
      <c r="W607" s="257"/>
      <c r="X607" s="257"/>
      <c r="Y607" s="257"/>
      <c r="Z607" s="257"/>
    </row>
    <row r="608" ht="15.75" customHeight="1">
      <c r="A608" s="257"/>
      <c r="B608" s="257"/>
      <c r="C608" s="257"/>
      <c r="D608" s="257"/>
      <c r="E608" s="257"/>
      <c r="F608" s="257"/>
      <c r="G608" s="257"/>
      <c r="H608" s="257"/>
      <c r="I608" s="257"/>
      <c r="J608" s="257"/>
      <c r="K608" s="257"/>
      <c r="L608" s="257"/>
      <c r="M608" s="257"/>
      <c r="N608" s="257"/>
      <c r="O608" s="257"/>
      <c r="P608" s="257"/>
      <c r="Q608" s="257"/>
      <c r="R608" s="257"/>
      <c r="S608" s="257"/>
      <c r="T608" s="257"/>
      <c r="U608" s="257"/>
      <c r="V608" s="257"/>
      <c r="W608" s="257"/>
      <c r="X608" s="257"/>
      <c r="Y608" s="257"/>
      <c r="Z608" s="257"/>
    </row>
    <row r="609" ht="15.75" customHeight="1">
      <c r="A609" s="257"/>
      <c r="B609" s="257"/>
      <c r="C609" s="257"/>
      <c r="D609" s="257"/>
      <c r="E609" s="257"/>
      <c r="F609" s="257"/>
      <c r="G609" s="257"/>
      <c r="H609" s="257"/>
      <c r="I609" s="257"/>
      <c r="J609" s="257"/>
      <c r="K609" s="257"/>
      <c r="L609" s="257"/>
      <c r="M609" s="257"/>
      <c r="N609" s="257"/>
      <c r="O609" s="257"/>
      <c r="P609" s="257"/>
      <c r="Q609" s="257"/>
      <c r="R609" s="257"/>
      <c r="S609" s="257"/>
      <c r="T609" s="257"/>
      <c r="U609" s="257"/>
      <c r="V609" s="257"/>
      <c r="W609" s="257"/>
      <c r="X609" s="257"/>
      <c r="Y609" s="257"/>
      <c r="Z609" s="257"/>
    </row>
    <row r="610" ht="15.75" customHeight="1">
      <c r="A610" s="257"/>
      <c r="B610" s="257"/>
      <c r="C610" s="257"/>
      <c r="D610" s="257"/>
      <c r="E610" s="257"/>
      <c r="F610" s="257"/>
      <c r="G610" s="257"/>
      <c r="H610" s="257"/>
      <c r="I610" s="257"/>
      <c r="J610" s="257"/>
      <c r="K610" s="257"/>
      <c r="L610" s="257"/>
      <c r="M610" s="257"/>
      <c r="N610" s="257"/>
      <c r="O610" s="257"/>
      <c r="P610" s="257"/>
      <c r="Q610" s="257"/>
      <c r="R610" s="257"/>
      <c r="S610" s="257"/>
      <c r="T610" s="257"/>
      <c r="U610" s="257"/>
      <c r="V610" s="257"/>
      <c r="W610" s="257"/>
      <c r="X610" s="257"/>
      <c r="Y610" s="257"/>
      <c r="Z610" s="257"/>
    </row>
    <row r="611" ht="15.75" customHeight="1">
      <c r="A611" s="257"/>
      <c r="B611" s="257"/>
      <c r="C611" s="257"/>
      <c r="D611" s="257"/>
      <c r="E611" s="257"/>
      <c r="F611" s="257"/>
      <c r="G611" s="257"/>
      <c r="H611" s="257"/>
      <c r="I611" s="257"/>
      <c r="J611" s="257"/>
      <c r="K611" s="257"/>
      <c r="L611" s="257"/>
      <c r="M611" s="257"/>
      <c r="N611" s="257"/>
      <c r="O611" s="257"/>
      <c r="P611" s="257"/>
      <c r="Q611" s="257"/>
      <c r="R611" s="257"/>
      <c r="S611" s="257"/>
      <c r="T611" s="257"/>
      <c r="U611" s="257"/>
      <c r="V611" s="257"/>
      <c r="W611" s="257"/>
      <c r="X611" s="257"/>
      <c r="Y611" s="257"/>
      <c r="Z611" s="257"/>
    </row>
    <row r="612" ht="15.75" customHeight="1">
      <c r="A612" s="257"/>
      <c r="B612" s="257"/>
      <c r="C612" s="257"/>
      <c r="D612" s="257"/>
      <c r="E612" s="257"/>
      <c r="F612" s="257"/>
      <c r="G612" s="257"/>
      <c r="H612" s="257"/>
      <c r="I612" s="257"/>
      <c r="J612" s="257"/>
      <c r="K612" s="257"/>
      <c r="L612" s="257"/>
      <c r="M612" s="257"/>
      <c r="N612" s="257"/>
      <c r="O612" s="257"/>
      <c r="P612" s="257"/>
      <c r="Q612" s="257"/>
      <c r="R612" s="257"/>
      <c r="S612" s="257"/>
      <c r="T612" s="257"/>
      <c r="U612" s="257"/>
      <c r="V612" s="257"/>
      <c r="W612" s="257"/>
      <c r="X612" s="257"/>
      <c r="Y612" s="257"/>
      <c r="Z612" s="257"/>
    </row>
    <row r="613" ht="15.75" customHeight="1">
      <c r="A613" s="257"/>
      <c r="B613" s="257"/>
      <c r="C613" s="257"/>
      <c r="D613" s="257"/>
      <c r="E613" s="257"/>
      <c r="F613" s="257"/>
      <c r="G613" s="257"/>
      <c r="H613" s="257"/>
      <c r="I613" s="257"/>
      <c r="J613" s="257"/>
      <c r="K613" s="257"/>
      <c r="L613" s="257"/>
      <c r="M613" s="257"/>
      <c r="N613" s="257"/>
      <c r="O613" s="257"/>
      <c r="P613" s="257"/>
      <c r="Q613" s="257"/>
      <c r="R613" s="257"/>
      <c r="S613" s="257"/>
      <c r="T613" s="257"/>
      <c r="U613" s="257"/>
      <c r="V613" s="257"/>
      <c r="W613" s="257"/>
      <c r="X613" s="257"/>
      <c r="Y613" s="257"/>
      <c r="Z613" s="257"/>
    </row>
    <row r="614" ht="15.75" customHeight="1">
      <c r="A614" s="257"/>
      <c r="B614" s="257"/>
      <c r="C614" s="257"/>
      <c r="D614" s="257"/>
      <c r="E614" s="257"/>
      <c r="F614" s="257"/>
      <c r="G614" s="257"/>
      <c r="H614" s="257"/>
      <c r="I614" s="257"/>
      <c r="J614" s="257"/>
      <c r="K614" s="257"/>
      <c r="L614" s="257"/>
      <c r="M614" s="257"/>
      <c r="N614" s="257"/>
      <c r="O614" s="257"/>
      <c r="P614" s="257"/>
      <c r="Q614" s="257"/>
      <c r="R614" s="257"/>
      <c r="S614" s="257"/>
      <c r="T614" s="257"/>
      <c r="U614" s="257"/>
      <c r="V614" s="257"/>
      <c r="W614" s="257"/>
      <c r="X614" s="257"/>
      <c r="Y614" s="257"/>
      <c r="Z614" s="257"/>
    </row>
    <row r="615" ht="15.75" customHeight="1">
      <c r="A615" s="257"/>
      <c r="B615" s="257"/>
      <c r="C615" s="257"/>
      <c r="D615" s="257"/>
      <c r="E615" s="257"/>
      <c r="F615" s="257"/>
      <c r="G615" s="257"/>
      <c r="H615" s="257"/>
      <c r="I615" s="257"/>
      <c r="J615" s="257"/>
      <c r="K615" s="257"/>
      <c r="L615" s="257"/>
      <c r="M615" s="257"/>
      <c r="N615" s="257"/>
      <c r="O615" s="257"/>
      <c r="P615" s="257"/>
      <c r="Q615" s="257"/>
      <c r="R615" s="257"/>
      <c r="S615" s="257"/>
      <c r="T615" s="257"/>
      <c r="U615" s="257"/>
      <c r="V615" s="257"/>
      <c r="W615" s="257"/>
      <c r="X615" s="257"/>
      <c r="Y615" s="257"/>
      <c r="Z615" s="257"/>
    </row>
    <row r="616" ht="15.75" customHeight="1">
      <c r="A616" s="257"/>
      <c r="B616" s="257"/>
      <c r="C616" s="257"/>
      <c r="D616" s="257"/>
      <c r="E616" s="257"/>
      <c r="F616" s="257"/>
      <c r="G616" s="257"/>
      <c r="H616" s="257"/>
      <c r="I616" s="257"/>
      <c r="J616" s="257"/>
      <c r="K616" s="257"/>
      <c r="L616" s="257"/>
      <c r="M616" s="257"/>
      <c r="N616" s="257"/>
      <c r="O616" s="257"/>
      <c r="P616" s="257"/>
      <c r="Q616" s="257"/>
      <c r="R616" s="257"/>
      <c r="S616" s="257"/>
      <c r="T616" s="257"/>
      <c r="U616" s="257"/>
      <c r="V616" s="257"/>
      <c r="W616" s="257"/>
      <c r="X616" s="257"/>
      <c r="Y616" s="257"/>
      <c r="Z616" s="257"/>
    </row>
    <row r="617" ht="15.75" customHeight="1">
      <c r="A617" s="257"/>
      <c r="B617" s="257"/>
      <c r="C617" s="257"/>
      <c r="D617" s="257"/>
      <c r="E617" s="257"/>
      <c r="F617" s="257"/>
      <c r="G617" s="257"/>
      <c r="H617" s="257"/>
      <c r="I617" s="257"/>
      <c r="J617" s="257"/>
      <c r="K617" s="257"/>
      <c r="L617" s="257"/>
      <c r="M617" s="257"/>
      <c r="N617" s="257"/>
      <c r="O617" s="257"/>
      <c r="P617" s="257"/>
      <c r="Q617" s="257"/>
      <c r="R617" s="257"/>
      <c r="S617" s="257"/>
      <c r="T617" s="257"/>
      <c r="U617" s="257"/>
      <c r="V617" s="257"/>
      <c r="W617" s="257"/>
      <c r="X617" s="257"/>
      <c r="Y617" s="257"/>
      <c r="Z617" s="257"/>
    </row>
    <row r="618" ht="15.75" customHeight="1">
      <c r="A618" s="257"/>
      <c r="B618" s="257"/>
      <c r="C618" s="257"/>
      <c r="D618" s="257"/>
      <c r="E618" s="257"/>
      <c r="F618" s="257"/>
      <c r="G618" s="257"/>
      <c r="H618" s="257"/>
      <c r="I618" s="257"/>
      <c r="J618" s="257"/>
      <c r="K618" s="257"/>
      <c r="L618" s="257"/>
      <c r="M618" s="257"/>
      <c r="N618" s="257"/>
      <c r="O618" s="257"/>
      <c r="P618" s="257"/>
      <c r="Q618" s="257"/>
      <c r="R618" s="257"/>
      <c r="S618" s="257"/>
      <c r="T618" s="257"/>
      <c r="U618" s="257"/>
      <c r="V618" s="257"/>
      <c r="W618" s="257"/>
      <c r="X618" s="257"/>
      <c r="Y618" s="257"/>
      <c r="Z618" s="257"/>
    </row>
    <row r="619" ht="15.75" customHeight="1">
      <c r="A619" s="257"/>
      <c r="B619" s="257"/>
      <c r="C619" s="257"/>
      <c r="D619" s="257"/>
      <c r="E619" s="257"/>
      <c r="F619" s="257"/>
      <c r="G619" s="257"/>
      <c r="H619" s="257"/>
      <c r="I619" s="257"/>
      <c r="J619" s="257"/>
      <c r="K619" s="257"/>
      <c r="L619" s="257"/>
      <c r="M619" s="257"/>
      <c r="N619" s="257"/>
      <c r="O619" s="257"/>
      <c r="P619" s="257"/>
      <c r="Q619" s="257"/>
      <c r="R619" s="257"/>
      <c r="S619" s="257"/>
      <c r="T619" s="257"/>
      <c r="U619" s="257"/>
      <c r="V619" s="257"/>
      <c r="W619" s="257"/>
      <c r="X619" s="257"/>
      <c r="Y619" s="257"/>
      <c r="Z619" s="257"/>
    </row>
    <row r="620" ht="15.75" customHeight="1">
      <c r="A620" s="257"/>
      <c r="B620" s="257"/>
      <c r="C620" s="257"/>
      <c r="D620" s="257"/>
      <c r="E620" s="257"/>
      <c r="F620" s="257"/>
      <c r="G620" s="257"/>
      <c r="H620" s="257"/>
      <c r="I620" s="257"/>
      <c r="J620" s="257"/>
      <c r="K620" s="257"/>
      <c r="L620" s="257"/>
      <c r="M620" s="257"/>
      <c r="N620" s="257"/>
      <c r="O620" s="257"/>
      <c r="P620" s="257"/>
      <c r="Q620" s="257"/>
      <c r="R620" s="257"/>
      <c r="S620" s="257"/>
      <c r="T620" s="257"/>
      <c r="U620" s="257"/>
      <c r="V620" s="257"/>
      <c r="W620" s="257"/>
      <c r="X620" s="257"/>
      <c r="Y620" s="257"/>
      <c r="Z620" s="257"/>
    </row>
    <row r="621" ht="15.75" customHeight="1">
      <c r="A621" s="257"/>
      <c r="B621" s="257"/>
      <c r="C621" s="257"/>
      <c r="D621" s="257"/>
      <c r="E621" s="257"/>
      <c r="F621" s="257"/>
      <c r="G621" s="257"/>
      <c r="H621" s="257"/>
      <c r="I621" s="257"/>
      <c r="J621" s="257"/>
      <c r="K621" s="257"/>
      <c r="L621" s="257"/>
      <c r="M621" s="257"/>
      <c r="N621" s="257"/>
      <c r="O621" s="257"/>
      <c r="P621" s="257"/>
      <c r="Q621" s="257"/>
      <c r="R621" s="257"/>
      <c r="S621" s="257"/>
      <c r="T621" s="257"/>
      <c r="U621" s="257"/>
      <c r="V621" s="257"/>
      <c r="W621" s="257"/>
      <c r="X621" s="257"/>
      <c r="Y621" s="257"/>
      <c r="Z621" s="257"/>
    </row>
    <row r="622" ht="15.75" customHeight="1">
      <c r="A622" s="257"/>
      <c r="B622" s="257"/>
      <c r="C622" s="257"/>
      <c r="D622" s="257"/>
      <c r="E622" s="257"/>
      <c r="F622" s="257"/>
      <c r="G622" s="257"/>
      <c r="H622" s="257"/>
      <c r="I622" s="257"/>
      <c r="J622" s="257"/>
      <c r="K622" s="257"/>
      <c r="L622" s="257"/>
      <c r="M622" s="257"/>
      <c r="N622" s="257"/>
      <c r="O622" s="257"/>
      <c r="P622" s="257"/>
      <c r="Q622" s="257"/>
      <c r="R622" s="257"/>
      <c r="S622" s="257"/>
      <c r="T622" s="257"/>
      <c r="U622" s="257"/>
      <c r="V622" s="257"/>
      <c r="W622" s="257"/>
      <c r="X622" s="257"/>
      <c r="Y622" s="257"/>
      <c r="Z622" s="257"/>
    </row>
    <row r="623" ht="15.75" customHeight="1">
      <c r="A623" s="257"/>
      <c r="B623" s="257"/>
      <c r="C623" s="257"/>
      <c r="D623" s="257"/>
      <c r="E623" s="257"/>
      <c r="F623" s="257"/>
      <c r="G623" s="257"/>
      <c r="H623" s="257"/>
      <c r="I623" s="257"/>
      <c r="J623" s="257"/>
      <c r="K623" s="257"/>
      <c r="L623" s="257"/>
      <c r="M623" s="257"/>
      <c r="N623" s="257"/>
      <c r="O623" s="257"/>
      <c r="P623" s="257"/>
      <c r="Q623" s="257"/>
      <c r="R623" s="257"/>
      <c r="S623" s="257"/>
      <c r="T623" s="257"/>
      <c r="U623" s="257"/>
      <c r="V623" s="257"/>
      <c r="W623" s="257"/>
      <c r="X623" s="257"/>
      <c r="Y623" s="257"/>
      <c r="Z623" s="257"/>
    </row>
    <row r="624" ht="15.75" customHeight="1">
      <c r="A624" s="257"/>
      <c r="B624" s="257"/>
      <c r="C624" s="257"/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7"/>
      <c r="P624" s="257"/>
      <c r="Q624" s="257"/>
      <c r="R624" s="257"/>
      <c r="S624" s="257"/>
      <c r="T624" s="257"/>
      <c r="U624" s="257"/>
      <c r="V624" s="257"/>
      <c r="W624" s="257"/>
      <c r="X624" s="257"/>
      <c r="Y624" s="257"/>
      <c r="Z624" s="257"/>
    </row>
    <row r="625" ht="15.75" customHeight="1">
      <c r="A625" s="257"/>
      <c r="B625" s="257"/>
      <c r="C625" s="257"/>
      <c r="D625" s="257"/>
      <c r="E625" s="257"/>
      <c r="F625" s="257"/>
      <c r="G625" s="257"/>
      <c r="H625" s="257"/>
      <c r="I625" s="257"/>
      <c r="J625" s="257"/>
      <c r="K625" s="257"/>
      <c r="L625" s="257"/>
      <c r="M625" s="257"/>
      <c r="N625" s="257"/>
      <c r="O625" s="257"/>
      <c r="P625" s="257"/>
      <c r="Q625" s="257"/>
      <c r="R625" s="257"/>
      <c r="S625" s="257"/>
      <c r="T625" s="257"/>
      <c r="U625" s="257"/>
      <c r="V625" s="257"/>
      <c r="W625" s="257"/>
      <c r="X625" s="257"/>
      <c r="Y625" s="257"/>
      <c r="Z625" s="257"/>
    </row>
    <row r="626" ht="15.75" customHeight="1">
      <c r="A626" s="257"/>
      <c r="B626" s="257"/>
      <c r="C626" s="257"/>
      <c r="D626" s="257"/>
      <c r="E626" s="257"/>
      <c r="F626" s="257"/>
      <c r="G626" s="257"/>
      <c r="H626" s="257"/>
      <c r="I626" s="257"/>
      <c r="J626" s="257"/>
      <c r="K626" s="257"/>
      <c r="L626" s="257"/>
      <c r="M626" s="257"/>
      <c r="N626" s="257"/>
      <c r="O626" s="257"/>
      <c r="P626" s="257"/>
      <c r="Q626" s="257"/>
      <c r="R626" s="257"/>
      <c r="S626" s="257"/>
      <c r="T626" s="257"/>
      <c r="U626" s="257"/>
      <c r="V626" s="257"/>
      <c r="W626" s="257"/>
      <c r="X626" s="257"/>
      <c r="Y626" s="257"/>
      <c r="Z626" s="257"/>
    </row>
    <row r="627" ht="15.75" customHeight="1">
      <c r="A627" s="257"/>
      <c r="B627" s="257"/>
      <c r="C627" s="257"/>
      <c r="D627" s="257"/>
      <c r="E627" s="257"/>
      <c r="F627" s="257"/>
      <c r="G627" s="257"/>
      <c r="H627" s="257"/>
      <c r="I627" s="257"/>
      <c r="J627" s="257"/>
      <c r="K627" s="257"/>
      <c r="L627" s="257"/>
      <c r="M627" s="257"/>
      <c r="N627" s="257"/>
      <c r="O627" s="257"/>
      <c r="P627" s="257"/>
      <c r="Q627" s="257"/>
      <c r="R627" s="257"/>
      <c r="S627" s="257"/>
      <c r="T627" s="257"/>
      <c r="U627" s="257"/>
      <c r="V627" s="257"/>
      <c r="W627" s="257"/>
      <c r="X627" s="257"/>
      <c r="Y627" s="257"/>
      <c r="Z627" s="257"/>
    </row>
    <row r="628" ht="15.75" customHeight="1">
      <c r="A628" s="257"/>
      <c r="B628" s="257"/>
      <c r="C628" s="257"/>
      <c r="D628" s="257"/>
      <c r="E628" s="257"/>
      <c r="F628" s="257"/>
      <c r="G628" s="257"/>
      <c r="H628" s="257"/>
      <c r="I628" s="257"/>
      <c r="J628" s="257"/>
      <c r="K628" s="257"/>
      <c r="L628" s="257"/>
      <c r="M628" s="257"/>
      <c r="N628" s="257"/>
      <c r="O628" s="257"/>
      <c r="P628" s="257"/>
      <c r="Q628" s="257"/>
      <c r="R628" s="257"/>
      <c r="S628" s="257"/>
      <c r="T628" s="257"/>
      <c r="U628" s="257"/>
      <c r="V628" s="257"/>
      <c r="W628" s="257"/>
      <c r="X628" s="257"/>
      <c r="Y628" s="257"/>
      <c r="Z628" s="257"/>
    </row>
    <row r="629" ht="15.75" customHeight="1">
      <c r="A629" s="257"/>
      <c r="B629" s="257"/>
      <c r="C629" s="257"/>
      <c r="D629" s="257"/>
      <c r="E629" s="257"/>
      <c r="F629" s="257"/>
      <c r="G629" s="257"/>
      <c r="H629" s="257"/>
      <c r="I629" s="257"/>
      <c r="J629" s="257"/>
      <c r="K629" s="257"/>
      <c r="L629" s="257"/>
      <c r="M629" s="257"/>
      <c r="N629" s="257"/>
      <c r="O629" s="257"/>
      <c r="P629" s="257"/>
      <c r="Q629" s="257"/>
      <c r="R629" s="257"/>
      <c r="S629" s="257"/>
      <c r="T629" s="257"/>
      <c r="U629" s="257"/>
      <c r="V629" s="257"/>
      <c r="W629" s="257"/>
      <c r="X629" s="257"/>
      <c r="Y629" s="257"/>
      <c r="Z629" s="257"/>
    </row>
    <row r="630" ht="15.75" customHeight="1">
      <c r="A630" s="257"/>
      <c r="B630" s="257"/>
      <c r="C630" s="257"/>
      <c r="D630" s="257"/>
      <c r="E630" s="257"/>
      <c r="F630" s="257"/>
      <c r="G630" s="257"/>
      <c r="H630" s="257"/>
      <c r="I630" s="257"/>
      <c r="J630" s="257"/>
      <c r="K630" s="257"/>
      <c r="L630" s="257"/>
      <c r="M630" s="257"/>
      <c r="N630" s="257"/>
      <c r="O630" s="257"/>
      <c r="P630" s="257"/>
      <c r="Q630" s="257"/>
      <c r="R630" s="257"/>
      <c r="S630" s="257"/>
      <c r="T630" s="257"/>
      <c r="U630" s="257"/>
      <c r="V630" s="257"/>
      <c r="W630" s="257"/>
      <c r="X630" s="257"/>
      <c r="Y630" s="257"/>
      <c r="Z630" s="257"/>
    </row>
    <row r="631" ht="15.75" customHeight="1">
      <c r="A631" s="257"/>
      <c r="B631" s="257"/>
      <c r="C631" s="257"/>
      <c r="D631" s="257"/>
      <c r="E631" s="257"/>
      <c r="F631" s="257"/>
      <c r="G631" s="257"/>
      <c r="H631" s="257"/>
      <c r="I631" s="257"/>
      <c r="J631" s="257"/>
      <c r="K631" s="257"/>
      <c r="L631" s="257"/>
      <c r="M631" s="257"/>
      <c r="N631" s="257"/>
      <c r="O631" s="257"/>
      <c r="P631" s="257"/>
      <c r="Q631" s="257"/>
      <c r="R631" s="257"/>
      <c r="S631" s="257"/>
      <c r="T631" s="257"/>
      <c r="U631" s="257"/>
      <c r="V631" s="257"/>
      <c r="W631" s="257"/>
      <c r="X631" s="257"/>
      <c r="Y631" s="257"/>
      <c r="Z631" s="257"/>
    </row>
    <row r="632" ht="15.75" customHeight="1">
      <c r="A632" s="257"/>
      <c r="B632" s="257"/>
      <c r="C632" s="257"/>
      <c r="D632" s="257"/>
      <c r="E632" s="257"/>
      <c r="F632" s="257"/>
      <c r="G632" s="257"/>
      <c r="H632" s="257"/>
      <c r="I632" s="257"/>
      <c r="J632" s="257"/>
      <c r="K632" s="257"/>
      <c r="L632" s="257"/>
      <c r="M632" s="257"/>
      <c r="N632" s="257"/>
      <c r="O632" s="257"/>
      <c r="P632" s="257"/>
      <c r="Q632" s="257"/>
      <c r="R632" s="257"/>
      <c r="S632" s="257"/>
      <c r="T632" s="257"/>
      <c r="U632" s="257"/>
      <c r="V632" s="257"/>
      <c r="W632" s="257"/>
      <c r="X632" s="257"/>
      <c r="Y632" s="257"/>
      <c r="Z632" s="257"/>
    </row>
    <row r="633" ht="15.75" customHeight="1">
      <c r="A633" s="257"/>
      <c r="B633" s="257"/>
      <c r="C633" s="257"/>
      <c r="D633" s="257"/>
      <c r="E633" s="257"/>
      <c r="F633" s="257"/>
      <c r="G633" s="257"/>
      <c r="H633" s="257"/>
      <c r="I633" s="257"/>
      <c r="J633" s="257"/>
      <c r="K633" s="257"/>
      <c r="L633" s="257"/>
      <c r="M633" s="257"/>
      <c r="N633" s="257"/>
      <c r="O633" s="257"/>
      <c r="P633" s="257"/>
      <c r="Q633" s="257"/>
      <c r="R633" s="257"/>
      <c r="S633" s="257"/>
      <c r="T633" s="257"/>
      <c r="U633" s="257"/>
      <c r="V633" s="257"/>
      <c r="W633" s="257"/>
      <c r="X633" s="257"/>
      <c r="Y633" s="257"/>
      <c r="Z633" s="257"/>
    </row>
    <row r="634" ht="15.75" customHeight="1">
      <c r="A634" s="257"/>
      <c r="B634" s="257"/>
      <c r="C634" s="257"/>
      <c r="D634" s="257"/>
      <c r="E634" s="257"/>
      <c r="F634" s="257"/>
      <c r="G634" s="257"/>
      <c r="H634" s="257"/>
      <c r="I634" s="257"/>
      <c r="J634" s="257"/>
      <c r="K634" s="257"/>
      <c r="L634" s="257"/>
      <c r="M634" s="257"/>
      <c r="N634" s="257"/>
      <c r="O634" s="257"/>
      <c r="P634" s="257"/>
      <c r="Q634" s="257"/>
      <c r="R634" s="257"/>
      <c r="S634" s="257"/>
      <c r="T634" s="257"/>
      <c r="U634" s="257"/>
      <c r="V634" s="257"/>
      <c r="W634" s="257"/>
      <c r="X634" s="257"/>
      <c r="Y634" s="257"/>
      <c r="Z634" s="257"/>
    </row>
    <row r="635" ht="15.75" customHeight="1">
      <c r="A635" s="257"/>
      <c r="B635" s="257"/>
      <c r="C635" s="257"/>
      <c r="D635" s="257"/>
      <c r="E635" s="257"/>
      <c r="F635" s="257"/>
      <c r="G635" s="257"/>
      <c r="H635" s="257"/>
      <c r="I635" s="257"/>
      <c r="J635" s="257"/>
      <c r="K635" s="257"/>
      <c r="L635" s="257"/>
      <c r="M635" s="257"/>
      <c r="N635" s="257"/>
      <c r="O635" s="257"/>
      <c r="P635" s="257"/>
      <c r="Q635" s="257"/>
      <c r="R635" s="257"/>
      <c r="S635" s="257"/>
      <c r="T635" s="257"/>
      <c r="U635" s="257"/>
      <c r="V635" s="257"/>
      <c r="W635" s="257"/>
      <c r="X635" s="257"/>
      <c r="Y635" s="257"/>
      <c r="Z635" s="257"/>
    </row>
    <row r="636" ht="15.75" customHeight="1">
      <c r="A636" s="257"/>
      <c r="B636" s="257"/>
      <c r="C636" s="257"/>
      <c r="D636" s="257"/>
      <c r="E636" s="257"/>
      <c r="F636" s="257"/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/>
      <c r="U636" s="257"/>
      <c r="V636" s="257"/>
      <c r="W636" s="257"/>
      <c r="X636" s="257"/>
      <c r="Y636" s="257"/>
      <c r="Z636" s="257"/>
    </row>
    <row r="637" ht="15.75" customHeight="1">
      <c r="A637" s="257"/>
      <c r="B637" s="257"/>
      <c r="C637" s="257"/>
      <c r="D637" s="257"/>
      <c r="E637" s="257"/>
      <c r="F637" s="257"/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/>
      <c r="U637" s="257"/>
      <c r="V637" s="257"/>
      <c r="W637" s="257"/>
      <c r="X637" s="257"/>
      <c r="Y637" s="257"/>
      <c r="Z637" s="257"/>
    </row>
    <row r="638" ht="15.75" customHeight="1">
      <c r="A638" s="257"/>
      <c r="B638" s="257"/>
      <c r="C638" s="257"/>
      <c r="D638" s="257"/>
      <c r="E638" s="257"/>
      <c r="F638" s="257"/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/>
      <c r="U638" s="257"/>
      <c r="V638" s="257"/>
      <c r="W638" s="257"/>
      <c r="X638" s="257"/>
      <c r="Y638" s="257"/>
      <c r="Z638" s="257"/>
    </row>
    <row r="639" ht="15.75" customHeight="1">
      <c r="A639" s="257"/>
      <c r="B639" s="257"/>
      <c r="C639" s="257"/>
      <c r="D639" s="257"/>
      <c r="E639" s="257"/>
      <c r="F639" s="257"/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/>
      <c r="U639" s="257"/>
      <c r="V639" s="257"/>
      <c r="W639" s="257"/>
      <c r="X639" s="257"/>
      <c r="Y639" s="257"/>
      <c r="Z639" s="257"/>
    </row>
    <row r="640" ht="15.75" customHeight="1">
      <c r="A640" s="257"/>
      <c r="B640" s="257"/>
      <c r="C640" s="257"/>
      <c r="D640" s="257"/>
      <c r="E640" s="257"/>
      <c r="F640" s="257"/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/>
      <c r="U640" s="257"/>
      <c r="V640" s="257"/>
      <c r="W640" s="257"/>
      <c r="X640" s="257"/>
      <c r="Y640" s="257"/>
      <c r="Z640" s="257"/>
    </row>
    <row r="641" ht="15.75" customHeight="1">
      <c r="A641" s="257"/>
      <c r="B641" s="257"/>
      <c r="C641" s="257"/>
      <c r="D641" s="257"/>
      <c r="E641" s="257"/>
      <c r="F641" s="257"/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/>
      <c r="U641" s="257"/>
      <c r="V641" s="257"/>
      <c r="W641" s="257"/>
      <c r="X641" s="257"/>
      <c r="Y641" s="257"/>
      <c r="Z641" s="257"/>
    </row>
    <row r="642" ht="15.75" customHeight="1">
      <c r="A642" s="257"/>
      <c r="B642" s="257"/>
      <c r="C642" s="257"/>
      <c r="D642" s="257"/>
      <c r="E642" s="257"/>
      <c r="F642" s="257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57"/>
      <c r="S642" s="257"/>
      <c r="T642" s="257"/>
      <c r="U642" s="257"/>
      <c r="V642" s="257"/>
      <c r="W642" s="257"/>
      <c r="X642" s="257"/>
      <c r="Y642" s="257"/>
      <c r="Z642" s="257"/>
    </row>
    <row r="643" ht="15.75" customHeight="1">
      <c r="A643" s="257"/>
      <c r="B643" s="257"/>
      <c r="C643" s="257"/>
      <c r="D643" s="257"/>
      <c r="E643" s="257"/>
      <c r="F643" s="257"/>
      <c r="G643" s="257"/>
      <c r="H643" s="257"/>
      <c r="I643" s="257"/>
      <c r="J643" s="257"/>
      <c r="K643" s="257"/>
      <c r="L643" s="257"/>
      <c r="M643" s="257"/>
      <c r="N643" s="257"/>
      <c r="O643" s="257"/>
      <c r="P643" s="257"/>
      <c r="Q643" s="257"/>
      <c r="R643" s="257"/>
      <c r="S643" s="257"/>
      <c r="T643" s="257"/>
      <c r="U643" s="257"/>
      <c r="V643" s="257"/>
      <c r="W643" s="257"/>
      <c r="X643" s="257"/>
      <c r="Y643" s="257"/>
      <c r="Z643" s="257"/>
    </row>
    <row r="644" ht="15.75" customHeight="1">
      <c r="A644" s="257"/>
      <c r="B644" s="257"/>
      <c r="C644" s="257"/>
      <c r="D644" s="257"/>
      <c r="E644" s="257"/>
      <c r="F644" s="257"/>
      <c r="G644" s="257"/>
      <c r="H644" s="257"/>
      <c r="I644" s="257"/>
      <c r="J644" s="257"/>
      <c r="K644" s="257"/>
      <c r="L644" s="257"/>
      <c r="M644" s="257"/>
      <c r="N644" s="257"/>
      <c r="O644" s="257"/>
      <c r="P644" s="257"/>
      <c r="Q644" s="257"/>
      <c r="R644" s="257"/>
      <c r="S644" s="257"/>
      <c r="T644" s="257"/>
      <c r="U644" s="257"/>
      <c r="V644" s="257"/>
      <c r="W644" s="257"/>
      <c r="X644" s="257"/>
      <c r="Y644" s="257"/>
      <c r="Z644" s="257"/>
    </row>
    <row r="645" ht="15.75" customHeight="1">
      <c r="A645" s="257"/>
      <c r="B645" s="257"/>
      <c r="C645" s="257"/>
      <c r="D645" s="257"/>
      <c r="E645" s="257"/>
      <c r="F645" s="257"/>
      <c r="G645" s="257"/>
      <c r="H645" s="257"/>
      <c r="I645" s="257"/>
      <c r="J645" s="257"/>
      <c r="K645" s="257"/>
      <c r="L645" s="257"/>
      <c r="M645" s="257"/>
      <c r="N645" s="257"/>
      <c r="O645" s="257"/>
      <c r="P645" s="257"/>
      <c r="Q645" s="257"/>
      <c r="R645" s="257"/>
      <c r="S645" s="257"/>
      <c r="T645" s="257"/>
      <c r="U645" s="257"/>
      <c r="V645" s="257"/>
      <c r="W645" s="257"/>
      <c r="X645" s="257"/>
      <c r="Y645" s="257"/>
      <c r="Z645" s="257"/>
    </row>
    <row r="646" ht="15.75" customHeight="1">
      <c r="A646" s="257"/>
      <c r="B646" s="257"/>
      <c r="C646" s="257"/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/>
      <c r="S646" s="257"/>
      <c r="T646" s="257"/>
      <c r="U646" s="257"/>
      <c r="V646" s="257"/>
      <c r="W646" s="257"/>
      <c r="X646" s="257"/>
      <c r="Y646" s="257"/>
      <c r="Z646" s="257"/>
    </row>
    <row r="647" ht="15.75" customHeight="1">
      <c r="A647" s="257"/>
      <c r="B647" s="257"/>
      <c r="C647" s="257"/>
      <c r="D647" s="257"/>
      <c r="E647" s="257"/>
      <c r="F647" s="257"/>
      <c r="G647" s="257"/>
      <c r="H647" s="257"/>
      <c r="I647" s="257"/>
      <c r="J647" s="257"/>
      <c r="K647" s="257"/>
      <c r="L647" s="257"/>
      <c r="M647" s="257"/>
      <c r="N647" s="257"/>
      <c r="O647" s="257"/>
      <c r="P647" s="257"/>
      <c r="Q647" s="257"/>
      <c r="R647" s="257"/>
      <c r="S647" s="257"/>
      <c r="T647" s="257"/>
      <c r="U647" s="257"/>
      <c r="V647" s="257"/>
      <c r="W647" s="257"/>
      <c r="X647" s="257"/>
      <c r="Y647" s="257"/>
      <c r="Z647" s="257"/>
    </row>
    <row r="648" ht="15.75" customHeight="1">
      <c r="A648" s="257"/>
      <c r="B648" s="257"/>
      <c r="C648" s="257"/>
      <c r="D648" s="257"/>
      <c r="E648" s="257"/>
      <c r="F648" s="257"/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/>
      <c r="S648" s="257"/>
      <c r="T648" s="257"/>
      <c r="U648" s="257"/>
      <c r="V648" s="257"/>
      <c r="W648" s="257"/>
      <c r="X648" s="257"/>
      <c r="Y648" s="257"/>
      <c r="Z648" s="257"/>
    </row>
    <row r="649" ht="15.75" customHeight="1">
      <c r="A649" s="257"/>
      <c r="B649" s="257"/>
      <c r="C649" s="257"/>
      <c r="D649" s="257"/>
      <c r="E649" s="257"/>
      <c r="F649" s="257"/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/>
      <c r="S649" s="257"/>
      <c r="T649" s="257"/>
      <c r="U649" s="257"/>
      <c r="V649" s="257"/>
      <c r="W649" s="257"/>
      <c r="X649" s="257"/>
      <c r="Y649" s="257"/>
      <c r="Z649" s="257"/>
    </row>
    <row r="650" ht="15.75" customHeight="1">
      <c r="A650" s="257"/>
      <c r="B650" s="257"/>
      <c r="C650" s="257"/>
      <c r="D650" s="257"/>
      <c r="E650" s="257"/>
      <c r="F650" s="257"/>
      <c r="G650" s="257"/>
      <c r="H650" s="257"/>
      <c r="I650" s="257"/>
      <c r="J650" s="257"/>
      <c r="K650" s="257"/>
      <c r="L650" s="257"/>
      <c r="M650" s="257"/>
      <c r="N650" s="257"/>
      <c r="O650" s="257"/>
      <c r="P650" s="257"/>
      <c r="Q650" s="257"/>
      <c r="R650" s="257"/>
      <c r="S650" s="257"/>
      <c r="T650" s="257"/>
      <c r="U650" s="257"/>
      <c r="V650" s="257"/>
      <c r="W650" s="257"/>
      <c r="X650" s="257"/>
      <c r="Y650" s="257"/>
      <c r="Z650" s="257"/>
    </row>
    <row r="651" ht="15.75" customHeight="1">
      <c r="A651" s="257"/>
      <c r="B651" s="257"/>
      <c r="C651" s="257"/>
      <c r="D651" s="257"/>
      <c r="E651" s="257"/>
      <c r="F651" s="257"/>
      <c r="G651" s="257"/>
      <c r="H651" s="257"/>
      <c r="I651" s="257"/>
      <c r="J651" s="257"/>
      <c r="K651" s="257"/>
      <c r="L651" s="257"/>
      <c r="M651" s="257"/>
      <c r="N651" s="257"/>
      <c r="O651" s="257"/>
      <c r="P651" s="257"/>
      <c r="Q651" s="257"/>
      <c r="R651" s="257"/>
      <c r="S651" s="257"/>
      <c r="T651" s="257"/>
      <c r="U651" s="257"/>
      <c r="V651" s="257"/>
      <c r="W651" s="257"/>
      <c r="X651" s="257"/>
      <c r="Y651" s="257"/>
      <c r="Z651" s="257"/>
    </row>
    <row r="652" ht="15.75" customHeight="1">
      <c r="A652" s="257"/>
      <c r="B652" s="257"/>
      <c r="C652" s="257"/>
      <c r="D652" s="257"/>
      <c r="E652" s="257"/>
      <c r="F652" s="257"/>
      <c r="G652" s="257"/>
      <c r="H652" s="257"/>
      <c r="I652" s="257"/>
      <c r="J652" s="257"/>
      <c r="K652" s="257"/>
      <c r="L652" s="257"/>
      <c r="M652" s="257"/>
      <c r="N652" s="257"/>
      <c r="O652" s="257"/>
      <c r="P652" s="257"/>
      <c r="Q652" s="257"/>
      <c r="R652" s="257"/>
      <c r="S652" s="257"/>
      <c r="T652" s="257"/>
      <c r="U652" s="257"/>
      <c r="V652" s="257"/>
      <c r="W652" s="257"/>
      <c r="X652" s="257"/>
      <c r="Y652" s="257"/>
      <c r="Z652" s="257"/>
    </row>
    <row r="653" ht="15.75" customHeight="1">
      <c r="A653" s="257"/>
      <c r="B653" s="257"/>
      <c r="C653" s="257"/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7"/>
      <c r="Q653" s="257"/>
      <c r="R653" s="257"/>
      <c r="S653" s="257"/>
      <c r="T653" s="257"/>
      <c r="U653" s="257"/>
      <c r="V653" s="257"/>
      <c r="W653" s="257"/>
      <c r="X653" s="257"/>
      <c r="Y653" s="257"/>
      <c r="Z653" s="257"/>
    </row>
    <row r="654" ht="15.75" customHeight="1">
      <c r="A654" s="257"/>
      <c r="B654" s="257"/>
      <c r="C654" s="257"/>
      <c r="D654" s="257"/>
      <c r="E654" s="257"/>
      <c r="F654" s="257"/>
      <c r="G654" s="257"/>
      <c r="H654" s="257"/>
      <c r="I654" s="257"/>
      <c r="J654" s="257"/>
      <c r="K654" s="257"/>
      <c r="L654" s="257"/>
      <c r="M654" s="257"/>
      <c r="N654" s="257"/>
      <c r="O654" s="257"/>
      <c r="P654" s="257"/>
      <c r="Q654" s="257"/>
      <c r="R654" s="257"/>
      <c r="S654" s="257"/>
      <c r="T654" s="257"/>
      <c r="U654" s="257"/>
      <c r="V654" s="257"/>
      <c r="W654" s="257"/>
      <c r="X654" s="257"/>
      <c r="Y654" s="257"/>
      <c r="Z654" s="257"/>
    </row>
    <row r="655" ht="15.75" customHeight="1">
      <c r="A655" s="257"/>
      <c r="B655" s="257"/>
      <c r="C655" s="257"/>
      <c r="D655" s="257"/>
      <c r="E655" s="257"/>
      <c r="F655" s="257"/>
      <c r="G655" s="257"/>
      <c r="H655" s="257"/>
      <c r="I655" s="257"/>
      <c r="J655" s="257"/>
      <c r="K655" s="257"/>
      <c r="L655" s="257"/>
      <c r="M655" s="257"/>
      <c r="N655" s="257"/>
      <c r="O655" s="257"/>
      <c r="P655" s="257"/>
      <c r="Q655" s="257"/>
      <c r="R655" s="257"/>
      <c r="S655" s="257"/>
      <c r="T655" s="257"/>
      <c r="U655" s="257"/>
      <c r="V655" s="257"/>
      <c r="W655" s="257"/>
      <c r="X655" s="257"/>
      <c r="Y655" s="257"/>
      <c r="Z655" s="257"/>
    </row>
    <row r="656" ht="15.75" customHeight="1">
      <c r="A656" s="257"/>
      <c r="B656" s="257"/>
      <c r="C656" s="257"/>
      <c r="D656" s="257"/>
      <c r="E656" s="257"/>
      <c r="F656" s="257"/>
      <c r="G656" s="257"/>
      <c r="H656" s="257"/>
      <c r="I656" s="257"/>
      <c r="J656" s="257"/>
      <c r="K656" s="257"/>
      <c r="L656" s="257"/>
      <c r="M656" s="257"/>
      <c r="N656" s="257"/>
      <c r="O656" s="257"/>
      <c r="P656" s="257"/>
      <c r="Q656" s="257"/>
      <c r="R656" s="257"/>
      <c r="S656" s="257"/>
      <c r="T656" s="257"/>
      <c r="U656" s="257"/>
      <c r="V656" s="257"/>
      <c r="W656" s="257"/>
      <c r="X656" s="257"/>
      <c r="Y656" s="257"/>
      <c r="Z656" s="257"/>
    </row>
    <row r="657" ht="15.75" customHeight="1">
      <c r="A657" s="257"/>
      <c r="B657" s="257"/>
      <c r="C657" s="257"/>
      <c r="D657" s="257"/>
      <c r="E657" s="257"/>
      <c r="F657" s="257"/>
      <c r="G657" s="257"/>
      <c r="H657" s="257"/>
      <c r="I657" s="257"/>
      <c r="J657" s="257"/>
      <c r="K657" s="257"/>
      <c r="L657" s="257"/>
      <c r="M657" s="257"/>
      <c r="N657" s="257"/>
      <c r="O657" s="257"/>
      <c r="P657" s="257"/>
      <c r="Q657" s="257"/>
      <c r="R657" s="257"/>
      <c r="S657" s="257"/>
      <c r="T657" s="257"/>
      <c r="U657" s="257"/>
      <c r="V657" s="257"/>
      <c r="W657" s="257"/>
      <c r="X657" s="257"/>
      <c r="Y657" s="257"/>
      <c r="Z657" s="257"/>
    </row>
    <row r="658" ht="15.75" customHeight="1">
      <c r="A658" s="257"/>
      <c r="B658" s="257"/>
      <c r="C658" s="257"/>
      <c r="D658" s="257"/>
      <c r="E658" s="257"/>
      <c r="F658" s="257"/>
      <c r="G658" s="257"/>
      <c r="H658" s="257"/>
      <c r="I658" s="257"/>
      <c r="J658" s="257"/>
      <c r="K658" s="257"/>
      <c r="L658" s="257"/>
      <c r="M658" s="257"/>
      <c r="N658" s="257"/>
      <c r="O658" s="257"/>
      <c r="P658" s="257"/>
      <c r="Q658" s="257"/>
      <c r="R658" s="257"/>
      <c r="S658" s="257"/>
      <c r="T658" s="257"/>
      <c r="U658" s="257"/>
      <c r="V658" s="257"/>
      <c r="W658" s="257"/>
      <c r="X658" s="257"/>
      <c r="Y658" s="257"/>
      <c r="Z658" s="257"/>
    </row>
    <row r="659" ht="15.75" customHeight="1">
      <c r="A659" s="257"/>
      <c r="B659" s="257"/>
      <c r="C659" s="257"/>
      <c r="D659" s="257"/>
      <c r="E659" s="257"/>
      <c r="F659" s="257"/>
      <c r="G659" s="257"/>
      <c r="H659" s="257"/>
      <c r="I659" s="257"/>
      <c r="J659" s="257"/>
      <c r="K659" s="257"/>
      <c r="L659" s="257"/>
      <c r="M659" s="257"/>
      <c r="N659" s="257"/>
      <c r="O659" s="257"/>
      <c r="P659" s="257"/>
      <c r="Q659" s="257"/>
      <c r="R659" s="257"/>
      <c r="S659" s="257"/>
      <c r="T659" s="257"/>
      <c r="U659" s="257"/>
      <c r="V659" s="257"/>
      <c r="W659" s="257"/>
      <c r="X659" s="257"/>
      <c r="Y659" s="257"/>
      <c r="Z659" s="257"/>
    </row>
    <row r="660" ht="15.75" customHeight="1">
      <c r="A660" s="257"/>
      <c r="B660" s="257"/>
      <c r="C660" s="257"/>
      <c r="D660" s="257"/>
      <c r="E660" s="257"/>
      <c r="F660" s="257"/>
      <c r="G660" s="257"/>
      <c r="H660" s="257"/>
      <c r="I660" s="257"/>
      <c r="J660" s="257"/>
      <c r="K660" s="257"/>
      <c r="L660" s="257"/>
      <c r="M660" s="257"/>
      <c r="N660" s="257"/>
      <c r="O660" s="257"/>
      <c r="P660" s="257"/>
      <c r="Q660" s="257"/>
      <c r="R660" s="257"/>
      <c r="S660" s="257"/>
      <c r="T660" s="257"/>
      <c r="U660" s="257"/>
      <c r="V660" s="257"/>
      <c r="W660" s="257"/>
      <c r="X660" s="257"/>
      <c r="Y660" s="257"/>
      <c r="Z660" s="257"/>
    </row>
    <row r="661" ht="15.75" customHeight="1">
      <c r="A661" s="257"/>
      <c r="B661" s="257"/>
      <c r="C661" s="257"/>
      <c r="D661" s="257"/>
      <c r="E661" s="257"/>
      <c r="F661" s="257"/>
      <c r="G661" s="257"/>
      <c r="H661" s="257"/>
      <c r="I661" s="257"/>
      <c r="J661" s="257"/>
      <c r="K661" s="257"/>
      <c r="L661" s="257"/>
      <c r="M661" s="257"/>
      <c r="N661" s="257"/>
      <c r="O661" s="257"/>
      <c r="P661" s="257"/>
      <c r="Q661" s="257"/>
      <c r="R661" s="257"/>
      <c r="S661" s="257"/>
      <c r="T661" s="257"/>
      <c r="U661" s="257"/>
      <c r="V661" s="257"/>
      <c r="W661" s="257"/>
      <c r="X661" s="257"/>
      <c r="Y661" s="257"/>
      <c r="Z661" s="257"/>
    </row>
    <row r="662" ht="15.75" customHeight="1">
      <c r="A662" s="257"/>
      <c r="B662" s="257"/>
      <c r="C662" s="257"/>
      <c r="D662" s="257"/>
      <c r="E662" s="257"/>
      <c r="F662" s="257"/>
      <c r="G662" s="257"/>
      <c r="H662" s="257"/>
      <c r="I662" s="257"/>
      <c r="J662" s="257"/>
      <c r="K662" s="257"/>
      <c r="L662" s="257"/>
      <c r="M662" s="257"/>
      <c r="N662" s="257"/>
      <c r="O662" s="257"/>
      <c r="P662" s="257"/>
      <c r="Q662" s="257"/>
      <c r="R662" s="257"/>
      <c r="S662" s="257"/>
      <c r="T662" s="257"/>
      <c r="U662" s="257"/>
      <c r="V662" s="257"/>
      <c r="W662" s="257"/>
      <c r="X662" s="257"/>
      <c r="Y662" s="257"/>
      <c r="Z662" s="257"/>
    </row>
    <row r="663" ht="15.75" customHeight="1">
      <c r="A663" s="257"/>
      <c r="B663" s="257"/>
      <c r="C663" s="257"/>
      <c r="D663" s="257"/>
      <c r="E663" s="257"/>
      <c r="F663" s="257"/>
      <c r="G663" s="257"/>
      <c r="H663" s="257"/>
      <c r="I663" s="257"/>
      <c r="J663" s="257"/>
      <c r="K663" s="257"/>
      <c r="L663" s="257"/>
      <c r="M663" s="257"/>
      <c r="N663" s="257"/>
      <c r="O663" s="257"/>
      <c r="P663" s="257"/>
      <c r="Q663" s="257"/>
      <c r="R663" s="257"/>
      <c r="S663" s="257"/>
      <c r="T663" s="257"/>
      <c r="U663" s="257"/>
      <c r="V663" s="257"/>
      <c r="W663" s="257"/>
      <c r="X663" s="257"/>
      <c r="Y663" s="257"/>
      <c r="Z663" s="257"/>
    </row>
    <row r="664" ht="15.75" customHeight="1">
      <c r="A664" s="257"/>
      <c r="B664" s="257"/>
      <c r="C664" s="257"/>
      <c r="D664" s="257"/>
      <c r="E664" s="257"/>
      <c r="F664" s="257"/>
      <c r="G664" s="257"/>
      <c r="H664" s="257"/>
      <c r="I664" s="257"/>
      <c r="J664" s="257"/>
      <c r="K664" s="257"/>
      <c r="L664" s="257"/>
      <c r="M664" s="257"/>
      <c r="N664" s="257"/>
      <c r="O664" s="257"/>
      <c r="P664" s="257"/>
      <c r="Q664" s="257"/>
      <c r="R664" s="257"/>
      <c r="S664" s="257"/>
      <c r="T664" s="257"/>
      <c r="U664" s="257"/>
      <c r="V664" s="257"/>
      <c r="W664" s="257"/>
      <c r="X664" s="257"/>
      <c r="Y664" s="257"/>
      <c r="Z664" s="257"/>
    </row>
    <row r="665" ht="15.75" customHeight="1">
      <c r="A665" s="257"/>
      <c r="B665" s="257"/>
      <c r="C665" s="257"/>
      <c r="D665" s="257"/>
      <c r="E665" s="257"/>
      <c r="F665" s="257"/>
      <c r="G665" s="257"/>
      <c r="H665" s="257"/>
      <c r="I665" s="257"/>
      <c r="J665" s="257"/>
      <c r="K665" s="257"/>
      <c r="L665" s="257"/>
      <c r="M665" s="257"/>
      <c r="N665" s="257"/>
      <c r="O665" s="257"/>
      <c r="P665" s="257"/>
      <c r="Q665" s="257"/>
      <c r="R665" s="257"/>
      <c r="S665" s="257"/>
      <c r="T665" s="257"/>
      <c r="U665" s="257"/>
      <c r="V665" s="257"/>
      <c r="W665" s="257"/>
      <c r="X665" s="257"/>
      <c r="Y665" s="257"/>
      <c r="Z665" s="257"/>
    </row>
    <row r="666" ht="15.75" customHeight="1">
      <c r="A666" s="257"/>
      <c r="B666" s="257"/>
      <c r="C666" s="257"/>
      <c r="D666" s="257"/>
      <c r="E666" s="257"/>
      <c r="F666" s="257"/>
      <c r="G666" s="257"/>
      <c r="H666" s="257"/>
      <c r="I666" s="257"/>
      <c r="J666" s="257"/>
      <c r="K666" s="257"/>
      <c r="L666" s="257"/>
      <c r="M666" s="257"/>
      <c r="N666" s="257"/>
      <c r="O666" s="257"/>
      <c r="P666" s="257"/>
      <c r="Q666" s="257"/>
      <c r="R666" s="257"/>
      <c r="S666" s="257"/>
      <c r="T666" s="257"/>
      <c r="U666" s="257"/>
      <c r="V666" s="257"/>
      <c r="W666" s="257"/>
      <c r="X666" s="257"/>
      <c r="Y666" s="257"/>
      <c r="Z666" s="257"/>
    </row>
    <row r="667" ht="15.75" customHeight="1">
      <c r="A667" s="257"/>
      <c r="B667" s="257"/>
      <c r="C667" s="257"/>
      <c r="D667" s="257"/>
      <c r="E667" s="257"/>
      <c r="F667" s="257"/>
      <c r="G667" s="257"/>
      <c r="H667" s="257"/>
      <c r="I667" s="257"/>
      <c r="J667" s="257"/>
      <c r="K667" s="257"/>
      <c r="L667" s="257"/>
      <c r="M667" s="257"/>
      <c r="N667" s="257"/>
      <c r="O667" s="257"/>
      <c r="P667" s="257"/>
      <c r="Q667" s="257"/>
      <c r="R667" s="257"/>
      <c r="S667" s="257"/>
      <c r="T667" s="257"/>
      <c r="U667" s="257"/>
      <c r="V667" s="257"/>
      <c r="W667" s="257"/>
      <c r="X667" s="257"/>
      <c r="Y667" s="257"/>
      <c r="Z667" s="257"/>
    </row>
    <row r="668" ht="15.75" customHeight="1">
      <c r="A668" s="257"/>
      <c r="B668" s="257"/>
      <c r="C668" s="257"/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7"/>
      <c r="P668" s="257"/>
      <c r="Q668" s="257"/>
      <c r="R668" s="257"/>
      <c r="S668" s="257"/>
      <c r="T668" s="257"/>
      <c r="U668" s="257"/>
      <c r="V668" s="257"/>
      <c r="W668" s="257"/>
      <c r="X668" s="257"/>
      <c r="Y668" s="257"/>
      <c r="Z668" s="257"/>
    </row>
    <row r="669" ht="15.75" customHeight="1">
      <c r="A669" s="257"/>
      <c r="B669" s="257"/>
      <c r="C669" s="257"/>
      <c r="D669" s="257"/>
      <c r="E669" s="257"/>
      <c r="F669" s="257"/>
      <c r="G669" s="257"/>
      <c r="H669" s="257"/>
      <c r="I669" s="257"/>
      <c r="J669" s="257"/>
      <c r="K669" s="257"/>
      <c r="L669" s="257"/>
      <c r="M669" s="257"/>
      <c r="N669" s="257"/>
      <c r="O669" s="257"/>
      <c r="P669" s="257"/>
      <c r="Q669" s="257"/>
      <c r="R669" s="257"/>
      <c r="S669" s="257"/>
      <c r="T669" s="257"/>
      <c r="U669" s="257"/>
      <c r="V669" s="257"/>
      <c r="W669" s="257"/>
      <c r="X669" s="257"/>
      <c r="Y669" s="257"/>
      <c r="Z669" s="257"/>
    </row>
    <row r="670" ht="15.75" customHeight="1">
      <c r="A670" s="257"/>
      <c r="B670" s="257"/>
      <c r="C670" s="257"/>
      <c r="D670" s="257"/>
      <c r="E670" s="257"/>
      <c r="F670" s="257"/>
      <c r="G670" s="257"/>
      <c r="H670" s="257"/>
      <c r="I670" s="257"/>
      <c r="J670" s="257"/>
      <c r="K670" s="257"/>
      <c r="L670" s="257"/>
      <c r="M670" s="257"/>
      <c r="N670" s="257"/>
      <c r="O670" s="257"/>
      <c r="P670" s="257"/>
      <c r="Q670" s="257"/>
      <c r="R670" s="257"/>
      <c r="S670" s="257"/>
      <c r="T670" s="257"/>
      <c r="U670" s="257"/>
      <c r="V670" s="257"/>
      <c r="W670" s="257"/>
      <c r="X670" s="257"/>
      <c r="Y670" s="257"/>
      <c r="Z670" s="257"/>
    </row>
    <row r="671" ht="15.75" customHeight="1">
      <c r="A671" s="257"/>
      <c r="B671" s="257"/>
      <c r="C671" s="257"/>
      <c r="D671" s="257"/>
      <c r="E671" s="257"/>
      <c r="F671" s="257"/>
      <c r="G671" s="257"/>
      <c r="H671" s="257"/>
      <c r="I671" s="257"/>
      <c r="J671" s="257"/>
      <c r="K671" s="257"/>
      <c r="L671" s="257"/>
      <c r="M671" s="257"/>
      <c r="N671" s="257"/>
      <c r="O671" s="257"/>
      <c r="P671" s="257"/>
      <c r="Q671" s="257"/>
      <c r="R671" s="257"/>
      <c r="S671" s="257"/>
      <c r="T671" s="257"/>
      <c r="U671" s="257"/>
      <c r="V671" s="257"/>
      <c r="W671" s="257"/>
      <c r="X671" s="257"/>
      <c r="Y671" s="257"/>
      <c r="Z671" s="257"/>
    </row>
    <row r="672" ht="15.75" customHeight="1">
      <c r="A672" s="257"/>
      <c r="B672" s="257"/>
      <c r="C672" s="257"/>
      <c r="D672" s="257"/>
      <c r="E672" s="257"/>
      <c r="F672" s="257"/>
      <c r="G672" s="257"/>
      <c r="H672" s="257"/>
      <c r="I672" s="257"/>
      <c r="J672" s="257"/>
      <c r="K672" s="257"/>
      <c r="L672" s="257"/>
      <c r="M672" s="257"/>
      <c r="N672" s="257"/>
      <c r="O672" s="257"/>
      <c r="P672" s="257"/>
      <c r="Q672" s="257"/>
      <c r="R672" s="257"/>
      <c r="S672" s="257"/>
      <c r="T672" s="257"/>
      <c r="U672" s="257"/>
      <c r="V672" s="257"/>
      <c r="W672" s="257"/>
      <c r="X672" s="257"/>
      <c r="Y672" s="257"/>
      <c r="Z672" s="257"/>
    </row>
    <row r="673" ht="15.75" customHeight="1">
      <c r="A673" s="257"/>
      <c r="B673" s="257"/>
      <c r="C673" s="257"/>
      <c r="D673" s="257"/>
      <c r="E673" s="257"/>
      <c r="F673" s="257"/>
      <c r="G673" s="257"/>
      <c r="H673" s="257"/>
      <c r="I673" s="257"/>
      <c r="J673" s="257"/>
      <c r="K673" s="257"/>
      <c r="L673" s="257"/>
      <c r="M673" s="257"/>
      <c r="N673" s="257"/>
      <c r="O673" s="257"/>
      <c r="P673" s="257"/>
      <c r="Q673" s="257"/>
      <c r="R673" s="257"/>
      <c r="S673" s="257"/>
      <c r="T673" s="257"/>
      <c r="U673" s="257"/>
      <c r="V673" s="257"/>
      <c r="W673" s="257"/>
      <c r="X673" s="257"/>
      <c r="Y673" s="257"/>
      <c r="Z673" s="257"/>
    </row>
    <row r="674" ht="15.75" customHeight="1">
      <c r="A674" s="257"/>
      <c r="B674" s="257"/>
      <c r="C674" s="257"/>
      <c r="D674" s="257"/>
      <c r="E674" s="257"/>
      <c r="F674" s="257"/>
      <c r="G674" s="257"/>
      <c r="H674" s="257"/>
      <c r="I674" s="257"/>
      <c r="J674" s="257"/>
      <c r="K674" s="257"/>
      <c r="L674" s="257"/>
      <c r="M674" s="257"/>
      <c r="N674" s="257"/>
      <c r="O674" s="257"/>
      <c r="P674" s="257"/>
      <c r="Q674" s="257"/>
      <c r="R674" s="257"/>
      <c r="S674" s="257"/>
      <c r="T674" s="257"/>
      <c r="U674" s="257"/>
      <c r="V674" s="257"/>
      <c r="W674" s="257"/>
      <c r="X674" s="257"/>
      <c r="Y674" s="257"/>
      <c r="Z674" s="257"/>
    </row>
    <row r="675" ht="15.75" customHeight="1">
      <c r="A675" s="257"/>
      <c r="B675" s="257"/>
      <c r="C675" s="257"/>
      <c r="D675" s="257"/>
      <c r="E675" s="257"/>
      <c r="F675" s="257"/>
      <c r="G675" s="257"/>
      <c r="H675" s="257"/>
      <c r="I675" s="257"/>
      <c r="J675" s="257"/>
      <c r="K675" s="257"/>
      <c r="L675" s="257"/>
      <c r="M675" s="257"/>
      <c r="N675" s="257"/>
      <c r="O675" s="257"/>
      <c r="P675" s="257"/>
      <c r="Q675" s="257"/>
      <c r="R675" s="257"/>
      <c r="S675" s="257"/>
      <c r="T675" s="257"/>
      <c r="U675" s="257"/>
      <c r="V675" s="257"/>
      <c r="W675" s="257"/>
      <c r="X675" s="257"/>
      <c r="Y675" s="257"/>
      <c r="Z675" s="257"/>
    </row>
    <row r="676" ht="15.75" customHeight="1">
      <c r="A676" s="257"/>
      <c r="B676" s="257"/>
      <c r="C676" s="257"/>
      <c r="D676" s="257"/>
      <c r="E676" s="257"/>
      <c r="F676" s="257"/>
      <c r="G676" s="257"/>
      <c r="H676" s="257"/>
      <c r="I676" s="257"/>
      <c r="J676" s="257"/>
      <c r="K676" s="257"/>
      <c r="L676" s="257"/>
      <c r="M676" s="257"/>
      <c r="N676" s="257"/>
      <c r="O676" s="257"/>
      <c r="P676" s="257"/>
      <c r="Q676" s="257"/>
      <c r="R676" s="257"/>
      <c r="S676" s="257"/>
      <c r="T676" s="257"/>
      <c r="U676" s="257"/>
      <c r="V676" s="257"/>
      <c r="W676" s="257"/>
      <c r="X676" s="257"/>
      <c r="Y676" s="257"/>
      <c r="Z676" s="257"/>
    </row>
    <row r="677" ht="15.75" customHeight="1">
      <c r="A677" s="257"/>
      <c r="B677" s="257"/>
      <c r="C677" s="257"/>
      <c r="D677" s="257"/>
      <c r="E677" s="257"/>
      <c r="F677" s="257"/>
      <c r="G677" s="257"/>
      <c r="H677" s="257"/>
      <c r="I677" s="257"/>
      <c r="J677" s="257"/>
      <c r="K677" s="257"/>
      <c r="L677" s="257"/>
      <c r="M677" s="257"/>
      <c r="N677" s="257"/>
      <c r="O677" s="257"/>
      <c r="P677" s="257"/>
      <c r="Q677" s="257"/>
      <c r="R677" s="257"/>
      <c r="S677" s="257"/>
      <c r="T677" s="257"/>
      <c r="U677" s="257"/>
      <c r="V677" s="257"/>
      <c r="W677" s="257"/>
      <c r="X677" s="257"/>
      <c r="Y677" s="257"/>
      <c r="Z677" s="257"/>
    </row>
    <row r="678" ht="15.75" customHeight="1">
      <c r="A678" s="257"/>
      <c r="B678" s="257"/>
      <c r="C678" s="257"/>
      <c r="D678" s="257"/>
      <c r="E678" s="257"/>
      <c r="F678" s="257"/>
      <c r="G678" s="257"/>
      <c r="H678" s="257"/>
      <c r="I678" s="257"/>
      <c r="J678" s="257"/>
      <c r="K678" s="257"/>
      <c r="L678" s="257"/>
      <c r="M678" s="257"/>
      <c r="N678" s="257"/>
      <c r="O678" s="257"/>
      <c r="P678" s="257"/>
      <c r="Q678" s="257"/>
      <c r="R678" s="257"/>
      <c r="S678" s="257"/>
      <c r="T678" s="257"/>
      <c r="U678" s="257"/>
      <c r="V678" s="257"/>
      <c r="W678" s="257"/>
      <c r="X678" s="257"/>
      <c r="Y678" s="257"/>
      <c r="Z678" s="257"/>
    </row>
    <row r="679" ht="15.75" customHeight="1">
      <c r="A679" s="257"/>
      <c r="B679" s="257"/>
      <c r="C679" s="257"/>
      <c r="D679" s="257"/>
      <c r="E679" s="257"/>
      <c r="F679" s="257"/>
      <c r="G679" s="257"/>
      <c r="H679" s="257"/>
      <c r="I679" s="257"/>
      <c r="J679" s="257"/>
      <c r="K679" s="257"/>
      <c r="L679" s="257"/>
      <c r="M679" s="257"/>
      <c r="N679" s="257"/>
      <c r="O679" s="257"/>
      <c r="P679" s="257"/>
      <c r="Q679" s="257"/>
      <c r="R679" s="257"/>
      <c r="S679" s="257"/>
      <c r="T679" s="257"/>
      <c r="U679" s="257"/>
      <c r="V679" s="257"/>
      <c r="W679" s="257"/>
      <c r="X679" s="257"/>
      <c r="Y679" s="257"/>
      <c r="Z679" s="257"/>
    </row>
    <row r="680" ht="15.75" customHeight="1">
      <c r="A680" s="257"/>
      <c r="B680" s="257"/>
      <c r="C680" s="257"/>
      <c r="D680" s="257"/>
      <c r="E680" s="257"/>
      <c r="F680" s="257"/>
      <c r="G680" s="257"/>
      <c r="H680" s="257"/>
      <c r="I680" s="257"/>
      <c r="J680" s="257"/>
      <c r="K680" s="257"/>
      <c r="L680" s="257"/>
      <c r="M680" s="257"/>
      <c r="N680" s="257"/>
      <c r="O680" s="257"/>
      <c r="P680" s="257"/>
      <c r="Q680" s="257"/>
      <c r="R680" s="257"/>
      <c r="S680" s="257"/>
      <c r="T680" s="257"/>
      <c r="U680" s="257"/>
      <c r="V680" s="257"/>
      <c r="W680" s="257"/>
      <c r="X680" s="257"/>
      <c r="Y680" s="257"/>
      <c r="Z680" s="257"/>
    </row>
    <row r="681" ht="15.75" customHeight="1">
      <c r="A681" s="257"/>
      <c r="B681" s="257"/>
      <c r="C681" s="257"/>
      <c r="D681" s="257"/>
      <c r="E681" s="257"/>
      <c r="F681" s="257"/>
      <c r="G681" s="257"/>
      <c r="H681" s="257"/>
      <c r="I681" s="257"/>
      <c r="J681" s="257"/>
      <c r="K681" s="257"/>
      <c r="L681" s="257"/>
      <c r="M681" s="257"/>
      <c r="N681" s="257"/>
      <c r="O681" s="257"/>
      <c r="P681" s="257"/>
      <c r="Q681" s="257"/>
      <c r="R681" s="257"/>
      <c r="S681" s="257"/>
      <c r="T681" s="257"/>
      <c r="U681" s="257"/>
      <c r="V681" s="257"/>
      <c r="W681" s="257"/>
      <c r="X681" s="257"/>
      <c r="Y681" s="257"/>
      <c r="Z681" s="257"/>
    </row>
    <row r="682" ht="15.75" customHeight="1">
      <c r="A682" s="257"/>
      <c r="B682" s="257"/>
      <c r="C682" s="257"/>
      <c r="D682" s="257"/>
      <c r="E682" s="257"/>
      <c r="F682" s="257"/>
      <c r="G682" s="257"/>
      <c r="H682" s="257"/>
      <c r="I682" s="257"/>
      <c r="J682" s="257"/>
      <c r="K682" s="257"/>
      <c r="L682" s="257"/>
      <c r="M682" s="257"/>
      <c r="N682" s="257"/>
      <c r="O682" s="257"/>
      <c r="P682" s="257"/>
      <c r="Q682" s="257"/>
      <c r="R682" s="257"/>
      <c r="S682" s="257"/>
      <c r="T682" s="257"/>
      <c r="U682" s="257"/>
      <c r="V682" s="257"/>
      <c r="W682" s="257"/>
      <c r="X682" s="257"/>
      <c r="Y682" s="257"/>
      <c r="Z682" s="257"/>
    </row>
    <row r="683" ht="15.75" customHeight="1">
      <c r="A683" s="257"/>
      <c r="B683" s="257"/>
      <c r="C683" s="257"/>
      <c r="D683" s="257"/>
      <c r="E683" s="257"/>
      <c r="F683" s="257"/>
      <c r="G683" s="257"/>
      <c r="H683" s="257"/>
      <c r="I683" s="257"/>
      <c r="J683" s="257"/>
      <c r="K683" s="257"/>
      <c r="L683" s="257"/>
      <c r="M683" s="257"/>
      <c r="N683" s="257"/>
      <c r="O683" s="257"/>
      <c r="P683" s="257"/>
      <c r="Q683" s="257"/>
      <c r="R683" s="257"/>
      <c r="S683" s="257"/>
      <c r="T683" s="257"/>
      <c r="U683" s="257"/>
      <c r="V683" s="257"/>
      <c r="W683" s="257"/>
      <c r="X683" s="257"/>
      <c r="Y683" s="257"/>
      <c r="Z683" s="257"/>
    </row>
    <row r="684" ht="15.75" customHeight="1">
      <c r="A684" s="257"/>
      <c r="B684" s="257"/>
      <c r="C684" s="257"/>
      <c r="D684" s="257"/>
      <c r="E684" s="257"/>
      <c r="F684" s="257"/>
      <c r="G684" s="257"/>
      <c r="H684" s="257"/>
      <c r="I684" s="257"/>
      <c r="J684" s="257"/>
      <c r="K684" s="257"/>
      <c r="L684" s="257"/>
      <c r="M684" s="257"/>
      <c r="N684" s="257"/>
      <c r="O684" s="257"/>
      <c r="P684" s="257"/>
      <c r="Q684" s="257"/>
      <c r="R684" s="257"/>
      <c r="S684" s="257"/>
      <c r="T684" s="257"/>
      <c r="U684" s="257"/>
      <c r="V684" s="257"/>
      <c r="W684" s="257"/>
      <c r="X684" s="257"/>
      <c r="Y684" s="257"/>
      <c r="Z684" s="257"/>
    </row>
    <row r="685" ht="15.75" customHeight="1">
      <c r="A685" s="257"/>
      <c r="B685" s="257"/>
      <c r="C685" s="257"/>
      <c r="D685" s="257"/>
      <c r="E685" s="257"/>
      <c r="F685" s="257"/>
      <c r="G685" s="257"/>
      <c r="H685" s="257"/>
      <c r="I685" s="257"/>
      <c r="J685" s="257"/>
      <c r="K685" s="257"/>
      <c r="L685" s="257"/>
      <c r="M685" s="257"/>
      <c r="N685" s="257"/>
      <c r="O685" s="257"/>
      <c r="P685" s="257"/>
      <c r="Q685" s="257"/>
      <c r="R685" s="257"/>
      <c r="S685" s="257"/>
      <c r="T685" s="257"/>
      <c r="U685" s="257"/>
      <c r="V685" s="257"/>
      <c r="W685" s="257"/>
      <c r="X685" s="257"/>
      <c r="Y685" s="257"/>
      <c r="Z685" s="257"/>
    </row>
    <row r="686" ht="15.75" customHeight="1">
      <c r="A686" s="257"/>
      <c r="B686" s="257"/>
      <c r="C686" s="257"/>
      <c r="D686" s="257"/>
      <c r="E686" s="257"/>
      <c r="F686" s="257"/>
      <c r="G686" s="257"/>
      <c r="H686" s="257"/>
      <c r="I686" s="257"/>
      <c r="J686" s="257"/>
      <c r="K686" s="257"/>
      <c r="L686" s="257"/>
      <c r="M686" s="257"/>
      <c r="N686" s="257"/>
      <c r="O686" s="257"/>
      <c r="P686" s="257"/>
      <c r="Q686" s="257"/>
      <c r="R686" s="257"/>
      <c r="S686" s="257"/>
      <c r="T686" s="257"/>
      <c r="U686" s="257"/>
      <c r="V686" s="257"/>
      <c r="W686" s="257"/>
      <c r="X686" s="257"/>
      <c r="Y686" s="257"/>
      <c r="Z686" s="257"/>
    </row>
    <row r="687" ht="15.75" customHeight="1">
      <c r="A687" s="257"/>
      <c r="B687" s="257"/>
      <c r="C687" s="257"/>
      <c r="D687" s="257"/>
      <c r="E687" s="257"/>
      <c r="F687" s="257"/>
      <c r="G687" s="257"/>
      <c r="H687" s="257"/>
      <c r="I687" s="257"/>
      <c r="J687" s="257"/>
      <c r="K687" s="257"/>
      <c r="L687" s="257"/>
      <c r="M687" s="257"/>
      <c r="N687" s="257"/>
      <c r="O687" s="257"/>
      <c r="P687" s="257"/>
      <c r="Q687" s="257"/>
      <c r="R687" s="257"/>
      <c r="S687" s="257"/>
      <c r="T687" s="257"/>
      <c r="U687" s="257"/>
      <c r="V687" s="257"/>
      <c r="W687" s="257"/>
      <c r="X687" s="257"/>
      <c r="Y687" s="257"/>
      <c r="Z687" s="257"/>
    </row>
    <row r="688" ht="15.75" customHeight="1">
      <c r="A688" s="257"/>
      <c r="B688" s="257"/>
      <c r="C688" s="257"/>
      <c r="D688" s="257"/>
      <c r="E688" s="257"/>
      <c r="F688" s="257"/>
      <c r="G688" s="257"/>
      <c r="H688" s="257"/>
      <c r="I688" s="257"/>
      <c r="J688" s="257"/>
      <c r="K688" s="257"/>
      <c r="L688" s="257"/>
      <c r="M688" s="257"/>
      <c r="N688" s="257"/>
      <c r="O688" s="257"/>
      <c r="P688" s="257"/>
      <c r="Q688" s="257"/>
      <c r="R688" s="257"/>
      <c r="S688" s="257"/>
      <c r="T688" s="257"/>
      <c r="U688" s="257"/>
      <c r="V688" s="257"/>
      <c r="W688" s="257"/>
      <c r="X688" s="257"/>
      <c r="Y688" s="257"/>
      <c r="Z688" s="257"/>
    </row>
    <row r="689" ht="15.75" customHeight="1">
      <c r="A689" s="257"/>
      <c r="B689" s="257"/>
      <c r="C689" s="257"/>
      <c r="D689" s="257"/>
      <c r="E689" s="257"/>
      <c r="F689" s="257"/>
      <c r="G689" s="257"/>
      <c r="H689" s="257"/>
      <c r="I689" s="257"/>
      <c r="J689" s="257"/>
      <c r="K689" s="257"/>
      <c r="L689" s="257"/>
      <c r="M689" s="257"/>
      <c r="N689" s="257"/>
      <c r="O689" s="257"/>
      <c r="P689" s="257"/>
      <c r="Q689" s="257"/>
      <c r="R689" s="257"/>
      <c r="S689" s="257"/>
      <c r="T689" s="257"/>
      <c r="U689" s="257"/>
      <c r="V689" s="257"/>
      <c r="W689" s="257"/>
      <c r="X689" s="257"/>
      <c r="Y689" s="257"/>
      <c r="Z689" s="257"/>
    </row>
    <row r="690" ht="15.75" customHeight="1">
      <c r="A690" s="257"/>
      <c r="B690" s="257"/>
      <c r="C690" s="257"/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7"/>
      <c r="P690" s="257"/>
      <c r="Q690" s="257"/>
      <c r="R690" s="257"/>
      <c r="S690" s="257"/>
      <c r="T690" s="257"/>
      <c r="U690" s="257"/>
      <c r="V690" s="257"/>
      <c r="W690" s="257"/>
      <c r="X690" s="257"/>
      <c r="Y690" s="257"/>
      <c r="Z690" s="257"/>
    </row>
    <row r="691" ht="15.75" customHeight="1">
      <c r="A691" s="257"/>
      <c r="B691" s="257"/>
      <c r="C691" s="257"/>
      <c r="D691" s="257"/>
      <c r="E691" s="257"/>
      <c r="F691" s="257"/>
      <c r="G691" s="257"/>
      <c r="H691" s="257"/>
      <c r="I691" s="257"/>
      <c r="J691" s="257"/>
      <c r="K691" s="257"/>
      <c r="L691" s="257"/>
      <c r="M691" s="257"/>
      <c r="N691" s="257"/>
      <c r="O691" s="257"/>
      <c r="P691" s="257"/>
      <c r="Q691" s="257"/>
      <c r="R691" s="257"/>
      <c r="S691" s="257"/>
      <c r="T691" s="257"/>
      <c r="U691" s="257"/>
      <c r="V691" s="257"/>
      <c r="W691" s="257"/>
      <c r="X691" s="257"/>
      <c r="Y691" s="257"/>
      <c r="Z691" s="257"/>
    </row>
    <row r="692" ht="15.75" customHeight="1">
      <c r="A692" s="257"/>
      <c r="B692" s="257"/>
      <c r="C692" s="257"/>
      <c r="D692" s="257"/>
      <c r="E692" s="257"/>
      <c r="F692" s="257"/>
      <c r="G692" s="257"/>
      <c r="H692" s="257"/>
      <c r="I692" s="257"/>
      <c r="J692" s="257"/>
      <c r="K692" s="257"/>
      <c r="L692" s="257"/>
      <c r="M692" s="257"/>
      <c r="N692" s="257"/>
      <c r="O692" s="257"/>
      <c r="P692" s="257"/>
      <c r="Q692" s="257"/>
      <c r="R692" s="257"/>
      <c r="S692" s="257"/>
      <c r="T692" s="257"/>
      <c r="U692" s="257"/>
      <c r="V692" s="257"/>
      <c r="W692" s="257"/>
      <c r="X692" s="257"/>
      <c r="Y692" s="257"/>
      <c r="Z692" s="257"/>
    </row>
    <row r="693" ht="15.75" customHeight="1">
      <c r="A693" s="257"/>
      <c r="B693" s="257"/>
      <c r="C693" s="257"/>
      <c r="D693" s="257"/>
      <c r="E693" s="257"/>
      <c r="F693" s="257"/>
      <c r="G693" s="257"/>
      <c r="H693" s="257"/>
      <c r="I693" s="257"/>
      <c r="J693" s="257"/>
      <c r="K693" s="257"/>
      <c r="L693" s="257"/>
      <c r="M693" s="257"/>
      <c r="N693" s="257"/>
      <c r="O693" s="257"/>
      <c r="P693" s="257"/>
      <c r="Q693" s="257"/>
      <c r="R693" s="257"/>
      <c r="S693" s="257"/>
      <c r="T693" s="257"/>
      <c r="U693" s="257"/>
      <c r="V693" s="257"/>
      <c r="W693" s="257"/>
      <c r="X693" s="257"/>
      <c r="Y693" s="257"/>
      <c r="Z693" s="257"/>
    </row>
    <row r="694" ht="15.75" customHeight="1">
      <c r="A694" s="257"/>
      <c r="B694" s="257"/>
      <c r="C694" s="257"/>
      <c r="D694" s="257"/>
      <c r="E694" s="257"/>
      <c r="F694" s="257"/>
      <c r="G694" s="257"/>
      <c r="H694" s="257"/>
      <c r="I694" s="257"/>
      <c r="J694" s="257"/>
      <c r="K694" s="257"/>
      <c r="L694" s="257"/>
      <c r="M694" s="257"/>
      <c r="N694" s="257"/>
      <c r="O694" s="257"/>
      <c r="P694" s="257"/>
      <c r="Q694" s="257"/>
      <c r="R694" s="257"/>
      <c r="S694" s="257"/>
      <c r="T694" s="257"/>
      <c r="U694" s="257"/>
      <c r="V694" s="257"/>
      <c r="W694" s="257"/>
      <c r="X694" s="257"/>
      <c r="Y694" s="257"/>
      <c r="Z694" s="257"/>
    </row>
    <row r="695" ht="15.75" customHeight="1">
      <c r="A695" s="257"/>
      <c r="B695" s="257"/>
      <c r="C695" s="257"/>
      <c r="D695" s="257"/>
      <c r="E695" s="257"/>
      <c r="F695" s="257"/>
      <c r="G695" s="257"/>
      <c r="H695" s="257"/>
      <c r="I695" s="257"/>
      <c r="J695" s="257"/>
      <c r="K695" s="257"/>
      <c r="L695" s="257"/>
      <c r="M695" s="257"/>
      <c r="N695" s="257"/>
      <c r="O695" s="257"/>
      <c r="P695" s="257"/>
      <c r="Q695" s="257"/>
      <c r="R695" s="257"/>
      <c r="S695" s="257"/>
      <c r="T695" s="257"/>
      <c r="U695" s="257"/>
      <c r="V695" s="257"/>
      <c r="W695" s="257"/>
      <c r="X695" s="257"/>
      <c r="Y695" s="257"/>
      <c r="Z695" s="257"/>
    </row>
    <row r="696" ht="15.75" customHeight="1">
      <c r="A696" s="257"/>
      <c r="B696" s="257"/>
      <c r="C696" s="257"/>
      <c r="D696" s="257"/>
      <c r="E696" s="257"/>
      <c r="F696" s="257"/>
      <c r="G696" s="257"/>
      <c r="H696" s="257"/>
      <c r="I696" s="257"/>
      <c r="J696" s="257"/>
      <c r="K696" s="257"/>
      <c r="L696" s="257"/>
      <c r="M696" s="257"/>
      <c r="N696" s="257"/>
      <c r="O696" s="257"/>
      <c r="P696" s="257"/>
      <c r="Q696" s="257"/>
      <c r="R696" s="257"/>
      <c r="S696" s="257"/>
      <c r="T696" s="257"/>
      <c r="U696" s="257"/>
      <c r="V696" s="257"/>
      <c r="W696" s="257"/>
      <c r="X696" s="257"/>
      <c r="Y696" s="257"/>
      <c r="Z696" s="257"/>
    </row>
    <row r="697" ht="15.75" customHeight="1">
      <c r="A697" s="257"/>
      <c r="B697" s="257"/>
      <c r="C697" s="257"/>
      <c r="D697" s="257"/>
      <c r="E697" s="257"/>
      <c r="F697" s="257"/>
      <c r="G697" s="257"/>
      <c r="H697" s="257"/>
      <c r="I697" s="257"/>
      <c r="J697" s="257"/>
      <c r="K697" s="257"/>
      <c r="L697" s="257"/>
      <c r="M697" s="257"/>
      <c r="N697" s="257"/>
      <c r="O697" s="257"/>
      <c r="P697" s="257"/>
      <c r="Q697" s="257"/>
      <c r="R697" s="257"/>
      <c r="S697" s="257"/>
      <c r="T697" s="257"/>
      <c r="U697" s="257"/>
      <c r="V697" s="257"/>
      <c r="W697" s="257"/>
      <c r="X697" s="257"/>
      <c r="Y697" s="257"/>
      <c r="Z697" s="257"/>
    </row>
    <row r="698" ht="15.75" customHeight="1">
      <c r="A698" s="257"/>
      <c r="B698" s="257"/>
      <c r="C698" s="257"/>
      <c r="D698" s="257"/>
      <c r="E698" s="257"/>
      <c r="F698" s="257"/>
      <c r="G698" s="257"/>
      <c r="H698" s="257"/>
      <c r="I698" s="257"/>
      <c r="J698" s="257"/>
      <c r="K698" s="257"/>
      <c r="L698" s="257"/>
      <c r="M698" s="257"/>
      <c r="N698" s="257"/>
      <c r="O698" s="257"/>
      <c r="P698" s="257"/>
      <c r="Q698" s="257"/>
      <c r="R698" s="257"/>
      <c r="S698" s="257"/>
      <c r="T698" s="257"/>
      <c r="U698" s="257"/>
      <c r="V698" s="257"/>
      <c r="W698" s="257"/>
      <c r="X698" s="257"/>
      <c r="Y698" s="257"/>
      <c r="Z698" s="257"/>
    </row>
    <row r="699" ht="15.75" customHeight="1">
      <c r="A699" s="257"/>
      <c r="B699" s="257"/>
      <c r="C699" s="257"/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7"/>
      <c r="Q699" s="257"/>
      <c r="R699" s="257"/>
      <c r="S699" s="257"/>
      <c r="T699" s="257"/>
      <c r="U699" s="257"/>
      <c r="V699" s="257"/>
      <c r="W699" s="257"/>
      <c r="X699" s="257"/>
      <c r="Y699" s="257"/>
      <c r="Z699" s="257"/>
    </row>
    <row r="700" ht="15.75" customHeight="1">
      <c r="A700" s="257"/>
      <c r="B700" s="257"/>
      <c r="C700" s="257"/>
      <c r="D700" s="257"/>
      <c r="E700" s="257"/>
      <c r="F700" s="257"/>
      <c r="G700" s="257"/>
      <c r="H700" s="257"/>
      <c r="I700" s="257"/>
      <c r="J700" s="257"/>
      <c r="K700" s="257"/>
      <c r="L700" s="257"/>
      <c r="M700" s="257"/>
      <c r="N700" s="257"/>
      <c r="O700" s="257"/>
      <c r="P700" s="257"/>
      <c r="Q700" s="257"/>
      <c r="R700" s="257"/>
      <c r="S700" s="257"/>
      <c r="T700" s="257"/>
      <c r="U700" s="257"/>
      <c r="V700" s="257"/>
      <c r="W700" s="257"/>
      <c r="X700" s="257"/>
      <c r="Y700" s="257"/>
      <c r="Z700" s="257"/>
    </row>
    <row r="701" ht="15.75" customHeight="1">
      <c r="A701" s="257"/>
      <c r="B701" s="257"/>
      <c r="C701" s="257"/>
      <c r="D701" s="257"/>
      <c r="E701" s="257"/>
      <c r="F701" s="257"/>
      <c r="G701" s="257"/>
      <c r="H701" s="257"/>
      <c r="I701" s="257"/>
      <c r="J701" s="257"/>
      <c r="K701" s="257"/>
      <c r="L701" s="257"/>
      <c r="M701" s="257"/>
      <c r="N701" s="257"/>
      <c r="O701" s="257"/>
      <c r="P701" s="257"/>
      <c r="Q701" s="257"/>
      <c r="R701" s="257"/>
      <c r="S701" s="257"/>
      <c r="T701" s="257"/>
      <c r="U701" s="257"/>
      <c r="V701" s="257"/>
      <c r="W701" s="257"/>
      <c r="X701" s="257"/>
      <c r="Y701" s="257"/>
      <c r="Z701" s="257"/>
    </row>
    <row r="702" ht="15.75" customHeight="1">
      <c r="A702" s="257"/>
      <c r="B702" s="257"/>
      <c r="C702" s="257"/>
      <c r="D702" s="257"/>
      <c r="E702" s="257"/>
      <c r="F702" s="257"/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/>
      <c r="S702" s="257"/>
      <c r="T702" s="257"/>
      <c r="U702" s="257"/>
      <c r="V702" s="257"/>
      <c r="W702" s="257"/>
      <c r="X702" s="257"/>
      <c r="Y702" s="257"/>
      <c r="Z702" s="257"/>
    </row>
    <row r="703" ht="15.75" customHeight="1">
      <c r="A703" s="257"/>
      <c r="B703" s="257"/>
      <c r="C703" s="257"/>
      <c r="D703" s="257"/>
      <c r="E703" s="257"/>
      <c r="F703" s="257"/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/>
      <c r="S703" s="257"/>
      <c r="T703" s="257"/>
      <c r="U703" s="257"/>
      <c r="V703" s="257"/>
      <c r="W703" s="257"/>
      <c r="X703" s="257"/>
      <c r="Y703" s="257"/>
      <c r="Z703" s="257"/>
    </row>
    <row r="704" ht="15.75" customHeight="1">
      <c r="A704" s="257"/>
      <c r="B704" s="257"/>
      <c r="C704" s="257"/>
      <c r="D704" s="257"/>
      <c r="E704" s="257"/>
      <c r="F704" s="257"/>
      <c r="G704" s="257"/>
      <c r="H704" s="257"/>
      <c r="I704" s="257"/>
      <c r="J704" s="257"/>
      <c r="K704" s="257"/>
      <c r="L704" s="257"/>
      <c r="M704" s="257"/>
      <c r="N704" s="257"/>
      <c r="O704" s="257"/>
      <c r="P704" s="257"/>
      <c r="Q704" s="257"/>
      <c r="R704" s="257"/>
      <c r="S704" s="257"/>
      <c r="T704" s="257"/>
      <c r="U704" s="257"/>
      <c r="V704" s="257"/>
      <c r="W704" s="257"/>
      <c r="X704" s="257"/>
      <c r="Y704" s="257"/>
      <c r="Z704" s="257"/>
    </row>
    <row r="705" ht="15.75" customHeight="1">
      <c r="A705" s="257"/>
      <c r="B705" s="257"/>
      <c r="C705" s="257"/>
      <c r="D705" s="257"/>
      <c r="E705" s="257"/>
      <c r="F705" s="257"/>
      <c r="G705" s="257"/>
      <c r="H705" s="257"/>
      <c r="I705" s="257"/>
      <c r="J705" s="257"/>
      <c r="K705" s="257"/>
      <c r="L705" s="257"/>
      <c r="M705" s="257"/>
      <c r="N705" s="257"/>
      <c r="O705" s="257"/>
      <c r="P705" s="257"/>
      <c r="Q705" s="257"/>
      <c r="R705" s="257"/>
      <c r="S705" s="257"/>
      <c r="T705" s="257"/>
      <c r="U705" s="257"/>
      <c r="V705" s="257"/>
      <c r="W705" s="257"/>
      <c r="X705" s="257"/>
      <c r="Y705" s="257"/>
      <c r="Z705" s="257"/>
    </row>
    <row r="706" ht="15.75" customHeight="1">
      <c r="A706" s="257"/>
      <c r="B706" s="257"/>
      <c r="C706" s="257"/>
      <c r="D706" s="257"/>
      <c r="E706" s="257"/>
      <c r="F706" s="257"/>
      <c r="G706" s="257"/>
      <c r="H706" s="257"/>
      <c r="I706" s="257"/>
      <c r="J706" s="257"/>
      <c r="K706" s="257"/>
      <c r="L706" s="257"/>
      <c r="M706" s="257"/>
      <c r="N706" s="257"/>
      <c r="O706" s="257"/>
      <c r="P706" s="257"/>
      <c r="Q706" s="257"/>
      <c r="R706" s="257"/>
      <c r="S706" s="257"/>
      <c r="T706" s="257"/>
      <c r="U706" s="257"/>
      <c r="V706" s="257"/>
      <c r="W706" s="257"/>
      <c r="X706" s="257"/>
      <c r="Y706" s="257"/>
      <c r="Z706" s="257"/>
    </row>
    <row r="707" ht="15.75" customHeight="1">
      <c r="A707" s="257"/>
      <c r="B707" s="257"/>
      <c r="C707" s="257"/>
      <c r="D707" s="257"/>
      <c r="E707" s="257"/>
      <c r="F707" s="257"/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/>
      <c r="S707" s="257"/>
      <c r="T707" s="257"/>
      <c r="U707" s="257"/>
      <c r="V707" s="257"/>
      <c r="W707" s="257"/>
      <c r="X707" s="257"/>
      <c r="Y707" s="257"/>
      <c r="Z707" s="257"/>
    </row>
    <row r="708" ht="15.75" customHeight="1">
      <c r="A708" s="257"/>
      <c r="B708" s="257"/>
      <c r="C708" s="257"/>
      <c r="D708" s="257"/>
      <c r="E708" s="257"/>
      <c r="F708" s="257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/>
      <c r="S708" s="257"/>
      <c r="T708" s="257"/>
      <c r="U708" s="257"/>
      <c r="V708" s="257"/>
      <c r="W708" s="257"/>
      <c r="X708" s="257"/>
      <c r="Y708" s="257"/>
      <c r="Z708" s="257"/>
    </row>
    <row r="709" ht="15.75" customHeight="1">
      <c r="A709" s="257"/>
      <c r="B709" s="257"/>
      <c r="C709" s="257"/>
      <c r="D709" s="257"/>
      <c r="E709" s="257"/>
      <c r="F709" s="257"/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/>
      <c r="S709" s="257"/>
      <c r="T709" s="257"/>
      <c r="U709" s="257"/>
      <c r="V709" s="257"/>
      <c r="W709" s="257"/>
      <c r="X709" s="257"/>
      <c r="Y709" s="257"/>
      <c r="Z709" s="257"/>
    </row>
    <row r="710" ht="15.75" customHeight="1">
      <c r="A710" s="257"/>
      <c r="B710" s="257"/>
      <c r="C710" s="257"/>
      <c r="D710" s="257"/>
      <c r="E710" s="257"/>
      <c r="F710" s="257"/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/>
      <c r="S710" s="257"/>
      <c r="T710" s="257"/>
      <c r="U710" s="257"/>
      <c r="V710" s="257"/>
      <c r="W710" s="257"/>
      <c r="X710" s="257"/>
      <c r="Y710" s="257"/>
      <c r="Z710" s="257"/>
    </row>
    <row r="711" ht="15.75" customHeight="1">
      <c r="A711" s="257"/>
      <c r="B711" s="257"/>
      <c r="C711" s="257"/>
      <c r="D711" s="257"/>
      <c r="E711" s="257"/>
      <c r="F711" s="257"/>
      <c r="G711" s="257"/>
      <c r="H711" s="257"/>
      <c r="I711" s="257"/>
      <c r="J711" s="257"/>
      <c r="K711" s="257"/>
      <c r="L711" s="257"/>
      <c r="M711" s="257"/>
      <c r="N711" s="257"/>
      <c r="O711" s="257"/>
      <c r="P711" s="257"/>
      <c r="Q711" s="257"/>
      <c r="R711" s="257"/>
      <c r="S711" s="257"/>
      <c r="T711" s="257"/>
      <c r="U711" s="257"/>
      <c r="V711" s="257"/>
      <c r="W711" s="257"/>
      <c r="X711" s="257"/>
      <c r="Y711" s="257"/>
      <c r="Z711" s="257"/>
    </row>
    <row r="712" ht="15.75" customHeight="1">
      <c r="A712" s="257"/>
      <c r="B712" s="257"/>
      <c r="C712" s="257"/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7"/>
      <c r="P712" s="257"/>
      <c r="Q712" s="257"/>
      <c r="R712" s="257"/>
      <c r="S712" s="257"/>
      <c r="T712" s="257"/>
      <c r="U712" s="257"/>
      <c r="V712" s="257"/>
      <c r="W712" s="257"/>
      <c r="X712" s="257"/>
      <c r="Y712" s="257"/>
      <c r="Z712" s="257"/>
    </row>
    <row r="713" ht="15.75" customHeight="1">
      <c r="A713" s="257"/>
      <c r="B713" s="257"/>
      <c r="C713" s="257"/>
      <c r="D713" s="257"/>
      <c r="E713" s="257"/>
      <c r="F713" s="257"/>
      <c r="G713" s="257"/>
      <c r="H713" s="257"/>
      <c r="I713" s="257"/>
      <c r="J713" s="257"/>
      <c r="K713" s="257"/>
      <c r="L713" s="257"/>
      <c r="M713" s="257"/>
      <c r="N713" s="257"/>
      <c r="O713" s="257"/>
      <c r="P713" s="257"/>
      <c r="Q713" s="257"/>
      <c r="R713" s="257"/>
      <c r="S713" s="257"/>
      <c r="T713" s="257"/>
      <c r="U713" s="257"/>
      <c r="V713" s="257"/>
      <c r="W713" s="257"/>
      <c r="X713" s="257"/>
      <c r="Y713" s="257"/>
      <c r="Z713" s="257"/>
    </row>
    <row r="714" ht="15.75" customHeight="1">
      <c r="A714" s="257"/>
      <c r="B714" s="257"/>
      <c r="C714" s="257"/>
      <c r="D714" s="257"/>
      <c r="E714" s="257"/>
      <c r="F714" s="257"/>
      <c r="G714" s="257"/>
      <c r="H714" s="257"/>
      <c r="I714" s="257"/>
      <c r="J714" s="257"/>
      <c r="K714" s="257"/>
      <c r="L714" s="257"/>
      <c r="M714" s="257"/>
      <c r="N714" s="257"/>
      <c r="O714" s="257"/>
      <c r="P714" s="257"/>
      <c r="Q714" s="257"/>
      <c r="R714" s="257"/>
      <c r="S714" s="257"/>
      <c r="T714" s="257"/>
      <c r="U714" s="257"/>
      <c r="V714" s="257"/>
      <c r="W714" s="257"/>
      <c r="X714" s="257"/>
      <c r="Y714" s="257"/>
      <c r="Z714" s="257"/>
    </row>
    <row r="715" ht="15.75" customHeight="1">
      <c r="A715" s="257"/>
      <c r="B715" s="257"/>
      <c r="C715" s="257"/>
      <c r="D715" s="257"/>
      <c r="E715" s="257"/>
      <c r="F715" s="257"/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/>
      <c r="S715" s="257"/>
      <c r="T715" s="257"/>
      <c r="U715" s="257"/>
      <c r="V715" s="257"/>
      <c r="W715" s="257"/>
      <c r="X715" s="257"/>
      <c r="Y715" s="257"/>
      <c r="Z715" s="257"/>
    </row>
    <row r="716" ht="15.75" customHeight="1">
      <c r="A716" s="257"/>
      <c r="B716" s="257"/>
      <c r="C716" s="257"/>
      <c r="D716" s="257"/>
      <c r="E716" s="257"/>
      <c r="F716" s="257"/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/>
      <c r="S716" s="257"/>
      <c r="T716" s="257"/>
      <c r="U716" s="257"/>
      <c r="V716" s="257"/>
      <c r="W716" s="257"/>
      <c r="X716" s="257"/>
      <c r="Y716" s="257"/>
      <c r="Z716" s="257"/>
    </row>
    <row r="717" ht="15.75" customHeight="1">
      <c r="A717" s="257"/>
      <c r="B717" s="257"/>
      <c r="C717" s="257"/>
      <c r="D717" s="257"/>
      <c r="E717" s="257"/>
      <c r="F717" s="257"/>
      <c r="G717" s="257"/>
      <c r="H717" s="257"/>
      <c r="I717" s="257"/>
      <c r="J717" s="257"/>
      <c r="K717" s="257"/>
      <c r="L717" s="257"/>
      <c r="M717" s="257"/>
      <c r="N717" s="257"/>
      <c r="O717" s="257"/>
      <c r="P717" s="257"/>
      <c r="Q717" s="257"/>
      <c r="R717" s="257"/>
      <c r="S717" s="257"/>
      <c r="T717" s="257"/>
      <c r="U717" s="257"/>
      <c r="V717" s="257"/>
      <c r="W717" s="257"/>
      <c r="X717" s="257"/>
      <c r="Y717" s="257"/>
      <c r="Z717" s="257"/>
    </row>
    <row r="718" ht="15.75" customHeight="1">
      <c r="A718" s="257"/>
      <c r="B718" s="257"/>
      <c r="C718" s="257"/>
      <c r="D718" s="257"/>
      <c r="E718" s="257"/>
      <c r="F718" s="257"/>
      <c r="G718" s="257"/>
      <c r="H718" s="257"/>
      <c r="I718" s="257"/>
      <c r="J718" s="257"/>
      <c r="K718" s="257"/>
      <c r="L718" s="257"/>
      <c r="M718" s="257"/>
      <c r="N718" s="257"/>
      <c r="O718" s="257"/>
      <c r="P718" s="257"/>
      <c r="Q718" s="257"/>
      <c r="R718" s="257"/>
      <c r="S718" s="257"/>
      <c r="T718" s="257"/>
      <c r="U718" s="257"/>
      <c r="V718" s="257"/>
      <c r="W718" s="257"/>
      <c r="X718" s="257"/>
      <c r="Y718" s="257"/>
      <c r="Z718" s="257"/>
    </row>
    <row r="719" ht="15.75" customHeight="1">
      <c r="A719" s="257"/>
      <c r="B719" s="257"/>
      <c r="C719" s="257"/>
      <c r="D719" s="257"/>
      <c r="E719" s="257"/>
      <c r="F719" s="257"/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/>
      <c r="S719" s="257"/>
      <c r="T719" s="257"/>
      <c r="U719" s="257"/>
      <c r="V719" s="257"/>
      <c r="W719" s="257"/>
      <c r="X719" s="257"/>
      <c r="Y719" s="257"/>
      <c r="Z719" s="257"/>
    </row>
    <row r="720" ht="15.75" customHeight="1">
      <c r="A720" s="257"/>
      <c r="B720" s="257"/>
      <c r="C720" s="257"/>
      <c r="D720" s="257"/>
      <c r="E720" s="257"/>
      <c r="F720" s="257"/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/>
      <c r="S720" s="257"/>
      <c r="T720" s="257"/>
      <c r="U720" s="257"/>
      <c r="V720" s="257"/>
      <c r="W720" s="257"/>
      <c r="X720" s="257"/>
      <c r="Y720" s="257"/>
      <c r="Z720" s="257"/>
    </row>
    <row r="721" ht="15.75" customHeight="1">
      <c r="A721" s="257"/>
      <c r="B721" s="257"/>
      <c r="C721" s="257"/>
      <c r="D721" s="257"/>
      <c r="E721" s="257"/>
      <c r="F721" s="257"/>
      <c r="G721" s="257"/>
      <c r="H721" s="257"/>
      <c r="I721" s="257"/>
      <c r="J721" s="257"/>
      <c r="K721" s="257"/>
      <c r="L721" s="257"/>
      <c r="M721" s="257"/>
      <c r="N721" s="257"/>
      <c r="O721" s="257"/>
      <c r="P721" s="257"/>
      <c r="Q721" s="257"/>
      <c r="R721" s="257"/>
      <c r="S721" s="257"/>
      <c r="T721" s="257"/>
      <c r="U721" s="257"/>
      <c r="V721" s="257"/>
      <c r="W721" s="257"/>
      <c r="X721" s="257"/>
      <c r="Y721" s="257"/>
      <c r="Z721" s="257"/>
    </row>
    <row r="722" ht="15.75" customHeight="1">
      <c r="A722" s="257"/>
      <c r="B722" s="257"/>
      <c r="C722" s="257"/>
      <c r="D722" s="257"/>
      <c r="E722" s="257"/>
      <c r="F722" s="257"/>
      <c r="G722" s="257"/>
      <c r="H722" s="257"/>
      <c r="I722" s="257"/>
      <c r="J722" s="257"/>
      <c r="K722" s="257"/>
      <c r="L722" s="257"/>
      <c r="M722" s="257"/>
      <c r="N722" s="257"/>
      <c r="O722" s="257"/>
      <c r="P722" s="257"/>
      <c r="Q722" s="257"/>
      <c r="R722" s="257"/>
      <c r="S722" s="257"/>
      <c r="T722" s="257"/>
      <c r="U722" s="257"/>
      <c r="V722" s="257"/>
      <c r="W722" s="257"/>
      <c r="X722" s="257"/>
      <c r="Y722" s="257"/>
      <c r="Z722" s="257"/>
    </row>
    <row r="723" ht="15.75" customHeight="1">
      <c r="A723" s="257"/>
      <c r="B723" s="257"/>
      <c r="C723" s="257"/>
      <c r="D723" s="257"/>
      <c r="E723" s="257"/>
      <c r="F723" s="257"/>
      <c r="G723" s="257"/>
      <c r="H723" s="257"/>
      <c r="I723" s="257"/>
      <c r="J723" s="257"/>
      <c r="K723" s="257"/>
      <c r="L723" s="257"/>
      <c r="M723" s="257"/>
      <c r="N723" s="257"/>
      <c r="O723" s="257"/>
      <c r="P723" s="257"/>
      <c r="Q723" s="257"/>
      <c r="R723" s="257"/>
      <c r="S723" s="257"/>
      <c r="T723" s="257"/>
      <c r="U723" s="257"/>
      <c r="V723" s="257"/>
      <c r="W723" s="257"/>
      <c r="X723" s="257"/>
      <c r="Y723" s="257"/>
      <c r="Z723" s="257"/>
    </row>
    <row r="724" ht="15.75" customHeight="1">
      <c r="A724" s="257"/>
      <c r="B724" s="257"/>
      <c r="C724" s="257"/>
      <c r="D724" s="257"/>
      <c r="E724" s="257"/>
      <c r="F724" s="257"/>
      <c r="G724" s="257"/>
      <c r="H724" s="257"/>
      <c r="I724" s="257"/>
      <c r="J724" s="257"/>
      <c r="K724" s="257"/>
      <c r="L724" s="257"/>
      <c r="M724" s="257"/>
      <c r="N724" s="257"/>
      <c r="O724" s="257"/>
      <c r="P724" s="257"/>
      <c r="Q724" s="257"/>
      <c r="R724" s="257"/>
      <c r="S724" s="257"/>
      <c r="T724" s="257"/>
      <c r="U724" s="257"/>
      <c r="V724" s="257"/>
      <c r="W724" s="257"/>
      <c r="X724" s="257"/>
      <c r="Y724" s="257"/>
      <c r="Z724" s="257"/>
    </row>
    <row r="725" ht="15.75" customHeight="1">
      <c r="A725" s="257"/>
      <c r="B725" s="257"/>
      <c r="C725" s="257"/>
      <c r="D725" s="257"/>
      <c r="E725" s="257"/>
      <c r="F725" s="257"/>
      <c r="G725" s="257"/>
      <c r="H725" s="257"/>
      <c r="I725" s="257"/>
      <c r="J725" s="257"/>
      <c r="K725" s="257"/>
      <c r="L725" s="257"/>
      <c r="M725" s="257"/>
      <c r="N725" s="257"/>
      <c r="O725" s="257"/>
      <c r="P725" s="257"/>
      <c r="Q725" s="257"/>
      <c r="R725" s="257"/>
      <c r="S725" s="257"/>
      <c r="T725" s="257"/>
      <c r="U725" s="257"/>
      <c r="V725" s="257"/>
      <c r="W725" s="257"/>
      <c r="X725" s="257"/>
      <c r="Y725" s="257"/>
      <c r="Z725" s="257"/>
    </row>
    <row r="726" ht="15.75" customHeight="1">
      <c r="A726" s="257"/>
      <c r="B726" s="257"/>
      <c r="C726" s="257"/>
      <c r="D726" s="257"/>
      <c r="E726" s="257"/>
      <c r="F726" s="257"/>
      <c r="G726" s="257"/>
      <c r="H726" s="257"/>
      <c r="I726" s="257"/>
      <c r="J726" s="257"/>
      <c r="K726" s="257"/>
      <c r="L726" s="257"/>
      <c r="M726" s="257"/>
      <c r="N726" s="257"/>
      <c r="O726" s="257"/>
      <c r="P726" s="257"/>
      <c r="Q726" s="257"/>
      <c r="R726" s="257"/>
      <c r="S726" s="257"/>
      <c r="T726" s="257"/>
      <c r="U726" s="257"/>
      <c r="V726" s="257"/>
      <c r="W726" s="257"/>
      <c r="X726" s="257"/>
      <c r="Y726" s="257"/>
      <c r="Z726" s="257"/>
    </row>
    <row r="727" ht="15.75" customHeight="1">
      <c r="A727" s="257"/>
      <c r="B727" s="257"/>
      <c r="C727" s="257"/>
      <c r="D727" s="257"/>
      <c r="E727" s="257"/>
      <c r="F727" s="257"/>
      <c r="G727" s="257"/>
      <c r="H727" s="257"/>
      <c r="I727" s="257"/>
      <c r="J727" s="257"/>
      <c r="K727" s="257"/>
      <c r="L727" s="257"/>
      <c r="M727" s="257"/>
      <c r="N727" s="257"/>
      <c r="O727" s="257"/>
      <c r="P727" s="257"/>
      <c r="Q727" s="257"/>
      <c r="R727" s="257"/>
      <c r="S727" s="257"/>
      <c r="T727" s="257"/>
      <c r="U727" s="257"/>
      <c r="V727" s="257"/>
      <c r="W727" s="257"/>
      <c r="X727" s="257"/>
      <c r="Y727" s="257"/>
      <c r="Z727" s="257"/>
    </row>
    <row r="728" ht="15.75" customHeight="1">
      <c r="A728" s="257"/>
      <c r="B728" s="257"/>
      <c r="C728" s="257"/>
      <c r="D728" s="257"/>
      <c r="E728" s="257"/>
      <c r="F728" s="257"/>
      <c r="G728" s="257"/>
      <c r="H728" s="257"/>
      <c r="I728" s="257"/>
      <c r="J728" s="257"/>
      <c r="K728" s="257"/>
      <c r="L728" s="257"/>
      <c r="M728" s="257"/>
      <c r="N728" s="257"/>
      <c r="O728" s="257"/>
      <c r="P728" s="257"/>
      <c r="Q728" s="257"/>
      <c r="R728" s="257"/>
      <c r="S728" s="257"/>
      <c r="T728" s="257"/>
      <c r="U728" s="257"/>
      <c r="V728" s="257"/>
      <c r="W728" s="257"/>
      <c r="X728" s="257"/>
      <c r="Y728" s="257"/>
      <c r="Z728" s="257"/>
    </row>
    <row r="729" ht="15.75" customHeight="1">
      <c r="A729" s="257"/>
      <c r="B729" s="257"/>
      <c r="C729" s="257"/>
      <c r="D729" s="257"/>
      <c r="E729" s="257"/>
      <c r="F729" s="257"/>
      <c r="G729" s="257"/>
      <c r="H729" s="257"/>
      <c r="I729" s="257"/>
      <c r="J729" s="257"/>
      <c r="K729" s="257"/>
      <c r="L729" s="257"/>
      <c r="M729" s="257"/>
      <c r="N729" s="257"/>
      <c r="O729" s="257"/>
      <c r="P729" s="257"/>
      <c r="Q729" s="257"/>
      <c r="R729" s="257"/>
      <c r="S729" s="257"/>
      <c r="T729" s="257"/>
      <c r="U729" s="257"/>
      <c r="V729" s="257"/>
      <c r="W729" s="257"/>
      <c r="X729" s="257"/>
      <c r="Y729" s="257"/>
      <c r="Z729" s="257"/>
    </row>
    <row r="730" ht="15.75" customHeight="1">
      <c r="A730" s="257"/>
      <c r="B730" s="257"/>
      <c r="C730" s="257"/>
      <c r="D730" s="257"/>
      <c r="E730" s="257"/>
      <c r="F730" s="257"/>
      <c r="G730" s="257"/>
      <c r="H730" s="257"/>
      <c r="I730" s="257"/>
      <c r="J730" s="257"/>
      <c r="K730" s="257"/>
      <c r="L730" s="257"/>
      <c r="M730" s="257"/>
      <c r="N730" s="257"/>
      <c r="O730" s="257"/>
      <c r="P730" s="257"/>
      <c r="Q730" s="257"/>
      <c r="R730" s="257"/>
      <c r="S730" s="257"/>
      <c r="T730" s="257"/>
      <c r="U730" s="257"/>
      <c r="V730" s="257"/>
      <c r="W730" s="257"/>
      <c r="X730" s="257"/>
      <c r="Y730" s="257"/>
      <c r="Z730" s="257"/>
    </row>
    <row r="731" ht="15.75" customHeight="1">
      <c r="A731" s="257"/>
      <c r="B731" s="257"/>
      <c r="C731" s="257"/>
      <c r="D731" s="257"/>
      <c r="E731" s="257"/>
      <c r="F731" s="257"/>
      <c r="G731" s="257"/>
      <c r="H731" s="257"/>
      <c r="I731" s="257"/>
      <c r="J731" s="257"/>
      <c r="K731" s="257"/>
      <c r="L731" s="257"/>
      <c r="M731" s="257"/>
      <c r="N731" s="257"/>
      <c r="O731" s="257"/>
      <c r="P731" s="257"/>
      <c r="Q731" s="257"/>
      <c r="R731" s="257"/>
      <c r="S731" s="257"/>
      <c r="T731" s="257"/>
      <c r="U731" s="257"/>
      <c r="V731" s="257"/>
      <c r="W731" s="257"/>
      <c r="X731" s="257"/>
      <c r="Y731" s="257"/>
      <c r="Z731" s="257"/>
    </row>
    <row r="732" ht="15.75" customHeight="1">
      <c r="A732" s="257"/>
      <c r="B732" s="257"/>
      <c r="C732" s="257"/>
      <c r="D732" s="257"/>
      <c r="E732" s="257"/>
      <c r="F732" s="257"/>
      <c r="G732" s="257"/>
      <c r="H732" s="257"/>
      <c r="I732" s="257"/>
      <c r="J732" s="257"/>
      <c r="K732" s="257"/>
      <c r="L732" s="257"/>
      <c r="M732" s="257"/>
      <c r="N732" s="257"/>
      <c r="O732" s="257"/>
      <c r="P732" s="257"/>
      <c r="Q732" s="257"/>
      <c r="R732" s="257"/>
      <c r="S732" s="257"/>
      <c r="T732" s="257"/>
      <c r="U732" s="257"/>
      <c r="V732" s="257"/>
      <c r="W732" s="257"/>
      <c r="X732" s="257"/>
      <c r="Y732" s="257"/>
      <c r="Z732" s="257"/>
    </row>
    <row r="733" ht="15.75" customHeight="1">
      <c r="A733" s="257"/>
      <c r="B733" s="257"/>
      <c r="C733" s="257"/>
      <c r="D733" s="257"/>
      <c r="E733" s="257"/>
      <c r="F733" s="257"/>
      <c r="G733" s="257"/>
      <c r="H733" s="257"/>
      <c r="I733" s="257"/>
      <c r="J733" s="257"/>
      <c r="K733" s="257"/>
      <c r="L733" s="257"/>
      <c r="M733" s="257"/>
      <c r="N733" s="257"/>
      <c r="O733" s="257"/>
      <c r="P733" s="257"/>
      <c r="Q733" s="257"/>
      <c r="R733" s="257"/>
      <c r="S733" s="257"/>
      <c r="T733" s="257"/>
      <c r="U733" s="257"/>
      <c r="V733" s="257"/>
      <c r="W733" s="257"/>
      <c r="X733" s="257"/>
      <c r="Y733" s="257"/>
      <c r="Z733" s="257"/>
    </row>
    <row r="734" ht="15.75" customHeight="1">
      <c r="A734" s="257"/>
      <c r="B734" s="257"/>
      <c r="C734" s="257"/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7"/>
      <c r="P734" s="257"/>
      <c r="Q734" s="257"/>
      <c r="R734" s="257"/>
      <c r="S734" s="257"/>
      <c r="T734" s="257"/>
      <c r="U734" s="257"/>
      <c r="V734" s="257"/>
      <c r="W734" s="257"/>
      <c r="X734" s="257"/>
      <c r="Y734" s="257"/>
      <c r="Z734" s="257"/>
    </row>
    <row r="735" ht="15.75" customHeight="1">
      <c r="A735" s="257"/>
      <c r="B735" s="257"/>
      <c r="C735" s="257"/>
      <c r="D735" s="257"/>
      <c r="E735" s="257"/>
      <c r="F735" s="257"/>
      <c r="G735" s="257"/>
      <c r="H735" s="257"/>
      <c r="I735" s="257"/>
      <c r="J735" s="257"/>
      <c r="K735" s="257"/>
      <c r="L735" s="257"/>
      <c r="M735" s="257"/>
      <c r="N735" s="257"/>
      <c r="O735" s="257"/>
      <c r="P735" s="257"/>
      <c r="Q735" s="257"/>
      <c r="R735" s="257"/>
      <c r="S735" s="257"/>
      <c r="T735" s="257"/>
      <c r="U735" s="257"/>
      <c r="V735" s="257"/>
      <c r="W735" s="257"/>
      <c r="X735" s="257"/>
      <c r="Y735" s="257"/>
      <c r="Z735" s="257"/>
    </row>
    <row r="736" ht="15.75" customHeight="1">
      <c r="A736" s="257"/>
      <c r="B736" s="257"/>
      <c r="C736" s="257"/>
      <c r="D736" s="257"/>
      <c r="E736" s="257"/>
      <c r="F736" s="257"/>
      <c r="G736" s="257"/>
      <c r="H736" s="257"/>
      <c r="I736" s="257"/>
      <c r="J736" s="257"/>
      <c r="K736" s="257"/>
      <c r="L736" s="257"/>
      <c r="M736" s="257"/>
      <c r="N736" s="257"/>
      <c r="O736" s="257"/>
      <c r="P736" s="257"/>
      <c r="Q736" s="257"/>
      <c r="R736" s="257"/>
      <c r="S736" s="257"/>
      <c r="T736" s="257"/>
      <c r="U736" s="257"/>
      <c r="V736" s="257"/>
      <c r="W736" s="257"/>
      <c r="X736" s="257"/>
      <c r="Y736" s="257"/>
      <c r="Z736" s="257"/>
    </row>
    <row r="737" ht="15.75" customHeight="1">
      <c r="A737" s="257"/>
      <c r="B737" s="257"/>
      <c r="C737" s="257"/>
      <c r="D737" s="257"/>
      <c r="E737" s="257"/>
      <c r="F737" s="257"/>
      <c r="G737" s="257"/>
      <c r="H737" s="257"/>
      <c r="I737" s="257"/>
      <c r="J737" s="257"/>
      <c r="K737" s="257"/>
      <c r="L737" s="257"/>
      <c r="M737" s="257"/>
      <c r="N737" s="257"/>
      <c r="O737" s="257"/>
      <c r="P737" s="257"/>
      <c r="Q737" s="257"/>
      <c r="R737" s="257"/>
      <c r="S737" s="257"/>
      <c r="T737" s="257"/>
      <c r="U737" s="257"/>
      <c r="V737" s="257"/>
      <c r="W737" s="257"/>
      <c r="X737" s="257"/>
      <c r="Y737" s="257"/>
      <c r="Z737" s="257"/>
    </row>
    <row r="738" ht="15.75" customHeight="1">
      <c r="A738" s="257"/>
      <c r="B738" s="257"/>
      <c r="C738" s="257"/>
      <c r="D738" s="257"/>
      <c r="E738" s="257"/>
      <c r="F738" s="257"/>
      <c r="G738" s="257"/>
      <c r="H738" s="257"/>
      <c r="I738" s="257"/>
      <c r="J738" s="257"/>
      <c r="K738" s="257"/>
      <c r="L738" s="257"/>
      <c r="M738" s="257"/>
      <c r="N738" s="257"/>
      <c r="O738" s="257"/>
      <c r="P738" s="257"/>
      <c r="Q738" s="257"/>
      <c r="R738" s="257"/>
      <c r="S738" s="257"/>
      <c r="T738" s="257"/>
      <c r="U738" s="257"/>
      <c r="V738" s="257"/>
      <c r="W738" s="257"/>
      <c r="X738" s="257"/>
      <c r="Y738" s="257"/>
      <c r="Z738" s="257"/>
    </row>
    <row r="739" ht="15.75" customHeight="1">
      <c r="A739" s="257"/>
      <c r="B739" s="257"/>
      <c r="C739" s="257"/>
      <c r="D739" s="257"/>
      <c r="E739" s="257"/>
      <c r="F739" s="257"/>
      <c r="G739" s="257"/>
      <c r="H739" s="257"/>
      <c r="I739" s="257"/>
      <c r="J739" s="257"/>
      <c r="K739" s="257"/>
      <c r="L739" s="257"/>
      <c r="M739" s="257"/>
      <c r="N739" s="257"/>
      <c r="O739" s="257"/>
      <c r="P739" s="257"/>
      <c r="Q739" s="257"/>
      <c r="R739" s="257"/>
      <c r="S739" s="257"/>
      <c r="T739" s="257"/>
      <c r="U739" s="257"/>
      <c r="V739" s="257"/>
      <c r="W739" s="257"/>
      <c r="X739" s="257"/>
      <c r="Y739" s="257"/>
      <c r="Z739" s="257"/>
    </row>
    <row r="740" ht="15.75" customHeight="1">
      <c r="A740" s="257"/>
      <c r="B740" s="257"/>
      <c r="C740" s="257"/>
      <c r="D740" s="257"/>
      <c r="E740" s="257"/>
      <c r="F740" s="257"/>
      <c r="G740" s="257"/>
      <c r="H740" s="257"/>
      <c r="I740" s="257"/>
      <c r="J740" s="257"/>
      <c r="K740" s="257"/>
      <c r="L740" s="257"/>
      <c r="M740" s="257"/>
      <c r="N740" s="257"/>
      <c r="O740" s="257"/>
      <c r="P740" s="257"/>
      <c r="Q740" s="257"/>
      <c r="R740" s="257"/>
      <c r="S740" s="257"/>
      <c r="T740" s="257"/>
      <c r="U740" s="257"/>
      <c r="V740" s="257"/>
      <c r="W740" s="257"/>
      <c r="X740" s="257"/>
      <c r="Y740" s="257"/>
      <c r="Z740" s="257"/>
    </row>
    <row r="741" ht="15.75" customHeight="1">
      <c r="A741" s="257"/>
      <c r="B741" s="257"/>
      <c r="C741" s="257"/>
      <c r="D741" s="257"/>
      <c r="E741" s="257"/>
      <c r="F741" s="257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ht="15.75" customHeight="1">
      <c r="A742" s="257"/>
      <c r="B742" s="257"/>
      <c r="C742" s="257"/>
      <c r="D742" s="257"/>
      <c r="E742" s="257"/>
      <c r="F742" s="257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ht="15.75" customHeight="1">
      <c r="A743" s="257"/>
      <c r="B743" s="257"/>
      <c r="C743" s="257"/>
      <c r="D743" s="257"/>
      <c r="E743" s="257"/>
      <c r="F743" s="257"/>
      <c r="G743" s="257"/>
      <c r="H743" s="257"/>
      <c r="I743" s="257"/>
      <c r="J743" s="257"/>
      <c r="K743" s="257"/>
      <c r="L743" s="257"/>
      <c r="M743" s="257"/>
      <c r="N743" s="257"/>
      <c r="O743" s="257"/>
      <c r="P743" s="257"/>
      <c r="Q743" s="257"/>
      <c r="R743" s="257"/>
      <c r="S743" s="257"/>
      <c r="T743" s="257"/>
      <c r="U743" s="257"/>
      <c r="V743" s="257"/>
      <c r="W743" s="257"/>
      <c r="X743" s="257"/>
      <c r="Y743" s="257"/>
      <c r="Z743" s="257"/>
    </row>
    <row r="744" ht="15.75" customHeight="1">
      <c r="A744" s="257"/>
      <c r="B744" s="257"/>
      <c r="C744" s="257"/>
      <c r="D744" s="257"/>
      <c r="E744" s="257"/>
      <c r="F744" s="257"/>
      <c r="G744" s="257"/>
      <c r="H744" s="257"/>
      <c r="I744" s="257"/>
      <c r="J744" s="257"/>
      <c r="K744" s="257"/>
      <c r="L744" s="257"/>
      <c r="M744" s="257"/>
      <c r="N744" s="257"/>
      <c r="O744" s="257"/>
      <c r="P744" s="257"/>
      <c r="Q744" s="257"/>
      <c r="R744" s="257"/>
      <c r="S744" s="257"/>
      <c r="T744" s="257"/>
      <c r="U744" s="257"/>
      <c r="V744" s="257"/>
      <c r="W744" s="257"/>
      <c r="X744" s="257"/>
      <c r="Y744" s="257"/>
      <c r="Z744" s="257"/>
    </row>
    <row r="745" ht="15.75" customHeight="1">
      <c r="A745" s="257"/>
      <c r="B745" s="257"/>
      <c r="C745" s="257"/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7"/>
      <c r="Q745" s="257"/>
      <c r="R745" s="257"/>
      <c r="S745" s="257"/>
      <c r="T745" s="257"/>
      <c r="U745" s="257"/>
      <c r="V745" s="257"/>
      <c r="W745" s="257"/>
      <c r="X745" s="257"/>
      <c r="Y745" s="257"/>
      <c r="Z745" s="257"/>
    </row>
    <row r="746" ht="15.75" customHeight="1">
      <c r="A746" s="257"/>
      <c r="B746" s="257"/>
      <c r="C746" s="257"/>
      <c r="D746" s="257"/>
      <c r="E746" s="257"/>
      <c r="F746" s="257"/>
      <c r="G746" s="257"/>
      <c r="H746" s="257"/>
      <c r="I746" s="257"/>
      <c r="J746" s="257"/>
      <c r="K746" s="257"/>
      <c r="L746" s="257"/>
      <c r="M746" s="257"/>
      <c r="N746" s="257"/>
      <c r="O746" s="257"/>
      <c r="P746" s="257"/>
      <c r="Q746" s="257"/>
      <c r="R746" s="257"/>
      <c r="S746" s="257"/>
      <c r="T746" s="257"/>
      <c r="U746" s="257"/>
      <c r="V746" s="257"/>
      <c r="W746" s="257"/>
      <c r="X746" s="257"/>
      <c r="Y746" s="257"/>
      <c r="Z746" s="257"/>
    </row>
    <row r="747" ht="15.75" customHeight="1">
      <c r="A747" s="257"/>
      <c r="B747" s="257"/>
      <c r="C747" s="257"/>
      <c r="D747" s="257"/>
      <c r="E747" s="257"/>
      <c r="F747" s="257"/>
      <c r="G747" s="257"/>
      <c r="H747" s="257"/>
      <c r="I747" s="257"/>
      <c r="J747" s="257"/>
      <c r="K747" s="257"/>
      <c r="L747" s="257"/>
      <c r="M747" s="257"/>
      <c r="N747" s="257"/>
      <c r="O747" s="257"/>
      <c r="P747" s="257"/>
      <c r="Q747" s="257"/>
      <c r="R747" s="257"/>
      <c r="S747" s="257"/>
      <c r="T747" s="257"/>
      <c r="U747" s="257"/>
      <c r="V747" s="257"/>
      <c r="W747" s="257"/>
      <c r="X747" s="257"/>
      <c r="Y747" s="257"/>
      <c r="Z747" s="257"/>
    </row>
    <row r="748" ht="15.75" customHeight="1">
      <c r="A748" s="257"/>
      <c r="B748" s="257"/>
      <c r="C748" s="257"/>
      <c r="D748" s="257"/>
      <c r="E748" s="257"/>
      <c r="F748" s="257"/>
      <c r="G748" s="257"/>
      <c r="H748" s="257"/>
      <c r="I748" s="257"/>
      <c r="J748" s="257"/>
      <c r="K748" s="257"/>
      <c r="L748" s="257"/>
      <c r="M748" s="257"/>
      <c r="N748" s="257"/>
      <c r="O748" s="257"/>
      <c r="P748" s="257"/>
      <c r="Q748" s="257"/>
      <c r="R748" s="257"/>
      <c r="S748" s="257"/>
      <c r="T748" s="257"/>
      <c r="U748" s="257"/>
      <c r="V748" s="257"/>
      <c r="W748" s="257"/>
      <c r="X748" s="257"/>
      <c r="Y748" s="257"/>
      <c r="Z748" s="257"/>
    </row>
    <row r="749" ht="15.75" customHeight="1">
      <c r="A749" s="257"/>
      <c r="B749" s="257"/>
      <c r="C749" s="257"/>
      <c r="D749" s="257"/>
      <c r="E749" s="257"/>
      <c r="F749" s="257"/>
      <c r="G749" s="257"/>
      <c r="H749" s="257"/>
      <c r="I749" s="257"/>
      <c r="J749" s="257"/>
      <c r="K749" s="257"/>
      <c r="L749" s="257"/>
      <c r="M749" s="257"/>
      <c r="N749" s="257"/>
      <c r="O749" s="257"/>
      <c r="P749" s="257"/>
      <c r="Q749" s="257"/>
      <c r="R749" s="257"/>
      <c r="S749" s="257"/>
      <c r="T749" s="257"/>
      <c r="U749" s="257"/>
      <c r="V749" s="257"/>
      <c r="W749" s="257"/>
      <c r="X749" s="257"/>
      <c r="Y749" s="257"/>
      <c r="Z749" s="257"/>
    </row>
    <row r="750" ht="15.75" customHeight="1">
      <c r="A750" s="257"/>
      <c r="B750" s="257"/>
      <c r="C750" s="257"/>
      <c r="D750" s="257"/>
      <c r="E750" s="257"/>
      <c r="F750" s="257"/>
      <c r="G750" s="257"/>
      <c r="H750" s="257"/>
      <c r="I750" s="257"/>
      <c r="J750" s="257"/>
      <c r="K750" s="257"/>
      <c r="L750" s="257"/>
      <c r="M750" s="257"/>
      <c r="N750" s="257"/>
      <c r="O750" s="257"/>
      <c r="P750" s="257"/>
      <c r="Q750" s="257"/>
      <c r="R750" s="257"/>
      <c r="S750" s="257"/>
      <c r="T750" s="257"/>
      <c r="U750" s="257"/>
      <c r="V750" s="257"/>
      <c r="W750" s="257"/>
      <c r="X750" s="257"/>
      <c r="Y750" s="257"/>
      <c r="Z750" s="257"/>
    </row>
    <row r="751" ht="15.75" customHeight="1">
      <c r="A751" s="257"/>
      <c r="B751" s="257"/>
      <c r="C751" s="257"/>
      <c r="D751" s="257"/>
      <c r="E751" s="257"/>
      <c r="F751" s="257"/>
      <c r="G751" s="257"/>
      <c r="H751" s="257"/>
      <c r="I751" s="257"/>
      <c r="J751" s="257"/>
      <c r="K751" s="257"/>
      <c r="L751" s="257"/>
      <c r="M751" s="257"/>
      <c r="N751" s="257"/>
      <c r="O751" s="257"/>
      <c r="P751" s="257"/>
      <c r="Q751" s="257"/>
      <c r="R751" s="257"/>
      <c r="S751" s="257"/>
      <c r="T751" s="257"/>
      <c r="U751" s="257"/>
      <c r="V751" s="257"/>
      <c r="W751" s="257"/>
      <c r="X751" s="257"/>
      <c r="Y751" s="257"/>
      <c r="Z751" s="257"/>
    </row>
    <row r="752" ht="15.75" customHeight="1">
      <c r="A752" s="257"/>
      <c r="B752" s="257"/>
      <c r="C752" s="257"/>
      <c r="D752" s="257"/>
      <c r="E752" s="257"/>
      <c r="F752" s="257"/>
      <c r="G752" s="257"/>
      <c r="H752" s="257"/>
      <c r="I752" s="257"/>
      <c r="J752" s="257"/>
      <c r="K752" s="257"/>
      <c r="L752" s="257"/>
      <c r="M752" s="257"/>
      <c r="N752" s="257"/>
      <c r="O752" s="257"/>
      <c r="P752" s="257"/>
      <c r="Q752" s="257"/>
      <c r="R752" s="257"/>
      <c r="S752" s="257"/>
      <c r="T752" s="257"/>
      <c r="U752" s="257"/>
      <c r="V752" s="257"/>
      <c r="W752" s="257"/>
      <c r="X752" s="257"/>
      <c r="Y752" s="257"/>
      <c r="Z752" s="257"/>
    </row>
    <row r="753" ht="15.75" customHeight="1">
      <c r="A753" s="257"/>
      <c r="B753" s="257"/>
      <c r="C753" s="257"/>
      <c r="D753" s="257"/>
      <c r="E753" s="257"/>
      <c r="F753" s="257"/>
      <c r="G753" s="257"/>
      <c r="H753" s="257"/>
      <c r="I753" s="257"/>
      <c r="J753" s="257"/>
      <c r="K753" s="257"/>
      <c r="L753" s="257"/>
      <c r="M753" s="257"/>
      <c r="N753" s="257"/>
      <c r="O753" s="257"/>
      <c r="P753" s="257"/>
      <c r="Q753" s="257"/>
      <c r="R753" s="257"/>
      <c r="S753" s="257"/>
      <c r="T753" s="257"/>
      <c r="U753" s="257"/>
      <c r="V753" s="257"/>
      <c r="W753" s="257"/>
      <c r="X753" s="257"/>
      <c r="Y753" s="257"/>
      <c r="Z753" s="257"/>
    </row>
    <row r="754" ht="15.75" customHeight="1">
      <c r="A754" s="257"/>
      <c r="B754" s="257"/>
      <c r="C754" s="257"/>
      <c r="D754" s="257"/>
      <c r="E754" s="257"/>
      <c r="F754" s="257"/>
      <c r="G754" s="257"/>
      <c r="H754" s="257"/>
      <c r="I754" s="257"/>
      <c r="J754" s="257"/>
      <c r="K754" s="257"/>
      <c r="L754" s="257"/>
      <c r="M754" s="257"/>
      <c r="N754" s="257"/>
      <c r="O754" s="257"/>
      <c r="P754" s="257"/>
      <c r="Q754" s="257"/>
      <c r="R754" s="257"/>
      <c r="S754" s="257"/>
      <c r="T754" s="257"/>
      <c r="U754" s="257"/>
      <c r="V754" s="257"/>
      <c r="W754" s="257"/>
      <c r="X754" s="257"/>
      <c r="Y754" s="257"/>
      <c r="Z754" s="257"/>
    </row>
    <row r="755" ht="15.75" customHeight="1">
      <c r="A755" s="257"/>
      <c r="B755" s="257"/>
      <c r="C755" s="257"/>
      <c r="D755" s="257"/>
      <c r="E755" s="257"/>
      <c r="F755" s="257"/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/>
      <c r="S755" s="257"/>
      <c r="T755" s="257"/>
      <c r="U755" s="257"/>
      <c r="V755" s="257"/>
      <c r="W755" s="257"/>
      <c r="X755" s="257"/>
      <c r="Y755" s="257"/>
      <c r="Z755" s="257"/>
    </row>
    <row r="756" ht="15.75" customHeight="1">
      <c r="A756" s="257"/>
      <c r="B756" s="257"/>
      <c r="C756" s="257"/>
      <c r="D756" s="257"/>
      <c r="E756" s="257"/>
      <c r="F756" s="257"/>
      <c r="G756" s="257"/>
      <c r="H756" s="257"/>
      <c r="I756" s="257"/>
      <c r="J756" s="257"/>
      <c r="K756" s="257"/>
      <c r="L756" s="257"/>
      <c r="M756" s="257"/>
      <c r="N756" s="257"/>
      <c r="O756" s="257"/>
      <c r="P756" s="257"/>
      <c r="Q756" s="257"/>
      <c r="R756" s="257"/>
      <c r="S756" s="257"/>
      <c r="T756" s="257"/>
      <c r="U756" s="257"/>
      <c r="V756" s="257"/>
      <c r="W756" s="257"/>
      <c r="X756" s="257"/>
      <c r="Y756" s="257"/>
      <c r="Z756" s="257"/>
    </row>
    <row r="757" ht="15.75" customHeight="1">
      <c r="A757" s="257"/>
      <c r="B757" s="257"/>
      <c r="C757" s="257"/>
      <c r="D757" s="257"/>
      <c r="E757" s="257"/>
      <c r="F757" s="257"/>
      <c r="G757" s="257"/>
      <c r="H757" s="257"/>
      <c r="I757" s="257"/>
      <c r="J757" s="257"/>
      <c r="K757" s="257"/>
      <c r="L757" s="257"/>
      <c r="M757" s="257"/>
      <c r="N757" s="257"/>
      <c r="O757" s="257"/>
      <c r="P757" s="257"/>
      <c r="Q757" s="257"/>
      <c r="R757" s="257"/>
      <c r="S757" s="257"/>
      <c r="T757" s="257"/>
      <c r="U757" s="257"/>
      <c r="V757" s="257"/>
      <c r="W757" s="257"/>
      <c r="X757" s="257"/>
      <c r="Y757" s="257"/>
      <c r="Z757" s="257"/>
    </row>
    <row r="758" ht="15.75" customHeight="1">
      <c r="A758" s="257"/>
      <c r="B758" s="257"/>
      <c r="C758" s="257"/>
      <c r="D758" s="257"/>
      <c r="E758" s="257"/>
      <c r="F758" s="257"/>
      <c r="G758" s="257"/>
      <c r="H758" s="257"/>
      <c r="I758" s="257"/>
      <c r="J758" s="257"/>
      <c r="K758" s="257"/>
      <c r="L758" s="257"/>
      <c r="M758" s="257"/>
      <c r="N758" s="257"/>
      <c r="O758" s="257"/>
      <c r="P758" s="257"/>
      <c r="Q758" s="257"/>
      <c r="R758" s="257"/>
      <c r="S758" s="257"/>
      <c r="T758" s="257"/>
      <c r="U758" s="257"/>
      <c r="V758" s="257"/>
      <c r="W758" s="257"/>
      <c r="X758" s="257"/>
      <c r="Y758" s="257"/>
      <c r="Z758" s="257"/>
    </row>
    <row r="759" ht="15.75" customHeight="1">
      <c r="A759" s="257"/>
      <c r="B759" s="257"/>
      <c r="C759" s="257"/>
      <c r="D759" s="257"/>
      <c r="E759" s="257"/>
      <c r="F759" s="257"/>
      <c r="G759" s="257"/>
      <c r="H759" s="257"/>
      <c r="I759" s="257"/>
      <c r="J759" s="257"/>
      <c r="K759" s="257"/>
      <c r="L759" s="257"/>
      <c r="M759" s="257"/>
      <c r="N759" s="257"/>
      <c r="O759" s="257"/>
      <c r="P759" s="257"/>
      <c r="Q759" s="257"/>
      <c r="R759" s="257"/>
      <c r="S759" s="257"/>
      <c r="T759" s="257"/>
      <c r="U759" s="257"/>
      <c r="V759" s="257"/>
      <c r="W759" s="257"/>
      <c r="X759" s="257"/>
      <c r="Y759" s="257"/>
      <c r="Z759" s="257"/>
    </row>
    <row r="760" ht="15.75" customHeight="1">
      <c r="A760" s="257"/>
      <c r="B760" s="257"/>
      <c r="C760" s="257"/>
      <c r="D760" s="257"/>
      <c r="E760" s="257"/>
      <c r="F760" s="257"/>
      <c r="G760" s="257"/>
      <c r="H760" s="257"/>
      <c r="I760" s="257"/>
      <c r="J760" s="257"/>
      <c r="K760" s="257"/>
      <c r="L760" s="257"/>
      <c r="M760" s="257"/>
      <c r="N760" s="257"/>
      <c r="O760" s="257"/>
      <c r="P760" s="257"/>
      <c r="Q760" s="257"/>
      <c r="R760" s="257"/>
      <c r="S760" s="257"/>
      <c r="T760" s="257"/>
      <c r="U760" s="257"/>
      <c r="V760" s="257"/>
      <c r="W760" s="257"/>
      <c r="X760" s="257"/>
      <c r="Y760" s="257"/>
      <c r="Z760" s="257"/>
    </row>
    <row r="761" ht="15.75" customHeight="1">
      <c r="A761" s="257"/>
      <c r="B761" s="257"/>
      <c r="C761" s="257"/>
      <c r="D761" s="257"/>
      <c r="E761" s="257"/>
      <c r="F761" s="257"/>
      <c r="G761" s="257"/>
      <c r="H761" s="257"/>
      <c r="I761" s="257"/>
      <c r="J761" s="257"/>
      <c r="K761" s="257"/>
      <c r="L761" s="257"/>
      <c r="M761" s="257"/>
      <c r="N761" s="257"/>
      <c r="O761" s="257"/>
      <c r="P761" s="257"/>
      <c r="Q761" s="257"/>
      <c r="R761" s="257"/>
      <c r="S761" s="257"/>
      <c r="T761" s="257"/>
      <c r="U761" s="257"/>
      <c r="V761" s="257"/>
      <c r="W761" s="257"/>
      <c r="X761" s="257"/>
      <c r="Y761" s="257"/>
      <c r="Z761" s="257"/>
    </row>
    <row r="762" ht="15.75" customHeight="1">
      <c r="A762" s="257"/>
      <c r="B762" s="257"/>
      <c r="C762" s="257"/>
      <c r="D762" s="257"/>
      <c r="E762" s="257"/>
      <c r="F762" s="257"/>
      <c r="G762" s="257"/>
      <c r="H762" s="257"/>
      <c r="I762" s="257"/>
      <c r="J762" s="257"/>
      <c r="K762" s="257"/>
      <c r="L762" s="257"/>
      <c r="M762" s="257"/>
      <c r="N762" s="257"/>
      <c r="O762" s="257"/>
      <c r="P762" s="257"/>
      <c r="Q762" s="257"/>
      <c r="R762" s="257"/>
      <c r="S762" s="257"/>
      <c r="T762" s="257"/>
      <c r="U762" s="257"/>
      <c r="V762" s="257"/>
      <c r="W762" s="257"/>
      <c r="X762" s="257"/>
      <c r="Y762" s="257"/>
      <c r="Z762" s="257"/>
    </row>
    <row r="763" ht="15.75" customHeight="1">
      <c r="A763" s="257"/>
      <c r="B763" s="257"/>
      <c r="C763" s="257"/>
      <c r="D763" s="257"/>
      <c r="E763" s="257"/>
      <c r="F763" s="257"/>
      <c r="G763" s="257"/>
      <c r="H763" s="257"/>
      <c r="I763" s="257"/>
      <c r="J763" s="257"/>
      <c r="K763" s="257"/>
      <c r="L763" s="257"/>
      <c r="M763" s="257"/>
      <c r="N763" s="257"/>
      <c r="O763" s="257"/>
      <c r="P763" s="257"/>
      <c r="Q763" s="257"/>
      <c r="R763" s="257"/>
      <c r="S763" s="257"/>
      <c r="T763" s="257"/>
      <c r="U763" s="257"/>
      <c r="V763" s="257"/>
      <c r="W763" s="257"/>
      <c r="X763" s="257"/>
      <c r="Y763" s="257"/>
      <c r="Z763" s="257"/>
    </row>
    <row r="764" ht="15.75" customHeight="1">
      <c r="A764" s="257"/>
      <c r="B764" s="257"/>
      <c r="C764" s="257"/>
      <c r="D764" s="257"/>
      <c r="E764" s="257"/>
      <c r="F764" s="257"/>
      <c r="G764" s="257"/>
      <c r="H764" s="257"/>
      <c r="I764" s="257"/>
      <c r="J764" s="257"/>
      <c r="K764" s="257"/>
      <c r="L764" s="257"/>
      <c r="M764" s="257"/>
      <c r="N764" s="257"/>
      <c r="O764" s="257"/>
      <c r="P764" s="257"/>
      <c r="Q764" s="257"/>
      <c r="R764" s="257"/>
      <c r="S764" s="257"/>
      <c r="T764" s="257"/>
      <c r="U764" s="257"/>
      <c r="V764" s="257"/>
      <c r="W764" s="257"/>
      <c r="X764" s="257"/>
      <c r="Y764" s="257"/>
      <c r="Z764" s="257"/>
    </row>
    <row r="765" ht="15.75" customHeight="1">
      <c r="A765" s="257"/>
      <c r="B765" s="257"/>
      <c r="C765" s="257"/>
      <c r="D765" s="257"/>
      <c r="E765" s="257"/>
      <c r="F765" s="257"/>
      <c r="G765" s="257"/>
      <c r="H765" s="257"/>
      <c r="I765" s="257"/>
      <c r="J765" s="257"/>
      <c r="K765" s="257"/>
      <c r="L765" s="257"/>
      <c r="M765" s="257"/>
      <c r="N765" s="257"/>
      <c r="O765" s="257"/>
      <c r="P765" s="257"/>
      <c r="Q765" s="257"/>
      <c r="R765" s="257"/>
      <c r="S765" s="257"/>
      <c r="T765" s="257"/>
      <c r="U765" s="257"/>
      <c r="V765" s="257"/>
      <c r="W765" s="257"/>
      <c r="X765" s="257"/>
      <c r="Y765" s="257"/>
      <c r="Z765" s="257"/>
    </row>
    <row r="766" ht="15.75" customHeight="1">
      <c r="A766" s="257"/>
      <c r="B766" s="257"/>
      <c r="C766" s="257"/>
      <c r="D766" s="257"/>
      <c r="E766" s="257"/>
      <c r="F766" s="257"/>
      <c r="G766" s="257"/>
      <c r="H766" s="257"/>
      <c r="I766" s="257"/>
      <c r="J766" s="257"/>
      <c r="K766" s="257"/>
      <c r="L766" s="257"/>
      <c r="M766" s="257"/>
      <c r="N766" s="257"/>
      <c r="O766" s="257"/>
      <c r="P766" s="257"/>
      <c r="Q766" s="257"/>
      <c r="R766" s="257"/>
      <c r="S766" s="257"/>
      <c r="T766" s="257"/>
      <c r="U766" s="257"/>
      <c r="V766" s="257"/>
      <c r="W766" s="257"/>
      <c r="X766" s="257"/>
      <c r="Y766" s="257"/>
      <c r="Z766" s="257"/>
    </row>
    <row r="767" ht="15.75" customHeight="1">
      <c r="A767" s="257"/>
      <c r="B767" s="257"/>
      <c r="C767" s="257"/>
      <c r="D767" s="257"/>
      <c r="E767" s="257"/>
      <c r="F767" s="257"/>
      <c r="G767" s="257"/>
      <c r="H767" s="257"/>
      <c r="I767" s="257"/>
      <c r="J767" s="257"/>
      <c r="K767" s="257"/>
      <c r="L767" s="257"/>
      <c r="M767" s="257"/>
      <c r="N767" s="257"/>
      <c r="O767" s="257"/>
      <c r="P767" s="257"/>
      <c r="Q767" s="257"/>
      <c r="R767" s="257"/>
      <c r="S767" s="257"/>
      <c r="T767" s="257"/>
      <c r="U767" s="257"/>
      <c r="V767" s="257"/>
      <c r="W767" s="257"/>
      <c r="X767" s="257"/>
      <c r="Y767" s="257"/>
      <c r="Z767" s="257"/>
    </row>
    <row r="768" ht="15.75" customHeight="1">
      <c r="A768" s="257"/>
      <c r="B768" s="257"/>
      <c r="C768" s="257"/>
      <c r="D768" s="257"/>
      <c r="E768" s="257"/>
      <c r="F768" s="257"/>
      <c r="G768" s="257"/>
      <c r="H768" s="257"/>
      <c r="I768" s="257"/>
      <c r="J768" s="257"/>
      <c r="K768" s="257"/>
      <c r="L768" s="257"/>
      <c r="M768" s="257"/>
      <c r="N768" s="257"/>
      <c r="O768" s="257"/>
      <c r="P768" s="257"/>
      <c r="Q768" s="257"/>
      <c r="R768" s="257"/>
      <c r="S768" s="257"/>
      <c r="T768" s="257"/>
      <c r="U768" s="257"/>
      <c r="V768" s="257"/>
      <c r="W768" s="257"/>
      <c r="X768" s="257"/>
      <c r="Y768" s="257"/>
      <c r="Z768" s="257"/>
    </row>
    <row r="769" ht="15.75" customHeight="1">
      <c r="A769" s="257"/>
      <c r="B769" s="257"/>
      <c r="C769" s="257"/>
      <c r="D769" s="257"/>
      <c r="E769" s="257"/>
      <c r="F769" s="257"/>
      <c r="G769" s="257"/>
      <c r="H769" s="257"/>
      <c r="I769" s="257"/>
      <c r="J769" s="257"/>
      <c r="K769" s="257"/>
      <c r="L769" s="257"/>
      <c r="M769" s="257"/>
      <c r="N769" s="257"/>
      <c r="O769" s="257"/>
      <c r="P769" s="257"/>
      <c r="Q769" s="257"/>
      <c r="R769" s="257"/>
      <c r="S769" s="257"/>
      <c r="T769" s="257"/>
      <c r="U769" s="257"/>
      <c r="V769" s="257"/>
      <c r="W769" s="257"/>
      <c r="X769" s="257"/>
      <c r="Y769" s="257"/>
      <c r="Z769" s="257"/>
    </row>
    <row r="770" ht="15.75" customHeight="1">
      <c r="A770" s="257"/>
      <c r="B770" s="257"/>
      <c r="C770" s="257"/>
      <c r="D770" s="257"/>
      <c r="E770" s="257"/>
      <c r="F770" s="257"/>
      <c r="G770" s="257"/>
      <c r="H770" s="257"/>
      <c r="I770" s="257"/>
      <c r="J770" s="257"/>
      <c r="K770" s="257"/>
      <c r="L770" s="257"/>
      <c r="M770" s="257"/>
      <c r="N770" s="257"/>
      <c r="O770" s="257"/>
      <c r="P770" s="257"/>
      <c r="Q770" s="257"/>
      <c r="R770" s="257"/>
      <c r="S770" s="257"/>
      <c r="T770" s="257"/>
      <c r="U770" s="257"/>
      <c r="V770" s="257"/>
      <c r="W770" s="257"/>
      <c r="X770" s="257"/>
      <c r="Y770" s="257"/>
      <c r="Z770" s="257"/>
    </row>
    <row r="771" ht="15.75" customHeight="1">
      <c r="A771" s="257"/>
      <c r="B771" s="257"/>
      <c r="C771" s="257"/>
      <c r="D771" s="257"/>
      <c r="E771" s="257"/>
      <c r="F771" s="257"/>
      <c r="G771" s="257"/>
      <c r="H771" s="257"/>
      <c r="I771" s="257"/>
      <c r="J771" s="257"/>
      <c r="K771" s="257"/>
      <c r="L771" s="257"/>
      <c r="M771" s="257"/>
      <c r="N771" s="257"/>
      <c r="O771" s="257"/>
      <c r="P771" s="257"/>
      <c r="Q771" s="257"/>
      <c r="R771" s="257"/>
      <c r="S771" s="257"/>
      <c r="T771" s="257"/>
      <c r="U771" s="257"/>
      <c r="V771" s="257"/>
      <c r="W771" s="257"/>
      <c r="X771" s="257"/>
      <c r="Y771" s="257"/>
      <c r="Z771" s="257"/>
    </row>
    <row r="772" ht="15.75" customHeight="1">
      <c r="A772" s="257"/>
      <c r="B772" s="257"/>
      <c r="C772" s="257"/>
      <c r="D772" s="257"/>
      <c r="E772" s="257"/>
      <c r="F772" s="257"/>
      <c r="G772" s="257"/>
      <c r="H772" s="257"/>
      <c r="I772" s="257"/>
      <c r="J772" s="257"/>
      <c r="K772" s="257"/>
      <c r="L772" s="257"/>
      <c r="M772" s="257"/>
      <c r="N772" s="257"/>
      <c r="O772" s="257"/>
      <c r="P772" s="257"/>
      <c r="Q772" s="257"/>
      <c r="R772" s="257"/>
      <c r="S772" s="257"/>
      <c r="T772" s="257"/>
      <c r="U772" s="257"/>
      <c r="V772" s="257"/>
      <c r="W772" s="257"/>
      <c r="X772" s="257"/>
      <c r="Y772" s="257"/>
      <c r="Z772" s="257"/>
    </row>
    <row r="773" ht="15.75" customHeight="1">
      <c r="A773" s="257"/>
      <c r="B773" s="257"/>
      <c r="C773" s="257"/>
      <c r="D773" s="257"/>
      <c r="E773" s="257"/>
      <c r="F773" s="257"/>
      <c r="G773" s="257"/>
      <c r="H773" s="257"/>
      <c r="I773" s="257"/>
      <c r="J773" s="257"/>
      <c r="K773" s="257"/>
      <c r="L773" s="257"/>
      <c r="M773" s="257"/>
      <c r="N773" s="257"/>
      <c r="O773" s="257"/>
      <c r="P773" s="257"/>
      <c r="Q773" s="257"/>
      <c r="R773" s="257"/>
      <c r="S773" s="257"/>
      <c r="T773" s="257"/>
      <c r="U773" s="257"/>
      <c r="V773" s="257"/>
      <c r="W773" s="257"/>
      <c r="X773" s="257"/>
      <c r="Y773" s="257"/>
      <c r="Z773" s="257"/>
    </row>
    <row r="774" ht="15.75" customHeight="1">
      <c r="A774" s="257"/>
      <c r="B774" s="257"/>
      <c r="C774" s="257"/>
      <c r="D774" s="257"/>
      <c r="E774" s="257"/>
      <c r="F774" s="257"/>
      <c r="G774" s="257"/>
      <c r="H774" s="257"/>
      <c r="I774" s="257"/>
      <c r="J774" s="257"/>
      <c r="K774" s="257"/>
      <c r="L774" s="257"/>
      <c r="M774" s="257"/>
      <c r="N774" s="257"/>
      <c r="O774" s="257"/>
      <c r="P774" s="257"/>
      <c r="Q774" s="257"/>
      <c r="R774" s="257"/>
      <c r="S774" s="257"/>
      <c r="T774" s="257"/>
      <c r="U774" s="257"/>
      <c r="V774" s="257"/>
      <c r="W774" s="257"/>
      <c r="X774" s="257"/>
      <c r="Y774" s="257"/>
      <c r="Z774" s="257"/>
    </row>
    <row r="775" ht="15.75" customHeight="1">
      <c r="A775" s="257"/>
      <c r="B775" s="257"/>
      <c r="C775" s="257"/>
      <c r="D775" s="257"/>
      <c r="E775" s="257"/>
      <c r="F775" s="257"/>
      <c r="G775" s="257"/>
      <c r="H775" s="257"/>
      <c r="I775" s="257"/>
      <c r="J775" s="257"/>
      <c r="K775" s="257"/>
      <c r="L775" s="257"/>
      <c r="M775" s="257"/>
      <c r="N775" s="257"/>
      <c r="O775" s="257"/>
      <c r="P775" s="257"/>
      <c r="Q775" s="257"/>
      <c r="R775" s="257"/>
      <c r="S775" s="257"/>
      <c r="T775" s="257"/>
      <c r="U775" s="257"/>
      <c r="V775" s="257"/>
      <c r="W775" s="257"/>
      <c r="X775" s="257"/>
      <c r="Y775" s="257"/>
      <c r="Z775" s="257"/>
    </row>
    <row r="776" ht="15.75" customHeight="1">
      <c r="A776" s="257"/>
      <c r="B776" s="257"/>
      <c r="C776" s="257"/>
      <c r="D776" s="257"/>
      <c r="E776" s="257"/>
      <c r="F776" s="257"/>
      <c r="G776" s="257"/>
      <c r="H776" s="257"/>
      <c r="I776" s="257"/>
      <c r="J776" s="257"/>
      <c r="K776" s="257"/>
      <c r="L776" s="257"/>
      <c r="M776" s="257"/>
      <c r="N776" s="257"/>
      <c r="O776" s="257"/>
      <c r="P776" s="257"/>
      <c r="Q776" s="257"/>
      <c r="R776" s="257"/>
      <c r="S776" s="257"/>
      <c r="T776" s="257"/>
      <c r="U776" s="257"/>
      <c r="V776" s="257"/>
      <c r="W776" s="257"/>
      <c r="X776" s="257"/>
      <c r="Y776" s="257"/>
      <c r="Z776" s="257"/>
    </row>
    <row r="777" ht="15.75" customHeight="1">
      <c r="A777" s="257"/>
      <c r="B777" s="257"/>
      <c r="C777" s="257"/>
      <c r="D777" s="257"/>
      <c r="E777" s="257"/>
      <c r="F777" s="257"/>
      <c r="G777" s="257"/>
      <c r="H777" s="257"/>
      <c r="I777" s="257"/>
      <c r="J777" s="257"/>
      <c r="K777" s="257"/>
      <c r="L777" s="257"/>
      <c r="M777" s="257"/>
      <c r="N777" s="257"/>
      <c r="O777" s="257"/>
      <c r="P777" s="257"/>
      <c r="Q777" s="257"/>
      <c r="R777" s="257"/>
      <c r="S777" s="257"/>
      <c r="T777" s="257"/>
      <c r="U777" s="257"/>
      <c r="V777" s="257"/>
      <c r="W777" s="257"/>
      <c r="X777" s="257"/>
      <c r="Y777" s="257"/>
      <c r="Z777" s="257"/>
    </row>
    <row r="778" ht="15.75" customHeight="1">
      <c r="A778" s="257"/>
      <c r="B778" s="257"/>
      <c r="C778" s="257"/>
      <c r="D778" s="257"/>
      <c r="E778" s="257"/>
      <c r="F778" s="257"/>
      <c r="G778" s="257"/>
      <c r="H778" s="257"/>
      <c r="I778" s="257"/>
      <c r="J778" s="257"/>
      <c r="K778" s="257"/>
      <c r="L778" s="257"/>
      <c r="M778" s="257"/>
      <c r="N778" s="257"/>
      <c r="O778" s="257"/>
      <c r="P778" s="257"/>
      <c r="Q778" s="257"/>
      <c r="R778" s="257"/>
      <c r="S778" s="257"/>
      <c r="T778" s="257"/>
      <c r="U778" s="257"/>
      <c r="V778" s="257"/>
      <c r="W778" s="257"/>
      <c r="X778" s="257"/>
      <c r="Y778" s="257"/>
      <c r="Z778" s="257"/>
    </row>
    <row r="779" ht="15.75" customHeight="1">
      <c r="A779" s="257"/>
      <c r="B779" s="257"/>
      <c r="C779" s="257"/>
      <c r="D779" s="257"/>
      <c r="E779" s="257"/>
      <c r="F779" s="257"/>
      <c r="G779" s="257"/>
      <c r="H779" s="257"/>
      <c r="I779" s="257"/>
      <c r="J779" s="257"/>
      <c r="K779" s="257"/>
      <c r="L779" s="257"/>
      <c r="M779" s="257"/>
      <c r="N779" s="257"/>
      <c r="O779" s="257"/>
      <c r="P779" s="257"/>
      <c r="Q779" s="257"/>
      <c r="R779" s="257"/>
      <c r="S779" s="257"/>
      <c r="T779" s="257"/>
      <c r="U779" s="257"/>
      <c r="V779" s="257"/>
      <c r="W779" s="257"/>
      <c r="X779" s="257"/>
      <c r="Y779" s="257"/>
      <c r="Z779" s="257"/>
    </row>
    <row r="780" ht="15.75" customHeight="1">
      <c r="A780" s="257"/>
      <c r="B780" s="257"/>
      <c r="C780" s="257"/>
      <c r="D780" s="257"/>
      <c r="E780" s="257"/>
      <c r="F780" s="257"/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/>
      <c r="S780" s="257"/>
      <c r="T780" s="257"/>
      <c r="U780" s="257"/>
      <c r="V780" s="257"/>
      <c r="W780" s="257"/>
      <c r="X780" s="257"/>
      <c r="Y780" s="257"/>
      <c r="Z780" s="257"/>
    </row>
    <row r="781" ht="15.75" customHeight="1">
      <c r="A781" s="257"/>
      <c r="B781" s="257"/>
      <c r="C781" s="257"/>
      <c r="D781" s="257"/>
      <c r="E781" s="257"/>
      <c r="F781" s="257"/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/>
      <c r="S781" s="257"/>
      <c r="T781" s="257"/>
      <c r="U781" s="257"/>
      <c r="V781" s="257"/>
      <c r="W781" s="257"/>
      <c r="X781" s="257"/>
      <c r="Y781" s="257"/>
      <c r="Z781" s="257"/>
    </row>
    <row r="782" ht="15.75" customHeight="1">
      <c r="A782" s="257"/>
      <c r="B782" s="257"/>
      <c r="C782" s="257"/>
      <c r="D782" s="257"/>
      <c r="E782" s="257"/>
      <c r="F782" s="257"/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/>
      <c r="S782" s="257"/>
      <c r="T782" s="257"/>
      <c r="U782" s="257"/>
      <c r="V782" s="257"/>
      <c r="W782" s="257"/>
      <c r="X782" s="257"/>
      <c r="Y782" s="257"/>
      <c r="Z782" s="257"/>
    </row>
    <row r="783" ht="15.75" customHeight="1">
      <c r="A783" s="257"/>
      <c r="B783" s="257"/>
      <c r="C783" s="257"/>
      <c r="D783" s="257"/>
      <c r="E783" s="257"/>
      <c r="F783" s="257"/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/>
      <c r="S783" s="257"/>
      <c r="T783" s="257"/>
      <c r="U783" s="257"/>
      <c r="V783" s="257"/>
      <c r="W783" s="257"/>
      <c r="X783" s="257"/>
      <c r="Y783" s="257"/>
      <c r="Z783" s="257"/>
    </row>
    <row r="784" ht="15.75" customHeight="1">
      <c r="A784" s="257"/>
      <c r="B784" s="257"/>
      <c r="C784" s="257"/>
      <c r="D784" s="257"/>
      <c r="E784" s="257"/>
      <c r="F784" s="257"/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/>
      <c r="S784" s="257"/>
      <c r="T784" s="257"/>
      <c r="U784" s="257"/>
      <c r="V784" s="257"/>
      <c r="W784" s="257"/>
      <c r="X784" s="257"/>
      <c r="Y784" s="257"/>
      <c r="Z784" s="257"/>
    </row>
    <row r="785" ht="15.75" customHeight="1">
      <c r="A785" s="257"/>
      <c r="B785" s="257"/>
      <c r="C785" s="257"/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/>
      <c r="S785" s="257"/>
      <c r="T785" s="257"/>
      <c r="U785" s="257"/>
      <c r="V785" s="257"/>
      <c r="W785" s="257"/>
      <c r="X785" s="257"/>
      <c r="Y785" s="257"/>
      <c r="Z785" s="257"/>
    </row>
    <row r="786" ht="15.75" customHeight="1">
      <c r="A786" s="257"/>
      <c r="B786" s="257"/>
      <c r="C786" s="257"/>
      <c r="D786" s="257"/>
      <c r="E786" s="257"/>
      <c r="F786" s="257"/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/>
      <c r="S786" s="257"/>
      <c r="T786" s="257"/>
      <c r="U786" s="257"/>
      <c r="V786" s="257"/>
      <c r="W786" s="257"/>
      <c r="X786" s="257"/>
      <c r="Y786" s="257"/>
      <c r="Z786" s="257"/>
    </row>
    <row r="787" ht="15.75" customHeight="1">
      <c r="A787" s="257"/>
      <c r="B787" s="257"/>
      <c r="C787" s="257"/>
      <c r="D787" s="257"/>
      <c r="E787" s="257"/>
      <c r="F787" s="257"/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/>
      <c r="S787" s="257"/>
      <c r="T787" s="257"/>
      <c r="U787" s="257"/>
      <c r="V787" s="257"/>
      <c r="W787" s="257"/>
      <c r="X787" s="257"/>
      <c r="Y787" s="257"/>
      <c r="Z787" s="257"/>
    </row>
    <row r="788" ht="15.75" customHeight="1">
      <c r="A788" s="257"/>
      <c r="B788" s="257"/>
      <c r="C788" s="257"/>
      <c r="D788" s="257"/>
      <c r="E788" s="257"/>
      <c r="F788" s="257"/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/>
      <c r="S788" s="257"/>
      <c r="T788" s="257"/>
      <c r="U788" s="257"/>
      <c r="V788" s="257"/>
      <c r="W788" s="257"/>
      <c r="X788" s="257"/>
      <c r="Y788" s="257"/>
      <c r="Z788" s="257"/>
    </row>
    <row r="789" ht="15.75" customHeight="1">
      <c r="A789" s="257"/>
      <c r="B789" s="257"/>
      <c r="C789" s="257"/>
      <c r="D789" s="257"/>
      <c r="E789" s="257"/>
      <c r="F789" s="257"/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/>
      <c r="S789" s="257"/>
      <c r="T789" s="257"/>
      <c r="U789" s="257"/>
      <c r="V789" s="257"/>
      <c r="W789" s="257"/>
      <c r="X789" s="257"/>
      <c r="Y789" s="257"/>
      <c r="Z789" s="257"/>
    </row>
    <row r="790" ht="15.75" customHeight="1">
      <c r="A790" s="257"/>
      <c r="B790" s="257"/>
      <c r="C790" s="257"/>
      <c r="D790" s="257"/>
      <c r="E790" s="257"/>
      <c r="F790" s="257"/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/>
      <c r="S790" s="257"/>
      <c r="T790" s="257"/>
      <c r="U790" s="257"/>
      <c r="V790" s="257"/>
      <c r="W790" s="257"/>
      <c r="X790" s="257"/>
      <c r="Y790" s="257"/>
      <c r="Z790" s="257"/>
    </row>
    <row r="791" ht="15.75" customHeight="1">
      <c r="A791" s="257"/>
      <c r="B791" s="257"/>
      <c r="C791" s="257"/>
      <c r="D791" s="257"/>
      <c r="E791" s="257"/>
      <c r="F791" s="257"/>
      <c r="G791" s="257"/>
      <c r="H791" s="257"/>
      <c r="I791" s="257"/>
      <c r="J791" s="257"/>
      <c r="K791" s="257"/>
      <c r="L791" s="257"/>
      <c r="M791" s="257"/>
      <c r="N791" s="257"/>
      <c r="O791" s="257"/>
      <c r="P791" s="257"/>
      <c r="Q791" s="257"/>
      <c r="R791" s="257"/>
      <c r="S791" s="257"/>
      <c r="T791" s="257"/>
      <c r="U791" s="257"/>
      <c r="V791" s="257"/>
      <c r="W791" s="257"/>
      <c r="X791" s="257"/>
      <c r="Y791" s="257"/>
      <c r="Z791" s="257"/>
    </row>
    <row r="792" ht="15.75" customHeight="1">
      <c r="A792" s="257"/>
      <c r="B792" s="257"/>
      <c r="C792" s="257"/>
      <c r="D792" s="257"/>
      <c r="E792" s="257"/>
      <c r="F792" s="257"/>
      <c r="G792" s="257"/>
      <c r="H792" s="257"/>
      <c r="I792" s="257"/>
      <c r="J792" s="257"/>
      <c r="K792" s="257"/>
      <c r="L792" s="257"/>
      <c r="M792" s="257"/>
      <c r="N792" s="257"/>
      <c r="O792" s="257"/>
      <c r="P792" s="257"/>
      <c r="Q792" s="257"/>
      <c r="R792" s="257"/>
      <c r="S792" s="257"/>
      <c r="T792" s="257"/>
      <c r="U792" s="257"/>
      <c r="V792" s="257"/>
      <c r="W792" s="257"/>
      <c r="X792" s="257"/>
      <c r="Y792" s="257"/>
      <c r="Z792" s="257"/>
    </row>
    <row r="793" ht="15.75" customHeight="1">
      <c r="A793" s="257"/>
      <c r="B793" s="257"/>
      <c r="C793" s="257"/>
      <c r="D793" s="257"/>
      <c r="E793" s="257"/>
      <c r="F793" s="257"/>
      <c r="G793" s="257"/>
      <c r="H793" s="257"/>
      <c r="I793" s="257"/>
      <c r="J793" s="257"/>
      <c r="K793" s="257"/>
      <c r="L793" s="257"/>
      <c r="M793" s="257"/>
      <c r="N793" s="257"/>
      <c r="O793" s="257"/>
      <c r="P793" s="257"/>
      <c r="Q793" s="257"/>
      <c r="R793" s="257"/>
      <c r="S793" s="257"/>
      <c r="T793" s="257"/>
      <c r="U793" s="257"/>
      <c r="V793" s="257"/>
      <c r="W793" s="257"/>
      <c r="X793" s="257"/>
      <c r="Y793" s="257"/>
      <c r="Z793" s="257"/>
    </row>
    <row r="794" ht="15.75" customHeight="1">
      <c r="A794" s="257"/>
      <c r="B794" s="257"/>
      <c r="C794" s="257"/>
      <c r="D794" s="257"/>
      <c r="E794" s="257"/>
      <c r="F794" s="257"/>
      <c r="G794" s="257"/>
      <c r="H794" s="257"/>
      <c r="I794" s="257"/>
      <c r="J794" s="257"/>
      <c r="K794" s="257"/>
      <c r="L794" s="257"/>
      <c r="M794" s="257"/>
      <c r="N794" s="257"/>
      <c r="O794" s="257"/>
      <c r="P794" s="257"/>
      <c r="Q794" s="257"/>
      <c r="R794" s="257"/>
      <c r="S794" s="257"/>
      <c r="T794" s="257"/>
      <c r="U794" s="257"/>
      <c r="V794" s="257"/>
      <c r="W794" s="257"/>
      <c r="X794" s="257"/>
      <c r="Y794" s="257"/>
      <c r="Z794" s="257"/>
    </row>
    <row r="795" ht="15.75" customHeight="1">
      <c r="A795" s="257"/>
      <c r="B795" s="257"/>
      <c r="C795" s="257"/>
      <c r="D795" s="257"/>
      <c r="E795" s="257"/>
      <c r="F795" s="257"/>
      <c r="G795" s="257"/>
      <c r="H795" s="257"/>
      <c r="I795" s="257"/>
      <c r="J795" s="257"/>
      <c r="K795" s="257"/>
      <c r="L795" s="257"/>
      <c r="M795" s="257"/>
      <c r="N795" s="257"/>
      <c r="O795" s="257"/>
      <c r="P795" s="257"/>
      <c r="Q795" s="257"/>
      <c r="R795" s="257"/>
      <c r="S795" s="257"/>
      <c r="T795" s="257"/>
      <c r="U795" s="257"/>
      <c r="V795" s="257"/>
      <c r="W795" s="257"/>
      <c r="X795" s="257"/>
      <c r="Y795" s="257"/>
      <c r="Z795" s="257"/>
    </row>
    <row r="796" ht="15.75" customHeight="1">
      <c r="A796" s="257"/>
      <c r="B796" s="257"/>
      <c r="C796" s="257"/>
      <c r="D796" s="257"/>
      <c r="E796" s="257"/>
      <c r="F796" s="257"/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/>
      <c r="U796" s="257"/>
      <c r="V796" s="257"/>
      <c r="W796" s="257"/>
      <c r="X796" s="257"/>
      <c r="Y796" s="257"/>
      <c r="Z796" s="257"/>
    </row>
    <row r="797" ht="15.75" customHeight="1">
      <c r="A797" s="257"/>
      <c r="B797" s="257"/>
      <c r="C797" s="257"/>
      <c r="D797" s="257"/>
      <c r="E797" s="257"/>
      <c r="F797" s="257"/>
      <c r="G797" s="257"/>
      <c r="H797" s="257"/>
      <c r="I797" s="257"/>
      <c r="J797" s="257"/>
      <c r="K797" s="257"/>
      <c r="L797" s="257"/>
      <c r="M797" s="257"/>
      <c r="N797" s="257"/>
      <c r="O797" s="257"/>
      <c r="P797" s="257"/>
      <c r="Q797" s="257"/>
      <c r="R797" s="257"/>
      <c r="S797" s="257"/>
      <c r="T797" s="257"/>
      <c r="U797" s="257"/>
      <c r="V797" s="257"/>
      <c r="W797" s="257"/>
      <c r="X797" s="257"/>
      <c r="Y797" s="257"/>
      <c r="Z797" s="257"/>
    </row>
    <row r="798" ht="15.75" customHeight="1">
      <c r="A798" s="257"/>
      <c r="B798" s="257"/>
      <c r="C798" s="257"/>
      <c r="D798" s="257"/>
      <c r="E798" s="257"/>
      <c r="F798" s="257"/>
      <c r="G798" s="257"/>
      <c r="H798" s="257"/>
      <c r="I798" s="257"/>
      <c r="J798" s="257"/>
      <c r="K798" s="257"/>
      <c r="L798" s="257"/>
      <c r="M798" s="257"/>
      <c r="N798" s="257"/>
      <c r="O798" s="257"/>
      <c r="P798" s="257"/>
      <c r="Q798" s="257"/>
      <c r="R798" s="257"/>
      <c r="S798" s="257"/>
      <c r="T798" s="257"/>
      <c r="U798" s="257"/>
      <c r="V798" s="257"/>
      <c r="W798" s="257"/>
      <c r="X798" s="257"/>
      <c r="Y798" s="257"/>
      <c r="Z798" s="257"/>
    </row>
    <row r="799" ht="15.75" customHeight="1">
      <c r="A799" s="257"/>
      <c r="B799" s="257"/>
      <c r="C799" s="257"/>
      <c r="D799" s="257"/>
      <c r="E799" s="257"/>
      <c r="F799" s="257"/>
      <c r="G799" s="257"/>
      <c r="H799" s="257"/>
      <c r="I799" s="257"/>
      <c r="J799" s="257"/>
      <c r="K799" s="257"/>
      <c r="L799" s="257"/>
      <c r="M799" s="257"/>
      <c r="N799" s="257"/>
      <c r="O799" s="257"/>
      <c r="P799" s="257"/>
      <c r="Q799" s="257"/>
      <c r="R799" s="257"/>
      <c r="S799" s="257"/>
      <c r="T799" s="257"/>
      <c r="U799" s="257"/>
      <c r="V799" s="257"/>
      <c r="W799" s="257"/>
      <c r="X799" s="257"/>
      <c r="Y799" s="257"/>
      <c r="Z799" s="257"/>
    </row>
    <row r="800" ht="15.75" customHeight="1">
      <c r="A800" s="257"/>
      <c r="B800" s="257"/>
      <c r="C800" s="257"/>
      <c r="D800" s="257"/>
      <c r="E800" s="257"/>
      <c r="F800" s="257"/>
      <c r="G800" s="257"/>
      <c r="H800" s="257"/>
      <c r="I800" s="257"/>
      <c r="J800" s="257"/>
      <c r="K800" s="257"/>
      <c r="L800" s="257"/>
      <c r="M800" s="257"/>
      <c r="N800" s="257"/>
      <c r="O800" s="257"/>
      <c r="P800" s="257"/>
      <c r="Q800" s="257"/>
      <c r="R800" s="257"/>
      <c r="S800" s="257"/>
      <c r="T800" s="257"/>
      <c r="U800" s="257"/>
      <c r="V800" s="257"/>
      <c r="W800" s="257"/>
      <c r="X800" s="257"/>
      <c r="Y800" s="257"/>
      <c r="Z800" s="257"/>
    </row>
    <row r="801" ht="15.75" customHeight="1">
      <c r="A801" s="257"/>
      <c r="B801" s="257"/>
      <c r="C801" s="257"/>
      <c r="D801" s="257"/>
      <c r="E801" s="257"/>
      <c r="F801" s="257"/>
      <c r="G801" s="257"/>
      <c r="H801" s="257"/>
      <c r="I801" s="257"/>
      <c r="J801" s="257"/>
      <c r="K801" s="257"/>
      <c r="L801" s="257"/>
      <c r="M801" s="257"/>
      <c r="N801" s="257"/>
      <c r="O801" s="257"/>
      <c r="P801" s="257"/>
      <c r="Q801" s="257"/>
      <c r="R801" s="257"/>
      <c r="S801" s="257"/>
      <c r="T801" s="257"/>
      <c r="U801" s="257"/>
      <c r="V801" s="257"/>
      <c r="W801" s="257"/>
      <c r="X801" s="257"/>
      <c r="Y801" s="257"/>
      <c r="Z801" s="257"/>
    </row>
    <row r="802" ht="15.75" customHeight="1">
      <c r="A802" s="257"/>
      <c r="B802" s="257"/>
      <c r="C802" s="257"/>
      <c r="D802" s="257"/>
      <c r="E802" s="257"/>
      <c r="F802" s="257"/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/>
      <c r="T802" s="257"/>
      <c r="U802" s="257"/>
      <c r="V802" s="257"/>
      <c r="W802" s="257"/>
      <c r="X802" s="257"/>
      <c r="Y802" s="257"/>
      <c r="Z802" s="257"/>
    </row>
    <row r="803" ht="15.75" customHeight="1">
      <c r="A803" s="257"/>
      <c r="B803" s="257"/>
      <c r="C803" s="257"/>
      <c r="D803" s="257"/>
      <c r="E803" s="257"/>
      <c r="F803" s="257"/>
      <c r="G803" s="257"/>
      <c r="H803" s="257"/>
      <c r="I803" s="257"/>
      <c r="J803" s="257"/>
      <c r="K803" s="257"/>
      <c r="L803" s="257"/>
      <c r="M803" s="257"/>
      <c r="N803" s="257"/>
      <c r="O803" s="257"/>
      <c r="P803" s="257"/>
      <c r="Q803" s="257"/>
      <c r="R803" s="257"/>
      <c r="S803" s="257"/>
      <c r="T803" s="257"/>
      <c r="U803" s="257"/>
      <c r="V803" s="257"/>
      <c r="W803" s="257"/>
      <c r="X803" s="257"/>
      <c r="Y803" s="257"/>
      <c r="Z803" s="257"/>
    </row>
    <row r="804" ht="15.75" customHeight="1">
      <c r="A804" s="257"/>
      <c r="B804" s="257"/>
      <c r="C804" s="257"/>
      <c r="D804" s="257"/>
      <c r="E804" s="257"/>
      <c r="F804" s="257"/>
      <c r="G804" s="257"/>
      <c r="H804" s="257"/>
      <c r="I804" s="257"/>
      <c r="J804" s="257"/>
      <c r="K804" s="257"/>
      <c r="L804" s="257"/>
      <c r="M804" s="257"/>
      <c r="N804" s="257"/>
      <c r="O804" s="257"/>
      <c r="P804" s="257"/>
      <c r="Q804" s="257"/>
      <c r="R804" s="257"/>
      <c r="S804" s="257"/>
      <c r="T804" s="257"/>
      <c r="U804" s="257"/>
      <c r="V804" s="257"/>
      <c r="W804" s="257"/>
      <c r="X804" s="257"/>
      <c r="Y804" s="257"/>
      <c r="Z804" s="257"/>
    </row>
    <row r="805" ht="15.75" customHeight="1">
      <c r="A805" s="257"/>
      <c r="B805" s="257"/>
      <c r="C805" s="257"/>
      <c r="D805" s="257"/>
      <c r="E805" s="257"/>
      <c r="F805" s="257"/>
      <c r="G805" s="257"/>
      <c r="H805" s="257"/>
      <c r="I805" s="257"/>
      <c r="J805" s="257"/>
      <c r="K805" s="257"/>
      <c r="L805" s="257"/>
      <c r="M805" s="257"/>
      <c r="N805" s="257"/>
      <c r="O805" s="257"/>
      <c r="P805" s="257"/>
      <c r="Q805" s="257"/>
      <c r="R805" s="257"/>
      <c r="S805" s="257"/>
      <c r="T805" s="257"/>
      <c r="U805" s="257"/>
      <c r="V805" s="257"/>
      <c r="W805" s="257"/>
      <c r="X805" s="257"/>
      <c r="Y805" s="257"/>
      <c r="Z805" s="257"/>
    </row>
    <row r="806" ht="15.75" customHeight="1">
      <c r="A806" s="257"/>
      <c r="B806" s="257"/>
      <c r="C806" s="257"/>
      <c r="D806" s="257"/>
      <c r="E806" s="257"/>
      <c r="F806" s="257"/>
      <c r="G806" s="257"/>
      <c r="H806" s="257"/>
      <c r="I806" s="257"/>
      <c r="J806" s="257"/>
      <c r="K806" s="257"/>
      <c r="L806" s="257"/>
      <c r="M806" s="257"/>
      <c r="N806" s="257"/>
      <c r="O806" s="257"/>
      <c r="P806" s="257"/>
      <c r="Q806" s="257"/>
      <c r="R806" s="257"/>
      <c r="S806" s="257"/>
      <c r="T806" s="257"/>
      <c r="U806" s="257"/>
      <c r="V806" s="257"/>
      <c r="W806" s="257"/>
      <c r="X806" s="257"/>
      <c r="Y806" s="257"/>
      <c r="Z806" s="257"/>
    </row>
    <row r="807" ht="15.75" customHeight="1">
      <c r="A807" s="257"/>
      <c r="B807" s="257"/>
      <c r="C807" s="257"/>
      <c r="D807" s="257"/>
      <c r="E807" s="257"/>
      <c r="F807" s="257"/>
      <c r="G807" s="257"/>
      <c r="H807" s="257"/>
      <c r="I807" s="257"/>
      <c r="J807" s="257"/>
      <c r="K807" s="257"/>
      <c r="L807" s="257"/>
      <c r="M807" s="257"/>
      <c r="N807" s="257"/>
      <c r="O807" s="257"/>
      <c r="P807" s="257"/>
      <c r="Q807" s="257"/>
      <c r="R807" s="257"/>
      <c r="S807" s="257"/>
      <c r="T807" s="257"/>
      <c r="U807" s="257"/>
      <c r="V807" s="257"/>
      <c r="W807" s="257"/>
      <c r="X807" s="257"/>
      <c r="Y807" s="257"/>
      <c r="Z807" s="257"/>
    </row>
    <row r="808" ht="15.75" customHeight="1">
      <c r="A808" s="257"/>
      <c r="B808" s="257"/>
      <c r="C808" s="257"/>
      <c r="D808" s="257"/>
      <c r="E808" s="257"/>
      <c r="F808" s="257"/>
      <c r="G808" s="257"/>
      <c r="H808" s="257"/>
      <c r="I808" s="257"/>
      <c r="J808" s="257"/>
      <c r="K808" s="257"/>
      <c r="L808" s="257"/>
      <c r="M808" s="257"/>
      <c r="N808" s="257"/>
      <c r="O808" s="257"/>
      <c r="P808" s="257"/>
      <c r="Q808" s="257"/>
      <c r="R808" s="257"/>
      <c r="S808" s="257"/>
      <c r="T808" s="257"/>
      <c r="U808" s="257"/>
      <c r="V808" s="257"/>
      <c r="W808" s="257"/>
      <c r="X808" s="257"/>
      <c r="Y808" s="257"/>
      <c r="Z808" s="257"/>
    </row>
    <row r="809" ht="15.75" customHeight="1">
      <c r="A809" s="257"/>
      <c r="B809" s="257"/>
      <c r="C809" s="257"/>
      <c r="D809" s="257"/>
      <c r="E809" s="257"/>
      <c r="F809" s="257"/>
      <c r="G809" s="257"/>
      <c r="H809" s="257"/>
      <c r="I809" s="257"/>
      <c r="J809" s="257"/>
      <c r="K809" s="257"/>
      <c r="L809" s="257"/>
      <c r="M809" s="257"/>
      <c r="N809" s="257"/>
      <c r="O809" s="257"/>
      <c r="P809" s="257"/>
      <c r="Q809" s="257"/>
      <c r="R809" s="257"/>
      <c r="S809" s="257"/>
      <c r="T809" s="257"/>
      <c r="U809" s="257"/>
      <c r="V809" s="257"/>
      <c r="W809" s="257"/>
      <c r="X809" s="257"/>
      <c r="Y809" s="257"/>
      <c r="Z809" s="257"/>
    </row>
    <row r="810" ht="15.75" customHeight="1">
      <c r="A810" s="257"/>
      <c r="B810" s="257"/>
      <c r="C810" s="257"/>
      <c r="D810" s="257"/>
      <c r="E810" s="257"/>
      <c r="F810" s="257"/>
      <c r="G810" s="257"/>
      <c r="H810" s="257"/>
      <c r="I810" s="257"/>
      <c r="J810" s="257"/>
      <c r="K810" s="257"/>
      <c r="L810" s="257"/>
      <c r="M810" s="257"/>
      <c r="N810" s="257"/>
      <c r="O810" s="257"/>
      <c r="P810" s="257"/>
      <c r="Q810" s="257"/>
      <c r="R810" s="257"/>
      <c r="S810" s="257"/>
      <c r="T810" s="257"/>
      <c r="U810" s="257"/>
      <c r="V810" s="257"/>
      <c r="W810" s="257"/>
      <c r="X810" s="257"/>
      <c r="Y810" s="257"/>
      <c r="Z810" s="257"/>
    </row>
    <row r="811" ht="15.75" customHeight="1">
      <c r="A811" s="257"/>
      <c r="B811" s="257"/>
      <c r="C811" s="257"/>
      <c r="D811" s="257"/>
      <c r="E811" s="257"/>
      <c r="F811" s="257"/>
      <c r="G811" s="257"/>
      <c r="H811" s="257"/>
      <c r="I811" s="257"/>
      <c r="J811" s="257"/>
      <c r="K811" s="257"/>
      <c r="L811" s="257"/>
      <c r="M811" s="257"/>
      <c r="N811" s="257"/>
      <c r="O811" s="257"/>
      <c r="P811" s="257"/>
      <c r="Q811" s="257"/>
      <c r="R811" s="257"/>
      <c r="S811" s="257"/>
      <c r="T811" s="257"/>
      <c r="U811" s="257"/>
      <c r="V811" s="257"/>
      <c r="W811" s="257"/>
      <c r="X811" s="257"/>
      <c r="Y811" s="257"/>
      <c r="Z811" s="257"/>
    </row>
    <row r="812" ht="15.75" customHeight="1">
      <c r="A812" s="257"/>
      <c r="B812" s="257"/>
      <c r="C812" s="257"/>
      <c r="D812" s="257"/>
      <c r="E812" s="257"/>
      <c r="F812" s="257"/>
      <c r="G812" s="257"/>
      <c r="H812" s="257"/>
      <c r="I812" s="257"/>
      <c r="J812" s="257"/>
      <c r="K812" s="257"/>
      <c r="L812" s="257"/>
      <c r="M812" s="257"/>
      <c r="N812" s="257"/>
      <c r="O812" s="257"/>
      <c r="P812" s="257"/>
      <c r="Q812" s="257"/>
      <c r="R812" s="257"/>
      <c r="S812" s="257"/>
      <c r="T812" s="257"/>
      <c r="U812" s="257"/>
      <c r="V812" s="257"/>
      <c r="W812" s="257"/>
      <c r="X812" s="257"/>
      <c r="Y812" s="257"/>
      <c r="Z812" s="257"/>
    </row>
    <row r="813" ht="15.75" customHeight="1">
      <c r="A813" s="257"/>
      <c r="B813" s="257"/>
      <c r="C813" s="257"/>
      <c r="D813" s="257"/>
      <c r="E813" s="257"/>
      <c r="F813" s="257"/>
      <c r="G813" s="257"/>
      <c r="H813" s="257"/>
      <c r="I813" s="257"/>
      <c r="J813" s="257"/>
      <c r="K813" s="257"/>
      <c r="L813" s="257"/>
      <c r="M813" s="257"/>
      <c r="N813" s="257"/>
      <c r="O813" s="257"/>
      <c r="P813" s="257"/>
      <c r="Q813" s="257"/>
      <c r="R813" s="257"/>
      <c r="S813" s="257"/>
      <c r="T813" s="257"/>
      <c r="U813" s="257"/>
      <c r="V813" s="257"/>
      <c r="W813" s="257"/>
      <c r="X813" s="257"/>
      <c r="Y813" s="257"/>
      <c r="Z813" s="257"/>
    </row>
    <row r="814" ht="15.75" customHeight="1">
      <c r="A814" s="257"/>
      <c r="B814" s="257"/>
      <c r="C814" s="257"/>
      <c r="D814" s="257"/>
      <c r="E814" s="257"/>
      <c r="F814" s="257"/>
      <c r="G814" s="257"/>
      <c r="H814" s="257"/>
      <c r="I814" s="257"/>
      <c r="J814" s="257"/>
      <c r="K814" s="257"/>
      <c r="L814" s="257"/>
      <c r="M814" s="257"/>
      <c r="N814" s="257"/>
      <c r="O814" s="257"/>
      <c r="P814" s="257"/>
      <c r="Q814" s="257"/>
      <c r="R814" s="257"/>
      <c r="S814" s="257"/>
      <c r="T814" s="257"/>
      <c r="U814" s="257"/>
      <c r="V814" s="257"/>
      <c r="W814" s="257"/>
      <c r="X814" s="257"/>
      <c r="Y814" s="257"/>
      <c r="Z814" s="257"/>
    </row>
    <row r="815" ht="15.75" customHeight="1">
      <c r="A815" s="257"/>
      <c r="B815" s="257"/>
      <c r="C815" s="257"/>
      <c r="D815" s="257"/>
      <c r="E815" s="257"/>
      <c r="F815" s="257"/>
      <c r="G815" s="257"/>
      <c r="H815" s="257"/>
      <c r="I815" s="257"/>
      <c r="J815" s="257"/>
      <c r="K815" s="257"/>
      <c r="L815" s="257"/>
      <c r="M815" s="257"/>
      <c r="N815" s="257"/>
      <c r="O815" s="257"/>
      <c r="P815" s="257"/>
      <c r="Q815" s="257"/>
      <c r="R815" s="257"/>
      <c r="S815" s="257"/>
      <c r="T815" s="257"/>
      <c r="U815" s="257"/>
      <c r="V815" s="257"/>
      <c r="W815" s="257"/>
      <c r="X815" s="257"/>
      <c r="Y815" s="257"/>
      <c r="Z815" s="257"/>
    </row>
    <row r="816" ht="15.75" customHeight="1">
      <c r="A816" s="257"/>
      <c r="B816" s="257"/>
      <c r="C816" s="257"/>
      <c r="D816" s="257"/>
      <c r="E816" s="257"/>
      <c r="F816" s="257"/>
      <c r="G816" s="257"/>
      <c r="H816" s="257"/>
      <c r="I816" s="257"/>
      <c r="J816" s="257"/>
      <c r="K816" s="257"/>
      <c r="L816" s="257"/>
      <c r="M816" s="257"/>
      <c r="N816" s="257"/>
      <c r="O816" s="257"/>
      <c r="P816" s="257"/>
      <c r="Q816" s="257"/>
      <c r="R816" s="257"/>
      <c r="S816" s="257"/>
      <c r="T816" s="257"/>
      <c r="U816" s="257"/>
      <c r="V816" s="257"/>
      <c r="W816" s="257"/>
      <c r="X816" s="257"/>
      <c r="Y816" s="257"/>
      <c r="Z816" s="257"/>
    </row>
    <row r="817" ht="15.75" customHeight="1">
      <c r="A817" s="257"/>
      <c r="B817" s="257"/>
      <c r="C817" s="257"/>
      <c r="D817" s="257"/>
      <c r="E817" s="257"/>
      <c r="F817" s="257"/>
      <c r="G817" s="257"/>
      <c r="H817" s="257"/>
      <c r="I817" s="257"/>
      <c r="J817" s="257"/>
      <c r="K817" s="257"/>
      <c r="L817" s="257"/>
      <c r="M817" s="257"/>
      <c r="N817" s="257"/>
      <c r="O817" s="257"/>
      <c r="P817" s="257"/>
      <c r="Q817" s="257"/>
      <c r="R817" s="257"/>
      <c r="S817" s="257"/>
      <c r="T817" s="257"/>
      <c r="U817" s="257"/>
      <c r="V817" s="257"/>
      <c r="W817" s="257"/>
      <c r="X817" s="257"/>
      <c r="Y817" s="257"/>
      <c r="Z817" s="257"/>
    </row>
    <row r="818" ht="15.75" customHeight="1">
      <c r="A818" s="257"/>
      <c r="B818" s="257"/>
      <c r="C818" s="257"/>
      <c r="D818" s="257"/>
      <c r="E818" s="257"/>
      <c r="F818" s="257"/>
      <c r="G818" s="257"/>
      <c r="H818" s="257"/>
      <c r="I818" s="257"/>
      <c r="J818" s="257"/>
      <c r="K818" s="257"/>
      <c r="L818" s="257"/>
      <c r="M818" s="257"/>
      <c r="N818" s="257"/>
      <c r="O818" s="257"/>
      <c r="P818" s="257"/>
      <c r="Q818" s="257"/>
      <c r="R818" s="257"/>
      <c r="S818" s="257"/>
      <c r="T818" s="257"/>
      <c r="U818" s="257"/>
      <c r="V818" s="257"/>
      <c r="W818" s="257"/>
      <c r="X818" s="257"/>
      <c r="Y818" s="257"/>
      <c r="Z818" s="257"/>
    </row>
    <row r="819" ht="15.75" customHeight="1">
      <c r="A819" s="257"/>
      <c r="B819" s="257"/>
      <c r="C819" s="257"/>
      <c r="D819" s="257"/>
      <c r="E819" s="257"/>
      <c r="F819" s="257"/>
      <c r="G819" s="257"/>
      <c r="H819" s="257"/>
      <c r="I819" s="257"/>
      <c r="J819" s="257"/>
      <c r="K819" s="257"/>
      <c r="L819" s="257"/>
      <c r="M819" s="257"/>
      <c r="N819" s="257"/>
      <c r="O819" s="257"/>
      <c r="P819" s="257"/>
      <c r="Q819" s="257"/>
      <c r="R819" s="257"/>
      <c r="S819" s="257"/>
      <c r="T819" s="257"/>
      <c r="U819" s="257"/>
      <c r="V819" s="257"/>
      <c r="W819" s="257"/>
      <c r="X819" s="257"/>
      <c r="Y819" s="257"/>
      <c r="Z819" s="257"/>
    </row>
    <row r="820" ht="15.75" customHeight="1">
      <c r="A820" s="257"/>
      <c r="B820" s="257"/>
      <c r="C820" s="257"/>
      <c r="D820" s="257"/>
      <c r="E820" s="257"/>
      <c r="F820" s="257"/>
      <c r="G820" s="257"/>
      <c r="H820" s="257"/>
      <c r="I820" s="257"/>
      <c r="J820" s="257"/>
      <c r="K820" s="257"/>
      <c r="L820" s="257"/>
      <c r="M820" s="257"/>
      <c r="N820" s="257"/>
      <c r="O820" s="257"/>
      <c r="P820" s="257"/>
      <c r="Q820" s="257"/>
      <c r="R820" s="257"/>
      <c r="S820" s="257"/>
      <c r="T820" s="257"/>
      <c r="U820" s="257"/>
      <c r="V820" s="257"/>
      <c r="W820" s="257"/>
      <c r="X820" s="257"/>
      <c r="Y820" s="257"/>
      <c r="Z820" s="257"/>
    </row>
    <row r="821" ht="15.75" customHeight="1">
      <c r="A821" s="257"/>
      <c r="B821" s="257"/>
      <c r="C821" s="257"/>
      <c r="D821" s="257"/>
      <c r="E821" s="257"/>
      <c r="F821" s="257"/>
      <c r="G821" s="257"/>
      <c r="H821" s="257"/>
      <c r="I821" s="257"/>
      <c r="J821" s="257"/>
      <c r="K821" s="257"/>
      <c r="L821" s="257"/>
      <c r="M821" s="257"/>
      <c r="N821" s="257"/>
      <c r="O821" s="257"/>
      <c r="P821" s="257"/>
      <c r="Q821" s="257"/>
      <c r="R821" s="257"/>
      <c r="S821" s="257"/>
      <c r="T821" s="257"/>
      <c r="U821" s="257"/>
      <c r="V821" s="257"/>
      <c r="W821" s="257"/>
      <c r="X821" s="257"/>
      <c r="Y821" s="257"/>
      <c r="Z821" s="257"/>
    </row>
    <row r="822" ht="15.75" customHeight="1">
      <c r="A822" s="257"/>
      <c r="B822" s="257"/>
      <c r="C822" s="257"/>
      <c r="D822" s="257"/>
      <c r="E822" s="257"/>
      <c r="F822" s="257"/>
      <c r="G822" s="257"/>
      <c r="H822" s="257"/>
      <c r="I822" s="257"/>
      <c r="J822" s="257"/>
      <c r="K822" s="257"/>
      <c r="L822" s="257"/>
      <c r="M822" s="257"/>
      <c r="N822" s="257"/>
      <c r="O822" s="257"/>
      <c r="P822" s="257"/>
      <c r="Q822" s="257"/>
      <c r="R822" s="257"/>
      <c r="S822" s="257"/>
      <c r="T822" s="257"/>
      <c r="U822" s="257"/>
      <c r="V822" s="257"/>
      <c r="W822" s="257"/>
      <c r="X822" s="257"/>
      <c r="Y822" s="257"/>
      <c r="Z822" s="257"/>
    </row>
    <row r="823" ht="15.75" customHeight="1">
      <c r="A823" s="257"/>
      <c r="B823" s="257"/>
      <c r="C823" s="257"/>
      <c r="D823" s="257"/>
      <c r="E823" s="257"/>
      <c r="F823" s="257"/>
      <c r="G823" s="257"/>
      <c r="H823" s="257"/>
      <c r="I823" s="257"/>
      <c r="J823" s="257"/>
      <c r="K823" s="257"/>
      <c r="L823" s="257"/>
      <c r="M823" s="257"/>
      <c r="N823" s="257"/>
      <c r="O823" s="257"/>
      <c r="P823" s="257"/>
      <c r="Q823" s="257"/>
      <c r="R823" s="257"/>
      <c r="S823" s="257"/>
      <c r="T823" s="257"/>
      <c r="U823" s="257"/>
      <c r="V823" s="257"/>
      <c r="W823" s="257"/>
      <c r="X823" s="257"/>
      <c r="Y823" s="257"/>
      <c r="Z823" s="257"/>
    </row>
    <row r="824" ht="15.75" customHeight="1">
      <c r="A824" s="257"/>
      <c r="B824" s="257"/>
      <c r="C824" s="257"/>
      <c r="D824" s="257"/>
      <c r="E824" s="257"/>
      <c r="F824" s="257"/>
      <c r="G824" s="257"/>
      <c r="H824" s="257"/>
      <c r="I824" s="257"/>
      <c r="J824" s="257"/>
      <c r="K824" s="257"/>
      <c r="L824" s="257"/>
      <c r="M824" s="257"/>
      <c r="N824" s="257"/>
      <c r="O824" s="257"/>
      <c r="P824" s="257"/>
      <c r="Q824" s="257"/>
      <c r="R824" s="257"/>
      <c r="S824" s="257"/>
      <c r="T824" s="257"/>
      <c r="U824" s="257"/>
      <c r="V824" s="257"/>
      <c r="W824" s="257"/>
      <c r="X824" s="257"/>
      <c r="Y824" s="257"/>
      <c r="Z824" s="257"/>
    </row>
    <row r="825" ht="15.75" customHeight="1">
      <c r="A825" s="257"/>
      <c r="B825" s="257"/>
      <c r="C825" s="257"/>
      <c r="D825" s="257"/>
      <c r="E825" s="257"/>
      <c r="F825" s="257"/>
      <c r="G825" s="257"/>
      <c r="H825" s="257"/>
      <c r="I825" s="257"/>
      <c r="J825" s="257"/>
      <c r="K825" s="257"/>
      <c r="L825" s="257"/>
      <c r="M825" s="257"/>
      <c r="N825" s="257"/>
      <c r="O825" s="257"/>
      <c r="P825" s="257"/>
      <c r="Q825" s="257"/>
      <c r="R825" s="257"/>
      <c r="S825" s="257"/>
      <c r="T825" s="257"/>
      <c r="U825" s="257"/>
      <c r="V825" s="257"/>
      <c r="W825" s="257"/>
      <c r="X825" s="257"/>
      <c r="Y825" s="257"/>
      <c r="Z825" s="257"/>
    </row>
    <row r="826" ht="15.75" customHeight="1">
      <c r="A826" s="257"/>
      <c r="B826" s="257"/>
      <c r="C826" s="257"/>
      <c r="D826" s="257"/>
      <c r="E826" s="257"/>
      <c r="F826" s="257"/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/>
      <c r="T826" s="257"/>
      <c r="U826" s="257"/>
      <c r="V826" s="257"/>
      <c r="W826" s="257"/>
      <c r="X826" s="257"/>
      <c r="Y826" s="257"/>
      <c r="Z826" s="257"/>
    </row>
    <row r="827" ht="15.75" customHeight="1">
      <c r="A827" s="257"/>
      <c r="B827" s="257"/>
      <c r="C827" s="257"/>
      <c r="D827" s="257"/>
      <c r="E827" s="257"/>
      <c r="F827" s="257"/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/>
      <c r="T827" s="257"/>
      <c r="U827" s="257"/>
      <c r="V827" s="257"/>
      <c r="W827" s="257"/>
      <c r="X827" s="257"/>
      <c r="Y827" s="257"/>
      <c r="Z827" s="257"/>
    </row>
    <row r="828" ht="15.75" customHeight="1">
      <c r="A828" s="257"/>
      <c r="B828" s="257"/>
      <c r="C828" s="257"/>
      <c r="D828" s="257"/>
      <c r="E828" s="257"/>
      <c r="F828" s="257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/>
      <c r="S828" s="257"/>
      <c r="T828" s="257"/>
      <c r="U828" s="257"/>
      <c r="V828" s="257"/>
      <c r="W828" s="257"/>
      <c r="X828" s="257"/>
      <c r="Y828" s="257"/>
      <c r="Z828" s="257"/>
    </row>
    <row r="829" ht="15.75" customHeight="1">
      <c r="A829" s="257"/>
      <c r="B829" s="257"/>
      <c r="C829" s="257"/>
      <c r="D829" s="257"/>
      <c r="E829" s="257"/>
      <c r="F829" s="257"/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/>
      <c r="T829" s="257"/>
      <c r="U829" s="257"/>
      <c r="V829" s="257"/>
      <c r="W829" s="257"/>
      <c r="X829" s="257"/>
      <c r="Y829" s="257"/>
      <c r="Z829" s="257"/>
    </row>
    <row r="830" ht="15.75" customHeight="1">
      <c r="A830" s="257"/>
      <c r="B830" s="257"/>
      <c r="C830" s="257"/>
      <c r="D830" s="257"/>
      <c r="E830" s="257"/>
      <c r="F830" s="257"/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/>
      <c r="T830" s="257"/>
      <c r="U830" s="257"/>
      <c r="V830" s="257"/>
      <c r="W830" s="257"/>
      <c r="X830" s="257"/>
      <c r="Y830" s="257"/>
      <c r="Z830" s="257"/>
    </row>
    <row r="831" ht="15.75" customHeight="1">
      <c r="A831" s="257"/>
      <c r="B831" s="257"/>
      <c r="C831" s="257"/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/>
      <c r="S831" s="257"/>
      <c r="T831" s="257"/>
      <c r="U831" s="257"/>
      <c r="V831" s="257"/>
      <c r="W831" s="257"/>
      <c r="X831" s="257"/>
      <c r="Y831" s="257"/>
      <c r="Z831" s="257"/>
    </row>
    <row r="832" ht="15.75" customHeight="1">
      <c r="A832" s="257"/>
      <c r="B832" s="257"/>
      <c r="C832" s="257"/>
      <c r="D832" s="257"/>
      <c r="E832" s="257"/>
      <c r="F832" s="257"/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/>
      <c r="T832" s="257"/>
      <c r="U832" s="257"/>
      <c r="V832" s="257"/>
      <c r="W832" s="257"/>
      <c r="X832" s="257"/>
      <c r="Y832" s="257"/>
      <c r="Z832" s="257"/>
    </row>
    <row r="833" ht="15.75" customHeight="1">
      <c r="A833" s="257"/>
      <c r="B833" s="257"/>
      <c r="C833" s="257"/>
      <c r="D833" s="257"/>
      <c r="E833" s="257"/>
      <c r="F833" s="257"/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/>
      <c r="T833" s="257"/>
      <c r="U833" s="257"/>
      <c r="V833" s="257"/>
      <c r="W833" s="257"/>
      <c r="X833" s="257"/>
      <c r="Y833" s="257"/>
      <c r="Z833" s="257"/>
    </row>
    <row r="834" ht="15.75" customHeight="1">
      <c r="A834" s="257"/>
      <c r="B834" s="257"/>
      <c r="C834" s="257"/>
      <c r="D834" s="257"/>
      <c r="E834" s="257"/>
      <c r="F834" s="257"/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/>
      <c r="T834" s="257"/>
      <c r="U834" s="257"/>
      <c r="V834" s="257"/>
      <c r="W834" s="257"/>
      <c r="X834" s="257"/>
      <c r="Y834" s="257"/>
      <c r="Z834" s="257"/>
    </row>
    <row r="835" ht="15.75" customHeight="1">
      <c r="A835" s="257"/>
      <c r="B835" s="257"/>
      <c r="C835" s="257"/>
      <c r="D835" s="257"/>
      <c r="E835" s="257"/>
      <c r="F835" s="257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/>
      <c r="S835" s="257"/>
      <c r="T835" s="257"/>
      <c r="U835" s="257"/>
      <c r="V835" s="257"/>
      <c r="W835" s="257"/>
      <c r="X835" s="257"/>
      <c r="Y835" s="257"/>
      <c r="Z835" s="257"/>
    </row>
    <row r="836" ht="15.75" customHeight="1">
      <c r="A836" s="257"/>
      <c r="B836" s="257"/>
      <c r="C836" s="257"/>
      <c r="D836" s="257"/>
      <c r="E836" s="257"/>
      <c r="F836" s="257"/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/>
      <c r="T836" s="257"/>
      <c r="U836" s="257"/>
      <c r="V836" s="257"/>
      <c r="W836" s="257"/>
      <c r="X836" s="257"/>
      <c r="Y836" s="257"/>
      <c r="Z836" s="257"/>
    </row>
    <row r="837" ht="15.75" customHeight="1">
      <c r="A837" s="257"/>
      <c r="B837" s="257"/>
      <c r="C837" s="257"/>
      <c r="D837" s="257"/>
      <c r="E837" s="257"/>
      <c r="F837" s="257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/>
      <c r="S837" s="257"/>
      <c r="T837" s="257"/>
      <c r="U837" s="257"/>
      <c r="V837" s="257"/>
      <c r="W837" s="257"/>
      <c r="X837" s="257"/>
      <c r="Y837" s="257"/>
      <c r="Z837" s="257"/>
    </row>
    <row r="838" ht="15.75" customHeight="1">
      <c r="A838" s="257"/>
      <c r="B838" s="257"/>
      <c r="C838" s="257"/>
      <c r="D838" s="257"/>
      <c r="E838" s="257"/>
      <c r="F838" s="257"/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/>
      <c r="T838" s="257"/>
      <c r="U838" s="257"/>
      <c r="V838" s="257"/>
      <c r="W838" s="257"/>
      <c r="X838" s="257"/>
      <c r="Y838" s="257"/>
      <c r="Z838" s="257"/>
    </row>
    <row r="839" ht="15.75" customHeight="1">
      <c r="A839" s="257"/>
      <c r="B839" s="257"/>
      <c r="C839" s="257"/>
      <c r="D839" s="257"/>
      <c r="E839" s="257"/>
      <c r="F839" s="257"/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/>
      <c r="T839" s="257"/>
      <c r="U839" s="257"/>
      <c r="V839" s="257"/>
      <c r="W839" s="257"/>
      <c r="X839" s="257"/>
      <c r="Y839" s="257"/>
      <c r="Z839" s="257"/>
    </row>
    <row r="840" ht="15.75" customHeight="1">
      <c r="A840" s="257"/>
      <c r="B840" s="257"/>
      <c r="C840" s="257"/>
      <c r="D840" s="257"/>
      <c r="E840" s="257"/>
      <c r="F840" s="257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/>
      <c r="S840" s="257"/>
      <c r="T840" s="257"/>
      <c r="U840" s="257"/>
      <c r="V840" s="257"/>
      <c r="W840" s="257"/>
      <c r="X840" s="257"/>
      <c r="Y840" s="257"/>
      <c r="Z840" s="257"/>
    </row>
    <row r="841" ht="15.75" customHeight="1">
      <c r="A841" s="257"/>
      <c r="B841" s="257"/>
      <c r="C841" s="257"/>
      <c r="D841" s="257"/>
      <c r="E841" s="257"/>
      <c r="F841" s="257"/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/>
      <c r="T841" s="257"/>
      <c r="U841" s="257"/>
      <c r="V841" s="257"/>
      <c r="W841" s="257"/>
      <c r="X841" s="257"/>
      <c r="Y841" s="257"/>
      <c r="Z841" s="257"/>
    </row>
    <row r="842" ht="15.75" customHeight="1">
      <c r="A842" s="257"/>
      <c r="B842" s="257"/>
      <c r="C842" s="257"/>
      <c r="D842" s="257"/>
      <c r="E842" s="257"/>
      <c r="F842" s="257"/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/>
      <c r="T842" s="257"/>
      <c r="U842" s="257"/>
      <c r="V842" s="257"/>
      <c r="W842" s="257"/>
      <c r="X842" s="257"/>
      <c r="Y842" s="257"/>
      <c r="Z842" s="257"/>
    </row>
    <row r="843" ht="15.75" customHeight="1">
      <c r="A843" s="257"/>
      <c r="B843" s="257"/>
      <c r="C843" s="257"/>
      <c r="D843" s="257"/>
      <c r="E843" s="257"/>
      <c r="F843" s="257"/>
      <c r="G843" s="257"/>
      <c r="H843" s="257"/>
      <c r="I843" s="257"/>
      <c r="J843" s="257"/>
      <c r="K843" s="257"/>
      <c r="L843" s="257"/>
      <c r="M843" s="257"/>
      <c r="N843" s="257"/>
      <c r="O843" s="257"/>
      <c r="P843" s="257"/>
      <c r="Q843" s="257"/>
      <c r="R843" s="257"/>
      <c r="S843" s="257"/>
      <c r="T843" s="257"/>
      <c r="U843" s="257"/>
      <c r="V843" s="257"/>
      <c r="W843" s="257"/>
      <c r="X843" s="257"/>
      <c r="Y843" s="257"/>
      <c r="Z843" s="257"/>
    </row>
    <row r="844" ht="15.75" customHeight="1">
      <c r="A844" s="257"/>
      <c r="B844" s="257"/>
      <c r="C844" s="257"/>
      <c r="D844" s="257"/>
      <c r="E844" s="257"/>
      <c r="F844" s="257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/>
      <c r="U844" s="257"/>
      <c r="V844" s="257"/>
      <c r="W844" s="257"/>
      <c r="X844" s="257"/>
      <c r="Y844" s="257"/>
      <c r="Z844" s="257"/>
    </row>
    <row r="845" ht="15.75" customHeight="1">
      <c r="A845" s="257"/>
      <c r="B845" s="257"/>
      <c r="C845" s="257"/>
      <c r="D845" s="257"/>
      <c r="E845" s="257"/>
      <c r="F845" s="257"/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/>
      <c r="U845" s="257"/>
      <c r="V845" s="257"/>
      <c r="W845" s="257"/>
      <c r="X845" s="257"/>
      <c r="Y845" s="257"/>
      <c r="Z845" s="257"/>
    </row>
    <row r="846" ht="15.75" customHeight="1">
      <c r="A846" s="257"/>
      <c r="B846" s="257"/>
      <c r="C846" s="257"/>
      <c r="D846" s="257"/>
      <c r="E846" s="257"/>
      <c r="F846" s="257"/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/>
      <c r="U846" s="257"/>
      <c r="V846" s="257"/>
      <c r="W846" s="257"/>
      <c r="X846" s="257"/>
      <c r="Y846" s="257"/>
      <c r="Z846" s="257"/>
    </row>
    <row r="847" ht="15.75" customHeight="1">
      <c r="A847" s="257"/>
      <c r="B847" s="257"/>
      <c r="C847" s="257"/>
      <c r="D847" s="257"/>
      <c r="E847" s="257"/>
      <c r="F847" s="257"/>
      <c r="G847" s="257"/>
      <c r="H847" s="257"/>
      <c r="I847" s="257"/>
      <c r="J847" s="257"/>
      <c r="K847" s="257"/>
      <c r="L847" s="257"/>
      <c r="M847" s="257"/>
      <c r="N847" s="257"/>
      <c r="O847" s="257"/>
      <c r="P847" s="257"/>
      <c r="Q847" s="257"/>
      <c r="R847" s="257"/>
      <c r="S847" s="257"/>
      <c r="T847" s="257"/>
      <c r="U847" s="257"/>
      <c r="V847" s="257"/>
      <c r="W847" s="257"/>
      <c r="X847" s="257"/>
      <c r="Y847" s="257"/>
      <c r="Z847" s="257"/>
    </row>
    <row r="848" ht="15.75" customHeight="1">
      <c r="A848" s="257"/>
      <c r="B848" s="257"/>
      <c r="C848" s="257"/>
      <c r="D848" s="257"/>
      <c r="E848" s="257"/>
      <c r="F848" s="257"/>
      <c r="G848" s="257"/>
      <c r="H848" s="257"/>
      <c r="I848" s="257"/>
      <c r="J848" s="257"/>
      <c r="K848" s="257"/>
      <c r="L848" s="257"/>
      <c r="M848" s="257"/>
      <c r="N848" s="257"/>
      <c r="O848" s="257"/>
      <c r="P848" s="257"/>
      <c r="Q848" s="257"/>
      <c r="R848" s="257"/>
      <c r="S848" s="257"/>
      <c r="T848" s="257"/>
      <c r="U848" s="257"/>
      <c r="V848" s="257"/>
      <c r="W848" s="257"/>
      <c r="X848" s="257"/>
      <c r="Y848" s="257"/>
      <c r="Z848" s="257"/>
    </row>
    <row r="849" ht="15.75" customHeight="1">
      <c r="A849" s="257"/>
      <c r="B849" s="257"/>
      <c r="C849" s="257"/>
      <c r="D849" s="257"/>
      <c r="E849" s="257"/>
      <c r="F849" s="257"/>
      <c r="G849" s="257"/>
      <c r="H849" s="257"/>
      <c r="I849" s="257"/>
      <c r="J849" s="257"/>
      <c r="K849" s="257"/>
      <c r="L849" s="257"/>
      <c r="M849" s="257"/>
      <c r="N849" s="257"/>
      <c r="O849" s="257"/>
      <c r="P849" s="257"/>
      <c r="Q849" s="257"/>
      <c r="R849" s="257"/>
      <c r="S849" s="257"/>
      <c r="T849" s="257"/>
      <c r="U849" s="257"/>
      <c r="V849" s="257"/>
      <c r="W849" s="257"/>
      <c r="X849" s="257"/>
      <c r="Y849" s="257"/>
      <c r="Z849" s="257"/>
    </row>
    <row r="850" ht="15.75" customHeight="1">
      <c r="A850" s="257"/>
      <c r="B850" s="257"/>
      <c r="C850" s="257"/>
      <c r="D850" s="257"/>
      <c r="E850" s="257"/>
      <c r="F850" s="257"/>
      <c r="G850" s="257"/>
      <c r="H850" s="257"/>
      <c r="I850" s="257"/>
      <c r="J850" s="257"/>
      <c r="K850" s="257"/>
      <c r="L850" s="257"/>
      <c r="M850" s="257"/>
      <c r="N850" s="257"/>
      <c r="O850" s="257"/>
      <c r="P850" s="257"/>
      <c r="Q850" s="257"/>
      <c r="R850" s="257"/>
      <c r="S850" s="257"/>
      <c r="T850" s="257"/>
      <c r="U850" s="257"/>
      <c r="V850" s="257"/>
      <c r="W850" s="257"/>
      <c r="X850" s="257"/>
      <c r="Y850" s="257"/>
      <c r="Z850" s="257"/>
    </row>
    <row r="851" ht="15.75" customHeight="1">
      <c r="A851" s="257"/>
      <c r="B851" s="257"/>
      <c r="C851" s="257"/>
      <c r="D851" s="257"/>
      <c r="E851" s="257"/>
      <c r="F851" s="257"/>
      <c r="G851" s="257"/>
      <c r="H851" s="257"/>
      <c r="I851" s="257"/>
      <c r="J851" s="257"/>
      <c r="K851" s="257"/>
      <c r="L851" s="257"/>
      <c r="M851" s="257"/>
      <c r="N851" s="257"/>
      <c r="O851" s="257"/>
      <c r="P851" s="257"/>
      <c r="Q851" s="257"/>
      <c r="R851" s="257"/>
      <c r="S851" s="257"/>
      <c r="T851" s="257"/>
      <c r="U851" s="257"/>
      <c r="V851" s="257"/>
      <c r="W851" s="257"/>
      <c r="X851" s="257"/>
      <c r="Y851" s="257"/>
      <c r="Z851" s="257"/>
    </row>
    <row r="852" ht="15.75" customHeight="1">
      <c r="A852" s="257"/>
      <c r="B852" s="257"/>
      <c r="C852" s="257"/>
      <c r="D852" s="257"/>
      <c r="E852" s="257"/>
      <c r="F852" s="257"/>
      <c r="G852" s="257"/>
      <c r="H852" s="257"/>
      <c r="I852" s="257"/>
      <c r="J852" s="257"/>
      <c r="K852" s="257"/>
      <c r="L852" s="257"/>
      <c r="M852" s="257"/>
      <c r="N852" s="257"/>
      <c r="O852" s="257"/>
      <c r="P852" s="257"/>
      <c r="Q852" s="257"/>
      <c r="R852" s="257"/>
      <c r="S852" s="257"/>
      <c r="T852" s="257"/>
      <c r="U852" s="257"/>
      <c r="V852" s="257"/>
      <c r="W852" s="257"/>
      <c r="X852" s="257"/>
      <c r="Y852" s="257"/>
      <c r="Z852" s="257"/>
    </row>
    <row r="853" ht="15.75" customHeight="1">
      <c r="A853" s="257"/>
      <c r="B853" s="257"/>
      <c r="C853" s="257"/>
      <c r="D853" s="257"/>
      <c r="E853" s="257"/>
      <c r="F853" s="257"/>
      <c r="G853" s="257"/>
      <c r="H853" s="257"/>
      <c r="I853" s="257"/>
      <c r="J853" s="257"/>
      <c r="K853" s="257"/>
      <c r="L853" s="257"/>
      <c r="M853" s="257"/>
      <c r="N853" s="257"/>
      <c r="O853" s="257"/>
      <c r="P853" s="257"/>
      <c r="Q853" s="257"/>
      <c r="R853" s="257"/>
      <c r="S853" s="257"/>
      <c r="T853" s="257"/>
      <c r="U853" s="257"/>
      <c r="V853" s="257"/>
      <c r="W853" s="257"/>
      <c r="X853" s="257"/>
      <c r="Y853" s="257"/>
      <c r="Z853" s="257"/>
    </row>
    <row r="854" ht="15.75" customHeight="1">
      <c r="A854" s="257"/>
      <c r="B854" s="257"/>
      <c r="C854" s="257"/>
      <c r="D854" s="257"/>
      <c r="E854" s="257"/>
      <c r="F854" s="257"/>
      <c r="G854" s="257"/>
      <c r="H854" s="257"/>
      <c r="I854" s="257"/>
      <c r="J854" s="257"/>
      <c r="K854" s="257"/>
      <c r="L854" s="257"/>
      <c r="M854" s="257"/>
      <c r="N854" s="257"/>
      <c r="O854" s="257"/>
      <c r="P854" s="257"/>
      <c r="Q854" s="257"/>
      <c r="R854" s="257"/>
      <c r="S854" s="257"/>
      <c r="T854" s="257"/>
      <c r="U854" s="257"/>
      <c r="V854" s="257"/>
      <c r="W854" s="257"/>
      <c r="X854" s="257"/>
      <c r="Y854" s="257"/>
      <c r="Z854" s="257"/>
    </row>
    <row r="855" ht="15.75" customHeight="1">
      <c r="A855" s="257"/>
      <c r="B855" s="257"/>
      <c r="C855" s="257"/>
      <c r="D855" s="257"/>
      <c r="E855" s="257"/>
      <c r="F855" s="257"/>
      <c r="G855" s="257"/>
      <c r="H855" s="257"/>
      <c r="I855" s="257"/>
      <c r="J855" s="257"/>
      <c r="K855" s="257"/>
      <c r="L855" s="257"/>
      <c r="M855" s="257"/>
      <c r="N855" s="257"/>
      <c r="O855" s="257"/>
      <c r="P855" s="257"/>
      <c r="Q855" s="257"/>
      <c r="R855" s="257"/>
      <c r="S855" s="257"/>
      <c r="T855" s="257"/>
      <c r="U855" s="257"/>
      <c r="V855" s="257"/>
      <c r="W855" s="257"/>
      <c r="X855" s="257"/>
      <c r="Y855" s="257"/>
      <c r="Z855" s="257"/>
    </row>
    <row r="856" ht="15.75" customHeight="1">
      <c r="A856" s="257"/>
      <c r="B856" s="257"/>
      <c r="C856" s="257"/>
      <c r="D856" s="257"/>
      <c r="E856" s="257"/>
      <c r="F856" s="257"/>
      <c r="G856" s="257"/>
      <c r="H856" s="257"/>
      <c r="I856" s="257"/>
      <c r="J856" s="257"/>
      <c r="K856" s="257"/>
      <c r="L856" s="257"/>
      <c r="M856" s="257"/>
      <c r="N856" s="257"/>
      <c r="O856" s="257"/>
      <c r="P856" s="257"/>
      <c r="Q856" s="257"/>
      <c r="R856" s="257"/>
      <c r="S856" s="257"/>
      <c r="T856" s="257"/>
      <c r="U856" s="257"/>
      <c r="V856" s="257"/>
      <c r="W856" s="257"/>
      <c r="X856" s="257"/>
      <c r="Y856" s="257"/>
      <c r="Z856" s="257"/>
    </row>
    <row r="857" ht="15.75" customHeight="1">
      <c r="A857" s="257"/>
      <c r="B857" s="257"/>
      <c r="C857" s="257"/>
      <c r="D857" s="257"/>
      <c r="E857" s="257"/>
      <c r="F857" s="257"/>
      <c r="G857" s="257"/>
      <c r="H857" s="257"/>
      <c r="I857" s="257"/>
      <c r="J857" s="257"/>
      <c r="K857" s="257"/>
      <c r="L857" s="257"/>
      <c r="M857" s="257"/>
      <c r="N857" s="257"/>
      <c r="O857" s="257"/>
      <c r="P857" s="257"/>
      <c r="Q857" s="257"/>
      <c r="R857" s="257"/>
      <c r="S857" s="257"/>
      <c r="T857" s="257"/>
      <c r="U857" s="257"/>
      <c r="V857" s="257"/>
      <c r="W857" s="257"/>
      <c r="X857" s="257"/>
      <c r="Y857" s="257"/>
      <c r="Z857" s="257"/>
    </row>
    <row r="858" ht="15.75" customHeight="1">
      <c r="A858" s="257"/>
      <c r="B858" s="257"/>
      <c r="C858" s="257"/>
      <c r="D858" s="257"/>
      <c r="E858" s="257"/>
      <c r="F858" s="257"/>
      <c r="G858" s="257"/>
      <c r="H858" s="257"/>
      <c r="I858" s="257"/>
      <c r="J858" s="257"/>
      <c r="K858" s="257"/>
      <c r="L858" s="257"/>
      <c r="M858" s="257"/>
      <c r="N858" s="257"/>
      <c r="O858" s="257"/>
      <c r="P858" s="257"/>
      <c r="Q858" s="257"/>
      <c r="R858" s="257"/>
      <c r="S858" s="257"/>
      <c r="T858" s="257"/>
      <c r="U858" s="257"/>
      <c r="V858" s="257"/>
      <c r="W858" s="257"/>
      <c r="X858" s="257"/>
      <c r="Y858" s="257"/>
      <c r="Z858" s="257"/>
    </row>
    <row r="859" ht="15.75" customHeight="1">
      <c r="A859" s="257"/>
      <c r="B859" s="257"/>
      <c r="C859" s="257"/>
      <c r="D859" s="257"/>
      <c r="E859" s="257"/>
      <c r="F859" s="257"/>
      <c r="G859" s="257"/>
      <c r="H859" s="257"/>
      <c r="I859" s="257"/>
      <c r="J859" s="257"/>
      <c r="K859" s="257"/>
      <c r="L859" s="257"/>
      <c r="M859" s="257"/>
      <c r="N859" s="257"/>
      <c r="O859" s="257"/>
      <c r="P859" s="257"/>
      <c r="Q859" s="257"/>
      <c r="R859" s="257"/>
      <c r="S859" s="257"/>
      <c r="T859" s="257"/>
      <c r="U859" s="257"/>
      <c r="V859" s="257"/>
      <c r="W859" s="257"/>
      <c r="X859" s="257"/>
      <c r="Y859" s="257"/>
      <c r="Z859" s="257"/>
    </row>
    <row r="860" ht="15.75" customHeight="1">
      <c r="A860" s="257"/>
      <c r="B860" s="257"/>
      <c r="C860" s="257"/>
      <c r="D860" s="257"/>
      <c r="E860" s="257"/>
      <c r="F860" s="257"/>
      <c r="G860" s="257"/>
      <c r="H860" s="257"/>
      <c r="I860" s="257"/>
      <c r="J860" s="257"/>
      <c r="K860" s="257"/>
      <c r="L860" s="257"/>
      <c r="M860" s="257"/>
      <c r="N860" s="257"/>
      <c r="O860" s="257"/>
      <c r="P860" s="257"/>
      <c r="Q860" s="257"/>
      <c r="R860" s="257"/>
      <c r="S860" s="257"/>
      <c r="T860" s="257"/>
      <c r="U860" s="257"/>
      <c r="V860" s="257"/>
      <c r="W860" s="257"/>
      <c r="X860" s="257"/>
      <c r="Y860" s="257"/>
      <c r="Z860" s="257"/>
    </row>
    <row r="861" ht="15.75" customHeight="1">
      <c r="A861" s="257"/>
      <c r="B861" s="257"/>
      <c r="C861" s="257"/>
      <c r="D861" s="257"/>
      <c r="E861" s="257"/>
      <c r="F861" s="257"/>
      <c r="G861" s="257"/>
      <c r="H861" s="257"/>
      <c r="I861" s="257"/>
      <c r="J861" s="257"/>
      <c r="K861" s="257"/>
      <c r="L861" s="257"/>
      <c r="M861" s="257"/>
      <c r="N861" s="257"/>
      <c r="O861" s="257"/>
      <c r="P861" s="257"/>
      <c r="Q861" s="257"/>
      <c r="R861" s="257"/>
      <c r="S861" s="257"/>
      <c r="T861" s="257"/>
      <c r="U861" s="257"/>
      <c r="V861" s="257"/>
      <c r="W861" s="257"/>
      <c r="X861" s="257"/>
      <c r="Y861" s="257"/>
      <c r="Z861" s="257"/>
    </row>
    <row r="862" ht="15.75" customHeight="1">
      <c r="A862" s="257"/>
      <c r="B862" s="257"/>
      <c r="C862" s="257"/>
      <c r="D862" s="257"/>
      <c r="E862" s="257"/>
      <c r="F862" s="257"/>
      <c r="G862" s="257"/>
      <c r="H862" s="257"/>
      <c r="I862" s="257"/>
      <c r="J862" s="257"/>
      <c r="K862" s="257"/>
      <c r="L862" s="257"/>
      <c r="M862" s="257"/>
      <c r="N862" s="257"/>
      <c r="O862" s="257"/>
      <c r="P862" s="257"/>
      <c r="Q862" s="257"/>
      <c r="R862" s="257"/>
      <c r="S862" s="257"/>
      <c r="T862" s="257"/>
      <c r="U862" s="257"/>
      <c r="V862" s="257"/>
      <c r="W862" s="257"/>
      <c r="X862" s="257"/>
      <c r="Y862" s="257"/>
      <c r="Z862" s="257"/>
    </row>
    <row r="863" ht="15.75" customHeight="1">
      <c r="A863" s="257"/>
      <c r="B863" s="257"/>
      <c r="C863" s="257"/>
      <c r="D863" s="257"/>
      <c r="E863" s="257"/>
      <c r="F863" s="257"/>
      <c r="G863" s="257"/>
      <c r="H863" s="257"/>
      <c r="I863" s="257"/>
      <c r="J863" s="257"/>
      <c r="K863" s="257"/>
      <c r="L863" s="257"/>
      <c r="M863" s="257"/>
      <c r="N863" s="257"/>
      <c r="O863" s="257"/>
      <c r="P863" s="257"/>
      <c r="Q863" s="257"/>
      <c r="R863" s="257"/>
      <c r="S863" s="257"/>
      <c r="T863" s="257"/>
      <c r="U863" s="257"/>
      <c r="V863" s="257"/>
      <c r="W863" s="257"/>
      <c r="X863" s="257"/>
      <c r="Y863" s="257"/>
      <c r="Z863" s="257"/>
    </row>
    <row r="864" ht="15.75" customHeight="1">
      <c r="A864" s="257"/>
      <c r="B864" s="257"/>
      <c r="C864" s="257"/>
      <c r="D864" s="257"/>
      <c r="E864" s="257"/>
      <c r="F864" s="257"/>
      <c r="G864" s="257"/>
      <c r="H864" s="257"/>
      <c r="I864" s="257"/>
      <c r="J864" s="257"/>
      <c r="K864" s="257"/>
      <c r="L864" s="257"/>
      <c r="M864" s="257"/>
      <c r="N864" s="257"/>
      <c r="O864" s="257"/>
      <c r="P864" s="257"/>
      <c r="Q864" s="257"/>
      <c r="R864" s="257"/>
      <c r="S864" s="257"/>
      <c r="T864" s="257"/>
      <c r="U864" s="257"/>
      <c r="V864" s="257"/>
      <c r="W864" s="257"/>
      <c r="X864" s="257"/>
      <c r="Y864" s="257"/>
      <c r="Z864" s="257"/>
    </row>
    <row r="865" ht="15.75" customHeight="1">
      <c r="A865" s="257"/>
      <c r="B865" s="257"/>
      <c r="C865" s="257"/>
      <c r="D865" s="257"/>
      <c r="E865" s="257"/>
      <c r="F865" s="257"/>
      <c r="G865" s="257"/>
      <c r="H865" s="257"/>
      <c r="I865" s="257"/>
      <c r="J865" s="257"/>
      <c r="K865" s="257"/>
      <c r="L865" s="257"/>
      <c r="M865" s="257"/>
      <c r="N865" s="257"/>
      <c r="O865" s="257"/>
      <c r="P865" s="257"/>
      <c r="Q865" s="257"/>
      <c r="R865" s="257"/>
      <c r="S865" s="257"/>
      <c r="T865" s="257"/>
      <c r="U865" s="257"/>
      <c r="V865" s="257"/>
      <c r="W865" s="257"/>
      <c r="X865" s="257"/>
      <c r="Y865" s="257"/>
      <c r="Z865" s="257"/>
    </row>
    <row r="866" ht="15.75" customHeight="1">
      <c r="A866" s="257"/>
      <c r="B866" s="257"/>
      <c r="C866" s="257"/>
      <c r="D866" s="257"/>
      <c r="E866" s="257"/>
      <c r="F866" s="257"/>
      <c r="G866" s="257"/>
      <c r="H866" s="257"/>
      <c r="I866" s="257"/>
      <c r="J866" s="257"/>
      <c r="K866" s="257"/>
      <c r="L866" s="257"/>
      <c r="M866" s="257"/>
      <c r="N866" s="257"/>
      <c r="O866" s="257"/>
      <c r="P866" s="257"/>
      <c r="Q866" s="257"/>
      <c r="R866" s="257"/>
      <c r="S866" s="257"/>
      <c r="T866" s="257"/>
      <c r="U866" s="257"/>
      <c r="V866" s="257"/>
      <c r="W866" s="257"/>
      <c r="X866" s="257"/>
      <c r="Y866" s="257"/>
      <c r="Z866" s="257"/>
    </row>
    <row r="867" ht="15.75" customHeight="1">
      <c r="A867" s="257"/>
      <c r="B867" s="257"/>
      <c r="C867" s="257"/>
      <c r="D867" s="257"/>
      <c r="E867" s="257"/>
      <c r="F867" s="257"/>
      <c r="G867" s="257"/>
      <c r="H867" s="257"/>
      <c r="I867" s="257"/>
      <c r="J867" s="257"/>
      <c r="K867" s="257"/>
      <c r="L867" s="257"/>
      <c r="M867" s="257"/>
      <c r="N867" s="257"/>
      <c r="O867" s="257"/>
      <c r="P867" s="257"/>
      <c r="Q867" s="257"/>
      <c r="R867" s="257"/>
      <c r="S867" s="257"/>
      <c r="T867" s="257"/>
      <c r="U867" s="257"/>
      <c r="V867" s="257"/>
      <c r="W867" s="257"/>
      <c r="X867" s="257"/>
      <c r="Y867" s="257"/>
      <c r="Z867" s="257"/>
    </row>
    <row r="868" ht="15.75" customHeight="1">
      <c r="A868" s="257"/>
      <c r="B868" s="257"/>
      <c r="C868" s="257"/>
      <c r="D868" s="257"/>
      <c r="E868" s="257"/>
      <c r="F868" s="257"/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/>
      <c r="S868" s="257"/>
      <c r="T868" s="257"/>
      <c r="U868" s="257"/>
      <c r="V868" s="257"/>
      <c r="W868" s="257"/>
      <c r="X868" s="257"/>
      <c r="Y868" s="257"/>
      <c r="Z868" s="257"/>
    </row>
    <row r="869" ht="15.75" customHeight="1">
      <c r="A869" s="257"/>
      <c r="B869" s="257"/>
      <c r="C869" s="257"/>
      <c r="D869" s="257"/>
      <c r="E869" s="257"/>
      <c r="F869" s="257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/>
      <c r="Y869" s="257"/>
      <c r="Z869" s="257"/>
    </row>
    <row r="870" ht="15.75" customHeight="1">
      <c r="A870" s="257"/>
      <c r="B870" s="257"/>
      <c r="C870" s="257"/>
      <c r="D870" s="257"/>
      <c r="E870" s="257"/>
      <c r="F870" s="257"/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/>
      <c r="Y870" s="257"/>
      <c r="Z870" s="257"/>
    </row>
    <row r="871" ht="15.75" customHeight="1">
      <c r="A871" s="257"/>
      <c r="B871" s="257"/>
      <c r="C871" s="257"/>
      <c r="D871" s="257"/>
      <c r="E871" s="257"/>
      <c r="F871" s="257"/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/>
      <c r="Y871" s="257"/>
      <c r="Z871" s="257"/>
    </row>
    <row r="872" ht="15.75" customHeight="1">
      <c r="A872" s="257"/>
      <c r="B872" s="257"/>
      <c r="C872" s="257"/>
      <c r="D872" s="257"/>
      <c r="E872" s="257"/>
      <c r="F872" s="257"/>
      <c r="G872" s="257"/>
      <c r="H872" s="257"/>
      <c r="I872" s="257"/>
      <c r="J872" s="257"/>
      <c r="K872" s="257"/>
      <c r="L872" s="257"/>
      <c r="M872" s="257"/>
      <c r="N872" s="257"/>
      <c r="O872" s="257"/>
      <c r="P872" s="257"/>
      <c r="Q872" s="257"/>
      <c r="R872" s="257"/>
      <c r="S872" s="257"/>
      <c r="T872" s="257"/>
      <c r="U872" s="257"/>
      <c r="V872" s="257"/>
      <c r="W872" s="257"/>
      <c r="X872" s="257"/>
      <c r="Y872" s="257"/>
      <c r="Z872" s="257"/>
    </row>
    <row r="873" ht="15.75" customHeight="1">
      <c r="A873" s="257"/>
      <c r="B873" s="257"/>
      <c r="C873" s="257"/>
      <c r="D873" s="257"/>
      <c r="E873" s="257"/>
      <c r="F873" s="257"/>
      <c r="G873" s="257"/>
      <c r="H873" s="257"/>
      <c r="I873" s="257"/>
      <c r="J873" s="257"/>
      <c r="K873" s="257"/>
      <c r="L873" s="257"/>
      <c r="M873" s="257"/>
      <c r="N873" s="257"/>
      <c r="O873" s="257"/>
      <c r="P873" s="257"/>
      <c r="Q873" s="257"/>
      <c r="R873" s="257"/>
      <c r="S873" s="257"/>
      <c r="T873" s="257"/>
      <c r="U873" s="257"/>
      <c r="V873" s="257"/>
      <c r="W873" s="257"/>
      <c r="X873" s="257"/>
      <c r="Y873" s="257"/>
      <c r="Z873" s="257"/>
    </row>
    <row r="874" ht="15.75" customHeight="1">
      <c r="A874" s="257"/>
      <c r="B874" s="257"/>
      <c r="C874" s="257"/>
      <c r="D874" s="257"/>
      <c r="E874" s="257"/>
      <c r="F874" s="257"/>
      <c r="G874" s="257"/>
      <c r="H874" s="257"/>
      <c r="I874" s="257"/>
      <c r="J874" s="257"/>
      <c r="K874" s="257"/>
      <c r="L874" s="257"/>
      <c r="M874" s="257"/>
      <c r="N874" s="257"/>
      <c r="O874" s="257"/>
      <c r="P874" s="257"/>
      <c r="Q874" s="257"/>
      <c r="R874" s="257"/>
      <c r="S874" s="257"/>
      <c r="T874" s="257"/>
      <c r="U874" s="257"/>
      <c r="V874" s="257"/>
      <c r="W874" s="257"/>
      <c r="X874" s="257"/>
      <c r="Y874" s="257"/>
      <c r="Z874" s="257"/>
    </row>
    <row r="875" ht="15.75" customHeight="1">
      <c r="A875" s="257"/>
      <c r="B875" s="257"/>
      <c r="C875" s="257"/>
      <c r="D875" s="257"/>
      <c r="E875" s="257"/>
      <c r="F875" s="257"/>
      <c r="G875" s="257"/>
      <c r="H875" s="257"/>
      <c r="I875" s="257"/>
      <c r="J875" s="257"/>
      <c r="K875" s="257"/>
      <c r="L875" s="257"/>
      <c r="M875" s="257"/>
      <c r="N875" s="257"/>
      <c r="O875" s="257"/>
      <c r="P875" s="257"/>
      <c r="Q875" s="257"/>
      <c r="R875" s="257"/>
      <c r="S875" s="257"/>
      <c r="T875" s="257"/>
      <c r="U875" s="257"/>
      <c r="V875" s="257"/>
      <c r="W875" s="257"/>
      <c r="X875" s="257"/>
      <c r="Y875" s="257"/>
      <c r="Z875" s="257"/>
    </row>
    <row r="876" ht="15.75" customHeight="1">
      <c r="A876" s="257"/>
      <c r="B876" s="257"/>
      <c r="C876" s="257"/>
      <c r="D876" s="257"/>
      <c r="E876" s="257"/>
      <c r="F876" s="257"/>
      <c r="G876" s="257"/>
      <c r="H876" s="257"/>
      <c r="I876" s="257"/>
      <c r="J876" s="257"/>
      <c r="K876" s="257"/>
      <c r="L876" s="257"/>
      <c r="M876" s="257"/>
      <c r="N876" s="257"/>
      <c r="O876" s="257"/>
      <c r="P876" s="257"/>
      <c r="Q876" s="257"/>
      <c r="R876" s="257"/>
      <c r="S876" s="257"/>
      <c r="T876" s="257"/>
      <c r="U876" s="257"/>
      <c r="V876" s="257"/>
      <c r="W876" s="257"/>
      <c r="X876" s="257"/>
      <c r="Y876" s="257"/>
      <c r="Z876" s="257"/>
    </row>
    <row r="877" ht="15.75" customHeight="1">
      <c r="A877" s="257"/>
      <c r="B877" s="257"/>
      <c r="C877" s="257"/>
      <c r="D877" s="257"/>
      <c r="E877" s="257"/>
      <c r="F877" s="257"/>
      <c r="G877" s="257"/>
      <c r="H877" s="257"/>
      <c r="I877" s="257"/>
      <c r="J877" s="257"/>
      <c r="K877" s="257"/>
      <c r="L877" s="257"/>
      <c r="M877" s="257"/>
      <c r="N877" s="257"/>
      <c r="O877" s="257"/>
      <c r="P877" s="257"/>
      <c r="Q877" s="257"/>
      <c r="R877" s="257"/>
      <c r="S877" s="257"/>
      <c r="T877" s="257"/>
      <c r="U877" s="257"/>
      <c r="V877" s="257"/>
      <c r="W877" s="257"/>
      <c r="X877" s="257"/>
      <c r="Y877" s="257"/>
      <c r="Z877" s="257"/>
    </row>
    <row r="878" ht="15.75" customHeight="1">
      <c r="A878" s="257"/>
      <c r="B878" s="257"/>
      <c r="C878" s="257"/>
      <c r="D878" s="257"/>
      <c r="E878" s="257"/>
      <c r="F878" s="257"/>
      <c r="G878" s="257"/>
      <c r="H878" s="257"/>
      <c r="I878" s="257"/>
      <c r="J878" s="257"/>
      <c r="K878" s="257"/>
      <c r="L878" s="257"/>
      <c r="M878" s="257"/>
      <c r="N878" s="257"/>
      <c r="O878" s="257"/>
      <c r="P878" s="257"/>
      <c r="Q878" s="257"/>
      <c r="R878" s="257"/>
      <c r="S878" s="257"/>
      <c r="T878" s="257"/>
      <c r="U878" s="257"/>
      <c r="V878" s="257"/>
      <c r="W878" s="257"/>
      <c r="X878" s="257"/>
      <c r="Y878" s="257"/>
      <c r="Z878" s="257"/>
    </row>
    <row r="879" ht="15.75" customHeight="1">
      <c r="A879" s="257"/>
      <c r="B879" s="257"/>
      <c r="C879" s="257"/>
      <c r="D879" s="257"/>
      <c r="E879" s="257"/>
      <c r="F879" s="257"/>
      <c r="G879" s="257"/>
      <c r="H879" s="257"/>
      <c r="I879" s="257"/>
      <c r="J879" s="257"/>
      <c r="K879" s="257"/>
      <c r="L879" s="257"/>
      <c r="M879" s="257"/>
      <c r="N879" s="257"/>
      <c r="O879" s="257"/>
      <c r="P879" s="257"/>
      <c r="Q879" s="257"/>
      <c r="R879" s="257"/>
      <c r="S879" s="257"/>
      <c r="T879" s="257"/>
      <c r="U879" s="257"/>
      <c r="V879" s="257"/>
      <c r="W879" s="257"/>
      <c r="X879" s="257"/>
      <c r="Y879" s="257"/>
      <c r="Z879" s="257"/>
    </row>
    <row r="880" ht="15.75" customHeight="1">
      <c r="A880" s="257"/>
      <c r="B880" s="257"/>
      <c r="C880" s="257"/>
      <c r="D880" s="257"/>
      <c r="E880" s="257"/>
      <c r="F880" s="257"/>
      <c r="G880" s="257"/>
      <c r="H880" s="257"/>
      <c r="I880" s="257"/>
      <c r="J880" s="257"/>
      <c r="K880" s="257"/>
      <c r="L880" s="257"/>
      <c r="M880" s="257"/>
      <c r="N880" s="257"/>
      <c r="O880" s="257"/>
      <c r="P880" s="257"/>
      <c r="Q880" s="257"/>
      <c r="R880" s="257"/>
      <c r="S880" s="257"/>
      <c r="T880" s="257"/>
      <c r="U880" s="257"/>
      <c r="V880" s="257"/>
      <c r="W880" s="257"/>
      <c r="X880" s="257"/>
      <c r="Y880" s="257"/>
      <c r="Z880" s="257"/>
    </row>
    <row r="881" ht="15.75" customHeight="1">
      <c r="A881" s="257"/>
      <c r="B881" s="257"/>
      <c r="C881" s="257"/>
      <c r="D881" s="257"/>
      <c r="E881" s="257"/>
      <c r="F881" s="257"/>
      <c r="G881" s="257"/>
      <c r="H881" s="257"/>
      <c r="I881" s="257"/>
      <c r="J881" s="257"/>
      <c r="K881" s="257"/>
      <c r="L881" s="257"/>
      <c r="M881" s="257"/>
      <c r="N881" s="257"/>
      <c r="O881" s="257"/>
      <c r="P881" s="257"/>
      <c r="Q881" s="257"/>
      <c r="R881" s="257"/>
      <c r="S881" s="257"/>
      <c r="T881" s="257"/>
      <c r="U881" s="257"/>
      <c r="V881" s="257"/>
      <c r="W881" s="257"/>
      <c r="X881" s="257"/>
      <c r="Y881" s="257"/>
      <c r="Z881" s="257"/>
    </row>
    <row r="882" ht="15.75" customHeight="1">
      <c r="A882" s="257"/>
      <c r="B882" s="257"/>
      <c r="C882" s="257"/>
      <c r="D882" s="257"/>
      <c r="E882" s="257"/>
      <c r="F882" s="257"/>
      <c r="G882" s="257"/>
      <c r="H882" s="257"/>
      <c r="I882" s="257"/>
      <c r="J882" s="257"/>
      <c r="K882" s="257"/>
      <c r="L882" s="257"/>
      <c r="M882" s="257"/>
      <c r="N882" s="257"/>
      <c r="O882" s="257"/>
      <c r="P882" s="257"/>
      <c r="Q882" s="257"/>
      <c r="R882" s="257"/>
      <c r="S882" s="257"/>
      <c r="T882" s="257"/>
      <c r="U882" s="257"/>
      <c r="V882" s="257"/>
      <c r="W882" s="257"/>
      <c r="X882" s="257"/>
      <c r="Y882" s="257"/>
      <c r="Z882" s="257"/>
    </row>
    <row r="883" ht="15.75" customHeight="1">
      <c r="A883" s="257"/>
      <c r="B883" s="257"/>
      <c r="C883" s="257"/>
      <c r="D883" s="257"/>
      <c r="E883" s="257"/>
      <c r="F883" s="257"/>
      <c r="G883" s="257"/>
      <c r="H883" s="257"/>
      <c r="I883" s="257"/>
      <c r="J883" s="257"/>
      <c r="K883" s="257"/>
      <c r="L883" s="257"/>
      <c r="M883" s="257"/>
      <c r="N883" s="257"/>
      <c r="O883" s="257"/>
      <c r="P883" s="257"/>
      <c r="Q883" s="257"/>
      <c r="R883" s="257"/>
      <c r="S883" s="257"/>
      <c r="T883" s="257"/>
      <c r="U883" s="257"/>
      <c r="V883" s="257"/>
      <c r="W883" s="257"/>
      <c r="X883" s="257"/>
      <c r="Y883" s="257"/>
      <c r="Z883" s="257"/>
    </row>
    <row r="884" ht="15.75" customHeight="1">
      <c r="A884" s="257"/>
      <c r="B884" s="257"/>
      <c r="C884" s="257"/>
      <c r="D884" s="257"/>
      <c r="E884" s="257"/>
      <c r="F884" s="257"/>
      <c r="G884" s="257"/>
      <c r="H884" s="257"/>
      <c r="I884" s="257"/>
      <c r="J884" s="257"/>
      <c r="K884" s="257"/>
      <c r="L884" s="257"/>
      <c r="M884" s="257"/>
      <c r="N884" s="257"/>
      <c r="O884" s="257"/>
      <c r="P884" s="257"/>
      <c r="Q884" s="257"/>
      <c r="R884" s="257"/>
      <c r="S884" s="257"/>
      <c r="T884" s="257"/>
      <c r="U884" s="257"/>
      <c r="V884" s="257"/>
      <c r="W884" s="257"/>
      <c r="X884" s="257"/>
      <c r="Y884" s="257"/>
      <c r="Z884" s="257"/>
    </row>
    <row r="885" ht="15.75" customHeight="1">
      <c r="A885" s="257"/>
      <c r="B885" s="257"/>
      <c r="C885" s="257"/>
      <c r="D885" s="257"/>
      <c r="E885" s="257"/>
      <c r="F885" s="257"/>
      <c r="G885" s="257"/>
      <c r="H885" s="257"/>
      <c r="I885" s="257"/>
      <c r="J885" s="257"/>
      <c r="K885" s="257"/>
      <c r="L885" s="257"/>
      <c r="M885" s="257"/>
      <c r="N885" s="257"/>
      <c r="O885" s="257"/>
      <c r="P885" s="257"/>
      <c r="Q885" s="257"/>
      <c r="R885" s="257"/>
      <c r="S885" s="257"/>
      <c r="T885" s="257"/>
      <c r="U885" s="257"/>
      <c r="V885" s="257"/>
      <c r="W885" s="257"/>
      <c r="X885" s="257"/>
      <c r="Y885" s="257"/>
      <c r="Z885" s="257"/>
    </row>
    <row r="886" ht="15.75" customHeight="1">
      <c r="A886" s="257"/>
      <c r="B886" s="257"/>
      <c r="C886" s="257"/>
      <c r="D886" s="257"/>
      <c r="E886" s="257"/>
      <c r="F886" s="257"/>
      <c r="G886" s="257"/>
      <c r="H886" s="257"/>
      <c r="I886" s="257"/>
      <c r="J886" s="257"/>
      <c r="K886" s="257"/>
      <c r="L886" s="257"/>
      <c r="M886" s="257"/>
      <c r="N886" s="257"/>
      <c r="O886" s="257"/>
      <c r="P886" s="257"/>
      <c r="Q886" s="257"/>
      <c r="R886" s="257"/>
      <c r="S886" s="257"/>
      <c r="T886" s="257"/>
      <c r="U886" s="257"/>
      <c r="V886" s="257"/>
      <c r="W886" s="257"/>
      <c r="X886" s="257"/>
      <c r="Y886" s="257"/>
      <c r="Z886" s="257"/>
    </row>
    <row r="887" ht="15.75" customHeight="1">
      <c r="A887" s="257"/>
      <c r="B887" s="257"/>
      <c r="C887" s="257"/>
      <c r="D887" s="257"/>
      <c r="E887" s="257"/>
      <c r="F887" s="257"/>
      <c r="G887" s="257"/>
      <c r="H887" s="257"/>
      <c r="I887" s="257"/>
      <c r="J887" s="257"/>
      <c r="K887" s="257"/>
      <c r="L887" s="257"/>
      <c r="M887" s="257"/>
      <c r="N887" s="257"/>
      <c r="O887" s="257"/>
      <c r="P887" s="257"/>
      <c r="Q887" s="257"/>
      <c r="R887" s="257"/>
      <c r="S887" s="257"/>
      <c r="T887" s="257"/>
      <c r="U887" s="257"/>
      <c r="V887" s="257"/>
      <c r="W887" s="257"/>
      <c r="X887" s="257"/>
      <c r="Y887" s="257"/>
      <c r="Z887" s="257"/>
    </row>
    <row r="888" ht="15.75" customHeight="1">
      <c r="A888" s="257"/>
      <c r="B888" s="257"/>
      <c r="C888" s="257"/>
      <c r="D888" s="257"/>
      <c r="E888" s="257"/>
      <c r="F888" s="257"/>
      <c r="G888" s="257"/>
      <c r="H888" s="257"/>
      <c r="I888" s="257"/>
      <c r="J888" s="257"/>
      <c r="K888" s="257"/>
      <c r="L888" s="257"/>
      <c r="M888" s="257"/>
      <c r="N888" s="257"/>
      <c r="O888" s="257"/>
      <c r="P888" s="257"/>
      <c r="Q888" s="257"/>
      <c r="R888" s="257"/>
      <c r="S888" s="257"/>
      <c r="T888" s="257"/>
      <c r="U888" s="257"/>
      <c r="V888" s="257"/>
      <c r="W888" s="257"/>
      <c r="X888" s="257"/>
      <c r="Y888" s="257"/>
      <c r="Z888" s="257"/>
    </row>
    <row r="889" ht="15.75" customHeight="1">
      <c r="A889" s="257"/>
      <c r="B889" s="257"/>
      <c r="C889" s="257"/>
      <c r="D889" s="257"/>
      <c r="E889" s="257"/>
      <c r="F889" s="257"/>
      <c r="G889" s="257"/>
      <c r="H889" s="257"/>
      <c r="I889" s="257"/>
      <c r="J889" s="257"/>
      <c r="K889" s="257"/>
      <c r="L889" s="257"/>
      <c r="M889" s="257"/>
      <c r="N889" s="257"/>
      <c r="O889" s="257"/>
      <c r="P889" s="257"/>
      <c r="Q889" s="257"/>
      <c r="R889" s="257"/>
      <c r="S889" s="257"/>
      <c r="T889" s="257"/>
      <c r="U889" s="257"/>
      <c r="V889" s="257"/>
      <c r="W889" s="257"/>
      <c r="X889" s="257"/>
      <c r="Y889" s="257"/>
      <c r="Z889" s="257"/>
    </row>
    <row r="890" ht="15.75" customHeight="1">
      <c r="A890" s="257"/>
      <c r="B890" s="257"/>
      <c r="C890" s="257"/>
      <c r="D890" s="257"/>
      <c r="E890" s="257"/>
      <c r="F890" s="257"/>
      <c r="G890" s="257"/>
      <c r="H890" s="257"/>
      <c r="I890" s="257"/>
      <c r="J890" s="257"/>
      <c r="K890" s="257"/>
      <c r="L890" s="257"/>
      <c r="M890" s="257"/>
      <c r="N890" s="257"/>
      <c r="O890" s="257"/>
      <c r="P890" s="257"/>
      <c r="Q890" s="257"/>
      <c r="R890" s="257"/>
      <c r="S890" s="257"/>
      <c r="T890" s="257"/>
      <c r="U890" s="257"/>
      <c r="V890" s="257"/>
      <c r="W890" s="257"/>
      <c r="X890" s="257"/>
      <c r="Y890" s="257"/>
      <c r="Z890" s="257"/>
    </row>
    <row r="891" ht="15.75" customHeight="1">
      <c r="A891" s="257"/>
      <c r="B891" s="257"/>
      <c r="C891" s="257"/>
      <c r="D891" s="257"/>
      <c r="E891" s="257"/>
      <c r="F891" s="257"/>
      <c r="G891" s="257"/>
      <c r="H891" s="257"/>
      <c r="I891" s="257"/>
      <c r="J891" s="257"/>
      <c r="K891" s="257"/>
      <c r="L891" s="257"/>
      <c r="M891" s="257"/>
      <c r="N891" s="257"/>
      <c r="O891" s="257"/>
      <c r="P891" s="257"/>
      <c r="Q891" s="257"/>
      <c r="R891" s="257"/>
      <c r="S891" s="257"/>
      <c r="T891" s="257"/>
      <c r="U891" s="257"/>
      <c r="V891" s="257"/>
      <c r="W891" s="257"/>
      <c r="X891" s="257"/>
      <c r="Y891" s="257"/>
      <c r="Z891" s="257"/>
    </row>
    <row r="892" ht="15.75" customHeight="1">
      <c r="A892" s="257"/>
      <c r="B892" s="257"/>
      <c r="C892" s="257"/>
      <c r="D892" s="257"/>
      <c r="E892" s="257"/>
      <c r="F892" s="257"/>
      <c r="G892" s="257"/>
      <c r="H892" s="257"/>
      <c r="I892" s="257"/>
      <c r="J892" s="257"/>
      <c r="K892" s="257"/>
      <c r="L892" s="257"/>
      <c r="M892" s="257"/>
      <c r="N892" s="257"/>
      <c r="O892" s="257"/>
      <c r="P892" s="257"/>
      <c r="Q892" s="257"/>
      <c r="R892" s="257"/>
      <c r="S892" s="257"/>
      <c r="T892" s="257"/>
      <c r="U892" s="257"/>
      <c r="V892" s="257"/>
      <c r="W892" s="257"/>
      <c r="X892" s="257"/>
      <c r="Y892" s="257"/>
      <c r="Z892" s="257"/>
    </row>
    <row r="893" ht="15.75" customHeight="1">
      <c r="A893" s="257"/>
      <c r="B893" s="257"/>
      <c r="C893" s="257"/>
      <c r="D893" s="257"/>
      <c r="E893" s="257"/>
      <c r="F893" s="257"/>
      <c r="G893" s="257"/>
      <c r="H893" s="257"/>
      <c r="I893" s="257"/>
      <c r="J893" s="257"/>
      <c r="K893" s="257"/>
      <c r="L893" s="257"/>
      <c r="M893" s="257"/>
      <c r="N893" s="257"/>
      <c r="O893" s="257"/>
      <c r="P893" s="257"/>
      <c r="Q893" s="257"/>
      <c r="R893" s="257"/>
      <c r="S893" s="257"/>
      <c r="T893" s="257"/>
      <c r="U893" s="257"/>
      <c r="V893" s="257"/>
      <c r="W893" s="257"/>
      <c r="X893" s="257"/>
      <c r="Y893" s="257"/>
      <c r="Z893" s="257"/>
    </row>
    <row r="894" ht="15.75" customHeight="1">
      <c r="A894" s="257"/>
      <c r="B894" s="257"/>
      <c r="C894" s="257"/>
      <c r="D894" s="257"/>
      <c r="E894" s="257"/>
      <c r="F894" s="257"/>
      <c r="G894" s="257"/>
      <c r="H894" s="257"/>
      <c r="I894" s="257"/>
      <c r="J894" s="257"/>
      <c r="K894" s="257"/>
      <c r="L894" s="257"/>
      <c r="M894" s="257"/>
      <c r="N894" s="257"/>
      <c r="O894" s="257"/>
      <c r="P894" s="257"/>
      <c r="Q894" s="257"/>
      <c r="R894" s="257"/>
      <c r="S894" s="257"/>
      <c r="T894" s="257"/>
      <c r="U894" s="257"/>
      <c r="V894" s="257"/>
      <c r="W894" s="257"/>
      <c r="X894" s="257"/>
      <c r="Y894" s="257"/>
      <c r="Z894" s="257"/>
    </row>
    <row r="895" ht="15.75" customHeight="1">
      <c r="A895" s="257"/>
      <c r="B895" s="257"/>
      <c r="C895" s="257"/>
      <c r="D895" s="257"/>
      <c r="E895" s="257"/>
      <c r="F895" s="257"/>
      <c r="G895" s="257"/>
      <c r="H895" s="257"/>
      <c r="I895" s="257"/>
      <c r="J895" s="257"/>
      <c r="K895" s="257"/>
      <c r="L895" s="257"/>
      <c r="M895" s="257"/>
      <c r="N895" s="257"/>
      <c r="O895" s="257"/>
      <c r="P895" s="257"/>
      <c r="Q895" s="257"/>
      <c r="R895" s="257"/>
      <c r="S895" s="257"/>
      <c r="T895" s="257"/>
      <c r="U895" s="257"/>
      <c r="V895" s="257"/>
      <c r="W895" s="257"/>
      <c r="X895" s="257"/>
      <c r="Y895" s="257"/>
      <c r="Z895" s="257"/>
    </row>
    <row r="896" ht="15.75" customHeight="1">
      <c r="A896" s="257"/>
      <c r="B896" s="257"/>
      <c r="C896" s="257"/>
      <c r="D896" s="257"/>
      <c r="E896" s="257"/>
      <c r="F896" s="257"/>
      <c r="G896" s="257"/>
      <c r="H896" s="257"/>
      <c r="I896" s="257"/>
      <c r="J896" s="257"/>
      <c r="K896" s="257"/>
      <c r="L896" s="257"/>
      <c r="M896" s="257"/>
      <c r="N896" s="257"/>
      <c r="O896" s="257"/>
      <c r="P896" s="257"/>
      <c r="Q896" s="257"/>
      <c r="R896" s="257"/>
      <c r="S896" s="257"/>
      <c r="T896" s="257"/>
      <c r="U896" s="257"/>
      <c r="V896" s="257"/>
      <c r="W896" s="257"/>
      <c r="X896" s="257"/>
      <c r="Y896" s="257"/>
      <c r="Z896" s="257"/>
    </row>
    <row r="897" ht="15.75" customHeight="1">
      <c r="A897" s="257"/>
      <c r="B897" s="257"/>
      <c r="C897" s="257"/>
      <c r="D897" s="257"/>
      <c r="E897" s="257"/>
      <c r="F897" s="257"/>
      <c r="G897" s="257"/>
      <c r="H897" s="257"/>
      <c r="I897" s="257"/>
      <c r="J897" s="257"/>
      <c r="K897" s="257"/>
      <c r="L897" s="257"/>
      <c r="M897" s="257"/>
      <c r="N897" s="257"/>
      <c r="O897" s="257"/>
      <c r="P897" s="257"/>
      <c r="Q897" s="257"/>
      <c r="R897" s="257"/>
      <c r="S897" s="257"/>
      <c r="T897" s="257"/>
      <c r="U897" s="257"/>
      <c r="V897" s="257"/>
      <c r="W897" s="257"/>
      <c r="X897" s="257"/>
      <c r="Y897" s="257"/>
      <c r="Z897" s="257"/>
    </row>
    <row r="898" ht="15.75" customHeight="1">
      <c r="A898" s="257"/>
      <c r="B898" s="257"/>
      <c r="C898" s="257"/>
      <c r="D898" s="257"/>
      <c r="E898" s="257"/>
      <c r="F898" s="257"/>
      <c r="G898" s="257"/>
      <c r="H898" s="257"/>
      <c r="I898" s="257"/>
      <c r="J898" s="257"/>
      <c r="K898" s="257"/>
      <c r="L898" s="257"/>
      <c r="M898" s="257"/>
      <c r="N898" s="257"/>
      <c r="O898" s="257"/>
      <c r="P898" s="257"/>
      <c r="Q898" s="257"/>
      <c r="R898" s="257"/>
      <c r="S898" s="257"/>
      <c r="T898" s="257"/>
      <c r="U898" s="257"/>
      <c r="V898" s="257"/>
      <c r="W898" s="257"/>
      <c r="X898" s="257"/>
      <c r="Y898" s="257"/>
      <c r="Z898" s="257"/>
    </row>
    <row r="899" ht="15.75" customHeight="1">
      <c r="A899" s="257"/>
      <c r="B899" s="257"/>
      <c r="C899" s="257"/>
      <c r="D899" s="257"/>
      <c r="E899" s="257"/>
      <c r="F899" s="257"/>
      <c r="G899" s="257"/>
      <c r="H899" s="257"/>
      <c r="I899" s="257"/>
      <c r="J899" s="257"/>
      <c r="K899" s="257"/>
      <c r="L899" s="257"/>
      <c r="M899" s="257"/>
      <c r="N899" s="257"/>
      <c r="O899" s="257"/>
      <c r="P899" s="257"/>
      <c r="Q899" s="257"/>
      <c r="R899" s="257"/>
      <c r="S899" s="257"/>
      <c r="T899" s="257"/>
      <c r="U899" s="257"/>
      <c r="V899" s="257"/>
      <c r="W899" s="257"/>
      <c r="X899" s="257"/>
      <c r="Y899" s="257"/>
      <c r="Z899" s="257"/>
    </row>
    <row r="900" ht="15.75" customHeight="1">
      <c r="A900" s="257"/>
      <c r="B900" s="257"/>
      <c r="C900" s="257"/>
      <c r="D900" s="257"/>
      <c r="E900" s="257"/>
      <c r="F900" s="257"/>
      <c r="G900" s="257"/>
      <c r="H900" s="257"/>
      <c r="I900" s="257"/>
      <c r="J900" s="257"/>
      <c r="K900" s="257"/>
      <c r="L900" s="257"/>
      <c r="M900" s="257"/>
      <c r="N900" s="257"/>
      <c r="O900" s="257"/>
      <c r="P900" s="257"/>
      <c r="Q900" s="257"/>
      <c r="R900" s="257"/>
      <c r="S900" s="257"/>
      <c r="T900" s="257"/>
      <c r="U900" s="257"/>
      <c r="V900" s="257"/>
      <c r="W900" s="257"/>
      <c r="X900" s="257"/>
      <c r="Y900" s="257"/>
      <c r="Z900" s="257"/>
    </row>
    <row r="901" ht="15.75" customHeight="1">
      <c r="A901" s="257"/>
      <c r="B901" s="257"/>
      <c r="C901" s="257"/>
      <c r="D901" s="257"/>
      <c r="E901" s="257"/>
      <c r="F901" s="257"/>
      <c r="G901" s="257"/>
      <c r="H901" s="257"/>
      <c r="I901" s="257"/>
      <c r="J901" s="257"/>
      <c r="K901" s="257"/>
      <c r="L901" s="257"/>
      <c r="M901" s="257"/>
      <c r="N901" s="257"/>
      <c r="O901" s="257"/>
      <c r="P901" s="257"/>
      <c r="Q901" s="257"/>
      <c r="R901" s="257"/>
      <c r="S901" s="257"/>
      <c r="T901" s="257"/>
      <c r="U901" s="257"/>
      <c r="V901" s="257"/>
      <c r="W901" s="257"/>
      <c r="X901" s="257"/>
      <c r="Y901" s="257"/>
      <c r="Z901" s="257"/>
    </row>
    <row r="902" ht="15.75" customHeight="1">
      <c r="A902" s="257"/>
      <c r="B902" s="257"/>
      <c r="C902" s="257"/>
      <c r="D902" s="257"/>
      <c r="E902" s="257"/>
      <c r="F902" s="257"/>
      <c r="G902" s="257"/>
      <c r="H902" s="257"/>
      <c r="I902" s="257"/>
      <c r="J902" s="257"/>
      <c r="K902" s="257"/>
      <c r="L902" s="257"/>
      <c r="M902" s="257"/>
      <c r="N902" s="257"/>
      <c r="O902" s="257"/>
      <c r="P902" s="257"/>
      <c r="Q902" s="257"/>
      <c r="R902" s="257"/>
      <c r="S902" s="257"/>
      <c r="T902" s="257"/>
      <c r="U902" s="257"/>
      <c r="V902" s="257"/>
      <c r="W902" s="257"/>
      <c r="X902" s="257"/>
      <c r="Y902" s="257"/>
      <c r="Z902" s="257"/>
    </row>
    <row r="903" ht="15.75" customHeight="1">
      <c r="A903" s="257"/>
      <c r="B903" s="257"/>
      <c r="C903" s="257"/>
      <c r="D903" s="257"/>
      <c r="E903" s="257"/>
      <c r="F903" s="257"/>
      <c r="G903" s="257"/>
      <c r="H903" s="257"/>
      <c r="I903" s="257"/>
      <c r="J903" s="257"/>
      <c r="K903" s="257"/>
      <c r="L903" s="257"/>
      <c r="M903" s="257"/>
      <c r="N903" s="257"/>
      <c r="O903" s="257"/>
      <c r="P903" s="257"/>
      <c r="Q903" s="257"/>
      <c r="R903" s="257"/>
      <c r="S903" s="257"/>
      <c r="T903" s="257"/>
      <c r="U903" s="257"/>
      <c r="V903" s="257"/>
      <c r="W903" s="257"/>
      <c r="X903" s="257"/>
      <c r="Y903" s="257"/>
      <c r="Z903" s="257"/>
    </row>
    <row r="904" ht="15.75" customHeight="1">
      <c r="A904" s="257"/>
      <c r="B904" s="257"/>
      <c r="C904" s="257"/>
      <c r="D904" s="257"/>
      <c r="E904" s="257"/>
      <c r="F904" s="257"/>
      <c r="G904" s="257"/>
      <c r="H904" s="257"/>
      <c r="I904" s="257"/>
      <c r="J904" s="257"/>
      <c r="K904" s="257"/>
      <c r="L904" s="257"/>
      <c r="M904" s="257"/>
      <c r="N904" s="257"/>
      <c r="O904" s="257"/>
      <c r="P904" s="257"/>
      <c r="Q904" s="257"/>
      <c r="R904" s="257"/>
      <c r="S904" s="257"/>
      <c r="T904" s="257"/>
      <c r="U904" s="257"/>
      <c r="V904" s="257"/>
      <c r="W904" s="257"/>
      <c r="X904" s="257"/>
      <c r="Y904" s="257"/>
      <c r="Z904" s="257"/>
    </row>
    <row r="905" ht="15.75" customHeight="1">
      <c r="A905" s="257"/>
      <c r="B905" s="257"/>
      <c r="C905" s="257"/>
      <c r="D905" s="257"/>
      <c r="E905" s="257"/>
      <c r="F905" s="257"/>
      <c r="G905" s="257"/>
      <c r="H905" s="257"/>
      <c r="I905" s="257"/>
      <c r="J905" s="257"/>
      <c r="K905" s="257"/>
      <c r="L905" s="257"/>
      <c r="M905" s="257"/>
      <c r="N905" s="257"/>
      <c r="O905" s="257"/>
      <c r="P905" s="257"/>
      <c r="Q905" s="257"/>
      <c r="R905" s="257"/>
      <c r="S905" s="257"/>
      <c r="T905" s="257"/>
      <c r="U905" s="257"/>
      <c r="V905" s="257"/>
      <c r="W905" s="257"/>
      <c r="X905" s="257"/>
      <c r="Y905" s="257"/>
      <c r="Z905" s="257"/>
    </row>
    <row r="906" ht="15.75" customHeight="1">
      <c r="A906" s="257"/>
      <c r="B906" s="257"/>
      <c r="C906" s="257"/>
      <c r="D906" s="257"/>
      <c r="E906" s="257"/>
      <c r="F906" s="257"/>
      <c r="G906" s="257"/>
      <c r="H906" s="257"/>
      <c r="I906" s="257"/>
      <c r="J906" s="257"/>
      <c r="K906" s="257"/>
      <c r="L906" s="257"/>
      <c r="M906" s="257"/>
      <c r="N906" s="257"/>
      <c r="O906" s="257"/>
      <c r="P906" s="257"/>
      <c r="Q906" s="257"/>
      <c r="R906" s="257"/>
      <c r="S906" s="257"/>
      <c r="T906" s="257"/>
      <c r="U906" s="257"/>
      <c r="V906" s="257"/>
      <c r="W906" s="257"/>
      <c r="X906" s="257"/>
      <c r="Y906" s="257"/>
      <c r="Z906" s="257"/>
    </row>
    <row r="907" ht="15.75" customHeight="1">
      <c r="A907" s="257"/>
      <c r="B907" s="257"/>
      <c r="C907" s="257"/>
      <c r="D907" s="257"/>
      <c r="E907" s="257"/>
      <c r="F907" s="257"/>
      <c r="G907" s="257"/>
      <c r="H907" s="257"/>
      <c r="I907" s="257"/>
      <c r="J907" s="257"/>
      <c r="K907" s="257"/>
      <c r="L907" s="257"/>
      <c r="M907" s="257"/>
      <c r="N907" s="257"/>
      <c r="O907" s="257"/>
      <c r="P907" s="257"/>
      <c r="Q907" s="257"/>
      <c r="R907" s="257"/>
      <c r="S907" s="257"/>
      <c r="T907" s="257"/>
      <c r="U907" s="257"/>
      <c r="V907" s="257"/>
      <c r="W907" s="257"/>
      <c r="X907" s="257"/>
      <c r="Y907" s="257"/>
      <c r="Z907" s="257"/>
    </row>
    <row r="908" ht="15.75" customHeight="1">
      <c r="A908" s="257"/>
      <c r="B908" s="257"/>
      <c r="C908" s="257"/>
      <c r="D908" s="257"/>
      <c r="E908" s="257"/>
      <c r="F908" s="257"/>
      <c r="G908" s="257"/>
      <c r="H908" s="257"/>
      <c r="I908" s="257"/>
      <c r="J908" s="257"/>
      <c r="K908" s="257"/>
      <c r="L908" s="257"/>
      <c r="M908" s="257"/>
      <c r="N908" s="257"/>
      <c r="O908" s="257"/>
      <c r="P908" s="257"/>
      <c r="Q908" s="257"/>
      <c r="R908" s="257"/>
      <c r="S908" s="257"/>
      <c r="T908" s="257"/>
      <c r="U908" s="257"/>
      <c r="V908" s="257"/>
      <c r="W908" s="257"/>
      <c r="X908" s="257"/>
      <c r="Y908" s="257"/>
      <c r="Z908" s="257"/>
    </row>
    <row r="909" ht="15.75" customHeight="1">
      <c r="A909" s="257"/>
      <c r="B909" s="257"/>
      <c r="C909" s="257"/>
      <c r="D909" s="257"/>
      <c r="E909" s="257"/>
      <c r="F909" s="257"/>
      <c r="G909" s="257"/>
      <c r="H909" s="257"/>
      <c r="I909" s="257"/>
      <c r="J909" s="257"/>
      <c r="K909" s="257"/>
      <c r="L909" s="257"/>
      <c r="M909" s="257"/>
      <c r="N909" s="257"/>
      <c r="O909" s="257"/>
      <c r="P909" s="257"/>
      <c r="Q909" s="257"/>
      <c r="R909" s="257"/>
      <c r="S909" s="257"/>
      <c r="T909" s="257"/>
      <c r="U909" s="257"/>
      <c r="V909" s="257"/>
      <c r="W909" s="257"/>
      <c r="X909" s="257"/>
      <c r="Y909" s="257"/>
      <c r="Z909" s="257"/>
    </row>
    <row r="910" ht="15.75" customHeight="1">
      <c r="A910" s="257"/>
      <c r="B910" s="257"/>
      <c r="C910" s="257"/>
      <c r="D910" s="257"/>
      <c r="E910" s="257"/>
      <c r="F910" s="257"/>
      <c r="G910" s="257"/>
      <c r="H910" s="257"/>
      <c r="I910" s="257"/>
      <c r="J910" s="257"/>
      <c r="K910" s="257"/>
      <c r="L910" s="257"/>
      <c r="M910" s="257"/>
      <c r="N910" s="257"/>
      <c r="O910" s="257"/>
      <c r="P910" s="257"/>
      <c r="Q910" s="257"/>
      <c r="R910" s="257"/>
      <c r="S910" s="257"/>
      <c r="T910" s="257"/>
      <c r="U910" s="257"/>
      <c r="V910" s="257"/>
      <c r="W910" s="257"/>
      <c r="X910" s="257"/>
      <c r="Y910" s="257"/>
      <c r="Z910" s="257"/>
    </row>
    <row r="911" ht="15.75" customHeight="1">
      <c r="A911" s="257"/>
      <c r="B911" s="257"/>
      <c r="C911" s="257"/>
      <c r="D911" s="257"/>
      <c r="E911" s="257"/>
      <c r="F911" s="257"/>
      <c r="G911" s="257"/>
      <c r="H911" s="257"/>
      <c r="I911" s="257"/>
      <c r="J911" s="257"/>
      <c r="K911" s="257"/>
      <c r="L911" s="257"/>
      <c r="M911" s="257"/>
      <c r="N911" s="257"/>
      <c r="O911" s="257"/>
      <c r="P911" s="257"/>
      <c r="Q911" s="257"/>
      <c r="R911" s="257"/>
      <c r="S911" s="257"/>
      <c r="T911" s="257"/>
      <c r="U911" s="257"/>
      <c r="V911" s="257"/>
      <c r="W911" s="257"/>
      <c r="X911" s="257"/>
      <c r="Y911" s="257"/>
      <c r="Z911" s="257"/>
    </row>
    <row r="912" ht="15.75" customHeight="1">
      <c r="A912" s="257"/>
      <c r="B912" s="257"/>
      <c r="C912" s="257"/>
      <c r="D912" s="257"/>
      <c r="E912" s="257"/>
      <c r="F912" s="257"/>
      <c r="G912" s="257"/>
      <c r="H912" s="257"/>
      <c r="I912" s="257"/>
      <c r="J912" s="257"/>
      <c r="K912" s="257"/>
      <c r="L912" s="257"/>
      <c r="M912" s="257"/>
      <c r="N912" s="257"/>
      <c r="O912" s="257"/>
      <c r="P912" s="257"/>
      <c r="Q912" s="257"/>
      <c r="R912" s="257"/>
      <c r="S912" s="257"/>
      <c r="T912" s="257"/>
      <c r="U912" s="257"/>
      <c r="V912" s="257"/>
      <c r="W912" s="257"/>
      <c r="X912" s="257"/>
      <c r="Y912" s="257"/>
      <c r="Z912" s="257"/>
    </row>
    <row r="913" ht="15.75" customHeight="1">
      <c r="A913" s="257"/>
      <c r="B913" s="257"/>
      <c r="C913" s="257"/>
      <c r="D913" s="257"/>
      <c r="E913" s="257"/>
      <c r="F913" s="257"/>
      <c r="G913" s="257"/>
      <c r="H913" s="257"/>
      <c r="I913" s="257"/>
      <c r="J913" s="257"/>
      <c r="K913" s="257"/>
      <c r="L913" s="257"/>
      <c r="M913" s="257"/>
      <c r="N913" s="257"/>
      <c r="O913" s="257"/>
      <c r="P913" s="257"/>
      <c r="Q913" s="257"/>
      <c r="R913" s="257"/>
      <c r="S913" s="257"/>
      <c r="T913" s="257"/>
      <c r="U913" s="257"/>
      <c r="V913" s="257"/>
      <c r="W913" s="257"/>
      <c r="X913" s="257"/>
      <c r="Y913" s="257"/>
      <c r="Z913" s="257"/>
    </row>
    <row r="914" ht="15.75" customHeight="1">
      <c r="A914" s="257"/>
      <c r="B914" s="257"/>
      <c r="C914" s="257"/>
      <c r="D914" s="257"/>
      <c r="E914" s="257"/>
      <c r="F914" s="257"/>
      <c r="G914" s="257"/>
      <c r="H914" s="257"/>
      <c r="I914" s="257"/>
      <c r="J914" s="257"/>
      <c r="K914" s="257"/>
      <c r="L914" s="257"/>
      <c r="M914" s="257"/>
      <c r="N914" s="257"/>
      <c r="O914" s="257"/>
      <c r="P914" s="257"/>
      <c r="Q914" s="257"/>
      <c r="R914" s="257"/>
      <c r="S914" s="257"/>
      <c r="T914" s="257"/>
      <c r="U914" s="257"/>
      <c r="V914" s="257"/>
      <c r="W914" s="257"/>
      <c r="X914" s="257"/>
      <c r="Y914" s="257"/>
      <c r="Z914" s="257"/>
    </row>
    <row r="915" ht="15.75" customHeight="1">
      <c r="A915" s="257"/>
      <c r="B915" s="257"/>
      <c r="C915" s="257"/>
      <c r="D915" s="257"/>
      <c r="E915" s="257"/>
      <c r="F915" s="257"/>
      <c r="G915" s="257"/>
      <c r="H915" s="257"/>
      <c r="I915" s="257"/>
      <c r="J915" s="257"/>
      <c r="K915" s="257"/>
      <c r="L915" s="257"/>
      <c r="M915" s="257"/>
      <c r="N915" s="257"/>
      <c r="O915" s="257"/>
      <c r="P915" s="257"/>
      <c r="Q915" s="257"/>
      <c r="R915" s="257"/>
      <c r="S915" s="257"/>
      <c r="T915" s="257"/>
      <c r="U915" s="257"/>
      <c r="V915" s="257"/>
      <c r="W915" s="257"/>
      <c r="X915" s="257"/>
      <c r="Y915" s="257"/>
      <c r="Z915" s="257"/>
    </row>
    <row r="916" ht="15.75" customHeight="1">
      <c r="A916" s="257"/>
      <c r="B916" s="257"/>
      <c r="C916" s="257"/>
      <c r="D916" s="257"/>
      <c r="E916" s="257"/>
      <c r="F916" s="257"/>
      <c r="G916" s="257"/>
      <c r="H916" s="257"/>
      <c r="I916" s="257"/>
      <c r="J916" s="257"/>
      <c r="K916" s="257"/>
      <c r="L916" s="257"/>
      <c r="M916" s="257"/>
      <c r="N916" s="257"/>
      <c r="O916" s="257"/>
      <c r="P916" s="257"/>
      <c r="Q916" s="257"/>
      <c r="R916" s="257"/>
      <c r="S916" s="257"/>
      <c r="T916" s="257"/>
      <c r="U916" s="257"/>
      <c r="V916" s="257"/>
      <c r="W916" s="257"/>
      <c r="X916" s="257"/>
      <c r="Y916" s="257"/>
      <c r="Z916" s="257"/>
    </row>
    <row r="917" ht="15.75" customHeight="1">
      <c r="A917" s="257"/>
      <c r="B917" s="257"/>
      <c r="C917" s="257"/>
      <c r="D917" s="257"/>
      <c r="E917" s="257"/>
      <c r="F917" s="257"/>
      <c r="G917" s="257"/>
      <c r="H917" s="257"/>
      <c r="I917" s="257"/>
      <c r="J917" s="257"/>
      <c r="K917" s="257"/>
      <c r="L917" s="257"/>
      <c r="M917" s="257"/>
      <c r="N917" s="257"/>
      <c r="O917" s="257"/>
      <c r="P917" s="257"/>
      <c r="Q917" s="257"/>
      <c r="R917" s="257"/>
      <c r="S917" s="257"/>
      <c r="T917" s="257"/>
      <c r="U917" s="257"/>
      <c r="V917" s="257"/>
      <c r="W917" s="257"/>
      <c r="X917" s="257"/>
      <c r="Y917" s="257"/>
      <c r="Z917" s="257"/>
    </row>
    <row r="918" ht="15.75" customHeight="1">
      <c r="A918" s="257"/>
      <c r="B918" s="257"/>
      <c r="C918" s="257"/>
      <c r="D918" s="257"/>
      <c r="E918" s="257"/>
      <c r="F918" s="257"/>
      <c r="G918" s="257"/>
      <c r="H918" s="257"/>
      <c r="I918" s="257"/>
      <c r="J918" s="257"/>
      <c r="K918" s="257"/>
      <c r="L918" s="257"/>
      <c r="M918" s="257"/>
      <c r="N918" s="257"/>
      <c r="O918" s="257"/>
      <c r="P918" s="257"/>
      <c r="Q918" s="257"/>
      <c r="R918" s="257"/>
      <c r="S918" s="257"/>
      <c r="T918" s="257"/>
      <c r="U918" s="257"/>
      <c r="V918" s="257"/>
      <c r="W918" s="257"/>
      <c r="X918" s="257"/>
      <c r="Y918" s="257"/>
      <c r="Z918" s="257"/>
    </row>
    <row r="919" ht="15.75" customHeight="1">
      <c r="A919" s="257"/>
      <c r="B919" s="257"/>
      <c r="C919" s="257"/>
      <c r="D919" s="257"/>
      <c r="E919" s="257"/>
      <c r="F919" s="257"/>
      <c r="G919" s="257"/>
      <c r="H919" s="257"/>
      <c r="I919" s="257"/>
      <c r="J919" s="257"/>
      <c r="K919" s="257"/>
      <c r="L919" s="257"/>
      <c r="M919" s="257"/>
      <c r="N919" s="257"/>
      <c r="O919" s="257"/>
      <c r="P919" s="257"/>
      <c r="Q919" s="257"/>
      <c r="R919" s="257"/>
      <c r="S919" s="257"/>
      <c r="T919" s="257"/>
      <c r="U919" s="257"/>
      <c r="V919" s="257"/>
      <c r="W919" s="257"/>
      <c r="X919" s="257"/>
      <c r="Y919" s="257"/>
      <c r="Z919" s="257"/>
    </row>
    <row r="920" ht="15.75" customHeight="1">
      <c r="A920" s="257"/>
      <c r="B920" s="257"/>
      <c r="C920" s="257"/>
      <c r="D920" s="257"/>
      <c r="E920" s="257"/>
      <c r="F920" s="257"/>
      <c r="G920" s="257"/>
      <c r="H920" s="257"/>
      <c r="I920" s="257"/>
      <c r="J920" s="257"/>
      <c r="K920" s="257"/>
      <c r="L920" s="257"/>
      <c r="M920" s="257"/>
      <c r="N920" s="257"/>
      <c r="O920" s="257"/>
      <c r="P920" s="257"/>
      <c r="Q920" s="257"/>
      <c r="R920" s="257"/>
      <c r="S920" s="257"/>
      <c r="T920" s="257"/>
      <c r="U920" s="257"/>
      <c r="V920" s="257"/>
      <c r="W920" s="257"/>
      <c r="X920" s="257"/>
      <c r="Y920" s="257"/>
      <c r="Z920" s="257"/>
    </row>
    <row r="921" ht="15.75" customHeight="1">
      <c r="A921" s="257"/>
      <c r="B921" s="257"/>
      <c r="C921" s="257"/>
      <c r="D921" s="257"/>
      <c r="E921" s="257"/>
      <c r="F921" s="257"/>
      <c r="G921" s="257"/>
      <c r="H921" s="257"/>
      <c r="I921" s="257"/>
      <c r="J921" s="257"/>
      <c r="K921" s="257"/>
      <c r="L921" s="257"/>
      <c r="M921" s="257"/>
      <c r="N921" s="257"/>
      <c r="O921" s="257"/>
      <c r="P921" s="257"/>
      <c r="Q921" s="257"/>
      <c r="R921" s="257"/>
      <c r="S921" s="257"/>
      <c r="T921" s="257"/>
      <c r="U921" s="257"/>
      <c r="V921" s="257"/>
      <c r="W921" s="257"/>
      <c r="X921" s="257"/>
      <c r="Y921" s="257"/>
      <c r="Z921" s="257"/>
    </row>
    <row r="922" ht="15.75" customHeight="1">
      <c r="A922" s="257"/>
      <c r="B922" s="257"/>
      <c r="C922" s="257"/>
      <c r="D922" s="257"/>
      <c r="E922" s="257"/>
      <c r="F922" s="257"/>
      <c r="G922" s="257"/>
      <c r="H922" s="257"/>
      <c r="I922" s="257"/>
      <c r="J922" s="257"/>
      <c r="K922" s="257"/>
      <c r="L922" s="257"/>
      <c r="M922" s="257"/>
      <c r="N922" s="257"/>
      <c r="O922" s="257"/>
      <c r="P922" s="257"/>
      <c r="Q922" s="257"/>
      <c r="R922" s="257"/>
      <c r="S922" s="257"/>
      <c r="T922" s="257"/>
      <c r="U922" s="257"/>
      <c r="V922" s="257"/>
      <c r="W922" s="257"/>
      <c r="X922" s="257"/>
      <c r="Y922" s="257"/>
      <c r="Z922" s="257"/>
    </row>
    <row r="923" ht="15.75" customHeight="1">
      <c r="A923" s="257"/>
      <c r="B923" s="257"/>
      <c r="C923" s="257"/>
      <c r="D923" s="257"/>
      <c r="E923" s="257"/>
      <c r="F923" s="257"/>
      <c r="G923" s="257"/>
      <c r="H923" s="257"/>
      <c r="I923" s="257"/>
      <c r="J923" s="257"/>
      <c r="K923" s="257"/>
      <c r="L923" s="257"/>
      <c r="M923" s="257"/>
      <c r="N923" s="257"/>
      <c r="O923" s="257"/>
      <c r="P923" s="257"/>
      <c r="Q923" s="257"/>
      <c r="R923" s="257"/>
      <c r="S923" s="257"/>
      <c r="T923" s="257"/>
      <c r="U923" s="257"/>
      <c r="V923" s="257"/>
      <c r="W923" s="257"/>
      <c r="X923" s="257"/>
      <c r="Y923" s="257"/>
      <c r="Z923" s="257"/>
    </row>
    <row r="924" ht="15.75" customHeight="1">
      <c r="A924" s="257"/>
      <c r="B924" s="257"/>
      <c r="C924" s="257"/>
      <c r="D924" s="257"/>
      <c r="E924" s="257"/>
      <c r="F924" s="257"/>
      <c r="G924" s="257"/>
      <c r="H924" s="257"/>
      <c r="I924" s="257"/>
      <c r="J924" s="257"/>
      <c r="K924" s="257"/>
      <c r="L924" s="257"/>
      <c r="M924" s="257"/>
      <c r="N924" s="257"/>
      <c r="O924" s="257"/>
      <c r="P924" s="257"/>
      <c r="Q924" s="257"/>
      <c r="R924" s="257"/>
      <c r="S924" s="257"/>
      <c r="T924" s="257"/>
      <c r="U924" s="257"/>
      <c r="V924" s="257"/>
      <c r="W924" s="257"/>
      <c r="X924" s="257"/>
      <c r="Y924" s="257"/>
      <c r="Z924" s="257"/>
    </row>
    <row r="925" ht="15.75" customHeight="1">
      <c r="A925" s="257"/>
      <c r="B925" s="257"/>
      <c r="C925" s="257"/>
      <c r="D925" s="257"/>
      <c r="E925" s="257"/>
      <c r="F925" s="257"/>
      <c r="G925" s="257"/>
      <c r="H925" s="257"/>
      <c r="I925" s="257"/>
      <c r="J925" s="257"/>
      <c r="K925" s="257"/>
      <c r="L925" s="257"/>
      <c r="M925" s="257"/>
      <c r="N925" s="257"/>
      <c r="O925" s="257"/>
      <c r="P925" s="257"/>
      <c r="Q925" s="257"/>
      <c r="R925" s="257"/>
      <c r="S925" s="257"/>
      <c r="T925" s="257"/>
      <c r="U925" s="257"/>
      <c r="V925" s="257"/>
      <c r="W925" s="257"/>
      <c r="X925" s="257"/>
      <c r="Y925" s="257"/>
      <c r="Z925" s="257"/>
    </row>
    <row r="926" ht="15.75" customHeight="1">
      <c r="A926" s="257"/>
      <c r="B926" s="257"/>
      <c r="C926" s="257"/>
      <c r="D926" s="257"/>
      <c r="E926" s="257"/>
      <c r="F926" s="257"/>
      <c r="G926" s="257"/>
      <c r="H926" s="257"/>
      <c r="I926" s="257"/>
      <c r="J926" s="257"/>
      <c r="K926" s="257"/>
      <c r="L926" s="257"/>
      <c r="M926" s="257"/>
      <c r="N926" s="257"/>
      <c r="O926" s="257"/>
      <c r="P926" s="257"/>
      <c r="Q926" s="257"/>
      <c r="R926" s="257"/>
      <c r="S926" s="257"/>
      <c r="T926" s="257"/>
      <c r="U926" s="257"/>
      <c r="V926" s="257"/>
      <c r="W926" s="257"/>
      <c r="X926" s="257"/>
      <c r="Y926" s="257"/>
      <c r="Z926" s="257"/>
    </row>
    <row r="927" ht="15.75" customHeight="1">
      <c r="A927" s="257"/>
      <c r="B927" s="257"/>
      <c r="C927" s="257"/>
      <c r="D927" s="257"/>
      <c r="E927" s="257"/>
      <c r="F927" s="257"/>
      <c r="G927" s="257"/>
      <c r="H927" s="257"/>
      <c r="I927" s="257"/>
      <c r="J927" s="257"/>
      <c r="K927" s="257"/>
      <c r="L927" s="257"/>
      <c r="M927" s="257"/>
      <c r="N927" s="257"/>
      <c r="O927" s="257"/>
      <c r="P927" s="257"/>
      <c r="Q927" s="257"/>
      <c r="R927" s="257"/>
      <c r="S927" s="257"/>
      <c r="T927" s="257"/>
      <c r="U927" s="257"/>
      <c r="V927" s="257"/>
      <c r="W927" s="257"/>
      <c r="X927" s="257"/>
      <c r="Y927" s="257"/>
      <c r="Z927" s="257"/>
    </row>
    <row r="928" ht="15.75" customHeight="1">
      <c r="A928" s="257"/>
      <c r="B928" s="257"/>
      <c r="C928" s="257"/>
      <c r="D928" s="257"/>
      <c r="E928" s="257"/>
      <c r="F928" s="257"/>
      <c r="G928" s="257"/>
      <c r="H928" s="257"/>
      <c r="I928" s="257"/>
      <c r="J928" s="257"/>
      <c r="K928" s="257"/>
      <c r="L928" s="257"/>
      <c r="M928" s="257"/>
      <c r="N928" s="257"/>
      <c r="O928" s="257"/>
      <c r="P928" s="257"/>
      <c r="Q928" s="257"/>
      <c r="R928" s="257"/>
      <c r="S928" s="257"/>
      <c r="T928" s="257"/>
      <c r="U928" s="257"/>
      <c r="V928" s="257"/>
      <c r="W928" s="257"/>
      <c r="X928" s="257"/>
      <c r="Y928" s="257"/>
      <c r="Z928" s="257"/>
    </row>
    <row r="929" ht="15.75" customHeight="1">
      <c r="A929" s="257"/>
      <c r="B929" s="257"/>
      <c r="C929" s="257"/>
      <c r="D929" s="257"/>
      <c r="E929" s="257"/>
      <c r="F929" s="257"/>
      <c r="G929" s="257"/>
      <c r="H929" s="257"/>
      <c r="I929" s="257"/>
      <c r="J929" s="257"/>
      <c r="K929" s="257"/>
      <c r="L929" s="257"/>
      <c r="M929" s="257"/>
      <c r="N929" s="257"/>
      <c r="O929" s="257"/>
      <c r="P929" s="257"/>
      <c r="Q929" s="257"/>
      <c r="R929" s="257"/>
      <c r="S929" s="257"/>
      <c r="T929" s="257"/>
      <c r="U929" s="257"/>
      <c r="V929" s="257"/>
      <c r="W929" s="257"/>
      <c r="X929" s="257"/>
      <c r="Y929" s="257"/>
      <c r="Z929" s="257"/>
    </row>
    <row r="930" ht="15.75" customHeight="1">
      <c r="A930" s="257"/>
      <c r="B930" s="257"/>
      <c r="C930" s="257"/>
      <c r="D930" s="257"/>
      <c r="E930" s="257"/>
      <c r="F930" s="257"/>
      <c r="G930" s="257"/>
      <c r="H930" s="257"/>
      <c r="I930" s="257"/>
      <c r="J930" s="257"/>
      <c r="K930" s="257"/>
      <c r="L930" s="257"/>
      <c r="M930" s="257"/>
      <c r="N930" s="257"/>
      <c r="O930" s="257"/>
      <c r="P930" s="257"/>
      <c r="Q930" s="257"/>
      <c r="R930" s="257"/>
      <c r="S930" s="257"/>
      <c r="T930" s="257"/>
      <c r="U930" s="257"/>
      <c r="V930" s="257"/>
      <c r="W930" s="257"/>
      <c r="X930" s="257"/>
      <c r="Y930" s="257"/>
      <c r="Z930" s="257"/>
    </row>
    <row r="931" ht="15.75" customHeight="1">
      <c r="A931" s="257"/>
      <c r="B931" s="257"/>
      <c r="C931" s="257"/>
      <c r="D931" s="257"/>
      <c r="E931" s="257"/>
      <c r="F931" s="257"/>
      <c r="G931" s="257"/>
      <c r="H931" s="257"/>
      <c r="I931" s="257"/>
      <c r="J931" s="257"/>
      <c r="K931" s="257"/>
      <c r="L931" s="257"/>
      <c r="M931" s="257"/>
      <c r="N931" s="257"/>
      <c r="O931" s="257"/>
      <c r="P931" s="257"/>
      <c r="Q931" s="257"/>
      <c r="R931" s="257"/>
      <c r="S931" s="257"/>
      <c r="T931" s="257"/>
      <c r="U931" s="257"/>
      <c r="V931" s="257"/>
      <c r="W931" s="257"/>
      <c r="X931" s="257"/>
      <c r="Y931" s="257"/>
      <c r="Z931" s="257"/>
    </row>
    <row r="932" ht="15.75" customHeight="1">
      <c r="A932" s="257"/>
      <c r="B932" s="257"/>
      <c r="C932" s="257"/>
      <c r="D932" s="257"/>
      <c r="E932" s="257"/>
      <c r="F932" s="257"/>
      <c r="G932" s="257"/>
      <c r="H932" s="257"/>
      <c r="I932" s="257"/>
      <c r="J932" s="257"/>
      <c r="K932" s="257"/>
      <c r="L932" s="257"/>
      <c r="M932" s="257"/>
      <c r="N932" s="257"/>
      <c r="O932" s="257"/>
      <c r="P932" s="257"/>
      <c r="Q932" s="257"/>
      <c r="R932" s="257"/>
      <c r="S932" s="257"/>
      <c r="T932" s="257"/>
      <c r="U932" s="257"/>
      <c r="V932" s="257"/>
      <c r="W932" s="257"/>
      <c r="X932" s="257"/>
      <c r="Y932" s="257"/>
      <c r="Z932" s="257"/>
    </row>
    <row r="933" ht="15.75" customHeight="1">
      <c r="A933" s="257"/>
      <c r="B933" s="257"/>
      <c r="C933" s="257"/>
      <c r="D933" s="257"/>
      <c r="E933" s="257"/>
      <c r="F933" s="257"/>
      <c r="G933" s="257"/>
      <c r="H933" s="257"/>
      <c r="I933" s="257"/>
      <c r="J933" s="257"/>
      <c r="K933" s="257"/>
      <c r="L933" s="257"/>
      <c r="M933" s="257"/>
      <c r="N933" s="257"/>
      <c r="O933" s="257"/>
      <c r="P933" s="257"/>
      <c r="Q933" s="257"/>
      <c r="R933" s="257"/>
      <c r="S933" s="257"/>
      <c r="T933" s="257"/>
      <c r="U933" s="257"/>
      <c r="V933" s="257"/>
      <c r="W933" s="257"/>
      <c r="X933" s="257"/>
      <c r="Y933" s="257"/>
      <c r="Z933" s="257"/>
    </row>
    <row r="934" ht="15.75" customHeight="1">
      <c r="A934" s="257"/>
      <c r="B934" s="257"/>
      <c r="C934" s="257"/>
      <c r="D934" s="257"/>
      <c r="E934" s="257"/>
      <c r="F934" s="257"/>
      <c r="G934" s="257"/>
      <c r="H934" s="257"/>
      <c r="I934" s="257"/>
      <c r="J934" s="257"/>
      <c r="K934" s="257"/>
      <c r="L934" s="257"/>
      <c r="M934" s="257"/>
      <c r="N934" s="257"/>
      <c r="O934" s="257"/>
      <c r="P934" s="257"/>
      <c r="Q934" s="257"/>
      <c r="R934" s="257"/>
      <c r="S934" s="257"/>
      <c r="T934" s="257"/>
      <c r="U934" s="257"/>
      <c r="V934" s="257"/>
      <c r="W934" s="257"/>
      <c r="X934" s="257"/>
      <c r="Y934" s="257"/>
      <c r="Z934" s="257"/>
    </row>
    <row r="935" ht="15.75" customHeight="1">
      <c r="A935" s="257"/>
      <c r="B935" s="257"/>
      <c r="C935" s="257"/>
      <c r="D935" s="257"/>
      <c r="E935" s="257"/>
      <c r="F935" s="257"/>
      <c r="G935" s="257"/>
      <c r="H935" s="257"/>
      <c r="I935" s="257"/>
      <c r="J935" s="257"/>
      <c r="K935" s="257"/>
      <c r="L935" s="257"/>
      <c r="M935" s="257"/>
      <c r="N935" s="257"/>
      <c r="O935" s="257"/>
      <c r="P935" s="257"/>
      <c r="Q935" s="257"/>
      <c r="R935" s="257"/>
      <c r="S935" s="257"/>
      <c r="T935" s="257"/>
      <c r="U935" s="257"/>
      <c r="V935" s="257"/>
      <c r="W935" s="257"/>
      <c r="X935" s="257"/>
      <c r="Y935" s="257"/>
      <c r="Z935" s="257"/>
    </row>
    <row r="936" ht="15.75" customHeight="1">
      <c r="A936" s="257"/>
      <c r="B936" s="257"/>
      <c r="C936" s="257"/>
      <c r="D936" s="257"/>
      <c r="E936" s="257"/>
      <c r="F936" s="257"/>
      <c r="G936" s="257"/>
      <c r="H936" s="257"/>
      <c r="I936" s="257"/>
      <c r="J936" s="257"/>
      <c r="K936" s="257"/>
      <c r="L936" s="257"/>
      <c r="M936" s="257"/>
      <c r="N936" s="257"/>
      <c r="O936" s="257"/>
      <c r="P936" s="257"/>
      <c r="Q936" s="257"/>
      <c r="R936" s="257"/>
      <c r="S936" s="257"/>
      <c r="T936" s="257"/>
      <c r="U936" s="257"/>
      <c r="V936" s="257"/>
      <c r="W936" s="257"/>
      <c r="X936" s="257"/>
      <c r="Y936" s="257"/>
      <c r="Z936" s="257"/>
    </row>
    <row r="937" ht="15.75" customHeight="1">
      <c r="A937" s="257"/>
      <c r="B937" s="257"/>
      <c r="C937" s="257"/>
      <c r="D937" s="257"/>
      <c r="E937" s="257"/>
      <c r="F937" s="257"/>
      <c r="G937" s="257"/>
      <c r="H937" s="257"/>
      <c r="I937" s="257"/>
      <c r="J937" s="257"/>
      <c r="K937" s="257"/>
      <c r="L937" s="257"/>
      <c r="M937" s="257"/>
      <c r="N937" s="257"/>
      <c r="O937" s="257"/>
      <c r="P937" s="257"/>
      <c r="Q937" s="257"/>
      <c r="R937" s="257"/>
      <c r="S937" s="257"/>
      <c r="T937" s="257"/>
      <c r="U937" s="257"/>
      <c r="V937" s="257"/>
      <c r="W937" s="257"/>
      <c r="X937" s="257"/>
      <c r="Y937" s="257"/>
      <c r="Z937" s="257"/>
    </row>
    <row r="938" ht="15.75" customHeight="1">
      <c r="A938" s="257"/>
      <c r="B938" s="257"/>
      <c r="C938" s="257"/>
      <c r="D938" s="257"/>
      <c r="E938" s="257"/>
      <c r="F938" s="257"/>
      <c r="G938" s="257"/>
      <c r="H938" s="257"/>
      <c r="I938" s="257"/>
      <c r="J938" s="257"/>
      <c r="K938" s="257"/>
      <c r="L938" s="257"/>
      <c r="M938" s="257"/>
      <c r="N938" s="257"/>
      <c r="O938" s="257"/>
      <c r="P938" s="257"/>
      <c r="Q938" s="257"/>
      <c r="R938" s="257"/>
      <c r="S938" s="257"/>
      <c r="T938" s="257"/>
      <c r="U938" s="257"/>
      <c r="V938" s="257"/>
      <c r="W938" s="257"/>
      <c r="X938" s="257"/>
      <c r="Y938" s="257"/>
      <c r="Z938" s="257"/>
    </row>
    <row r="939" ht="15.75" customHeight="1">
      <c r="A939" s="257"/>
      <c r="B939" s="257"/>
      <c r="C939" s="257"/>
      <c r="D939" s="257"/>
      <c r="E939" s="257"/>
      <c r="F939" s="257"/>
      <c r="G939" s="257"/>
      <c r="H939" s="257"/>
      <c r="I939" s="257"/>
      <c r="J939" s="257"/>
      <c r="K939" s="257"/>
      <c r="L939" s="257"/>
      <c r="M939" s="257"/>
      <c r="N939" s="257"/>
      <c r="O939" s="257"/>
      <c r="P939" s="257"/>
      <c r="Q939" s="257"/>
      <c r="R939" s="257"/>
      <c r="S939" s="257"/>
      <c r="T939" s="257"/>
      <c r="U939" s="257"/>
      <c r="V939" s="257"/>
      <c r="W939" s="257"/>
      <c r="X939" s="257"/>
      <c r="Y939" s="257"/>
      <c r="Z939" s="257"/>
    </row>
    <row r="940" ht="15.75" customHeight="1">
      <c r="A940" s="257"/>
      <c r="B940" s="257"/>
      <c r="C940" s="257"/>
      <c r="D940" s="257"/>
      <c r="E940" s="257"/>
      <c r="F940" s="257"/>
      <c r="G940" s="257"/>
      <c r="H940" s="257"/>
      <c r="I940" s="257"/>
      <c r="J940" s="257"/>
      <c r="K940" s="257"/>
      <c r="L940" s="257"/>
      <c r="M940" s="257"/>
      <c r="N940" s="257"/>
      <c r="O940" s="257"/>
      <c r="P940" s="257"/>
      <c r="Q940" s="257"/>
      <c r="R940" s="257"/>
      <c r="S940" s="257"/>
      <c r="T940" s="257"/>
      <c r="U940" s="257"/>
      <c r="V940" s="257"/>
      <c r="W940" s="257"/>
      <c r="X940" s="257"/>
      <c r="Y940" s="257"/>
      <c r="Z940" s="257"/>
    </row>
    <row r="941" ht="15.75" customHeight="1">
      <c r="A941" s="257"/>
      <c r="B941" s="257"/>
      <c r="C941" s="257"/>
      <c r="D941" s="257"/>
      <c r="E941" s="257"/>
      <c r="F941" s="257"/>
      <c r="G941" s="257"/>
      <c r="H941" s="257"/>
      <c r="I941" s="257"/>
      <c r="J941" s="257"/>
      <c r="K941" s="257"/>
      <c r="L941" s="257"/>
      <c r="M941" s="257"/>
      <c r="N941" s="257"/>
      <c r="O941" s="257"/>
      <c r="P941" s="257"/>
      <c r="Q941" s="257"/>
      <c r="R941" s="257"/>
      <c r="S941" s="257"/>
      <c r="T941" s="257"/>
      <c r="U941" s="257"/>
      <c r="V941" s="257"/>
      <c r="W941" s="257"/>
      <c r="X941" s="257"/>
      <c r="Y941" s="257"/>
      <c r="Z941" s="257"/>
    </row>
    <row r="942" ht="15.75" customHeight="1">
      <c r="A942" s="257"/>
      <c r="B942" s="257"/>
      <c r="C942" s="257"/>
      <c r="D942" s="257"/>
      <c r="E942" s="257"/>
      <c r="F942" s="257"/>
      <c r="G942" s="257"/>
      <c r="H942" s="257"/>
      <c r="I942" s="257"/>
      <c r="J942" s="257"/>
      <c r="K942" s="257"/>
      <c r="L942" s="257"/>
      <c r="M942" s="257"/>
      <c r="N942" s="257"/>
      <c r="O942" s="257"/>
      <c r="P942" s="257"/>
      <c r="Q942" s="257"/>
      <c r="R942" s="257"/>
      <c r="S942" s="257"/>
      <c r="T942" s="257"/>
      <c r="U942" s="257"/>
      <c r="V942" s="257"/>
      <c r="W942" s="257"/>
      <c r="X942" s="257"/>
      <c r="Y942" s="257"/>
      <c r="Z942" s="257"/>
    </row>
    <row r="943" ht="15.75" customHeight="1">
      <c r="A943" s="257"/>
      <c r="B943" s="257"/>
      <c r="C943" s="257"/>
      <c r="D943" s="257"/>
      <c r="E943" s="257"/>
      <c r="F943" s="257"/>
      <c r="G943" s="257"/>
      <c r="H943" s="257"/>
      <c r="I943" s="257"/>
      <c r="J943" s="257"/>
      <c r="K943" s="257"/>
      <c r="L943" s="257"/>
      <c r="M943" s="257"/>
      <c r="N943" s="257"/>
      <c r="O943" s="257"/>
      <c r="P943" s="257"/>
      <c r="Q943" s="257"/>
      <c r="R943" s="257"/>
      <c r="S943" s="257"/>
      <c r="T943" s="257"/>
      <c r="U943" s="257"/>
      <c r="V943" s="257"/>
      <c r="W943" s="257"/>
      <c r="X943" s="257"/>
      <c r="Y943" s="257"/>
      <c r="Z943" s="257"/>
    </row>
    <row r="944" ht="15.75" customHeight="1">
      <c r="A944" s="257"/>
      <c r="B944" s="257"/>
      <c r="C944" s="257"/>
      <c r="D944" s="257"/>
      <c r="E944" s="257"/>
      <c r="F944" s="257"/>
      <c r="G944" s="257"/>
      <c r="H944" s="257"/>
      <c r="I944" s="257"/>
      <c r="J944" s="257"/>
      <c r="K944" s="257"/>
      <c r="L944" s="257"/>
      <c r="M944" s="257"/>
      <c r="N944" s="257"/>
      <c r="O944" s="257"/>
      <c r="P944" s="257"/>
      <c r="Q944" s="257"/>
      <c r="R944" s="257"/>
      <c r="S944" s="257"/>
      <c r="T944" s="257"/>
      <c r="U944" s="257"/>
      <c r="V944" s="257"/>
      <c r="W944" s="257"/>
      <c r="X944" s="257"/>
      <c r="Y944" s="257"/>
      <c r="Z944" s="257"/>
    </row>
    <row r="945" ht="15.75" customHeight="1">
      <c r="A945" s="257"/>
      <c r="B945" s="257"/>
      <c r="C945" s="257"/>
      <c r="D945" s="257"/>
      <c r="E945" s="257"/>
      <c r="F945" s="257"/>
      <c r="G945" s="257"/>
      <c r="H945" s="257"/>
      <c r="I945" s="257"/>
      <c r="J945" s="257"/>
      <c r="K945" s="257"/>
      <c r="L945" s="257"/>
      <c r="M945" s="257"/>
      <c r="N945" s="257"/>
      <c r="O945" s="257"/>
      <c r="P945" s="257"/>
      <c r="Q945" s="257"/>
      <c r="R945" s="257"/>
      <c r="S945" s="257"/>
      <c r="T945" s="257"/>
      <c r="U945" s="257"/>
      <c r="V945" s="257"/>
      <c r="W945" s="257"/>
      <c r="X945" s="257"/>
      <c r="Y945" s="257"/>
      <c r="Z945" s="257"/>
    </row>
    <row r="946" ht="15.75" customHeight="1">
      <c r="A946" s="257"/>
      <c r="B946" s="257"/>
      <c r="C946" s="257"/>
      <c r="D946" s="257"/>
      <c r="E946" s="257"/>
      <c r="F946" s="257"/>
      <c r="G946" s="257"/>
      <c r="H946" s="257"/>
      <c r="I946" s="257"/>
      <c r="J946" s="257"/>
      <c r="K946" s="257"/>
      <c r="L946" s="257"/>
      <c r="M946" s="257"/>
      <c r="N946" s="257"/>
      <c r="O946" s="257"/>
      <c r="P946" s="257"/>
      <c r="Q946" s="257"/>
      <c r="R946" s="257"/>
      <c r="S946" s="257"/>
      <c r="T946" s="257"/>
      <c r="U946" s="257"/>
      <c r="V946" s="257"/>
      <c r="W946" s="257"/>
      <c r="X946" s="257"/>
      <c r="Y946" s="257"/>
      <c r="Z946" s="257"/>
    </row>
    <row r="947" ht="15.75" customHeight="1">
      <c r="A947" s="257"/>
      <c r="B947" s="257"/>
      <c r="C947" s="257"/>
      <c r="D947" s="257"/>
      <c r="E947" s="257"/>
      <c r="F947" s="257"/>
      <c r="G947" s="257"/>
      <c r="H947" s="257"/>
      <c r="I947" s="257"/>
      <c r="J947" s="257"/>
      <c r="K947" s="257"/>
      <c r="L947" s="257"/>
      <c r="M947" s="257"/>
      <c r="N947" s="257"/>
      <c r="O947" s="257"/>
      <c r="P947" s="257"/>
      <c r="Q947" s="257"/>
      <c r="R947" s="257"/>
      <c r="S947" s="257"/>
      <c r="T947" s="257"/>
      <c r="U947" s="257"/>
      <c r="V947" s="257"/>
      <c r="W947" s="257"/>
      <c r="X947" s="257"/>
      <c r="Y947" s="257"/>
      <c r="Z947" s="257"/>
    </row>
    <row r="948" ht="15.75" customHeight="1">
      <c r="A948" s="257"/>
      <c r="B948" s="257"/>
      <c r="C948" s="257"/>
      <c r="D948" s="257"/>
      <c r="E948" s="257"/>
      <c r="F948" s="257"/>
      <c r="G948" s="257"/>
      <c r="H948" s="257"/>
      <c r="I948" s="257"/>
      <c r="J948" s="257"/>
      <c r="K948" s="257"/>
      <c r="L948" s="257"/>
      <c r="M948" s="257"/>
      <c r="N948" s="257"/>
      <c r="O948" s="257"/>
      <c r="P948" s="257"/>
      <c r="Q948" s="257"/>
      <c r="R948" s="257"/>
      <c r="S948" s="257"/>
      <c r="T948" s="257"/>
      <c r="U948" s="257"/>
      <c r="V948" s="257"/>
      <c r="W948" s="257"/>
      <c r="X948" s="257"/>
      <c r="Y948" s="257"/>
      <c r="Z948" s="257"/>
    </row>
    <row r="949" ht="15.75" customHeight="1">
      <c r="A949" s="257"/>
      <c r="B949" s="257"/>
      <c r="C949" s="257"/>
      <c r="D949" s="257"/>
      <c r="E949" s="257"/>
      <c r="F949" s="257"/>
      <c r="G949" s="257"/>
      <c r="H949" s="257"/>
      <c r="I949" s="257"/>
      <c r="J949" s="257"/>
      <c r="K949" s="257"/>
      <c r="L949" s="257"/>
      <c r="M949" s="257"/>
      <c r="N949" s="257"/>
      <c r="O949" s="257"/>
      <c r="P949" s="257"/>
      <c r="Q949" s="257"/>
      <c r="R949" s="257"/>
      <c r="S949" s="257"/>
      <c r="T949" s="257"/>
      <c r="U949" s="257"/>
      <c r="V949" s="257"/>
      <c r="W949" s="257"/>
      <c r="X949" s="257"/>
      <c r="Y949" s="257"/>
      <c r="Z949" s="257"/>
    </row>
    <row r="950" ht="15.75" customHeight="1">
      <c r="A950" s="257"/>
      <c r="B950" s="257"/>
      <c r="C950" s="257"/>
      <c r="D950" s="257"/>
      <c r="E950" s="257"/>
      <c r="F950" s="257"/>
      <c r="G950" s="257"/>
      <c r="H950" s="257"/>
      <c r="I950" s="257"/>
      <c r="J950" s="257"/>
      <c r="K950" s="257"/>
      <c r="L950" s="257"/>
      <c r="M950" s="257"/>
      <c r="N950" s="257"/>
      <c r="O950" s="257"/>
      <c r="P950" s="257"/>
      <c r="Q950" s="257"/>
      <c r="R950" s="257"/>
      <c r="S950" s="257"/>
      <c r="T950" s="257"/>
      <c r="U950" s="257"/>
      <c r="V950" s="257"/>
      <c r="W950" s="257"/>
      <c r="X950" s="257"/>
      <c r="Y950" s="257"/>
      <c r="Z950" s="257"/>
    </row>
    <row r="951" ht="15.75" customHeight="1">
      <c r="A951" s="257"/>
      <c r="B951" s="257"/>
      <c r="C951" s="257"/>
      <c r="D951" s="257"/>
      <c r="E951" s="257"/>
      <c r="F951" s="257"/>
      <c r="G951" s="257"/>
      <c r="H951" s="257"/>
      <c r="I951" s="257"/>
      <c r="J951" s="257"/>
      <c r="K951" s="257"/>
      <c r="L951" s="257"/>
      <c r="M951" s="257"/>
      <c r="N951" s="257"/>
      <c r="O951" s="257"/>
      <c r="P951" s="257"/>
      <c r="Q951" s="257"/>
      <c r="R951" s="257"/>
      <c r="S951" s="257"/>
      <c r="T951" s="257"/>
      <c r="U951" s="257"/>
      <c r="V951" s="257"/>
      <c r="W951" s="257"/>
      <c r="X951" s="257"/>
      <c r="Y951" s="257"/>
      <c r="Z951" s="257"/>
    </row>
    <row r="952" ht="15.75" customHeight="1">
      <c r="A952" s="257"/>
      <c r="B952" s="257"/>
      <c r="C952" s="257"/>
      <c r="D952" s="257"/>
      <c r="E952" s="257"/>
      <c r="F952" s="257"/>
      <c r="G952" s="257"/>
      <c r="H952" s="257"/>
      <c r="I952" s="257"/>
      <c r="J952" s="257"/>
      <c r="K952" s="257"/>
      <c r="L952" s="257"/>
      <c r="M952" s="257"/>
      <c r="N952" s="257"/>
      <c r="O952" s="257"/>
      <c r="P952" s="257"/>
      <c r="Q952" s="257"/>
      <c r="R952" s="257"/>
      <c r="S952" s="257"/>
      <c r="T952" s="257"/>
      <c r="U952" s="257"/>
      <c r="V952" s="257"/>
      <c r="W952" s="257"/>
      <c r="X952" s="257"/>
      <c r="Y952" s="257"/>
      <c r="Z952" s="257"/>
    </row>
    <row r="953" ht="15.75" customHeight="1">
      <c r="A953" s="257"/>
      <c r="B953" s="257"/>
      <c r="C953" s="257"/>
      <c r="D953" s="257"/>
      <c r="E953" s="257"/>
      <c r="F953" s="257"/>
      <c r="G953" s="257"/>
      <c r="H953" s="257"/>
      <c r="I953" s="257"/>
      <c r="J953" s="257"/>
      <c r="K953" s="257"/>
      <c r="L953" s="257"/>
      <c r="M953" s="257"/>
      <c r="N953" s="257"/>
      <c r="O953" s="257"/>
      <c r="P953" s="257"/>
      <c r="Q953" s="257"/>
      <c r="R953" s="257"/>
      <c r="S953" s="257"/>
      <c r="T953" s="257"/>
      <c r="U953" s="257"/>
      <c r="V953" s="257"/>
      <c r="W953" s="257"/>
      <c r="X953" s="257"/>
      <c r="Y953" s="257"/>
      <c r="Z953" s="257"/>
    </row>
    <row r="954" ht="15.75" customHeight="1">
      <c r="A954" s="257"/>
      <c r="B954" s="257"/>
      <c r="C954" s="257"/>
      <c r="D954" s="257"/>
      <c r="E954" s="257"/>
      <c r="F954" s="257"/>
      <c r="G954" s="257"/>
      <c r="H954" s="257"/>
      <c r="I954" s="257"/>
      <c r="J954" s="257"/>
      <c r="K954" s="257"/>
      <c r="L954" s="257"/>
      <c r="M954" s="257"/>
      <c r="N954" s="257"/>
      <c r="O954" s="257"/>
      <c r="P954" s="257"/>
      <c r="Q954" s="257"/>
      <c r="R954" s="257"/>
      <c r="S954" s="257"/>
      <c r="T954" s="257"/>
      <c r="U954" s="257"/>
      <c r="V954" s="257"/>
      <c r="W954" s="257"/>
      <c r="X954" s="257"/>
      <c r="Y954" s="257"/>
      <c r="Z954" s="257"/>
    </row>
    <row r="955" ht="15.75" customHeight="1">
      <c r="A955" s="257"/>
      <c r="B955" s="257"/>
      <c r="C955" s="257"/>
      <c r="D955" s="257"/>
      <c r="E955" s="257"/>
      <c r="F955" s="257"/>
      <c r="G955" s="257"/>
      <c r="H955" s="257"/>
      <c r="I955" s="257"/>
      <c r="J955" s="257"/>
      <c r="K955" s="257"/>
      <c r="L955" s="257"/>
      <c r="M955" s="257"/>
      <c r="N955" s="257"/>
      <c r="O955" s="257"/>
      <c r="P955" s="257"/>
      <c r="Q955" s="257"/>
      <c r="R955" s="257"/>
      <c r="S955" s="257"/>
      <c r="T955" s="257"/>
      <c r="U955" s="257"/>
      <c r="V955" s="257"/>
      <c r="W955" s="257"/>
      <c r="X955" s="257"/>
      <c r="Y955" s="257"/>
      <c r="Z955" s="257"/>
    </row>
    <row r="956" ht="15.75" customHeight="1">
      <c r="A956" s="257"/>
      <c r="B956" s="257"/>
      <c r="C956" s="257"/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7"/>
      <c r="Q956" s="257"/>
      <c r="R956" s="257"/>
      <c r="S956" s="257"/>
      <c r="T956" s="257"/>
      <c r="U956" s="257"/>
      <c r="V956" s="257"/>
      <c r="W956" s="257"/>
      <c r="X956" s="257"/>
      <c r="Y956" s="257"/>
      <c r="Z956" s="257"/>
    </row>
    <row r="957" ht="15.75" customHeight="1">
      <c r="A957" s="257"/>
      <c r="B957" s="257"/>
      <c r="C957" s="257"/>
      <c r="D957" s="257"/>
      <c r="E957" s="257"/>
      <c r="F957" s="257"/>
      <c r="G957" s="257"/>
      <c r="H957" s="257"/>
      <c r="I957" s="257"/>
      <c r="J957" s="257"/>
      <c r="K957" s="257"/>
      <c r="L957" s="257"/>
      <c r="M957" s="257"/>
      <c r="N957" s="257"/>
      <c r="O957" s="257"/>
      <c r="P957" s="257"/>
      <c r="Q957" s="257"/>
      <c r="R957" s="257"/>
      <c r="S957" s="257"/>
      <c r="T957" s="257"/>
      <c r="U957" s="257"/>
      <c r="V957" s="257"/>
      <c r="W957" s="257"/>
      <c r="X957" s="257"/>
      <c r="Y957" s="257"/>
      <c r="Z957" s="257"/>
    </row>
    <row r="958" ht="15.75" customHeight="1">
      <c r="A958" s="257"/>
      <c r="B958" s="257"/>
      <c r="C958" s="257"/>
      <c r="D958" s="257"/>
      <c r="E958" s="257"/>
      <c r="F958" s="257"/>
      <c r="G958" s="257"/>
      <c r="H958" s="257"/>
      <c r="I958" s="257"/>
      <c r="J958" s="257"/>
      <c r="K958" s="257"/>
      <c r="L958" s="257"/>
      <c r="M958" s="257"/>
      <c r="N958" s="257"/>
      <c r="O958" s="257"/>
      <c r="P958" s="257"/>
      <c r="Q958" s="257"/>
      <c r="R958" s="257"/>
      <c r="S958" s="257"/>
      <c r="T958" s="257"/>
      <c r="U958" s="257"/>
      <c r="V958" s="257"/>
      <c r="W958" s="257"/>
      <c r="X958" s="257"/>
      <c r="Y958" s="257"/>
      <c r="Z958" s="257"/>
    </row>
    <row r="959" ht="15.75" customHeight="1">
      <c r="A959" s="257"/>
      <c r="B959" s="257"/>
      <c r="C959" s="257"/>
      <c r="D959" s="257"/>
      <c r="E959" s="257"/>
      <c r="F959" s="257"/>
      <c r="G959" s="257"/>
      <c r="H959" s="257"/>
      <c r="I959" s="257"/>
      <c r="J959" s="257"/>
      <c r="K959" s="257"/>
      <c r="L959" s="257"/>
      <c r="M959" s="257"/>
      <c r="N959" s="257"/>
      <c r="O959" s="257"/>
      <c r="P959" s="257"/>
      <c r="Q959" s="257"/>
      <c r="R959" s="257"/>
      <c r="S959" s="257"/>
      <c r="T959" s="257"/>
      <c r="U959" s="257"/>
      <c r="V959" s="257"/>
      <c r="W959" s="257"/>
      <c r="X959" s="257"/>
      <c r="Y959" s="257"/>
      <c r="Z959" s="257"/>
    </row>
    <row r="960" ht="15.75" customHeight="1">
      <c r="A960" s="257"/>
      <c r="B960" s="257"/>
      <c r="C960" s="257"/>
      <c r="D960" s="257"/>
      <c r="E960" s="257"/>
      <c r="F960" s="257"/>
      <c r="G960" s="257"/>
      <c r="H960" s="257"/>
      <c r="I960" s="257"/>
      <c r="J960" s="257"/>
      <c r="K960" s="257"/>
      <c r="L960" s="257"/>
      <c r="M960" s="257"/>
      <c r="N960" s="257"/>
      <c r="O960" s="257"/>
      <c r="P960" s="257"/>
      <c r="Q960" s="257"/>
      <c r="R960" s="257"/>
      <c r="S960" s="257"/>
      <c r="T960" s="257"/>
      <c r="U960" s="257"/>
      <c r="V960" s="257"/>
      <c r="W960" s="257"/>
      <c r="X960" s="257"/>
      <c r="Y960" s="257"/>
      <c r="Z960" s="257"/>
    </row>
    <row r="961" ht="15.75" customHeight="1">
      <c r="A961" s="257"/>
      <c r="B961" s="257"/>
      <c r="C961" s="257"/>
      <c r="D961" s="257"/>
      <c r="E961" s="257"/>
      <c r="F961" s="257"/>
      <c r="G961" s="257"/>
      <c r="H961" s="257"/>
      <c r="I961" s="257"/>
      <c r="J961" s="257"/>
      <c r="K961" s="257"/>
      <c r="L961" s="257"/>
      <c r="M961" s="257"/>
      <c r="N961" s="257"/>
      <c r="O961" s="257"/>
      <c r="P961" s="257"/>
      <c r="Q961" s="257"/>
      <c r="R961" s="257"/>
      <c r="S961" s="257"/>
      <c r="T961" s="257"/>
      <c r="U961" s="257"/>
      <c r="V961" s="257"/>
      <c r="W961" s="257"/>
      <c r="X961" s="257"/>
      <c r="Y961" s="257"/>
      <c r="Z961" s="257"/>
    </row>
    <row r="962" ht="15.75" customHeight="1">
      <c r="A962" s="257"/>
      <c r="B962" s="257"/>
      <c r="C962" s="257"/>
      <c r="D962" s="257"/>
      <c r="E962" s="257"/>
      <c r="F962" s="257"/>
      <c r="G962" s="257"/>
      <c r="H962" s="257"/>
      <c r="I962" s="257"/>
      <c r="J962" s="257"/>
      <c r="K962" s="257"/>
      <c r="L962" s="257"/>
      <c r="M962" s="257"/>
      <c r="N962" s="257"/>
      <c r="O962" s="257"/>
      <c r="P962" s="257"/>
      <c r="Q962" s="257"/>
      <c r="R962" s="257"/>
      <c r="S962" s="257"/>
      <c r="T962" s="257"/>
      <c r="U962" s="257"/>
      <c r="V962" s="257"/>
      <c r="W962" s="257"/>
      <c r="X962" s="257"/>
      <c r="Y962" s="257"/>
      <c r="Z962" s="257"/>
    </row>
    <row r="963" ht="15.75" customHeight="1">
      <c r="A963" s="257"/>
      <c r="B963" s="257"/>
      <c r="C963" s="257"/>
      <c r="D963" s="257"/>
      <c r="E963" s="257"/>
      <c r="F963" s="257"/>
      <c r="G963" s="257"/>
      <c r="H963" s="257"/>
      <c r="I963" s="257"/>
      <c r="J963" s="257"/>
      <c r="K963" s="257"/>
      <c r="L963" s="257"/>
      <c r="M963" s="257"/>
      <c r="N963" s="257"/>
      <c r="O963" s="257"/>
      <c r="P963" s="257"/>
      <c r="Q963" s="257"/>
      <c r="R963" s="257"/>
      <c r="S963" s="257"/>
      <c r="T963" s="257"/>
      <c r="U963" s="257"/>
      <c r="V963" s="257"/>
      <c r="W963" s="257"/>
      <c r="X963" s="257"/>
      <c r="Y963" s="257"/>
      <c r="Z963" s="257"/>
    </row>
    <row r="964" ht="15.75" customHeight="1">
      <c r="A964" s="257"/>
      <c r="B964" s="257"/>
      <c r="C964" s="257"/>
      <c r="D964" s="257"/>
      <c r="E964" s="257"/>
      <c r="F964" s="257"/>
      <c r="G964" s="257"/>
      <c r="H964" s="257"/>
      <c r="I964" s="257"/>
      <c r="J964" s="257"/>
      <c r="K964" s="257"/>
      <c r="L964" s="257"/>
      <c r="M964" s="257"/>
      <c r="N964" s="257"/>
      <c r="O964" s="257"/>
      <c r="P964" s="257"/>
      <c r="Q964" s="257"/>
      <c r="R964" s="257"/>
      <c r="S964" s="257"/>
      <c r="T964" s="257"/>
      <c r="U964" s="257"/>
      <c r="V964" s="257"/>
      <c r="W964" s="257"/>
      <c r="X964" s="257"/>
      <c r="Y964" s="257"/>
      <c r="Z964" s="257"/>
    </row>
    <row r="965" ht="15.75" customHeight="1">
      <c r="A965" s="257"/>
      <c r="B965" s="257"/>
      <c r="C965" s="257"/>
      <c r="D965" s="257"/>
      <c r="E965" s="257"/>
      <c r="F965" s="257"/>
      <c r="G965" s="257"/>
      <c r="H965" s="257"/>
      <c r="I965" s="257"/>
      <c r="J965" s="257"/>
      <c r="K965" s="257"/>
      <c r="L965" s="257"/>
      <c r="M965" s="257"/>
      <c r="N965" s="257"/>
      <c r="O965" s="257"/>
      <c r="P965" s="257"/>
      <c r="Q965" s="257"/>
      <c r="R965" s="257"/>
      <c r="S965" s="257"/>
      <c r="T965" s="257"/>
      <c r="U965" s="257"/>
      <c r="V965" s="257"/>
      <c r="W965" s="257"/>
      <c r="X965" s="257"/>
      <c r="Y965" s="257"/>
      <c r="Z965" s="257"/>
    </row>
    <row r="966" ht="15.75" customHeight="1">
      <c r="A966" s="257"/>
      <c r="B966" s="257"/>
      <c r="C966" s="257"/>
      <c r="D966" s="257"/>
      <c r="E966" s="257"/>
      <c r="F966" s="257"/>
      <c r="G966" s="257"/>
      <c r="H966" s="257"/>
      <c r="I966" s="257"/>
      <c r="J966" s="257"/>
      <c r="K966" s="257"/>
      <c r="L966" s="257"/>
      <c r="M966" s="257"/>
      <c r="N966" s="257"/>
      <c r="O966" s="257"/>
      <c r="P966" s="257"/>
      <c r="Q966" s="257"/>
      <c r="R966" s="257"/>
      <c r="S966" s="257"/>
      <c r="T966" s="257"/>
      <c r="U966" s="257"/>
      <c r="V966" s="257"/>
      <c r="W966" s="257"/>
      <c r="X966" s="257"/>
      <c r="Y966" s="257"/>
      <c r="Z966" s="257"/>
    </row>
    <row r="967" ht="15.75" customHeight="1">
      <c r="A967" s="257"/>
      <c r="B967" s="257"/>
      <c r="C967" s="257"/>
      <c r="D967" s="257"/>
      <c r="E967" s="257"/>
      <c r="F967" s="257"/>
      <c r="G967" s="257"/>
      <c r="H967" s="257"/>
      <c r="I967" s="257"/>
      <c r="J967" s="257"/>
      <c r="K967" s="257"/>
      <c r="L967" s="257"/>
      <c r="M967" s="257"/>
      <c r="N967" s="257"/>
      <c r="O967" s="257"/>
      <c r="P967" s="257"/>
      <c r="Q967" s="257"/>
      <c r="R967" s="257"/>
      <c r="S967" s="257"/>
      <c r="T967" s="257"/>
      <c r="U967" s="257"/>
      <c r="V967" s="257"/>
      <c r="W967" s="257"/>
      <c r="X967" s="257"/>
      <c r="Y967" s="257"/>
      <c r="Z967" s="257"/>
    </row>
    <row r="968" ht="15.75" customHeight="1">
      <c r="A968" s="257"/>
      <c r="B968" s="257"/>
      <c r="C968" s="257"/>
      <c r="D968" s="257"/>
      <c r="E968" s="257"/>
      <c r="F968" s="257"/>
      <c r="G968" s="257"/>
      <c r="H968" s="257"/>
      <c r="I968" s="257"/>
      <c r="J968" s="257"/>
      <c r="K968" s="257"/>
      <c r="L968" s="257"/>
      <c r="M968" s="257"/>
      <c r="N968" s="257"/>
      <c r="O968" s="257"/>
      <c r="P968" s="257"/>
      <c r="Q968" s="257"/>
      <c r="R968" s="257"/>
      <c r="S968" s="257"/>
      <c r="T968" s="257"/>
      <c r="U968" s="257"/>
      <c r="V968" s="257"/>
      <c r="W968" s="257"/>
      <c r="X968" s="257"/>
      <c r="Y968" s="257"/>
      <c r="Z968" s="257"/>
    </row>
    <row r="969" ht="15.75" customHeight="1">
      <c r="A969" s="257"/>
      <c r="B969" s="257"/>
      <c r="C969" s="257"/>
      <c r="D969" s="257"/>
      <c r="E969" s="257"/>
      <c r="F969" s="257"/>
      <c r="G969" s="257"/>
      <c r="H969" s="257"/>
      <c r="I969" s="257"/>
      <c r="J969" s="257"/>
      <c r="K969" s="257"/>
      <c r="L969" s="257"/>
      <c r="M969" s="257"/>
      <c r="N969" s="257"/>
      <c r="O969" s="257"/>
      <c r="P969" s="257"/>
      <c r="Q969" s="257"/>
      <c r="R969" s="257"/>
      <c r="S969" s="257"/>
      <c r="T969" s="257"/>
      <c r="U969" s="257"/>
      <c r="V969" s="257"/>
      <c r="W969" s="257"/>
      <c r="X969" s="257"/>
      <c r="Y969" s="257"/>
      <c r="Z969" s="257"/>
    </row>
    <row r="970" ht="15.75" customHeight="1">
      <c r="A970" s="257"/>
      <c r="B970" s="257"/>
      <c r="C970" s="257"/>
      <c r="D970" s="257"/>
      <c r="E970" s="257"/>
      <c r="F970" s="257"/>
      <c r="G970" s="257"/>
      <c r="H970" s="257"/>
      <c r="I970" s="257"/>
      <c r="J970" s="257"/>
      <c r="K970" s="257"/>
      <c r="L970" s="257"/>
      <c r="M970" s="257"/>
      <c r="N970" s="257"/>
      <c r="O970" s="257"/>
      <c r="P970" s="257"/>
      <c r="Q970" s="257"/>
      <c r="R970" s="257"/>
      <c r="S970" s="257"/>
      <c r="T970" s="257"/>
      <c r="U970" s="257"/>
      <c r="V970" s="257"/>
      <c r="W970" s="257"/>
      <c r="X970" s="257"/>
      <c r="Y970" s="257"/>
      <c r="Z970" s="257"/>
    </row>
    <row r="971" ht="15.75" customHeight="1">
      <c r="A971" s="257"/>
      <c r="B971" s="257"/>
      <c r="C971" s="257"/>
      <c r="D971" s="257"/>
      <c r="E971" s="257"/>
      <c r="F971" s="257"/>
      <c r="G971" s="257"/>
      <c r="H971" s="257"/>
      <c r="I971" s="257"/>
      <c r="J971" s="257"/>
      <c r="K971" s="257"/>
      <c r="L971" s="257"/>
      <c r="M971" s="257"/>
      <c r="N971" s="257"/>
      <c r="O971" s="257"/>
      <c r="P971" s="257"/>
      <c r="Q971" s="257"/>
      <c r="R971" s="257"/>
      <c r="S971" s="257"/>
      <c r="T971" s="257"/>
      <c r="U971" s="257"/>
      <c r="V971" s="257"/>
      <c r="W971" s="257"/>
      <c r="X971" s="257"/>
      <c r="Y971" s="257"/>
      <c r="Z971" s="257"/>
    </row>
    <row r="972" ht="15.75" customHeight="1">
      <c r="A972" s="257"/>
      <c r="B972" s="257"/>
      <c r="C972" s="257"/>
      <c r="D972" s="257"/>
      <c r="E972" s="257"/>
      <c r="F972" s="257"/>
      <c r="G972" s="257"/>
      <c r="H972" s="257"/>
      <c r="I972" s="257"/>
      <c r="J972" s="257"/>
      <c r="K972" s="257"/>
      <c r="L972" s="257"/>
      <c r="M972" s="257"/>
      <c r="N972" s="257"/>
      <c r="O972" s="257"/>
      <c r="P972" s="257"/>
      <c r="Q972" s="257"/>
      <c r="R972" s="257"/>
      <c r="S972" s="257"/>
      <c r="T972" s="257"/>
      <c r="U972" s="257"/>
      <c r="V972" s="257"/>
      <c r="W972" s="257"/>
      <c r="X972" s="257"/>
      <c r="Y972" s="257"/>
      <c r="Z972" s="257"/>
    </row>
    <row r="973" ht="15.75" customHeight="1">
      <c r="A973" s="257"/>
      <c r="B973" s="257"/>
      <c r="C973" s="257"/>
      <c r="D973" s="257"/>
      <c r="E973" s="257"/>
      <c r="F973" s="257"/>
      <c r="G973" s="257"/>
      <c r="H973" s="257"/>
      <c r="I973" s="257"/>
      <c r="J973" s="257"/>
      <c r="K973" s="257"/>
      <c r="L973" s="257"/>
      <c r="M973" s="257"/>
      <c r="N973" s="257"/>
      <c r="O973" s="257"/>
      <c r="P973" s="257"/>
      <c r="Q973" s="257"/>
      <c r="R973" s="257"/>
      <c r="S973" s="257"/>
      <c r="T973" s="257"/>
      <c r="U973" s="257"/>
      <c r="V973" s="257"/>
      <c r="W973" s="257"/>
      <c r="X973" s="257"/>
      <c r="Y973" s="257"/>
      <c r="Z973" s="257"/>
    </row>
    <row r="974" ht="15.75" customHeight="1">
      <c r="A974" s="257"/>
      <c r="B974" s="257"/>
      <c r="C974" s="257"/>
      <c r="D974" s="257"/>
      <c r="E974" s="257"/>
      <c r="F974" s="257"/>
      <c r="G974" s="257"/>
      <c r="H974" s="257"/>
      <c r="I974" s="257"/>
      <c r="J974" s="257"/>
      <c r="K974" s="257"/>
      <c r="L974" s="257"/>
      <c r="M974" s="257"/>
      <c r="N974" s="257"/>
      <c r="O974" s="257"/>
      <c r="P974" s="257"/>
      <c r="Q974" s="257"/>
      <c r="R974" s="257"/>
      <c r="S974" s="257"/>
      <c r="T974" s="257"/>
      <c r="U974" s="257"/>
      <c r="V974" s="257"/>
      <c r="W974" s="257"/>
      <c r="X974" s="257"/>
      <c r="Y974" s="257"/>
      <c r="Z974" s="257"/>
    </row>
    <row r="975" ht="15.75" customHeight="1">
      <c r="A975" s="257"/>
      <c r="B975" s="257"/>
      <c r="C975" s="257"/>
      <c r="D975" s="257"/>
      <c r="E975" s="257"/>
      <c r="F975" s="257"/>
      <c r="G975" s="257"/>
      <c r="H975" s="257"/>
      <c r="I975" s="257"/>
      <c r="J975" s="257"/>
      <c r="K975" s="257"/>
      <c r="L975" s="257"/>
      <c r="M975" s="257"/>
      <c r="N975" s="257"/>
      <c r="O975" s="257"/>
      <c r="P975" s="257"/>
      <c r="Q975" s="257"/>
      <c r="R975" s="257"/>
      <c r="S975" s="257"/>
      <c r="T975" s="257"/>
      <c r="U975" s="257"/>
      <c r="V975" s="257"/>
      <c r="W975" s="257"/>
      <c r="X975" s="257"/>
      <c r="Y975" s="257"/>
      <c r="Z975" s="257"/>
    </row>
    <row r="976" ht="15.75" customHeight="1">
      <c r="A976" s="257"/>
      <c r="B976" s="257"/>
      <c r="C976" s="257"/>
      <c r="D976" s="257"/>
      <c r="E976" s="257"/>
      <c r="F976" s="257"/>
      <c r="G976" s="257"/>
      <c r="H976" s="257"/>
      <c r="I976" s="257"/>
      <c r="J976" s="257"/>
      <c r="K976" s="257"/>
      <c r="L976" s="257"/>
      <c r="M976" s="257"/>
      <c r="N976" s="257"/>
      <c r="O976" s="257"/>
      <c r="P976" s="257"/>
      <c r="Q976" s="257"/>
      <c r="R976" s="257"/>
      <c r="S976" s="257"/>
      <c r="T976" s="257"/>
      <c r="U976" s="257"/>
      <c r="V976" s="257"/>
      <c r="W976" s="257"/>
      <c r="X976" s="257"/>
      <c r="Y976" s="257"/>
      <c r="Z976" s="257"/>
    </row>
    <row r="977" ht="15.75" customHeight="1">
      <c r="A977" s="257"/>
      <c r="B977" s="257"/>
      <c r="C977" s="257"/>
      <c r="D977" s="257"/>
      <c r="E977" s="257"/>
      <c r="F977" s="257"/>
      <c r="G977" s="257"/>
      <c r="H977" s="257"/>
      <c r="I977" s="257"/>
      <c r="J977" s="257"/>
      <c r="K977" s="257"/>
      <c r="L977" s="257"/>
      <c r="M977" s="257"/>
      <c r="N977" s="257"/>
      <c r="O977" s="257"/>
      <c r="P977" s="257"/>
      <c r="Q977" s="257"/>
      <c r="R977" s="257"/>
      <c r="S977" s="257"/>
      <c r="T977" s="257"/>
      <c r="U977" s="257"/>
      <c r="V977" s="257"/>
      <c r="W977" s="257"/>
      <c r="X977" s="257"/>
      <c r="Y977" s="257"/>
      <c r="Z977" s="257"/>
    </row>
    <row r="978" ht="15.75" customHeight="1">
      <c r="A978" s="257"/>
      <c r="B978" s="257"/>
      <c r="C978" s="257"/>
      <c r="D978" s="257"/>
      <c r="E978" s="257"/>
      <c r="F978" s="257"/>
      <c r="G978" s="257"/>
      <c r="H978" s="257"/>
      <c r="I978" s="257"/>
      <c r="J978" s="257"/>
      <c r="K978" s="257"/>
      <c r="L978" s="257"/>
      <c r="M978" s="257"/>
      <c r="N978" s="257"/>
      <c r="O978" s="257"/>
      <c r="P978" s="257"/>
      <c r="Q978" s="257"/>
      <c r="R978" s="257"/>
      <c r="S978" s="257"/>
      <c r="T978" s="257"/>
      <c r="U978" s="257"/>
      <c r="V978" s="257"/>
      <c r="W978" s="257"/>
      <c r="X978" s="257"/>
      <c r="Y978" s="257"/>
      <c r="Z978" s="257"/>
    </row>
    <row r="979" ht="15.75" customHeight="1">
      <c r="A979" s="257"/>
      <c r="B979" s="257"/>
      <c r="C979" s="257"/>
      <c r="D979" s="257"/>
      <c r="E979" s="257"/>
      <c r="F979" s="257"/>
      <c r="G979" s="257"/>
      <c r="H979" s="257"/>
      <c r="I979" s="257"/>
      <c r="J979" s="257"/>
      <c r="K979" s="257"/>
      <c r="L979" s="257"/>
      <c r="M979" s="257"/>
      <c r="N979" s="257"/>
      <c r="O979" s="257"/>
      <c r="P979" s="257"/>
      <c r="Q979" s="257"/>
      <c r="R979" s="257"/>
      <c r="S979" s="257"/>
      <c r="T979" s="257"/>
      <c r="U979" s="257"/>
      <c r="V979" s="257"/>
      <c r="W979" s="257"/>
      <c r="X979" s="257"/>
      <c r="Y979" s="257"/>
      <c r="Z979" s="257"/>
    </row>
    <row r="980" ht="15.75" customHeight="1">
      <c r="A980" s="257"/>
      <c r="B980" s="257"/>
      <c r="C980" s="257"/>
      <c r="D980" s="257"/>
      <c r="E980" s="257"/>
      <c r="F980" s="257"/>
      <c r="G980" s="257"/>
      <c r="H980" s="257"/>
      <c r="I980" s="257"/>
      <c r="J980" s="257"/>
      <c r="K980" s="257"/>
      <c r="L980" s="257"/>
      <c r="M980" s="257"/>
      <c r="N980" s="257"/>
      <c r="O980" s="257"/>
      <c r="P980" s="257"/>
      <c r="Q980" s="257"/>
      <c r="R980" s="257"/>
      <c r="S980" s="257"/>
      <c r="T980" s="257"/>
      <c r="U980" s="257"/>
      <c r="V980" s="257"/>
      <c r="W980" s="257"/>
      <c r="X980" s="257"/>
      <c r="Y980" s="257"/>
      <c r="Z980" s="257"/>
    </row>
    <row r="981" ht="15.75" customHeight="1">
      <c r="A981" s="257"/>
      <c r="B981" s="257"/>
      <c r="C981" s="257"/>
      <c r="D981" s="257"/>
      <c r="E981" s="257"/>
      <c r="F981" s="257"/>
      <c r="G981" s="257"/>
      <c r="H981" s="257"/>
      <c r="I981" s="257"/>
      <c r="J981" s="257"/>
      <c r="K981" s="257"/>
      <c r="L981" s="257"/>
      <c r="M981" s="257"/>
      <c r="N981" s="257"/>
      <c r="O981" s="257"/>
      <c r="P981" s="257"/>
      <c r="Q981" s="257"/>
      <c r="R981" s="257"/>
      <c r="S981" s="257"/>
      <c r="T981" s="257"/>
      <c r="U981" s="257"/>
      <c r="V981" s="257"/>
      <c r="W981" s="257"/>
      <c r="X981" s="257"/>
      <c r="Y981" s="257"/>
      <c r="Z981" s="257"/>
    </row>
    <row r="982" ht="15.75" customHeight="1">
      <c r="A982" s="257"/>
      <c r="B982" s="257"/>
      <c r="C982" s="257"/>
      <c r="D982" s="257"/>
      <c r="E982" s="257"/>
      <c r="F982" s="257"/>
      <c r="G982" s="257"/>
      <c r="H982" s="257"/>
      <c r="I982" s="257"/>
      <c r="J982" s="257"/>
      <c r="K982" s="257"/>
      <c r="L982" s="257"/>
      <c r="M982" s="257"/>
      <c r="N982" s="257"/>
      <c r="O982" s="257"/>
      <c r="P982" s="257"/>
      <c r="Q982" s="257"/>
      <c r="R982" s="257"/>
      <c r="S982" s="257"/>
      <c r="T982" s="257"/>
      <c r="U982" s="257"/>
      <c r="V982" s="257"/>
      <c r="W982" s="257"/>
      <c r="X982" s="257"/>
      <c r="Y982" s="257"/>
      <c r="Z982" s="257"/>
    </row>
    <row r="983" ht="15.75" customHeight="1">
      <c r="A983" s="257"/>
      <c r="B983" s="257"/>
      <c r="C983" s="257"/>
      <c r="D983" s="257"/>
      <c r="E983" s="257"/>
      <c r="F983" s="257"/>
      <c r="G983" s="257"/>
      <c r="H983" s="257"/>
      <c r="I983" s="257"/>
      <c r="J983" s="257"/>
      <c r="K983" s="257"/>
      <c r="L983" s="257"/>
      <c r="M983" s="257"/>
      <c r="N983" s="257"/>
      <c r="O983" s="257"/>
      <c r="P983" s="257"/>
      <c r="Q983" s="257"/>
      <c r="R983" s="257"/>
      <c r="S983" s="257"/>
      <c r="T983" s="257"/>
      <c r="U983" s="257"/>
      <c r="V983" s="257"/>
      <c r="W983" s="257"/>
      <c r="X983" s="257"/>
      <c r="Y983" s="257"/>
      <c r="Z983" s="257"/>
    </row>
    <row r="984" ht="15.75" customHeight="1">
      <c r="A984" s="257"/>
      <c r="B984" s="257"/>
      <c r="C984" s="257"/>
      <c r="D984" s="257"/>
      <c r="E984" s="257"/>
      <c r="F984" s="257"/>
      <c r="G984" s="257"/>
      <c r="H984" s="257"/>
      <c r="I984" s="257"/>
      <c r="J984" s="257"/>
      <c r="K984" s="257"/>
      <c r="L984" s="257"/>
      <c r="M984" s="257"/>
      <c r="N984" s="257"/>
      <c r="O984" s="257"/>
      <c r="P984" s="257"/>
      <c r="Q984" s="257"/>
      <c r="R984" s="257"/>
      <c r="S984" s="257"/>
      <c r="T984" s="257"/>
      <c r="U984" s="257"/>
      <c r="V984" s="257"/>
      <c r="W984" s="257"/>
      <c r="X984" s="257"/>
      <c r="Y984" s="257"/>
      <c r="Z984" s="257"/>
    </row>
    <row r="985" ht="15.75" customHeight="1">
      <c r="A985" s="257"/>
      <c r="B985" s="257"/>
      <c r="C985" s="257"/>
      <c r="D985" s="257"/>
      <c r="E985" s="257"/>
      <c r="F985" s="257"/>
      <c r="G985" s="257"/>
      <c r="H985" s="257"/>
      <c r="I985" s="257"/>
      <c r="J985" s="257"/>
      <c r="K985" s="257"/>
      <c r="L985" s="257"/>
      <c r="M985" s="257"/>
      <c r="N985" s="257"/>
      <c r="O985" s="257"/>
      <c r="P985" s="257"/>
      <c r="Q985" s="257"/>
      <c r="R985" s="257"/>
      <c r="S985" s="257"/>
      <c r="T985" s="257"/>
      <c r="U985" s="257"/>
      <c r="V985" s="257"/>
      <c r="W985" s="257"/>
      <c r="X985" s="257"/>
      <c r="Y985" s="257"/>
      <c r="Z985" s="257"/>
    </row>
    <row r="986" ht="15.75" customHeight="1">
      <c r="A986" s="257"/>
      <c r="B986" s="257"/>
      <c r="C986" s="257"/>
      <c r="D986" s="257"/>
      <c r="E986" s="257"/>
      <c r="F986" s="257"/>
      <c r="G986" s="257"/>
      <c r="H986" s="257"/>
      <c r="I986" s="257"/>
      <c r="J986" s="257"/>
      <c r="K986" s="257"/>
      <c r="L986" s="257"/>
      <c r="M986" s="257"/>
      <c r="N986" s="257"/>
      <c r="O986" s="257"/>
      <c r="P986" s="257"/>
      <c r="Q986" s="257"/>
      <c r="R986" s="257"/>
      <c r="S986" s="257"/>
      <c r="T986" s="257"/>
      <c r="U986" s="257"/>
      <c r="V986" s="257"/>
      <c r="W986" s="257"/>
      <c r="X986" s="257"/>
      <c r="Y986" s="257"/>
      <c r="Z986" s="257"/>
    </row>
    <row r="987" ht="15.75" customHeight="1">
      <c r="A987" s="257"/>
      <c r="B987" s="257"/>
      <c r="C987" s="257"/>
      <c r="D987" s="257"/>
      <c r="E987" s="257"/>
      <c r="F987" s="257"/>
      <c r="G987" s="257"/>
      <c r="H987" s="257"/>
      <c r="I987" s="257"/>
      <c r="J987" s="257"/>
      <c r="K987" s="257"/>
      <c r="L987" s="257"/>
      <c r="M987" s="257"/>
      <c r="N987" s="257"/>
      <c r="O987" s="257"/>
      <c r="P987" s="257"/>
      <c r="Q987" s="257"/>
      <c r="R987" s="257"/>
      <c r="S987" s="257"/>
      <c r="T987" s="257"/>
      <c r="U987" s="257"/>
      <c r="V987" s="257"/>
      <c r="W987" s="257"/>
      <c r="X987" s="257"/>
      <c r="Y987" s="257"/>
      <c r="Z987" s="257"/>
    </row>
    <row r="988" ht="15.75" customHeight="1">
      <c r="A988" s="257"/>
      <c r="B988" s="257"/>
      <c r="C988" s="257"/>
      <c r="D988" s="257"/>
      <c r="E988" s="257"/>
      <c r="F988" s="257"/>
      <c r="G988" s="257"/>
      <c r="H988" s="257"/>
      <c r="I988" s="257"/>
      <c r="J988" s="257"/>
      <c r="K988" s="257"/>
      <c r="L988" s="257"/>
      <c r="M988" s="257"/>
      <c r="N988" s="257"/>
      <c r="O988" s="257"/>
      <c r="P988" s="257"/>
      <c r="Q988" s="257"/>
      <c r="R988" s="257"/>
      <c r="S988" s="257"/>
      <c r="T988" s="257"/>
      <c r="U988" s="257"/>
      <c r="V988" s="257"/>
      <c r="W988" s="257"/>
      <c r="X988" s="257"/>
      <c r="Y988" s="257"/>
      <c r="Z988" s="257"/>
    </row>
    <row r="989" ht="15.75" customHeight="1">
      <c r="A989" s="257"/>
      <c r="B989" s="257"/>
      <c r="C989" s="257"/>
      <c r="D989" s="257"/>
      <c r="E989" s="257"/>
      <c r="F989" s="257"/>
      <c r="G989" s="257"/>
      <c r="H989" s="257"/>
      <c r="I989" s="257"/>
      <c r="J989" s="257"/>
      <c r="K989" s="257"/>
      <c r="L989" s="257"/>
      <c r="M989" s="257"/>
      <c r="N989" s="257"/>
      <c r="O989" s="257"/>
      <c r="P989" s="257"/>
      <c r="Q989" s="257"/>
      <c r="R989" s="257"/>
      <c r="S989" s="257"/>
      <c r="T989" s="257"/>
      <c r="U989" s="257"/>
      <c r="V989" s="257"/>
      <c r="W989" s="257"/>
      <c r="X989" s="257"/>
      <c r="Y989" s="257"/>
      <c r="Z989" s="257"/>
    </row>
    <row r="990" ht="15.75" customHeight="1">
      <c r="A990" s="257"/>
      <c r="B990" s="257"/>
      <c r="C990" s="257"/>
      <c r="D990" s="257"/>
      <c r="E990" s="257"/>
      <c r="F990" s="257"/>
      <c r="G990" s="257"/>
      <c r="H990" s="257"/>
      <c r="I990" s="257"/>
      <c r="J990" s="257"/>
      <c r="K990" s="257"/>
      <c r="L990" s="257"/>
      <c r="M990" s="257"/>
      <c r="N990" s="257"/>
      <c r="O990" s="257"/>
      <c r="P990" s="257"/>
      <c r="Q990" s="257"/>
      <c r="R990" s="257"/>
      <c r="S990" s="257"/>
      <c r="T990" s="257"/>
      <c r="U990" s="257"/>
      <c r="V990" s="257"/>
      <c r="W990" s="257"/>
      <c r="X990" s="257"/>
      <c r="Y990" s="257"/>
      <c r="Z990" s="257"/>
    </row>
    <row r="991" ht="15.75" customHeight="1">
      <c r="A991" s="257"/>
      <c r="B991" s="257"/>
      <c r="C991" s="257"/>
      <c r="D991" s="257"/>
      <c r="E991" s="257"/>
      <c r="F991" s="257"/>
      <c r="G991" s="257"/>
      <c r="H991" s="257"/>
      <c r="I991" s="257"/>
      <c r="J991" s="257"/>
      <c r="K991" s="257"/>
      <c r="L991" s="257"/>
      <c r="M991" s="257"/>
      <c r="N991" s="257"/>
      <c r="O991" s="257"/>
      <c r="P991" s="257"/>
      <c r="Q991" s="257"/>
      <c r="R991" s="257"/>
      <c r="S991" s="257"/>
      <c r="T991" s="257"/>
      <c r="U991" s="257"/>
      <c r="V991" s="257"/>
      <c r="W991" s="257"/>
      <c r="X991" s="257"/>
      <c r="Y991" s="257"/>
      <c r="Z991" s="257"/>
    </row>
    <row r="992" ht="15.75" customHeight="1">
      <c r="A992" s="257"/>
      <c r="B992" s="257"/>
      <c r="C992" s="257"/>
      <c r="D992" s="257"/>
      <c r="E992" s="257"/>
      <c r="F992" s="257"/>
      <c r="G992" s="257"/>
      <c r="H992" s="257"/>
      <c r="I992" s="257"/>
      <c r="J992" s="257"/>
      <c r="K992" s="257"/>
      <c r="L992" s="257"/>
      <c r="M992" s="257"/>
      <c r="N992" s="257"/>
      <c r="O992" s="257"/>
      <c r="P992" s="257"/>
      <c r="Q992" s="257"/>
      <c r="R992" s="257"/>
      <c r="S992" s="257"/>
      <c r="T992" s="257"/>
      <c r="U992" s="257"/>
      <c r="V992" s="257"/>
      <c r="W992" s="257"/>
      <c r="X992" s="257"/>
      <c r="Y992" s="257"/>
      <c r="Z992" s="257"/>
    </row>
    <row r="993" ht="15.75" customHeight="1">
      <c r="A993" s="257"/>
      <c r="B993" s="257"/>
      <c r="C993" s="257"/>
      <c r="D993" s="257"/>
      <c r="E993" s="257"/>
      <c r="F993" s="257"/>
      <c r="G993" s="257"/>
      <c r="H993" s="257"/>
      <c r="I993" s="257"/>
      <c r="J993" s="257"/>
      <c r="K993" s="257"/>
      <c r="L993" s="257"/>
      <c r="M993" s="257"/>
      <c r="N993" s="257"/>
      <c r="O993" s="257"/>
      <c r="P993" s="257"/>
      <c r="Q993" s="257"/>
      <c r="R993" s="257"/>
      <c r="S993" s="257"/>
      <c r="T993" s="257"/>
      <c r="U993" s="257"/>
      <c r="V993" s="257"/>
      <c r="W993" s="257"/>
      <c r="X993" s="257"/>
      <c r="Y993" s="257"/>
      <c r="Z993" s="257"/>
    </row>
    <row r="994" ht="15.75" customHeight="1">
      <c r="A994" s="257"/>
      <c r="B994" s="257"/>
      <c r="C994" s="257"/>
      <c r="D994" s="257"/>
      <c r="E994" s="257"/>
      <c r="F994" s="257"/>
      <c r="G994" s="257"/>
      <c r="H994" s="257"/>
      <c r="I994" s="257"/>
      <c r="J994" s="257"/>
      <c r="K994" s="257"/>
      <c r="L994" s="257"/>
      <c r="M994" s="257"/>
      <c r="N994" s="257"/>
      <c r="O994" s="257"/>
      <c r="P994" s="257"/>
      <c r="Q994" s="257"/>
      <c r="R994" s="257"/>
      <c r="S994" s="257"/>
      <c r="T994" s="257"/>
      <c r="U994" s="257"/>
      <c r="V994" s="257"/>
      <c r="W994" s="257"/>
      <c r="X994" s="257"/>
      <c r="Y994" s="257"/>
      <c r="Z994" s="257"/>
    </row>
    <row r="995" ht="15.75" customHeight="1">
      <c r="A995" s="257"/>
      <c r="B995" s="257"/>
      <c r="C995" s="257"/>
      <c r="D995" s="257"/>
      <c r="E995" s="257"/>
      <c r="F995" s="257"/>
      <c r="G995" s="257"/>
      <c r="H995" s="257"/>
      <c r="I995" s="257"/>
      <c r="J995" s="257"/>
      <c r="K995" s="257"/>
      <c r="L995" s="257"/>
      <c r="M995" s="257"/>
      <c r="N995" s="257"/>
      <c r="O995" s="257"/>
      <c r="P995" s="257"/>
      <c r="Q995" s="257"/>
      <c r="R995" s="257"/>
      <c r="S995" s="257"/>
      <c r="T995" s="257"/>
      <c r="U995" s="257"/>
      <c r="V995" s="257"/>
      <c r="W995" s="257"/>
      <c r="X995" s="257"/>
      <c r="Y995" s="257"/>
      <c r="Z995" s="257"/>
    </row>
    <row r="996" ht="15.75" customHeight="1">
      <c r="A996" s="257"/>
      <c r="B996" s="257"/>
      <c r="C996" s="257"/>
      <c r="D996" s="257"/>
      <c r="E996" s="257"/>
      <c r="F996" s="257"/>
      <c r="G996" s="257"/>
      <c r="H996" s="257"/>
      <c r="I996" s="257"/>
      <c r="J996" s="257"/>
      <c r="K996" s="257"/>
      <c r="L996" s="257"/>
      <c r="M996" s="257"/>
      <c r="N996" s="257"/>
      <c r="O996" s="257"/>
      <c r="P996" s="257"/>
      <c r="Q996" s="257"/>
      <c r="R996" s="257"/>
      <c r="S996" s="257"/>
      <c r="T996" s="257"/>
      <c r="U996" s="257"/>
      <c r="V996" s="257"/>
      <c r="W996" s="257"/>
      <c r="X996" s="257"/>
      <c r="Y996" s="257"/>
      <c r="Z996" s="257"/>
    </row>
    <row r="997" ht="15.75" customHeight="1">
      <c r="A997" s="257"/>
      <c r="B997" s="257"/>
      <c r="C997" s="257"/>
      <c r="D997" s="257"/>
      <c r="E997" s="257"/>
      <c r="F997" s="257"/>
      <c r="G997" s="257"/>
      <c r="H997" s="257"/>
      <c r="I997" s="257"/>
      <c r="J997" s="257"/>
      <c r="K997" s="257"/>
      <c r="L997" s="257"/>
      <c r="M997" s="257"/>
      <c r="N997" s="257"/>
      <c r="O997" s="257"/>
      <c r="P997" s="257"/>
      <c r="Q997" s="257"/>
      <c r="R997" s="257"/>
      <c r="S997" s="257"/>
      <c r="T997" s="257"/>
      <c r="U997" s="257"/>
      <c r="V997" s="257"/>
      <c r="W997" s="257"/>
      <c r="X997" s="257"/>
      <c r="Y997" s="257"/>
      <c r="Z997" s="257"/>
    </row>
    <row r="998" ht="15.75" customHeight="1">
      <c r="A998" s="257"/>
      <c r="B998" s="257"/>
      <c r="C998" s="257"/>
      <c r="D998" s="257"/>
      <c r="E998" s="257"/>
      <c r="F998" s="257"/>
      <c r="G998" s="257"/>
      <c r="H998" s="257"/>
      <c r="I998" s="257"/>
      <c r="J998" s="257"/>
      <c r="K998" s="257"/>
      <c r="L998" s="257"/>
      <c r="M998" s="257"/>
      <c r="N998" s="257"/>
      <c r="O998" s="257"/>
      <c r="P998" s="257"/>
      <c r="Q998" s="257"/>
      <c r="R998" s="257"/>
      <c r="S998" s="257"/>
      <c r="T998" s="257"/>
      <c r="U998" s="257"/>
      <c r="V998" s="257"/>
      <c r="W998" s="257"/>
      <c r="X998" s="257"/>
      <c r="Y998" s="257"/>
      <c r="Z998" s="257"/>
    </row>
    <row r="999" ht="15.75" customHeight="1">
      <c r="A999" s="257"/>
      <c r="B999" s="257"/>
      <c r="C999" s="257"/>
      <c r="D999" s="257"/>
      <c r="E999" s="257"/>
      <c r="F999" s="257"/>
      <c r="G999" s="257"/>
      <c r="H999" s="257"/>
      <c r="I999" s="257"/>
      <c r="J999" s="257"/>
      <c r="K999" s="257"/>
      <c r="L999" s="257"/>
      <c r="M999" s="257"/>
      <c r="N999" s="257"/>
      <c r="O999" s="257"/>
      <c r="P999" s="257"/>
      <c r="Q999" s="257"/>
      <c r="R999" s="257"/>
      <c r="S999" s="257"/>
      <c r="T999" s="257"/>
      <c r="U999" s="257"/>
      <c r="V999" s="257"/>
      <c r="W999" s="257"/>
      <c r="X999" s="257"/>
      <c r="Y999" s="257"/>
      <c r="Z999" s="257"/>
    </row>
    <row r="1000" ht="15.75" customHeight="1">
      <c r="A1000" s="257"/>
      <c r="B1000" s="257"/>
      <c r="C1000" s="257"/>
      <c r="D1000" s="257"/>
      <c r="E1000" s="257"/>
      <c r="F1000" s="257"/>
      <c r="G1000" s="257"/>
      <c r="H1000" s="257"/>
      <c r="I1000" s="257"/>
      <c r="J1000" s="257"/>
      <c r="K1000" s="257"/>
      <c r="L1000" s="257"/>
      <c r="M1000" s="257"/>
      <c r="N1000" s="257"/>
      <c r="O1000" s="257"/>
      <c r="P1000" s="257"/>
      <c r="Q1000" s="257"/>
      <c r="R1000" s="257"/>
      <c r="S1000" s="257"/>
      <c r="T1000" s="257"/>
      <c r="U1000" s="257"/>
      <c r="V1000" s="257"/>
      <c r="W1000" s="257"/>
      <c r="X1000" s="257"/>
      <c r="Y1000" s="257"/>
      <c r="Z1000" s="257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/>
  <cols>
    <col customWidth="1" min="1" max="1" width="7.63"/>
    <col customWidth="1" min="2" max="2" width="20.63"/>
    <col customWidth="1" min="3" max="3" width="9.5"/>
    <col customWidth="1" hidden="1" min="4" max="4" width="8.38" outlineLevel="1"/>
    <col customWidth="1" hidden="1" min="5" max="11" width="7.88" outlineLevel="1"/>
    <col customWidth="1" hidden="1" min="12" max="12" width="7.63" outlineLevel="1"/>
    <col customWidth="1" hidden="1" min="13" max="15" width="8.38" outlineLevel="1"/>
    <col collapsed="1" customWidth="1" min="16" max="16" width="9.13"/>
    <col customWidth="1" min="17" max="17" width="13.88"/>
    <col customWidth="1" hidden="1" min="18" max="18" width="10.25" outlineLevel="1"/>
    <col customWidth="1" hidden="1" min="19" max="19" width="9.88" outlineLevel="1"/>
    <col customWidth="1" hidden="1" min="20" max="20" width="5.88" outlineLevel="1"/>
    <col customWidth="1" hidden="1" min="21" max="21" width="6.75" outlineLevel="1"/>
    <col customWidth="1" hidden="1" min="22" max="22" width="8.0" outlineLevel="1"/>
    <col customWidth="1" hidden="1" min="23" max="23" width="15.88" outlineLevel="1"/>
    <col collapsed="1" customWidth="1" min="24" max="24" width="13.0"/>
    <col customWidth="1" min="25" max="25" width="22.5" outlineLevel="1"/>
    <col customWidth="1" min="26" max="26" width="10.13" outlineLevel="1"/>
    <col customWidth="1" min="27" max="27" width="11.63" outlineLevel="1"/>
    <col customWidth="1" min="28" max="28" width="18.38" outlineLevel="1"/>
    <col customWidth="1" min="29" max="29" width="10.0" outlineLevel="1"/>
    <col customWidth="1" min="30" max="30" width="10.38" outlineLevel="1"/>
    <col customWidth="1" min="31" max="39" width="11.38" outlineLevel="1"/>
    <col customWidth="1" min="40" max="40" width="10.0" outlineLevel="1"/>
    <col customWidth="1" min="41" max="41" width="5.38"/>
    <col customWidth="1" min="42" max="42" width="7.63"/>
    <col customWidth="1" min="43" max="43" width="9.75"/>
  </cols>
  <sheetData>
    <row r="1">
      <c r="A1" s="5" t="s">
        <v>0</v>
      </c>
      <c r="B1" s="5" t="s">
        <v>17</v>
      </c>
      <c r="C1" s="5" t="s">
        <v>403</v>
      </c>
      <c r="D1" s="7" t="s">
        <v>19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7" t="s">
        <v>29</v>
      </c>
      <c r="N1" s="7" t="s">
        <v>30</v>
      </c>
      <c r="O1" s="7" t="s">
        <v>31</v>
      </c>
      <c r="P1" s="7" t="s">
        <v>32</v>
      </c>
      <c r="Q1" s="9" t="s">
        <v>33</v>
      </c>
      <c r="R1" s="53" t="s">
        <v>406</v>
      </c>
      <c r="S1" s="53" t="s">
        <v>409</v>
      </c>
      <c r="T1" s="53" t="s">
        <v>411</v>
      </c>
      <c r="U1" s="53" t="s">
        <v>413</v>
      </c>
      <c r="V1" s="53" t="s">
        <v>414</v>
      </c>
      <c r="W1" s="53" t="s">
        <v>415</v>
      </c>
      <c r="X1" s="53" t="s">
        <v>1222</v>
      </c>
      <c r="Z1" s="54" t="s">
        <v>417</v>
      </c>
      <c r="AA1" s="54" t="s">
        <v>1223</v>
      </c>
      <c r="AB1" s="54" t="s">
        <v>1224</v>
      </c>
      <c r="AC1" s="55" t="s">
        <v>418</v>
      </c>
      <c r="AD1" s="55" t="s">
        <v>419</v>
      </c>
      <c r="AE1" s="55" t="s">
        <v>422</v>
      </c>
      <c r="AF1" s="55" t="s">
        <v>423</v>
      </c>
      <c r="AG1" s="55" t="s">
        <v>424</v>
      </c>
      <c r="AH1" s="55" t="s">
        <v>425</v>
      </c>
      <c r="AI1" s="55" t="s">
        <v>426</v>
      </c>
      <c r="AJ1" s="55" t="s">
        <v>427</v>
      </c>
      <c r="AK1" s="55" t="s">
        <v>428</v>
      </c>
      <c r="AL1" s="55" t="s">
        <v>429</v>
      </c>
      <c r="AM1" s="55" t="s">
        <v>430</v>
      </c>
      <c r="AN1" s="55" t="s">
        <v>431</v>
      </c>
      <c r="AO1" s="54" t="s">
        <v>432</v>
      </c>
    </row>
    <row r="2">
      <c r="A2" s="15" t="s">
        <v>36</v>
      </c>
      <c r="B2" s="15" t="s">
        <v>37</v>
      </c>
      <c r="C2" s="15" t="s">
        <v>41</v>
      </c>
      <c r="D2" s="56">
        <f>SUMIF('2015-16 12 Mnths'!$A:$A,'Detail 18-19'!$A2,'2015-16 12 Mnths'!C:C)-SUMIF('Budget 12 Mnths'!$A:$A,'Detail 18-19'!$A2,'Budget 12 Mnths'!D:D)</f>
        <v>0</v>
      </c>
      <c r="E2" s="56">
        <f>SUMIF('2015-16 12 Mnths'!$A:$A,'Detail 18-19'!$A2,'2015-16 12 Mnths'!D:D)-SUMIF('Budget 12 Mnths'!$A:$A,'Detail 18-19'!$A2,'Budget 12 Mnths'!E:E)</f>
        <v>0</v>
      </c>
      <c r="F2" s="56">
        <f>SUMIF('2015-16 12 Mnths'!$A:$A,'Detail 18-19'!$A2,'2015-16 12 Mnths'!E:E)-SUMIF('Budget 12 Mnths'!$A:$A,'Detail 18-19'!$A2,'Budget 12 Mnths'!F:F)</f>
        <v>-3125</v>
      </c>
      <c r="G2" s="56">
        <f>SUMIF('2015-16 12 Mnths'!$A:$A,'Detail 18-19'!$A2,'2015-16 12 Mnths'!F:F)-SUMIF('Budget 12 Mnths'!$A:$A,'Detail 18-19'!$A2,'Budget 12 Mnths'!G:G)</f>
        <v>-3125</v>
      </c>
      <c r="H2" s="56">
        <f>SUMIF('2015-16 12 Mnths'!$A:$A,'Detail 18-19'!$A2,'2015-16 12 Mnths'!G:G)-SUMIF('Budget 12 Mnths'!$A:$A,'Detail 18-19'!$A2,'Budget 12 Mnths'!H:H)</f>
        <v>18155.35</v>
      </c>
      <c r="I2" s="56">
        <f>SUMIF('2015-16 12 Mnths'!$A:$A,'Detail 18-19'!$A2,'2015-16 12 Mnths'!H:H)-SUMIF('Budget 12 Mnths'!$A:$A,'Detail 18-19'!$A2,'Budget 12 Mnths'!I:I)</f>
        <v>5584.97</v>
      </c>
      <c r="J2" s="56">
        <f>SUMIF('2015-16 12 Mnths'!$A:$A,'Detail 18-19'!$A2,'2015-16 12 Mnths'!I:I)-SUMIF('Budget 12 Mnths'!$A:$A,'Detail 18-19'!$A2,'Budget 12 Mnths'!J:J)</f>
        <v>2700</v>
      </c>
      <c r="K2" s="56">
        <f>SUMIF('2015-16 12 Mnths'!$A:$A,'Detail 18-19'!$A2,'2015-16 12 Mnths'!J:J)-SUMIF('Budget 12 Mnths'!$A:$A,'Detail 18-19'!$A2,'Budget 12 Mnths'!K:K)</f>
        <v>0</v>
      </c>
      <c r="L2" s="56">
        <f>SUMIF('2015-16 12 Mnths'!$A:$A,'Detail 18-19'!$A2,'2015-16 12 Mnths'!K:K)-SUMIF('Budget 12 Mnths'!$A:$A,'Detail 18-19'!$A2,'Budget 12 Mnths'!L:L)</f>
        <v>0</v>
      </c>
      <c r="M2" s="56"/>
      <c r="N2" s="56"/>
      <c r="O2" s="56"/>
      <c r="P2" s="56">
        <f t="shared" ref="P2:P276" si="1">+SUM(D2:O2)</f>
        <v>20190.32</v>
      </c>
      <c r="Q2" s="14" t="str">
        <f>+VLOOKUP(A2,Mapping!$A$1:$E$443,5,FALSE)</f>
        <v>Contributions</v>
      </c>
      <c r="R2" s="26">
        <f>+SUMIF('Budget 12 Mnths'!$A:$A,'Detail 18-19'!$A2,'Budget 12 Mnths'!$P:$P)</f>
        <v>12500</v>
      </c>
      <c r="S2" s="26">
        <f>+SUMIF('2015-16 12 Mnths'!$A:$A,'Detail 18-19'!$A2,'2015-16 12 Mnths'!$O:$O)</f>
        <v>32690.32</v>
      </c>
      <c r="T2" s="57">
        <f t="shared" ref="T2:T276" si="2">IFERROR(P2/R2,0)</f>
        <v>1.6152256</v>
      </c>
      <c r="U2" s="57">
        <f t="shared" ref="U2:U276" si="3">IFERROR(P2/S2,0)</f>
        <v>0.6176238104</v>
      </c>
      <c r="V2" s="8" t="s">
        <v>451</v>
      </c>
      <c r="W2" s="27">
        <v>28000.0</v>
      </c>
      <c r="X2" s="27">
        <v>20000.0</v>
      </c>
      <c r="Z2" s="57">
        <f t="shared" ref="Z2:Z10" si="4">+X2/2</f>
        <v>10000</v>
      </c>
      <c r="AA2" s="57" t="str">
        <f>IFERROR(+VLOOKUP(A2,Key!$A$1:$C$219,2,FALSE),"NOT FOUND")</f>
        <v>4120-3U</v>
      </c>
      <c r="AB2" s="27">
        <v>6000.0</v>
      </c>
      <c r="AC2" s="27"/>
      <c r="AD2" s="27"/>
      <c r="AE2" s="27">
        <v>1000.0</v>
      </c>
      <c r="AF2" s="27">
        <v>1000.0</v>
      </c>
      <c r="AG2" s="27">
        <v>3000.0</v>
      </c>
      <c r="AH2" s="27">
        <v>1000.0</v>
      </c>
      <c r="AI2" s="27"/>
      <c r="AJ2" s="27"/>
      <c r="AK2" s="27"/>
      <c r="AL2" s="27"/>
      <c r="AM2" s="27"/>
      <c r="AN2" s="27"/>
      <c r="AO2" s="27">
        <f t="shared" ref="AO2:AO276" si="6">+SUM(AC2:AN2)-AB2</f>
        <v>0</v>
      </c>
    </row>
    <row r="3">
      <c r="A3" s="15" t="s">
        <v>44</v>
      </c>
      <c r="B3" s="15" t="s">
        <v>45</v>
      </c>
      <c r="C3" s="15" t="s">
        <v>41</v>
      </c>
      <c r="D3" s="56">
        <f>SUMIF('2015-16 12 Mnths'!$A:$A,'Detail 18-19'!$A3,'2015-16 12 Mnths'!C:C)-SUMIF('Budget 12 Mnths'!$A:$A,'Detail 18-19'!$A3,'Budget 12 Mnths'!D:D)</f>
        <v>10000</v>
      </c>
      <c r="E3" s="56">
        <f>SUMIF('2015-16 12 Mnths'!$A:$A,'Detail 18-19'!$A3,'2015-16 12 Mnths'!D:D)-SUMIF('Budget 12 Mnths'!$A:$A,'Detail 18-19'!$A3,'Budget 12 Mnths'!E:E)</f>
        <v>0</v>
      </c>
      <c r="F3" s="56">
        <f>SUMIF('2015-16 12 Mnths'!$A:$A,'Detail 18-19'!$A3,'2015-16 12 Mnths'!E:E)-SUMIF('Budget 12 Mnths'!$A:$A,'Detail 18-19'!$A3,'Budget 12 Mnths'!F:F)</f>
        <v>0</v>
      </c>
      <c r="G3" s="56">
        <f>SUMIF('2015-16 12 Mnths'!$A:$A,'Detail 18-19'!$A3,'2015-16 12 Mnths'!F:F)-SUMIF('Budget 12 Mnths'!$A:$A,'Detail 18-19'!$A3,'Budget 12 Mnths'!G:G)</f>
        <v>9598.07</v>
      </c>
      <c r="H3" s="56">
        <f>SUMIF('2015-16 12 Mnths'!$A:$A,'Detail 18-19'!$A3,'2015-16 12 Mnths'!G:G)-SUMIF('Budget 12 Mnths'!$A:$A,'Detail 18-19'!$A3,'Budget 12 Mnths'!H:H)</f>
        <v>12.04</v>
      </c>
      <c r="I3" s="56">
        <f>SUMIF('2015-16 12 Mnths'!$A:$A,'Detail 18-19'!$A3,'2015-16 12 Mnths'!H:H)-SUMIF('Budget 12 Mnths'!$A:$A,'Detail 18-19'!$A3,'Budget 12 Mnths'!I:I)</f>
        <v>0</v>
      </c>
      <c r="J3" s="56">
        <f>SUMIF('2015-16 12 Mnths'!$A:$A,'Detail 18-19'!$A3,'2015-16 12 Mnths'!I:I)-SUMIF('Budget 12 Mnths'!$A:$A,'Detail 18-19'!$A3,'Budget 12 Mnths'!J:J)</f>
        <v>-5875</v>
      </c>
      <c r="K3" s="56">
        <f>SUMIF('2015-16 12 Mnths'!$A:$A,'Detail 18-19'!$A3,'2015-16 12 Mnths'!J:J)-SUMIF('Budget 12 Mnths'!$A:$A,'Detail 18-19'!$A3,'Budget 12 Mnths'!K:K)</f>
        <v>-4724.46</v>
      </c>
      <c r="L3" s="56">
        <f>SUMIF('2015-16 12 Mnths'!$A:$A,'Detail 18-19'!$A3,'2015-16 12 Mnths'!K:K)-SUMIF('Budget 12 Mnths'!$A:$A,'Detail 18-19'!$A3,'Budget 12 Mnths'!L:L)</f>
        <v>-5875</v>
      </c>
      <c r="M3" s="56"/>
      <c r="N3" s="56"/>
      <c r="O3" s="56"/>
      <c r="P3" s="56">
        <f t="shared" si="1"/>
        <v>3135.65</v>
      </c>
      <c r="Q3" s="14" t="str">
        <f>+VLOOKUP(A3,Mapping!$A$1:$E$443,5,FALSE)</f>
        <v>Contributions</v>
      </c>
      <c r="R3" s="26">
        <f>+SUMIF('Budget 12 Mnths'!$A:$A,'Detail 18-19'!$A3,'Budget 12 Mnths'!$P:$P)</f>
        <v>23500</v>
      </c>
      <c r="S3" s="26">
        <f>+SUMIF('2015-16 12 Mnths'!$A:$A,'Detail 18-19'!$A3,'2015-16 12 Mnths'!$O:$O)</f>
        <v>20790.15</v>
      </c>
      <c r="T3" s="57">
        <f t="shared" si="2"/>
        <v>0.1334319149</v>
      </c>
      <c r="U3" s="57">
        <f t="shared" si="3"/>
        <v>0.1508238276</v>
      </c>
      <c r="V3" s="8" t="s">
        <v>451</v>
      </c>
      <c r="W3" s="27">
        <v>23500.0</v>
      </c>
      <c r="X3" s="27">
        <f>15000+15000</f>
        <v>30000</v>
      </c>
      <c r="Z3" s="57">
        <f t="shared" si="4"/>
        <v>15000</v>
      </c>
      <c r="AA3" s="57" t="str">
        <f>IFERROR(+VLOOKUP(A3,Key!$A$1:$C$219,2,FALSE),"NOT FOUND")</f>
        <v>4125-3U</v>
      </c>
      <c r="AB3" s="27">
        <v>25000.0</v>
      </c>
      <c r="AC3" s="57">
        <f t="shared" ref="AC3:AN3" si="5">+$AB3/12</f>
        <v>2083.333333</v>
      </c>
      <c r="AD3" s="57">
        <f t="shared" si="5"/>
        <v>2083.333333</v>
      </c>
      <c r="AE3" s="57">
        <f t="shared" si="5"/>
        <v>2083.333333</v>
      </c>
      <c r="AF3" s="57">
        <f t="shared" si="5"/>
        <v>2083.333333</v>
      </c>
      <c r="AG3" s="57">
        <f t="shared" si="5"/>
        <v>2083.333333</v>
      </c>
      <c r="AH3" s="57">
        <f t="shared" si="5"/>
        <v>2083.333333</v>
      </c>
      <c r="AI3" s="57">
        <f t="shared" si="5"/>
        <v>2083.333333</v>
      </c>
      <c r="AJ3" s="57">
        <f t="shared" si="5"/>
        <v>2083.333333</v>
      </c>
      <c r="AK3" s="57">
        <f t="shared" si="5"/>
        <v>2083.333333</v>
      </c>
      <c r="AL3" s="57">
        <f t="shared" si="5"/>
        <v>2083.333333</v>
      </c>
      <c r="AM3" s="57">
        <f t="shared" si="5"/>
        <v>2083.333333</v>
      </c>
      <c r="AN3" s="57">
        <f t="shared" si="5"/>
        <v>2083.333333</v>
      </c>
      <c r="AO3" s="27">
        <f t="shared" si="6"/>
        <v>0</v>
      </c>
    </row>
    <row r="4" hidden="1">
      <c r="A4" s="15" t="s">
        <v>48</v>
      </c>
      <c r="B4" s="15" t="s">
        <v>49</v>
      </c>
      <c r="C4" s="15" t="s">
        <v>41</v>
      </c>
      <c r="D4" s="56">
        <f>SUMIF('2015-16 12 Mnths'!$A:$A,'Detail 18-19'!$A4,'2015-16 12 Mnths'!C:C)-SUMIF('Budget 12 Mnths'!$A:$A,'Detail 18-19'!$A4,'Budget 12 Mnths'!D:D)</f>
        <v>0</v>
      </c>
      <c r="E4" s="56">
        <f>SUMIF('2015-16 12 Mnths'!$A:$A,'Detail 18-19'!$A4,'2015-16 12 Mnths'!D:D)-SUMIF('Budget 12 Mnths'!$A:$A,'Detail 18-19'!$A4,'Budget 12 Mnths'!E:E)</f>
        <v>0</v>
      </c>
      <c r="F4" s="56">
        <f>SUMIF('2015-16 12 Mnths'!$A:$A,'Detail 18-19'!$A4,'2015-16 12 Mnths'!E:E)-SUMIF('Budget 12 Mnths'!$A:$A,'Detail 18-19'!$A4,'Budget 12 Mnths'!F:F)</f>
        <v>0</v>
      </c>
      <c r="G4" s="56">
        <f>SUMIF('2015-16 12 Mnths'!$A:$A,'Detail 18-19'!$A4,'2015-16 12 Mnths'!F:F)-SUMIF('Budget 12 Mnths'!$A:$A,'Detail 18-19'!$A4,'Budget 12 Mnths'!G:G)</f>
        <v>0</v>
      </c>
      <c r="H4" s="56">
        <f>SUMIF('2015-16 12 Mnths'!$A:$A,'Detail 18-19'!$A4,'2015-16 12 Mnths'!G:G)-SUMIF('Budget 12 Mnths'!$A:$A,'Detail 18-19'!$A4,'Budget 12 Mnths'!H:H)</f>
        <v>0</v>
      </c>
      <c r="I4" s="56">
        <f>SUMIF('2015-16 12 Mnths'!$A:$A,'Detail 18-19'!$A4,'2015-16 12 Mnths'!H:H)-SUMIF('Budget 12 Mnths'!$A:$A,'Detail 18-19'!$A4,'Budget 12 Mnths'!I:I)</f>
        <v>0</v>
      </c>
      <c r="J4" s="56">
        <f>SUMIF('2015-16 12 Mnths'!$A:$A,'Detail 18-19'!$A4,'2015-16 12 Mnths'!I:I)-SUMIF('Budget 12 Mnths'!$A:$A,'Detail 18-19'!$A4,'Budget 12 Mnths'!J:J)</f>
        <v>0</v>
      </c>
      <c r="K4" s="56">
        <f>SUMIF('2015-16 12 Mnths'!$A:$A,'Detail 18-19'!$A4,'2015-16 12 Mnths'!J:J)-SUMIF('Budget 12 Mnths'!$A:$A,'Detail 18-19'!$A4,'Budget 12 Mnths'!K:K)</f>
        <v>0</v>
      </c>
      <c r="L4" s="56">
        <f>SUMIF('2015-16 12 Mnths'!$A:$A,'Detail 18-19'!$A4,'2015-16 12 Mnths'!K:K)-SUMIF('Budget 12 Mnths'!$A:$A,'Detail 18-19'!$A4,'Budget 12 Mnths'!L:L)</f>
        <v>0</v>
      </c>
      <c r="M4" s="56"/>
      <c r="N4" s="56"/>
      <c r="O4" s="56"/>
      <c r="P4" s="56">
        <f t="shared" si="1"/>
        <v>0</v>
      </c>
      <c r="Q4" s="14" t="str">
        <f>+VLOOKUP(A4,Mapping!$A$1:$E$443,5,FALSE)</f>
        <v>Contributions</v>
      </c>
      <c r="R4" s="26">
        <f>+SUMIF('Budget 12 Mnths'!$A:$A,'Detail 18-19'!$A4,'Budget 12 Mnths'!$P:$P)</f>
        <v>0</v>
      </c>
      <c r="S4" s="26">
        <f>+SUMIF('2015-16 12 Mnths'!$A:$A,'Detail 18-19'!$A4,'2015-16 12 Mnths'!$O:$O)</f>
        <v>0</v>
      </c>
      <c r="T4" s="57">
        <f t="shared" si="2"/>
        <v>0</v>
      </c>
      <c r="U4" s="57">
        <f t="shared" si="3"/>
        <v>0</v>
      </c>
      <c r="W4" s="27"/>
      <c r="X4" s="27" t="str">
        <f t="shared" ref="X4:X10" si="7">+W4</f>
        <v/>
      </c>
      <c r="Z4" s="57">
        <f t="shared" si="4"/>
        <v>0</v>
      </c>
      <c r="AA4" s="57" t="str">
        <f>IFERROR(+VLOOKUP(A4,Key!$A$1:$C$219,2,FALSE),"NOT FOUND")</f>
        <v>NOT FOUND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>
        <f t="shared" si="6"/>
        <v>0</v>
      </c>
    </row>
    <row r="5">
      <c r="A5" s="15" t="s">
        <v>51</v>
      </c>
      <c r="B5" s="15" t="s">
        <v>52</v>
      </c>
      <c r="C5" s="15" t="s">
        <v>41</v>
      </c>
      <c r="D5" s="56">
        <f>SUMIF('2015-16 12 Mnths'!$A:$A,'Detail 18-19'!$A5,'2015-16 12 Mnths'!C:C)-SUMIF('Budget 12 Mnths'!$A:$A,'Detail 18-19'!$A5,'Budget 12 Mnths'!D:D)</f>
        <v>0</v>
      </c>
      <c r="E5" s="56">
        <f>SUMIF('2015-16 12 Mnths'!$A:$A,'Detail 18-19'!$A5,'2015-16 12 Mnths'!D:D)-SUMIF('Budget 12 Mnths'!$A:$A,'Detail 18-19'!$A5,'Budget 12 Mnths'!E:E)</f>
        <v>0</v>
      </c>
      <c r="F5" s="56">
        <f>SUMIF('2015-16 12 Mnths'!$A:$A,'Detail 18-19'!$A5,'2015-16 12 Mnths'!E:E)-SUMIF('Budget 12 Mnths'!$A:$A,'Detail 18-19'!$A5,'Budget 12 Mnths'!F:F)</f>
        <v>0</v>
      </c>
      <c r="G5" s="56">
        <f>SUMIF('2015-16 12 Mnths'!$A:$A,'Detail 18-19'!$A5,'2015-16 12 Mnths'!F:F)-SUMIF('Budget 12 Mnths'!$A:$A,'Detail 18-19'!$A5,'Budget 12 Mnths'!G:G)</f>
        <v>0</v>
      </c>
      <c r="H5" s="56">
        <f>SUMIF('2015-16 12 Mnths'!$A:$A,'Detail 18-19'!$A5,'2015-16 12 Mnths'!G:G)-SUMIF('Budget 12 Mnths'!$A:$A,'Detail 18-19'!$A5,'Budget 12 Mnths'!H:H)</f>
        <v>0</v>
      </c>
      <c r="I5" s="56">
        <f>SUMIF('2015-16 12 Mnths'!$A:$A,'Detail 18-19'!$A5,'2015-16 12 Mnths'!H:H)-SUMIF('Budget 12 Mnths'!$A:$A,'Detail 18-19'!$A5,'Budget 12 Mnths'!I:I)</f>
        <v>0</v>
      </c>
      <c r="J5" s="56">
        <f>SUMIF('2015-16 12 Mnths'!$A:$A,'Detail 18-19'!$A5,'2015-16 12 Mnths'!I:I)-SUMIF('Budget 12 Mnths'!$A:$A,'Detail 18-19'!$A5,'Budget 12 Mnths'!J:J)</f>
        <v>0</v>
      </c>
      <c r="K5" s="56">
        <f>SUMIF('2015-16 12 Mnths'!$A:$A,'Detail 18-19'!$A5,'2015-16 12 Mnths'!J:J)-SUMIF('Budget 12 Mnths'!$A:$A,'Detail 18-19'!$A5,'Budget 12 Mnths'!K:K)</f>
        <v>0</v>
      </c>
      <c r="L5" s="56">
        <f>SUMIF('2015-16 12 Mnths'!$A:$A,'Detail 18-19'!$A5,'2015-16 12 Mnths'!K:K)-SUMIF('Budget 12 Mnths'!$A:$A,'Detail 18-19'!$A5,'Budget 12 Mnths'!L:L)</f>
        <v>0</v>
      </c>
      <c r="M5" s="56"/>
      <c r="N5" s="56"/>
      <c r="O5" s="56"/>
      <c r="P5" s="56">
        <f t="shared" si="1"/>
        <v>0</v>
      </c>
      <c r="Q5" s="14" t="str">
        <f>+VLOOKUP(A5,Mapping!$A$1:$E$443,5,FALSE)</f>
        <v>Contributions</v>
      </c>
      <c r="R5" s="26">
        <f>+SUMIF('Budget 12 Mnths'!$A:$A,'Detail 18-19'!$A5,'Budget 12 Mnths'!$P:$P)</f>
        <v>0</v>
      </c>
      <c r="S5" s="26">
        <f>+SUMIF('2015-16 12 Mnths'!$A:$A,'Detail 18-19'!$A5,'2015-16 12 Mnths'!$O:$O)</f>
        <v>0</v>
      </c>
      <c r="T5" s="57">
        <f t="shared" si="2"/>
        <v>0</v>
      </c>
      <c r="U5" s="57">
        <f t="shared" si="3"/>
        <v>0</v>
      </c>
      <c r="W5" s="27"/>
      <c r="X5" s="27" t="str">
        <f t="shared" si="7"/>
        <v/>
      </c>
      <c r="Z5" s="57">
        <f t="shared" si="4"/>
        <v>0</v>
      </c>
      <c r="AA5" s="57" t="str">
        <f>IFERROR(+VLOOKUP(A5,Key!$A$1:$C$219,2,FALSE),"NOT FOUND")</f>
        <v>4130-1U</v>
      </c>
      <c r="AB5" s="27">
        <v>500.0</v>
      </c>
      <c r="AC5" s="27"/>
      <c r="AD5" s="27"/>
      <c r="AE5" s="27">
        <v>500.0</v>
      </c>
      <c r="AF5" s="27"/>
      <c r="AG5" s="27"/>
      <c r="AH5" s="27"/>
      <c r="AI5" s="27"/>
      <c r="AJ5" s="27"/>
      <c r="AK5" s="27"/>
      <c r="AL5" s="27"/>
      <c r="AM5" s="27"/>
      <c r="AN5" s="27"/>
      <c r="AO5" s="27">
        <f t="shared" si="6"/>
        <v>0</v>
      </c>
    </row>
    <row r="6" hidden="1">
      <c r="A6" s="15" t="s">
        <v>53</v>
      </c>
      <c r="B6" s="15" t="s">
        <v>54</v>
      </c>
      <c r="C6" s="15" t="s">
        <v>41</v>
      </c>
      <c r="D6" s="56">
        <f>SUMIF('2015-16 12 Mnths'!$A:$A,'Detail 18-19'!$A6,'2015-16 12 Mnths'!C:C)-SUMIF('Budget 12 Mnths'!$A:$A,'Detail 18-19'!$A6,'Budget 12 Mnths'!D:D)</f>
        <v>0</v>
      </c>
      <c r="E6" s="56">
        <f>SUMIF('2015-16 12 Mnths'!$A:$A,'Detail 18-19'!$A6,'2015-16 12 Mnths'!D:D)-SUMIF('Budget 12 Mnths'!$A:$A,'Detail 18-19'!$A6,'Budget 12 Mnths'!E:E)</f>
        <v>0</v>
      </c>
      <c r="F6" s="56">
        <f>SUMIF('2015-16 12 Mnths'!$A:$A,'Detail 18-19'!$A6,'2015-16 12 Mnths'!E:E)-SUMIF('Budget 12 Mnths'!$A:$A,'Detail 18-19'!$A6,'Budget 12 Mnths'!F:F)</f>
        <v>0</v>
      </c>
      <c r="G6" s="56">
        <f>SUMIF('2015-16 12 Mnths'!$A:$A,'Detail 18-19'!$A6,'2015-16 12 Mnths'!F:F)-SUMIF('Budget 12 Mnths'!$A:$A,'Detail 18-19'!$A6,'Budget 12 Mnths'!G:G)</f>
        <v>0</v>
      </c>
      <c r="H6" s="56">
        <f>SUMIF('2015-16 12 Mnths'!$A:$A,'Detail 18-19'!$A6,'2015-16 12 Mnths'!G:G)-SUMIF('Budget 12 Mnths'!$A:$A,'Detail 18-19'!$A6,'Budget 12 Mnths'!H:H)</f>
        <v>0</v>
      </c>
      <c r="I6" s="56">
        <f>SUMIF('2015-16 12 Mnths'!$A:$A,'Detail 18-19'!$A6,'2015-16 12 Mnths'!H:H)-SUMIF('Budget 12 Mnths'!$A:$A,'Detail 18-19'!$A6,'Budget 12 Mnths'!I:I)</f>
        <v>0</v>
      </c>
      <c r="J6" s="56">
        <f>SUMIF('2015-16 12 Mnths'!$A:$A,'Detail 18-19'!$A6,'2015-16 12 Mnths'!I:I)-SUMIF('Budget 12 Mnths'!$A:$A,'Detail 18-19'!$A6,'Budget 12 Mnths'!J:J)</f>
        <v>0</v>
      </c>
      <c r="K6" s="56">
        <f>SUMIF('2015-16 12 Mnths'!$A:$A,'Detail 18-19'!$A6,'2015-16 12 Mnths'!J:J)-SUMIF('Budget 12 Mnths'!$A:$A,'Detail 18-19'!$A6,'Budget 12 Mnths'!K:K)</f>
        <v>0</v>
      </c>
      <c r="L6" s="56">
        <f>SUMIF('2015-16 12 Mnths'!$A:$A,'Detail 18-19'!$A6,'2015-16 12 Mnths'!K:K)-SUMIF('Budget 12 Mnths'!$A:$A,'Detail 18-19'!$A6,'Budget 12 Mnths'!L:L)</f>
        <v>0</v>
      </c>
      <c r="M6" s="56"/>
      <c r="N6" s="56"/>
      <c r="O6" s="56"/>
      <c r="P6" s="56">
        <f t="shared" si="1"/>
        <v>0</v>
      </c>
      <c r="Q6" s="14" t="str">
        <f>+VLOOKUP(A6,Mapping!$A$1:$E$443,5,FALSE)</f>
        <v>Contributions In Kind</v>
      </c>
      <c r="R6" s="26">
        <f>+SUMIF('Budget 12 Mnths'!$A:$A,'Detail 18-19'!$A6,'Budget 12 Mnths'!$P:$P)</f>
        <v>0</v>
      </c>
      <c r="S6" s="26">
        <f>+SUMIF('2015-16 12 Mnths'!$A:$A,'Detail 18-19'!$A6,'2015-16 12 Mnths'!$O:$O)</f>
        <v>0</v>
      </c>
      <c r="T6" s="57">
        <f t="shared" si="2"/>
        <v>0</v>
      </c>
      <c r="U6" s="57">
        <f t="shared" si="3"/>
        <v>0</v>
      </c>
      <c r="W6" s="27"/>
      <c r="X6" s="27" t="str">
        <f t="shared" si="7"/>
        <v/>
      </c>
      <c r="Z6" s="57">
        <f t="shared" si="4"/>
        <v>0</v>
      </c>
      <c r="AA6" s="57" t="str">
        <f>IFERROR(+VLOOKUP(A6,Key!$A$1:$C$219,2,FALSE),"NOT FOUND")</f>
        <v>NOT FOUND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>
        <f t="shared" si="6"/>
        <v>0</v>
      </c>
    </row>
    <row r="7" hidden="1">
      <c r="A7" s="15" t="s">
        <v>57</v>
      </c>
      <c r="B7" s="15" t="s">
        <v>58</v>
      </c>
      <c r="C7" s="15" t="s">
        <v>41</v>
      </c>
      <c r="D7" s="56">
        <f>SUMIF('2015-16 12 Mnths'!$A:$A,'Detail 18-19'!$A7,'2015-16 12 Mnths'!C:C)-SUMIF('Budget 12 Mnths'!$A:$A,'Detail 18-19'!$A7,'Budget 12 Mnths'!D:D)</f>
        <v>0</v>
      </c>
      <c r="E7" s="56">
        <f>SUMIF('2015-16 12 Mnths'!$A:$A,'Detail 18-19'!$A7,'2015-16 12 Mnths'!D:D)-SUMIF('Budget 12 Mnths'!$A:$A,'Detail 18-19'!$A7,'Budget 12 Mnths'!E:E)</f>
        <v>0</v>
      </c>
      <c r="F7" s="56">
        <f>SUMIF('2015-16 12 Mnths'!$A:$A,'Detail 18-19'!$A7,'2015-16 12 Mnths'!E:E)-SUMIF('Budget 12 Mnths'!$A:$A,'Detail 18-19'!$A7,'Budget 12 Mnths'!F:F)</f>
        <v>0</v>
      </c>
      <c r="G7" s="56">
        <f>SUMIF('2015-16 12 Mnths'!$A:$A,'Detail 18-19'!$A7,'2015-16 12 Mnths'!F:F)-SUMIF('Budget 12 Mnths'!$A:$A,'Detail 18-19'!$A7,'Budget 12 Mnths'!G:G)</f>
        <v>0</v>
      </c>
      <c r="H7" s="56">
        <f>SUMIF('2015-16 12 Mnths'!$A:$A,'Detail 18-19'!$A7,'2015-16 12 Mnths'!G:G)-SUMIF('Budget 12 Mnths'!$A:$A,'Detail 18-19'!$A7,'Budget 12 Mnths'!H:H)</f>
        <v>0</v>
      </c>
      <c r="I7" s="56">
        <f>SUMIF('2015-16 12 Mnths'!$A:$A,'Detail 18-19'!$A7,'2015-16 12 Mnths'!H:H)-SUMIF('Budget 12 Mnths'!$A:$A,'Detail 18-19'!$A7,'Budget 12 Mnths'!I:I)</f>
        <v>0</v>
      </c>
      <c r="J7" s="56">
        <f>SUMIF('2015-16 12 Mnths'!$A:$A,'Detail 18-19'!$A7,'2015-16 12 Mnths'!I:I)-SUMIF('Budget 12 Mnths'!$A:$A,'Detail 18-19'!$A7,'Budget 12 Mnths'!J:J)</f>
        <v>0</v>
      </c>
      <c r="K7" s="56">
        <f>SUMIF('2015-16 12 Mnths'!$A:$A,'Detail 18-19'!$A7,'2015-16 12 Mnths'!J:J)-SUMIF('Budget 12 Mnths'!$A:$A,'Detail 18-19'!$A7,'Budget 12 Mnths'!K:K)</f>
        <v>0</v>
      </c>
      <c r="L7" s="56">
        <f>SUMIF('2015-16 12 Mnths'!$A:$A,'Detail 18-19'!$A7,'2015-16 12 Mnths'!K:K)-SUMIF('Budget 12 Mnths'!$A:$A,'Detail 18-19'!$A7,'Budget 12 Mnths'!L:L)</f>
        <v>0</v>
      </c>
      <c r="M7" s="56"/>
      <c r="N7" s="56"/>
      <c r="O7" s="56"/>
      <c r="P7" s="56">
        <f t="shared" si="1"/>
        <v>0</v>
      </c>
      <c r="Q7" s="14" t="str">
        <f>+VLOOKUP(A7,Mapping!$A$1:$E$443,5,FALSE)</f>
        <v>Contributions In Kind</v>
      </c>
      <c r="R7" s="26">
        <f>+SUMIF('Budget 12 Mnths'!$A:$A,'Detail 18-19'!$A7,'Budget 12 Mnths'!$P:$P)</f>
        <v>0</v>
      </c>
      <c r="S7" s="26">
        <f>+SUMIF('2015-16 12 Mnths'!$A:$A,'Detail 18-19'!$A7,'2015-16 12 Mnths'!$O:$O)</f>
        <v>0</v>
      </c>
      <c r="T7" s="57">
        <f t="shared" si="2"/>
        <v>0</v>
      </c>
      <c r="U7" s="57">
        <f t="shared" si="3"/>
        <v>0</v>
      </c>
      <c r="W7" s="27"/>
      <c r="X7" s="27" t="str">
        <f t="shared" si="7"/>
        <v/>
      </c>
      <c r="Z7" s="57">
        <f t="shared" si="4"/>
        <v>0</v>
      </c>
      <c r="AA7" s="57" t="str">
        <f>IFERROR(+VLOOKUP(A7,Key!$A$1:$C$219,2,FALSE),"NOT FOUND")</f>
        <v>NOT FOUND</v>
      </c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>
        <f t="shared" si="6"/>
        <v>0</v>
      </c>
    </row>
    <row r="8" hidden="1">
      <c r="A8" s="15" t="s">
        <v>62</v>
      </c>
      <c r="B8" s="15" t="s">
        <v>63</v>
      </c>
      <c r="C8" s="15" t="s">
        <v>41</v>
      </c>
      <c r="D8" s="56">
        <f>SUMIF('2015-16 12 Mnths'!$A:$A,'Detail 18-19'!$A8,'2015-16 12 Mnths'!C:C)-SUMIF('Budget 12 Mnths'!$A:$A,'Detail 18-19'!$A8,'Budget 12 Mnths'!D:D)</f>
        <v>0</v>
      </c>
      <c r="E8" s="56">
        <f>SUMIF('2015-16 12 Mnths'!$A:$A,'Detail 18-19'!$A8,'2015-16 12 Mnths'!D:D)-SUMIF('Budget 12 Mnths'!$A:$A,'Detail 18-19'!$A8,'Budget 12 Mnths'!E:E)</f>
        <v>0</v>
      </c>
      <c r="F8" s="56">
        <f>SUMIF('2015-16 12 Mnths'!$A:$A,'Detail 18-19'!$A8,'2015-16 12 Mnths'!E:E)-SUMIF('Budget 12 Mnths'!$A:$A,'Detail 18-19'!$A8,'Budget 12 Mnths'!F:F)</f>
        <v>0</v>
      </c>
      <c r="G8" s="56">
        <f>SUMIF('2015-16 12 Mnths'!$A:$A,'Detail 18-19'!$A8,'2015-16 12 Mnths'!F:F)-SUMIF('Budget 12 Mnths'!$A:$A,'Detail 18-19'!$A8,'Budget 12 Mnths'!G:G)</f>
        <v>0</v>
      </c>
      <c r="H8" s="56">
        <f>SUMIF('2015-16 12 Mnths'!$A:$A,'Detail 18-19'!$A8,'2015-16 12 Mnths'!G:G)-SUMIF('Budget 12 Mnths'!$A:$A,'Detail 18-19'!$A8,'Budget 12 Mnths'!H:H)</f>
        <v>0</v>
      </c>
      <c r="I8" s="56">
        <f>SUMIF('2015-16 12 Mnths'!$A:$A,'Detail 18-19'!$A8,'2015-16 12 Mnths'!H:H)-SUMIF('Budget 12 Mnths'!$A:$A,'Detail 18-19'!$A8,'Budget 12 Mnths'!I:I)</f>
        <v>0</v>
      </c>
      <c r="J8" s="56">
        <f>SUMIF('2015-16 12 Mnths'!$A:$A,'Detail 18-19'!$A8,'2015-16 12 Mnths'!I:I)-SUMIF('Budget 12 Mnths'!$A:$A,'Detail 18-19'!$A8,'Budget 12 Mnths'!J:J)</f>
        <v>0</v>
      </c>
      <c r="K8" s="56">
        <f>SUMIF('2015-16 12 Mnths'!$A:$A,'Detail 18-19'!$A8,'2015-16 12 Mnths'!J:J)-SUMIF('Budget 12 Mnths'!$A:$A,'Detail 18-19'!$A8,'Budget 12 Mnths'!K:K)</f>
        <v>0</v>
      </c>
      <c r="L8" s="56">
        <f>SUMIF('2015-16 12 Mnths'!$A:$A,'Detail 18-19'!$A8,'2015-16 12 Mnths'!K:K)-SUMIF('Budget 12 Mnths'!$A:$A,'Detail 18-19'!$A8,'Budget 12 Mnths'!L:L)</f>
        <v>0</v>
      </c>
      <c r="M8" s="56"/>
      <c r="N8" s="56"/>
      <c r="O8" s="56"/>
      <c r="P8" s="56">
        <f t="shared" si="1"/>
        <v>0</v>
      </c>
      <c r="Q8" s="14" t="str">
        <f>+VLOOKUP(A8,Mapping!$A$1:$E$443,5,FALSE)</f>
        <v>Contributions</v>
      </c>
      <c r="R8" s="26">
        <f>+SUMIF('Budget 12 Mnths'!$A:$A,'Detail 18-19'!$A8,'Budget 12 Mnths'!$P:$P)</f>
        <v>0</v>
      </c>
      <c r="S8" s="26">
        <f>+SUMIF('2015-16 12 Mnths'!$A:$A,'Detail 18-19'!$A8,'2015-16 12 Mnths'!$O:$O)</f>
        <v>0</v>
      </c>
      <c r="T8" s="57">
        <f t="shared" si="2"/>
        <v>0</v>
      </c>
      <c r="U8" s="57">
        <f t="shared" si="3"/>
        <v>0</v>
      </c>
      <c r="W8" s="27"/>
      <c r="X8" s="27" t="str">
        <f t="shared" si="7"/>
        <v/>
      </c>
      <c r="Z8" s="57">
        <f t="shared" si="4"/>
        <v>0</v>
      </c>
      <c r="AA8" s="57" t="str">
        <f>IFERROR(+VLOOKUP(A8,Key!$A$1:$C$219,2,FALSE),"NOT FOUND")</f>
        <v>NOT FOUND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>
        <f t="shared" si="6"/>
        <v>0</v>
      </c>
    </row>
    <row r="9">
      <c r="A9" s="15" t="s">
        <v>65</v>
      </c>
      <c r="B9" s="15" t="s">
        <v>66</v>
      </c>
      <c r="C9" s="15" t="s">
        <v>41</v>
      </c>
      <c r="D9" s="56">
        <f>SUMIF('2015-16 12 Mnths'!$A:$A,'Detail 18-19'!$A9,'2015-16 12 Mnths'!C:C)-SUMIF('Budget 12 Mnths'!$A:$A,'Detail 18-19'!$A9,'Budget 12 Mnths'!D:D)</f>
        <v>0</v>
      </c>
      <c r="E9" s="56">
        <f>SUMIF('2015-16 12 Mnths'!$A:$A,'Detail 18-19'!$A9,'2015-16 12 Mnths'!D:D)-SUMIF('Budget 12 Mnths'!$A:$A,'Detail 18-19'!$A9,'Budget 12 Mnths'!E:E)</f>
        <v>1268</v>
      </c>
      <c r="F9" s="56">
        <f>SUMIF('2015-16 12 Mnths'!$A:$A,'Detail 18-19'!$A9,'2015-16 12 Mnths'!E:E)-SUMIF('Budget 12 Mnths'!$A:$A,'Detail 18-19'!$A9,'Budget 12 Mnths'!F:F)</f>
        <v>15450</v>
      </c>
      <c r="G9" s="56">
        <f>SUMIF('2015-16 12 Mnths'!$A:$A,'Detail 18-19'!$A9,'2015-16 12 Mnths'!F:F)-SUMIF('Budget 12 Mnths'!$A:$A,'Detail 18-19'!$A9,'Budget 12 Mnths'!G:G)</f>
        <v>183</v>
      </c>
      <c r="H9" s="56">
        <f>SUMIF('2015-16 12 Mnths'!$A:$A,'Detail 18-19'!$A9,'2015-16 12 Mnths'!G:G)-SUMIF('Budget 12 Mnths'!$A:$A,'Detail 18-19'!$A9,'Budget 12 Mnths'!H:H)</f>
        <v>26</v>
      </c>
      <c r="I9" s="56">
        <f>SUMIF('2015-16 12 Mnths'!$A:$A,'Detail 18-19'!$A9,'2015-16 12 Mnths'!H:H)-SUMIF('Budget 12 Mnths'!$A:$A,'Detail 18-19'!$A9,'Budget 12 Mnths'!I:I)</f>
        <v>85</v>
      </c>
      <c r="J9" s="56">
        <f>SUMIF('2015-16 12 Mnths'!$A:$A,'Detail 18-19'!$A9,'2015-16 12 Mnths'!I:I)-SUMIF('Budget 12 Mnths'!$A:$A,'Detail 18-19'!$A9,'Budget 12 Mnths'!J:J)</f>
        <v>5125</v>
      </c>
      <c r="K9" s="56">
        <f>SUMIF('2015-16 12 Mnths'!$A:$A,'Detail 18-19'!$A9,'2015-16 12 Mnths'!J:J)-SUMIF('Budget 12 Mnths'!$A:$A,'Detail 18-19'!$A9,'Budget 12 Mnths'!K:K)</f>
        <v>200</v>
      </c>
      <c r="L9" s="56">
        <f>SUMIF('2015-16 12 Mnths'!$A:$A,'Detail 18-19'!$A9,'2015-16 12 Mnths'!K:K)-SUMIF('Budget 12 Mnths'!$A:$A,'Detail 18-19'!$A9,'Budget 12 Mnths'!L:L)</f>
        <v>443.5</v>
      </c>
      <c r="M9" s="56"/>
      <c r="N9" s="56"/>
      <c r="O9" s="56"/>
      <c r="P9" s="56">
        <f t="shared" si="1"/>
        <v>22780.5</v>
      </c>
      <c r="Q9" s="14" t="str">
        <f>+VLOOKUP(A9,Mapping!$A$1:$E$443,5,FALSE)</f>
        <v>Contributions</v>
      </c>
      <c r="R9" s="26">
        <f>+SUMIF('Budget 12 Mnths'!$A:$A,'Detail 18-19'!$A9,'Budget 12 Mnths'!$P:$P)</f>
        <v>0</v>
      </c>
      <c r="S9" s="26">
        <f>+SUMIF('2015-16 12 Mnths'!$A:$A,'Detail 18-19'!$A9,'2015-16 12 Mnths'!$O:$O)</f>
        <v>22780.5</v>
      </c>
      <c r="T9" s="57">
        <f t="shared" si="2"/>
        <v>0</v>
      </c>
      <c r="U9" s="57">
        <f t="shared" si="3"/>
        <v>1</v>
      </c>
      <c r="W9" s="27"/>
      <c r="X9" s="27" t="str">
        <f t="shared" si="7"/>
        <v/>
      </c>
      <c r="Z9" s="57">
        <f t="shared" si="4"/>
        <v>0</v>
      </c>
      <c r="AA9" s="57" t="str">
        <f>IFERROR(+VLOOKUP(A9,Key!$A$1:$C$219,2,FALSE),"NOT FOUND")</f>
        <v>4135-3T</v>
      </c>
      <c r="AB9" s="27">
        <v>10000.0</v>
      </c>
      <c r="AC9" s="27"/>
      <c r="AD9" s="27">
        <v>1000.0</v>
      </c>
      <c r="AE9" s="27">
        <v>1000.0</v>
      </c>
      <c r="AF9" s="27">
        <v>1000.0</v>
      </c>
      <c r="AG9" s="27">
        <v>1000.0</v>
      </c>
      <c r="AH9" s="27">
        <v>1000.0</v>
      </c>
      <c r="AI9" s="27">
        <v>1000.0</v>
      </c>
      <c r="AJ9" s="27">
        <v>1000.0</v>
      </c>
      <c r="AK9" s="27">
        <v>1000.0</v>
      </c>
      <c r="AL9" s="27">
        <v>1000.0</v>
      </c>
      <c r="AM9" s="27">
        <v>1000.0</v>
      </c>
      <c r="AN9" s="27">
        <v>0.0</v>
      </c>
      <c r="AO9" s="27">
        <f t="shared" si="6"/>
        <v>0</v>
      </c>
    </row>
    <row r="10" hidden="1">
      <c r="A10" s="15" t="s">
        <v>68</v>
      </c>
      <c r="B10" s="15" t="s">
        <v>69</v>
      </c>
      <c r="C10" s="15" t="s">
        <v>41</v>
      </c>
      <c r="D10" s="56">
        <f>SUMIF('2015-16 12 Mnths'!$A:$A,'Detail 18-19'!$A10,'2015-16 12 Mnths'!C:C)-SUMIF('Budget 12 Mnths'!$A:$A,'Detail 18-19'!$A10,'Budget 12 Mnths'!D:D)</f>
        <v>0</v>
      </c>
      <c r="E10" s="56">
        <f>SUMIF('2015-16 12 Mnths'!$A:$A,'Detail 18-19'!$A10,'2015-16 12 Mnths'!D:D)-SUMIF('Budget 12 Mnths'!$A:$A,'Detail 18-19'!$A10,'Budget 12 Mnths'!E:E)</f>
        <v>0</v>
      </c>
      <c r="F10" s="56">
        <f>SUMIF('2015-16 12 Mnths'!$A:$A,'Detail 18-19'!$A10,'2015-16 12 Mnths'!E:E)-SUMIF('Budget 12 Mnths'!$A:$A,'Detail 18-19'!$A10,'Budget 12 Mnths'!F:F)</f>
        <v>0</v>
      </c>
      <c r="G10" s="56">
        <f>SUMIF('2015-16 12 Mnths'!$A:$A,'Detail 18-19'!$A10,'2015-16 12 Mnths'!F:F)-SUMIF('Budget 12 Mnths'!$A:$A,'Detail 18-19'!$A10,'Budget 12 Mnths'!G:G)</f>
        <v>0</v>
      </c>
      <c r="H10" s="56">
        <f>SUMIF('2015-16 12 Mnths'!$A:$A,'Detail 18-19'!$A10,'2015-16 12 Mnths'!G:G)-SUMIF('Budget 12 Mnths'!$A:$A,'Detail 18-19'!$A10,'Budget 12 Mnths'!H:H)</f>
        <v>0</v>
      </c>
      <c r="I10" s="56">
        <f>SUMIF('2015-16 12 Mnths'!$A:$A,'Detail 18-19'!$A10,'2015-16 12 Mnths'!H:H)-SUMIF('Budget 12 Mnths'!$A:$A,'Detail 18-19'!$A10,'Budget 12 Mnths'!I:I)</f>
        <v>0</v>
      </c>
      <c r="J10" s="56">
        <f>SUMIF('2015-16 12 Mnths'!$A:$A,'Detail 18-19'!$A10,'2015-16 12 Mnths'!I:I)-SUMIF('Budget 12 Mnths'!$A:$A,'Detail 18-19'!$A10,'Budget 12 Mnths'!J:J)</f>
        <v>0</v>
      </c>
      <c r="K10" s="56">
        <f>SUMIF('2015-16 12 Mnths'!$A:$A,'Detail 18-19'!$A10,'2015-16 12 Mnths'!J:J)-SUMIF('Budget 12 Mnths'!$A:$A,'Detail 18-19'!$A10,'Budget 12 Mnths'!K:K)</f>
        <v>0</v>
      </c>
      <c r="L10" s="56">
        <f>SUMIF('2015-16 12 Mnths'!$A:$A,'Detail 18-19'!$A10,'2015-16 12 Mnths'!K:K)-SUMIF('Budget 12 Mnths'!$A:$A,'Detail 18-19'!$A10,'Budget 12 Mnths'!L:L)</f>
        <v>0</v>
      </c>
      <c r="M10" s="56"/>
      <c r="N10" s="56"/>
      <c r="O10" s="56"/>
      <c r="P10" s="56">
        <f t="shared" si="1"/>
        <v>0</v>
      </c>
      <c r="Q10" s="14" t="str">
        <f>+VLOOKUP(A10,Mapping!$A$1:$E$443,5,FALSE)</f>
        <v>Contributions</v>
      </c>
      <c r="R10" s="26">
        <f>+SUMIF('Budget 12 Mnths'!$A:$A,'Detail 18-19'!$A10,'Budget 12 Mnths'!$P:$P)</f>
        <v>0</v>
      </c>
      <c r="S10" s="26">
        <f>+SUMIF('2015-16 12 Mnths'!$A:$A,'Detail 18-19'!$A10,'2015-16 12 Mnths'!$O:$O)</f>
        <v>0</v>
      </c>
      <c r="T10" s="57">
        <f t="shared" si="2"/>
        <v>0</v>
      </c>
      <c r="U10" s="57">
        <f t="shared" si="3"/>
        <v>0</v>
      </c>
      <c r="W10" s="27"/>
      <c r="X10" s="27" t="str">
        <f t="shared" si="7"/>
        <v/>
      </c>
      <c r="Z10" s="57">
        <f t="shared" si="4"/>
        <v>0</v>
      </c>
      <c r="AA10" s="57" t="str">
        <f>IFERROR(+VLOOKUP(A10,Key!$A$1:$C$219,2,FALSE),"NOT FOUND")</f>
        <v>NOT FOUND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>
        <f t="shared" si="6"/>
        <v>0</v>
      </c>
    </row>
    <row r="11">
      <c r="A11" s="15" t="s">
        <v>70</v>
      </c>
      <c r="B11" s="15" t="s">
        <v>71</v>
      </c>
      <c r="C11" s="15" t="s">
        <v>41</v>
      </c>
      <c r="D11" s="56">
        <f>SUMIF('2015-16 12 Mnths'!$A:$A,'Detail 18-19'!$A11,'2015-16 12 Mnths'!C:C)-SUMIF('Budget 12 Mnths'!$A:$A,'Detail 18-19'!$A11,'Budget 12 Mnths'!D:D)</f>
        <v>0</v>
      </c>
      <c r="E11" s="56">
        <f>SUMIF('2015-16 12 Mnths'!$A:$A,'Detail 18-19'!$A11,'2015-16 12 Mnths'!D:D)-SUMIF('Budget 12 Mnths'!$A:$A,'Detail 18-19'!$A11,'Budget 12 Mnths'!E:E)</f>
        <v>-5105.63</v>
      </c>
      <c r="F11" s="56">
        <f>SUMIF('2015-16 12 Mnths'!$A:$A,'Detail 18-19'!$A11,'2015-16 12 Mnths'!E:E)-SUMIF('Budget 12 Mnths'!$A:$A,'Detail 18-19'!$A11,'Budget 12 Mnths'!F:F)</f>
        <v>-7421.06</v>
      </c>
      <c r="G11" s="56">
        <f>SUMIF('2015-16 12 Mnths'!$A:$A,'Detail 18-19'!$A11,'2015-16 12 Mnths'!F:F)-SUMIF('Budget 12 Mnths'!$A:$A,'Detail 18-19'!$A11,'Budget 12 Mnths'!G:G)</f>
        <v>-7421.06</v>
      </c>
      <c r="H11" s="56">
        <f>SUMIF('2015-16 12 Mnths'!$A:$A,'Detail 18-19'!$A11,'2015-16 12 Mnths'!G:G)-SUMIF('Budget 12 Mnths'!$A:$A,'Detail 18-19'!$A11,'Budget 12 Mnths'!H:H)</f>
        <v>-4431.56</v>
      </c>
      <c r="I11" s="56">
        <f>SUMIF('2015-16 12 Mnths'!$A:$A,'Detail 18-19'!$A11,'2015-16 12 Mnths'!H:H)-SUMIF('Budget 12 Mnths'!$A:$A,'Detail 18-19'!$A11,'Budget 12 Mnths'!I:I)</f>
        <v>-4431.56</v>
      </c>
      <c r="J11" s="56">
        <f>SUMIF('2015-16 12 Mnths'!$A:$A,'Detail 18-19'!$A11,'2015-16 12 Mnths'!I:I)-SUMIF('Budget 12 Mnths'!$A:$A,'Detail 18-19'!$A11,'Budget 12 Mnths'!J:J)</f>
        <v>1083.84</v>
      </c>
      <c r="K11" s="56">
        <f>SUMIF('2015-16 12 Mnths'!$A:$A,'Detail 18-19'!$A11,'2015-16 12 Mnths'!J:J)-SUMIF('Budget 12 Mnths'!$A:$A,'Detail 18-19'!$A11,'Budget 12 Mnths'!K:K)</f>
        <v>2247.67</v>
      </c>
      <c r="L11" s="56">
        <f>SUMIF('2015-16 12 Mnths'!$A:$A,'Detail 18-19'!$A11,'2015-16 12 Mnths'!K:K)-SUMIF('Budget 12 Mnths'!$A:$A,'Detail 18-19'!$A11,'Budget 12 Mnths'!L:L)</f>
        <v>2247.67</v>
      </c>
      <c r="M11" s="56"/>
      <c r="N11" s="56"/>
      <c r="O11" s="56"/>
      <c r="P11" s="56">
        <f t="shared" si="1"/>
        <v>-23231.69</v>
      </c>
      <c r="Q11" s="14" t="str">
        <f>+VLOOKUP(A11,Mapping!$A$1:$E$443,5,FALSE)</f>
        <v>Tuition</v>
      </c>
      <c r="R11" s="26">
        <f>+SUMIF('Budget 12 Mnths'!$A:$A,'Detail 18-19'!$A11,'Budget 12 Mnths'!$P:$P)</f>
        <v>942168.01</v>
      </c>
      <c r="S11" s="26">
        <f>+SUMIF('2015-16 12 Mnths'!$A:$A,'Detail 18-19'!$A11,'2015-16 12 Mnths'!$O:$O)</f>
        <v>720585.16</v>
      </c>
      <c r="T11" s="57">
        <f t="shared" si="2"/>
        <v>-0.02465769348</v>
      </c>
      <c r="U11" s="57">
        <f t="shared" si="3"/>
        <v>-0.03224003392</v>
      </c>
      <c r="V11" s="8" t="s">
        <v>594</v>
      </c>
      <c r="W11" s="51">
        <v>981882.0</v>
      </c>
      <c r="X11" s="27">
        <v>961503.0</v>
      </c>
      <c r="Y11" s="8" t="s">
        <v>601</v>
      </c>
      <c r="Z11" s="57">
        <f>+X11/9.5*4.5</f>
        <v>455448.7895</v>
      </c>
      <c r="AA11" s="57" t="str">
        <f>IFERROR(+VLOOKUP(A11,Key!$A$1:$C$219,2,FALSE),"NOT FOUND")</f>
        <v>4200-1U</v>
      </c>
      <c r="AB11" s="57">
        <v>960774.0</v>
      </c>
      <c r="AC11" s="27">
        <v>0.0</v>
      </c>
      <c r="AD11" s="57">
        <f>+$AB11/9.5*0.5</f>
        <v>50567.05263</v>
      </c>
      <c r="AE11" s="57">
        <f t="shared" ref="AE11:AM11" si="8">+$AB11/9.5</f>
        <v>101134.1053</v>
      </c>
      <c r="AF11" s="57">
        <f t="shared" si="8"/>
        <v>101134.1053</v>
      </c>
      <c r="AG11" s="57">
        <f t="shared" si="8"/>
        <v>101134.1053</v>
      </c>
      <c r="AH11" s="57">
        <f t="shared" si="8"/>
        <v>101134.1053</v>
      </c>
      <c r="AI11" s="57">
        <f t="shared" si="8"/>
        <v>101134.1053</v>
      </c>
      <c r="AJ11" s="57">
        <f t="shared" si="8"/>
        <v>101134.1053</v>
      </c>
      <c r="AK11" s="57">
        <f t="shared" si="8"/>
        <v>101134.1053</v>
      </c>
      <c r="AL11" s="57">
        <f t="shared" si="8"/>
        <v>101134.1053</v>
      </c>
      <c r="AM11" s="57">
        <f t="shared" si="8"/>
        <v>101134.1053</v>
      </c>
      <c r="AN11" s="27">
        <v>0.0</v>
      </c>
      <c r="AO11" s="27">
        <f t="shared" si="6"/>
        <v>-0.0000000001164153218</v>
      </c>
    </row>
    <row r="12">
      <c r="A12" s="15" t="s">
        <v>73</v>
      </c>
      <c r="B12" s="15" t="s">
        <v>74</v>
      </c>
      <c r="C12" s="15" t="s">
        <v>41</v>
      </c>
      <c r="D12" s="56">
        <f>SUMIF('2015-16 12 Mnths'!$A:$A,'Detail 18-19'!$A12,'2015-16 12 Mnths'!C:C)-SUMIF('Budget 12 Mnths'!$A:$A,'Detail 18-19'!$A12,'Budget 12 Mnths'!D:D)</f>
        <v>0</v>
      </c>
      <c r="E12" s="56">
        <f>SUMIF('2015-16 12 Mnths'!$A:$A,'Detail 18-19'!$A12,'2015-16 12 Mnths'!D:D)-SUMIF('Budget 12 Mnths'!$A:$A,'Detail 18-19'!$A12,'Budget 12 Mnths'!E:E)</f>
        <v>1455</v>
      </c>
      <c r="F12" s="56">
        <f>SUMIF('2015-16 12 Mnths'!$A:$A,'Detail 18-19'!$A12,'2015-16 12 Mnths'!E:E)-SUMIF('Budget 12 Mnths'!$A:$A,'Detail 18-19'!$A12,'Budget 12 Mnths'!F:F)</f>
        <v>-680</v>
      </c>
      <c r="G12" s="56">
        <f>SUMIF('2015-16 12 Mnths'!$A:$A,'Detail 18-19'!$A12,'2015-16 12 Mnths'!F:F)-SUMIF('Budget 12 Mnths'!$A:$A,'Detail 18-19'!$A12,'Budget 12 Mnths'!G:G)</f>
        <v>-340</v>
      </c>
      <c r="H12" s="56">
        <f>SUMIF('2015-16 12 Mnths'!$A:$A,'Detail 18-19'!$A12,'2015-16 12 Mnths'!G:G)-SUMIF('Budget 12 Mnths'!$A:$A,'Detail 18-19'!$A12,'Budget 12 Mnths'!H:H)</f>
        <v>35</v>
      </c>
      <c r="I12" s="56">
        <f>SUMIF('2015-16 12 Mnths'!$A:$A,'Detail 18-19'!$A12,'2015-16 12 Mnths'!H:H)-SUMIF('Budget 12 Mnths'!$A:$A,'Detail 18-19'!$A12,'Budget 12 Mnths'!I:I)</f>
        <v>-340</v>
      </c>
      <c r="J12" s="56">
        <f>SUMIF('2015-16 12 Mnths'!$A:$A,'Detail 18-19'!$A12,'2015-16 12 Mnths'!I:I)-SUMIF('Budget 12 Mnths'!$A:$A,'Detail 18-19'!$A12,'Budget 12 Mnths'!J:J)</f>
        <v>820</v>
      </c>
      <c r="K12" s="56">
        <f>SUMIF('2015-16 12 Mnths'!$A:$A,'Detail 18-19'!$A12,'2015-16 12 Mnths'!J:J)-SUMIF('Budget 12 Mnths'!$A:$A,'Detail 18-19'!$A12,'Budget 12 Mnths'!K:K)</f>
        <v>-305</v>
      </c>
      <c r="L12" s="56">
        <f>SUMIF('2015-16 12 Mnths'!$A:$A,'Detail 18-19'!$A12,'2015-16 12 Mnths'!K:K)-SUMIF('Budget 12 Mnths'!$A:$A,'Detail 18-19'!$A12,'Budget 12 Mnths'!L:L)</f>
        <v>-680</v>
      </c>
      <c r="M12" s="56"/>
      <c r="N12" s="56"/>
      <c r="O12" s="56"/>
      <c r="P12" s="56">
        <f t="shared" si="1"/>
        <v>-35</v>
      </c>
      <c r="Q12" s="14" t="str">
        <f>+VLOOKUP(A12,Mapping!$A$1:$E$443,5,FALSE)</f>
        <v>Tuition</v>
      </c>
      <c r="R12" s="26">
        <f>+SUMIF('Budget 12 Mnths'!$A:$A,'Detail 18-19'!$A12,'Budget 12 Mnths'!$P:$P)</f>
        <v>25500</v>
      </c>
      <c r="S12" s="26">
        <f>+SUMIF('2015-16 12 Mnths'!$A:$A,'Detail 18-19'!$A12,'2015-16 12 Mnths'!$O:$O)</f>
        <v>25125</v>
      </c>
      <c r="T12" s="57">
        <f t="shared" si="2"/>
        <v>-0.00137254902</v>
      </c>
      <c r="U12" s="57">
        <f t="shared" si="3"/>
        <v>-0.001393034826</v>
      </c>
      <c r="V12" s="8" t="s">
        <v>594</v>
      </c>
      <c r="W12" s="51">
        <v>25500.0</v>
      </c>
      <c r="X12" s="27">
        <f>+'Tuition 19-20'!C58*'Tuition 19-20'!C19</f>
        <v>21375</v>
      </c>
      <c r="Y12" s="8" t="s">
        <v>601</v>
      </c>
      <c r="Z12" s="57">
        <f>+X12*0.95</f>
        <v>20306.25</v>
      </c>
      <c r="AA12" s="57" t="str">
        <f>IFERROR(+VLOOKUP(A12,Key!$A$1:$C$219,2,FALSE),"NOT FOUND")</f>
        <v>4205-1U</v>
      </c>
      <c r="AB12" s="57">
        <f>+'Tuition 19-20'!C59*'Tuition 19-20'!C37</f>
        <v>21750</v>
      </c>
      <c r="AC12" s="27">
        <v>0.0</v>
      </c>
      <c r="AD12" s="57">
        <f>+AB12*0.85</f>
        <v>18487.5</v>
      </c>
      <c r="AE12" s="57">
        <f>+AB12*0.1</f>
        <v>2175</v>
      </c>
      <c r="AF12" s="57">
        <v>0.0</v>
      </c>
      <c r="AG12" s="57">
        <v>0.0</v>
      </c>
      <c r="AH12" s="57">
        <v>0.0</v>
      </c>
      <c r="AI12" s="57">
        <f>+AB12-AD12-AE12</f>
        <v>1087.5</v>
      </c>
      <c r="AJ12" s="57"/>
      <c r="AK12" s="57"/>
      <c r="AL12" s="57"/>
      <c r="AM12" s="57"/>
      <c r="AN12" s="57"/>
      <c r="AO12" s="27">
        <f t="shared" si="6"/>
        <v>0</v>
      </c>
    </row>
    <row r="13">
      <c r="A13" s="15" t="s">
        <v>75</v>
      </c>
      <c r="B13" s="15" t="s">
        <v>76</v>
      </c>
      <c r="C13" s="15" t="s">
        <v>41</v>
      </c>
      <c r="D13" s="56">
        <f>SUMIF('2015-16 12 Mnths'!$A:$A,'Detail 18-19'!$A13,'2015-16 12 Mnths'!C:C)-SUMIF('Budget 12 Mnths'!$A:$A,'Detail 18-19'!$A13,'Budget 12 Mnths'!D:D)</f>
        <v>0</v>
      </c>
      <c r="E13" s="56">
        <f>SUMIF('2015-16 12 Mnths'!$A:$A,'Detail 18-19'!$A13,'2015-16 12 Mnths'!D:D)-SUMIF('Budget 12 Mnths'!$A:$A,'Detail 18-19'!$A13,'Budget 12 Mnths'!E:E)</f>
        <v>0</v>
      </c>
      <c r="F13" s="56">
        <f>SUMIF('2015-16 12 Mnths'!$A:$A,'Detail 18-19'!$A13,'2015-16 12 Mnths'!E:E)-SUMIF('Budget 12 Mnths'!$A:$A,'Detail 18-19'!$A13,'Budget 12 Mnths'!F:F)</f>
        <v>0</v>
      </c>
      <c r="G13" s="56">
        <f>SUMIF('2015-16 12 Mnths'!$A:$A,'Detail 18-19'!$A13,'2015-16 12 Mnths'!F:F)-SUMIF('Budget 12 Mnths'!$A:$A,'Detail 18-19'!$A13,'Budget 12 Mnths'!G:G)</f>
        <v>0</v>
      </c>
      <c r="H13" s="56">
        <f>SUMIF('2015-16 12 Mnths'!$A:$A,'Detail 18-19'!$A13,'2015-16 12 Mnths'!G:G)-SUMIF('Budget 12 Mnths'!$A:$A,'Detail 18-19'!$A13,'Budget 12 Mnths'!H:H)</f>
        <v>0</v>
      </c>
      <c r="I13" s="56">
        <f>SUMIF('2015-16 12 Mnths'!$A:$A,'Detail 18-19'!$A13,'2015-16 12 Mnths'!H:H)-SUMIF('Budget 12 Mnths'!$A:$A,'Detail 18-19'!$A13,'Budget 12 Mnths'!I:I)</f>
        <v>0</v>
      </c>
      <c r="J13" s="56">
        <f>SUMIF('2015-16 12 Mnths'!$A:$A,'Detail 18-19'!$A13,'2015-16 12 Mnths'!I:I)-SUMIF('Budget 12 Mnths'!$A:$A,'Detail 18-19'!$A13,'Budget 12 Mnths'!J:J)</f>
        <v>0</v>
      </c>
      <c r="K13" s="56">
        <f>SUMIF('2015-16 12 Mnths'!$A:$A,'Detail 18-19'!$A13,'2015-16 12 Mnths'!J:J)-SUMIF('Budget 12 Mnths'!$A:$A,'Detail 18-19'!$A13,'Budget 12 Mnths'!K:K)</f>
        <v>0</v>
      </c>
      <c r="L13" s="56">
        <f>SUMIF('2015-16 12 Mnths'!$A:$A,'Detail 18-19'!$A13,'2015-16 12 Mnths'!K:K)-SUMIF('Budget 12 Mnths'!$A:$A,'Detail 18-19'!$A13,'Budget 12 Mnths'!L:L)</f>
        <v>0</v>
      </c>
      <c r="M13" s="56"/>
      <c r="N13" s="56"/>
      <c r="O13" s="56"/>
      <c r="P13" s="56">
        <f t="shared" si="1"/>
        <v>0</v>
      </c>
      <c r="Q13" s="14" t="str">
        <f>+VLOOKUP(A13,Mapping!$A$1:$E$443,5,FALSE)</f>
        <v>Tuition</v>
      </c>
      <c r="R13" s="26">
        <f>+SUMIF('Budget 12 Mnths'!$A:$A,'Detail 18-19'!$A13,'Budget 12 Mnths'!$P:$P)</f>
        <v>2000</v>
      </c>
      <c r="S13" s="26">
        <f>+SUMIF('2015-16 12 Mnths'!$A:$A,'Detail 18-19'!$A13,'2015-16 12 Mnths'!$O:$O)</f>
        <v>0</v>
      </c>
      <c r="T13" s="57">
        <f t="shared" si="2"/>
        <v>0</v>
      </c>
      <c r="U13" s="57">
        <f t="shared" si="3"/>
        <v>0</v>
      </c>
      <c r="V13" s="8" t="s">
        <v>641</v>
      </c>
      <c r="W13" s="27">
        <f t="shared" ref="W13:W14" si="9">+R13</f>
        <v>2000</v>
      </c>
      <c r="X13" s="27">
        <v>2000.0</v>
      </c>
      <c r="Z13" s="57">
        <f t="shared" ref="Z13:Z17" si="10">+X13/2</f>
        <v>1000</v>
      </c>
      <c r="AA13" s="57" t="str">
        <f>IFERROR(+VLOOKUP(A13,Key!$A$1:$C$219,2,FALSE),"NOT FOUND")</f>
        <v>4210-1U</v>
      </c>
      <c r="AB13" s="57">
        <v>2000.0</v>
      </c>
      <c r="AC13" s="27">
        <v>1000.0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>
        <v>1000.0</v>
      </c>
      <c r="AO13" s="27">
        <f t="shared" si="6"/>
        <v>0</v>
      </c>
    </row>
    <row r="14">
      <c r="A14" s="15" t="s">
        <v>79</v>
      </c>
      <c r="B14" s="15" t="s">
        <v>80</v>
      </c>
      <c r="C14" s="15" t="s">
        <v>41</v>
      </c>
      <c r="D14" s="56">
        <f>SUMIF('2015-16 12 Mnths'!$A:$A,'Detail 18-19'!$A14,'2015-16 12 Mnths'!C:C)-SUMIF('Budget 12 Mnths'!$A:$A,'Detail 18-19'!$A14,'Budget 12 Mnths'!D:D)</f>
        <v>-116.67</v>
      </c>
      <c r="E14" s="56">
        <f>SUMIF('2015-16 12 Mnths'!$A:$A,'Detail 18-19'!$A14,'2015-16 12 Mnths'!D:D)-SUMIF('Budget 12 Mnths'!$A:$A,'Detail 18-19'!$A14,'Budget 12 Mnths'!E:E)</f>
        <v>-17.67</v>
      </c>
      <c r="F14" s="56">
        <f>SUMIF('2015-16 12 Mnths'!$A:$A,'Detail 18-19'!$A14,'2015-16 12 Mnths'!E:E)-SUMIF('Budget 12 Mnths'!$A:$A,'Detail 18-19'!$A14,'Budget 12 Mnths'!F:F)</f>
        <v>-66.67</v>
      </c>
      <c r="G14" s="56">
        <f>SUMIF('2015-16 12 Mnths'!$A:$A,'Detail 18-19'!$A14,'2015-16 12 Mnths'!F:F)-SUMIF('Budget 12 Mnths'!$A:$A,'Detail 18-19'!$A14,'Budget 12 Mnths'!G:G)</f>
        <v>150</v>
      </c>
      <c r="H14" s="56">
        <f>SUMIF('2015-16 12 Mnths'!$A:$A,'Detail 18-19'!$A14,'2015-16 12 Mnths'!G:G)-SUMIF('Budget 12 Mnths'!$A:$A,'Detail 18-19'!$A14,'Budget 12 Mnths'!H:H)</f>
        <v>50</v>
      </c>
      <c r="I14" s="56">
        <f>SUMIF('2015-16 12 Mnths'!$A:$A,'Detail 18-19'!$A14,'2015-16 12 Mnths'!H:H)-SUMIF('Budget 12 Mnths'!$A:$A,'Detail 18-19'!$A14,'Budget 12 Mnths'!I:I)</f>
        <v>150</v>
      </c>
      <c r="J14" s="56">
        <f>SUMIF('2015-16 12 Mnths'!$A:$A,'Detail 18-19'!$A14,'2015-16 12 Mnths'!I:I)-SUMIF('Budget 12 Mnths'!$A:$A,'Detail 18-19'!$A14,'Budget 12 Mnths'!J:J)</f>
        <v>100</v>
      </c>
      <c r="K14" s="56">
        <f>SUMIF('2015-16 12 Mnths'!$A:$A,'Detail 18-19'!$A14,'2015-16 12 Mnths'!J:J)-SUMIF('Budget 12 Mnths'!$A:$A,'Detail 18-19'!$A14,'Budget 12 Mnths'!K:K)</f>
        <v>50</v>
      </c>
      <c r="L14" s="56">
        <f>SUMIF('2015-16 12 Mnths'!$A:$A,'Detail 18-19'!$A14,'2015-16 12 Mnths'!K:K)-SUMIF('Budget 12 Mnths'!$A:$A,'Detail 18-19'!$A14,'Budget 12 Mnths'!L:L)</f>
        <v>100</v>
      </c>
      <c r="M14" s="56"/>
      <c r="N14" s="56"/>
      <c r="O14" s="56"/>
      <c r="P14" s="56">
        <f t="shared" si="1"/>
        <v>398.99</v>
      </c>
      <c r="Q14" s="14" t="str">
        <f>+VLOOKUP(A14,Mapping!$A$1:$E$443,5,FALSE)</f>
        <v>Tuition</v>
      </c>
      <c r="R14" s="26">
        <f>+SUMIF('Budget 12 Mnths'!$A:$A,'Detail 18-19'!$A14,'Budget 12 Mnths'!$P:$P)</f>
        <v>1000.02</v>
      </c>
      <c r="S14" s="26">
        <f>+SUMIF('2015-16 12 Mnths'!$A:$A,'Detail 18-19'!$A14,'2015-16 12 Mnths'!$O:$O)</f>
        <v>949</v>
      </c>
      <c r="T14" s="57">
        <f t="shared" si="2"/>
        <v>0.3989820204</v>
      </c>
      <c r="U14" s="57">
        <f t="shared" si="3"/>
        <v>0.4204320337</v>
      </c>
      <c r="V14" s="8" t="s">
        <v>641</v>
      </c>
      <c r="W14" s="27">
        <f t="shared" si="9"/>
        <v>1000.02</v>
      </c>
      <c r="X14" s="27">
        <v>500.0</v>
      </c>
      <c r="Z14" s="57">
        <f t="shared" si="10"/>
        <v>250</v>
      </c>
      <c r="AA14" s="57" t="str">
        <f>IFERROR(+VLOOKUP(A14,Key!$A$1:$C$219,2,FALSE),"NOT FOUND")</f>
        <v>4215-1U</v>
      </c>
      <c r="AB14" s="57">
        <v>500.0</v>
      </c>
      <c r="AC14" s="27">
        <v>125.0</v>
      </c>
      <c r="AD14" s="27">
        <v>125.0</v>
      </c>
      <c r="AE14" s="27"/>
      <c r="AF14" s="27"/>
      <c r="AG14" s="27"/>
      <c r="AH14" s="27"/>
      <c r="AI14" s="27">
        <v>125.0</v>
      </c>
      <c r="AJ14" s="27">
        <v>125.0</v>
      </c>
      <c r="AK14" s="27"/>
      <c r="AL14" s="27"/>
      <c r="AM14" s="27"/>
      <c r="AN14" s="27"/>
      <c r="AO14" s="27">
        <f t="shared" si="6"/>
        <v>0</v>
      </c>
    </row>
    <row r="15">
      <c r="A15" s="15" t="s">
        <v>82</v>
      </c>
      <c r="B15" s="15" t="s">
        <v>83</v>
      </c>
      <c r="C15" s="15" t="s">
        <v>41</v>
      </c>
      <c r="D15" s="56">
        <f>SUMIF('2015-16 12 Mnths'!$A:$A,'Detail 18-19'!$A15,'2015-16 12 Mnths'!C:C)-SUMIF('Budget 12 Mnths'!$A:$A,'Detail 18-19'!$A15,'Budget 12 Mnths'!D:D)</f>
        <v>0</v>
      </c>
      <c r="E15" s="56">
        <f>SUMIF('2015-16 12 Mnths'!$A:$A,'Detail 18-19'!$A15,'2015-16 12 Mnths'!D:D)-SUMIF('Budget 12 Mnths'!$A:$A,'Detail 18-19'!$A15,'Budget 12 Mnths'!E:E)</f>
        <v>0</v>
      </c>
      <c r="F15" s="56">
        <f>SUMIF('2015-16 12 Mnths'!$A:$A,'Detail 18-19'!$A15,'2015-16 12 Mnths'!E:E)-SUMIF('Budget 12 Mnths'!$A:$A,'Detail 18-19'!$A15,'Budget 12 Mnths'!F:F)</f>
        <v>600</v>
      </c>
      <c r="G15" s="56">
        <f>SUMIF('2015-16 12 Mnths'!$A:$A,'Detail 18-19'!$A15,'2015-16 12 Mnths'!F:F)-SUMIF('Budget 12 Mnths'!$A:$A,'Detail 18-19'!$A15,'Budget 12 Mnths'!G:G)</f>
        <v>0</v>
      </c>
      <c r="H15" s="56">
        <f>SUMIF('2015-16 12 Mnths'!$A:$A,'Detail 18-19'!$A15,'2015-16 12 Mnths'!G:G)-SUMIF('Budget 12 Mnths'!$A:$A,'Detail 18-19'!$A15,'Budget 12 Mnths'!H:H)</f>
        <v>0</v>
      </c>
      <c r="I15" s="56">
        <f>SUMIF('2015-16 12 Mnths'!$A:$A,'Detail 18-19'!$A15,'2015-16 12 Mnths'!H:H)-SUMIF('Budget 12 Mnths'!$A:$A,'Detail 18-19'!$A15,'Budget 12 Mnths'!I:I)</f>
        <v>0</v>
      </c>
      <c r="J15" s="56">
        <f>SUMIF('2015-16 12 Mnths'!$A:$A,'Detail 18-19'!$A15,'2015-16 12 Mnths'!I:I)-SUMIF('Budget 12 Mnths'!$A:$A,'Detail 18-19'!$A15,'Budget 12 Mnths'!J:J)</f>
        <v>0</v>
      </c>
      <c r="K15" s="56">
        <f>SUMIF('2015-16 12 Mnths'!$A:$A,'Detail 18-19'!$A15,'2015-16 12 Mnths'!J:J)-SUMIF('Budget 12 Mnths'!$A:$A,'Detail 18-19'!$A15,'Budget 12 Mnths'!K:K)</f>
        <v>0</v>
      </c>
      <c r="L15" s="56">
        <f>SUMIF('2015-16 12 Mnths'!$A:$A,'Detail 18-19'!$A15,'2015-16 12 Mnths'!K:K)-SUMIF('Budget 12 Mnths'!$A:$A,'Detail 18-19'!$A15,'Budget 12 Mnths'!L:L)</f>
        <v>0</v>
      </c>
      <c r="M15" s="56"/>
      <c r="N15" s="56"/>
      <c r="O15" s="56"/>
      <c r="P15" s="56">
        <f t="shared" si="1"/>
        <v>600</v>
      </c>
      <c r="Q15" s="14" t="str">
        <f>+VLOOKUP(A15,Mapping!$A$1:$E$443,5,FALSE)</f>
        <v>Tuition</v>
      </c>
      <c r="R15" s="26">
        <f>+SUMIF('Budget 12 Mnths'!$A:$A,'Detail 18-19'!$A15,'Budget 12 Mnths'!$P:$P)</f>
        <v>0</v>
      </c>
      <c r="S15" s="26">
        <f>+SUMIF('2015-16 12 Mnths'!$A:$A,'Detail 18-19'!$A15,'2015-16 12 Mnths'!$O:$O)</f>
        <v>600</v>
      </c>
      <c r="T15" s="57">
        <f t="shared" si="2"/>
        <v>0</v>
      </c>
      <c r="U15" s="57">
        <f t="shared" si="3"/>
        <v>1</v>
      </c>
      <c r="W15" s="27"/>
      <c r="X15" s="27" t="str">
        <f t="shared" ref="X15:X17" si="11">+W15</f>
        <v/>
      </c>
      <c r="Z15" s="57">
        <f t="shared" si="10"/>
        <v>0</v>
      </c>
      <c r="AA15" s="57" t="str">
        <f>IFERROR(+VLOOKUP(A15,Key!$A$1:$C$219,2,FALSE),"NOT FOUND")</f>
        <v>4220-1U</v>
      </c>
      <c r="AB15" s="27">
        <v>3000.0</v>
      </c>
      <c r="AC15" s="27"/>
      <c r="AD15" s="27">
        <v>300.0</v>
      </c>
      <c r="AE15" s="27">
        <v>300.0</v>
      </c>
      <c r="AF15" s="27">
        <v>300.0</v>
      </c>
      <c r="AG15" s="27">
        <v>300.0</v>
      </c>
      <c r="AH15" s="27">
        <v>300.0</v>
      </c>
      <c r="AI15" s="27">
        <v>300.0</v>
      </c>
      <c r="AJ15" s="27">
        <v>300.0</v>
      </c>
      <c r="AK15" s="27">
        <v>300.0</v>
      </c>
      <c r="AL15" s="27">
        <v>300.0</v>
      </c>
      <c r="AM15" s="27">
        <v>300.0</v>
      </c>
      <c r="AN15" s="27"/>
      <c r="AO15" s="27">
        <f t="shared" si="6"/>
        <v>0</v>
      </c>
    </row>
    <row r="16" hidden="1">
      <c r="A16" s="15" t="s">
        <v>85</v>
      </c>
      <c r="B16" s="15" t="s">
        <v>86</v>
      </c>
      <c r="C16" s="15" t="s">
        <v>41</v>
      </c>
      <c r="D16" s="56">
        <f>SUMIF('2015-16 12 Mnths'!$A:$A,'Detail 18-19'!$A16,'2015-16 12 Mnths'!C:C)-SUMIF('Budget 12 Mnths'!$A:$A,'Detail 18-19'!$A16,'Budget 12 Mnths'!D:D)</f>
        <v>0</v>
      </c>
      <c r="E16" s="56">
        <f>SUMIF('2015-16 12 Mnths'!$A:$A,'Detail 18-19'!$A16,'2015-16 12 Mnths'!D:D)-SUMIF('Budget 12 Mnths'!$A:$A,'Detail 18-19'!$A16,'Budget 12 Mnths'!E:E)</f>
        <v>-263.16</v>
      </c>
      <c r="F16" s="56">
        <f>SUMIF('2015-16 12 Mnths'!$A:$A,'Detail 18-19'!$A16,'2015-16 12 Mnths'!E:E)-SUMIF('Budget 12 Mnths'!$A:$A,'Detail 18-19'!$A16,'Budget 12 Mnths'!F:F)</f>
        <v>-526.32</v>
      </c>
      <c r="G16" s="56">
        <f>SUMIF('2015-16 12 Mnths'!$A:$A,'Detail 18-19'!$A16,'2015-16 12 Mnths'!F:F)-SUMIF('Budget 12 Mnths'!$A:$A,'Detail 18-19'!$A16,'Budget 12 Mnths'!G:G)</f>
        <v>-526.32</v>
      </c>
      <c r="H16" s="56">
        <f>SUMIF('2015-16 12 Mnths'!$A:$A,'Detail 18-19'!$A16,'2015-16 12 Mnths'!G:G)-SUMIF('Budget 12 Mnths'!$A:$A,'Detail 18-19'!$A16,'Budget 12 Mnths'!H:H)</f>
        <v>-526.32</v>
      </c>
      <c r="I16" s="56">
        <f>SUMIF('2015-16 12 Mnths'!$A:$A,'Detail 18-19'!$A16,'2015-16 12 Mnths'!H:H)-SUMIF('Budget 12 Mnths'!$A:$A,'Detail 18-19'!$A16,'Budget 12 Mnths'!I:I)</f>
        <v>-526.32</v>
      </c>
      <c r="J16" s="56">
        <f>SUMIF('2015-16 12 Mnths'!$A:$A,'Detail 18-19'!$A16,'2015-16 12 Mnths'!I:I)-SUMIF('Budget 12 Mnths'!$A:$A,'Detail 18-19'!$A16,'Budget 12 Mnths'!J:J)</f>
        <v>-526.32</v>
      </c>
      <c r="K16" s="56">
        <f>SUMIF('2015-16 12 Mnths'!$A:$A,'Detail 18-19'!$A16,'2015-16 12 Mnths'!J:J)-SUMIF('Budget 12 Mnths'!$A:$A,'Detail 18-19'!$A16,'Budget 12 Mnths'!K:K)</f>
        <v>-526.32</v>
      </c>
      <c r="L16" s="56">
        <f>SUMIF('2015-16 12 Mnths'!$A:$A,'Detail 18-19'!$A16,'2015-16 12 Mnths'!K:K)-SUMIF('Budget 12 Mnths'!$A:$A,'Detail 18-19'!$A16,'Budget 12 Mnths'!L:L)</f>
        <v>-526.32</v>
      </c>
      <c r="M16" s="56"/>
      <c r="N16" s="56"/>
      <c r="O16" s="56"/>
      <c r="P16" s="56">
        <f t="shared" si="1"/>
        <v>-3947.4</v>
      </c>
      <c r="Q16" s="14" t="str">
        <f>+VLOOKUP(A16,Mapping!$A$1:$E$443,5,FALSE)</f>
        <v>Counseling</v>
      </c>
      <c r="R16" s="26">
        <f>+SUMIF('Budget 12 Mnths'!$A:$A,'Detail 18-19'!$A16,'Budget 12 Mnths'!$P:$P)</f>
        <v>5000</v>
      </c>
      <c r="S16" s="26">
        <f>+SUMIF('2015-16 12 Mnths'!$A:$A,'Detail 18-19'!$A16,'2015-16 12 Mnths'!$O:$O)</f>
        <v>0</v>
      </c>
      <c r="T16" s="57">
        <f t="shared" si="2"/>
        <v>-0.78948</v>
      </c>
      <c r="U16" s="57">
        <f t="shared" si="3"/>
        <v>0</v>
      </c>
      <c r="V16" s="8" t="s">
        <v>451</v>
      </c>
      <c r="W16" s="27">
        <v>0.0</v>
      </c>
      <c r="X16" s="27">
        <f t="shared" si="11"/>
        <v>0</v>
      </c>
      <c r="Z16" s="57">
        <f t="shared" si="10"/>
        <v>0</v>
      </c>
      <c r="AA16" s="57" t="str">
        <f>IFERROR(+VLOOKUP(A16,Key!$A$1:$C$219,2,FALSE),"NOT FOUND")</f>
        <v>NOT FOUND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f t="shared" si="6"/>
        <v>0</v>
      </c>
    </row>
    <row r="17" hidden="1">
      <c r="A17" s="15" t="s">
        <v>88</v>
      </c>
      <c r="B17" s="15" t="s">
        <v>89</v>
      </c>
      <c r="C17" s="15" t="s">
        <v>41</v>
      </c>
      <c r="D17" s="56">
        <f>SUMIF('2015-16 12 Mnths'!$A:$A,'Detail 18-19'!$A17,'2015-16 12 Mnths'!C:C)-SUMIF('Budget 12 Mnths'!$A:$A,'Detail 18-19'!$A17,'Budget 12 Mnths'!D:D)</f>
        <v>0</v>
      </c>
      <c r="E17" s="56">
        <f>SUMIF('2015-16 12 Mnths'!$A:$A,'Detail 18-19'!$A17,'2015-16 12 Mnths'!D:D)-SUMIF('Budget 12 Mnths'!$A:$A,'Detail 18-19'!$A17,'Budget 12 Mnths'!E:E)</f>
        <v>0</v>
      </c>
      <c r="F17" s="56">
        <f>SUMIF('2015-16 12 Mnths'!$A:$A,'Detail 18-19'!$A17,'2015-16 12 Mnths'!E:E)-SUMIF('Budget 12 Mnths'!$A:$A,'Detail 18-19'!$A17,'Budget 12 Mnths'!F:F)</f>
        <v>0</v>
      </c>
      <c r="G17" s="56">
        <f>SUMIF('2015-16 12 Mnths'!$A:$A,'Detail 18-19'!$A17,'2015-16 12 Mnths'!F:F)-SUMIF('Budget 12 Mnths'!$A:$A,'Detail 18-19'!$A17,'Budget 12 Mnths'!G:G)</f>
        <v>0</v>
      </c>
      <c r="H17" s="56">
        <f>SUMIF('2015-16 12 Mnths'!$A:$A,'Detail 18-19'!$A17,'2015-16 12 Mnths'!G:G)-SUMIF('Budget 12 Mnths'!$A:$A,'Detail 18-19'!$A17,'Budget 12 Mnths'!H:H)</f>
        <v>0</v>
      </c>
      <c r="I17" s="56">
        <f>SUMIF('2015-16 12 Mnths'!$A:$A,'Detail 18-19'!$A17,'2015-16 12 Mnths'!H:H)-SUMIF('Budget 12 Mnths'!$A:$A,'Detail 18-19'!$A17,'Budget 12 Mnths'!I:I)</f>
        <v>0</v>
      </c>
      <c r="J17" s="56">
        <f>SUMIF('2015-16 12 Mnths'!$A:$A,'Detail 18-19'!$A17,'2015-16 12 Mnths'!I:I)-SUMIF('Budget 12 Mnths'!$A:$A,'Detail 18-19'!$A17,'Budget 12 Mnths'!J:J)</f>
        <v>0</v>
      </c>
      <c r="K17" s="56">
        <f>SUMIF('2015-16 12 Mnths'!$A:$A,'Detail 18-19'!$A17,'2015-16 12 Mnths'!J:J)-SUMIF('Budget 12 Mnths'!$A:$A,'Detail 18-19'!$A17,'Budget 12 Mnths'!K:K)</f>
        <v>0</v>
      </c>
      <c r="L17" s="56">
        <f>SUMIF('2015-16 12 Mnths'!$A:$A,'Detail 18-19'!$A17,'2015-16 12 Mnths'!K:K)-SUMIF('Budget 12 Mnths'!$A:$A,'Detail 18-19'!$A17,'Budget 12 Mnths'!L:L)</f>
        <v>0</v>
      </c>
      <c r="M17" s="56"/>
      <c r="N17" s="56"/>
      <c r="O17" s="56"/>
      <c r="P17" s="56">
        <f t="shared" si="1"/>
        <v>0</v>
      </c>
      <c r="Q17" s="14" t="str">
        <f>+VLOOKUP(A17,Mapping!$A$1:$E$443,5,FALSE)</f>
        <v>Counseling</v>
      </c>
      <c r="R17" s="26">
        <f>+SUMIF('Budget 12 Mnths'!$A:$A,'Detail 18-19'!$A17,'Budget 12 Mnths'!$P:$P)</f>
        <v>0</v>
      </c>
      <c r="S17" s="26">
        <f>+SUMIF('2015-16 12 Mnths'!$A:$A,'Detail 18-19'!$A17,'2015-16 12 Mnths'!$O:$O)</f>
        <v>0</v>
      </c>
      <c r="T17" s="57">
        <f t="shared" si="2"/>
        <v>0</v>
      </c>
      <c r="U17" s="57">
        <f t="shared" si="3"/>
        <v>0</v>
      </c>
      <c r="W17" s="27"/>
      <c r="X17" s="27" t="str">
        <f t="shared" si="11"/>
        <v/>
      </c>
      <c r="Z17" s="57">
        <f t="shared" si="10"/>
        <v>0</v>
      </c>
      <c r="AA17" s="57" t="str">
        <f>IFERROR(+VLOOKUP(A17,Key!$A$1:$C$219,2,FALSE),"NOT FOUND")</f>
        <v>4225-1U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>
        <f t="shared" si="6"/>
        <v>0</v>
      </c>
    </row>
    <row r="18">
      <c r="A18" s="15" t="s">
        <v>92</v>
      </c>
      <c r="B18" s="15" t="s">
        <v>93</v>
      </c>
      <c r="C18" s="15" t="s">
        <v>41</v>
      </c>
      <c r="D18" s="56">
        <f>SUMIF('2015-16 12 Mnths'!$A:$A,'Detail 18-19'!$A18,'2015-16 12 Mnths'!C:C)-SUMIF('Budget 12 Mnths'!$A:$A,'Detail 18-19'!$A18,'Budget 12 Mnths'!D:D)</f>
        <v>0</v>
      </c>
      <c r="E18" s="56">
        <f>SUMIF('2015-16 12 Mnths'!$A:$A,'Detail 18-19'!$A18,'2015-16 12 Mnths'!D:D)-SUMIF('Budget 12 Mnths'!$A:$A,'Detail 18-19'!$A18,'Budget 12 Mnths'!E:E)</f>
        <v>196.26</v>
      </c>
      <c r="F18" s="56">
        <f>SUMIF('2015-16 12 Mnths'!$A:$A,'Detail 18-19'!$A18,'2015-16 12 Mnths'!E:E)-SUMIF('Budget 12 Mnths'!$A:$A,'Detail 18-19'!$A18,'Budget 12 Mnths'!F:F)</f>
        <v>81.53</v>
      </c>
      <c r="G18" s="56">
        <f>SUMIF('2015-16 12 Mnths'!$A:$A,'Detail 18-19'!$A18,'2015-16 12 Mnths'!F:F)-SUMIF('Budget 12 Mnths'!$A:$A,'Detail 18-19'!$A18,'Budget 12 Mnths'!G:G)</f>
        <v>3.53</v>
      </c>
      <c r="H18" s="56">
        <f>SUMIF('2015-16 12 Mnths'!$A:$A,'Detail 18-19'!$A18,'2015-16 12 Mnths'!G:G)-SUMIF('Budget 12 Mnths'!$A:$A,'Detail 18-19'!$A18,'Budget 12 Mnths'!H:H)</f>
        <v>-178.47</v>
      </c>
      <c r="I18" s="56">
        <f>SUMIF('2015-16 12 Mnths'!$A:$A,'Detail 18-19'!$A18,'2015-16 12 Mnths'!H:H)-SUMIF('Budget 12 Mnths'!$A:$A,'Detail 18-19'!$A18,'Budget 12 Mnths'!I:I)</f>
        <v>-48.47</v>
      </c>
      <c r="J18" s="56">
        <f>SUMIF('2015-16 12 Mnths'!$A:$A,'Detail 18-19'!$A18,'2015-16 12 Mnths'!I:I)-SUMIF('Budget 12 Mnths'!$A:$A,'Detail 18-19'!$A18,'Budget 12 Mnths'!J:J)</f>
        <v>-35.47</v>
      </c>
      <c r="K18" s="56">
        <f>SUMIF('2015-16 12 Mnths'!$A:$A,'Detail 18-19'!$A18,'2015-16 12 Mnths'!J:J)-SUMIF('Budget 12 Mnths'!$A:$A,'Detail 18-19'!$A18,'Budget 12 Mnths'!K:K)</f>
        <v>-126.47</v>
      </c>
      <c r="L18" s="56">
        <f>SUMIF('2015-16 12 Mnths'!$A:$A,'Detail 18-19'!$A18,'2015-16 12 Mnths'!K:K)-SUMIF('Budget 12 Mnths'!$A:$A,'Detail 18-19'!$A18,'Budget 12 Mnths'!L:L)</f>
        <v>289.53</v>
      </c>
      <c r="M18" s="56"/>
      <c r="N18" s="56"/>
      <c r="O18" s="56"/>
      <c r="P18" s="56">
        <f t="shared" si="1"/>
        <v>181.97</v>
      </c>
      <c r="Q18" s="14" t="str">
        <f>+VLOOKUP(A18,Mapping!$A$1:$E$443,5,FALSE)</f>
        <v>Aftercare</v>
      </c>
      <c r="R18" s="26">
        <f>+SUMIF('Budget 12 Mnths'!$A:$A,'Detail 18-19'!$A18,'Budget 12 Mnths'!$P:$P)</f>
        <v>7500</v>
      </c>
      <c r="S18" s="26">
        <f>+SUMIF('2015-16 12 Mnths'!$A:$A,'Detail 18-19'!$A18,'2015-16 12 Mnths'!$O:$O)</f>
        <v>6103</v>
      </c>
      <c r="T18" s="57">
        <f t="shared" si="2"/>
        <v>0.02426266667</v>
      </c>
      <c r="U18" s="57">
        <f t="shared" si="3"/>
        <v>0.0298164837</v>
      </c>
      <c r="V18" s="8" t="s">
        <v>641</v>
      </c>
      <c r="W18" s="27">
        <f t="shared" ref="W18:W19" si="13">+R18</f>
        <v>7500</v>
      </c>
      <c r="X18" s="27">
        <v>9900.0</v>
      </c>
      <c r="Z18" s="57">
        <v>3552.63</v>
      </c>
      <c r="AA18" s="57" t="str">
        <f>IFERROR(+VLOOKUP(A18,Key!$A$1:$C$219,2,FALSE),"NOT FOUND")</f>
        <v>4230-1U</v>
      </c>
      <c r="AB18" s="27">
        <v>7300.0</v>
      </c>
      <c r="AC18" s="27">
        <v>0.0</v>
      </c>
      <c r="AD18" s="57">
        <f>+$AB18/9.5*0.5</f>
        <v>384.2105263</v>
      </c>
      <c r="AE18" s="57">
        <f t="shared" ref="AE18:AM18" si="12">+$AB18/9.5</f>
        <v>768.4210526</v>
      </c>
      <c r="AF18" s="57">
        <f t="shared" si="12"/>
        <v>768.4210526</v>
      </c>
      <c r="AG18" s="57">
        <f t="shared" si="12"/>
        <v>768.4210526</v>
      </c>
      <c r="AH18" s="57">
        <f t="shared" si="12"/>
        <v>768.4210526</v>
      </c>
      <c r="AI18" s="57">
        <f t="shared" si="12"/>
        <v>768.4210526</v>
      </c>
      <c r="AJ18" s="57">
        <f t="shared" si="12"/>
        <v>768.4210526</v>
      </c>
      <c r="AK18" s="57">
        <f t="shared" si="12"/>
        <v>768.4210526</v>
      </c>
      <c r="AL18" s="57">
        <f t="shared" si="12"/>
        <v>768.4210526</v>
      </c>
      <c r="AM18" s="57">
        <f t="shared" si="12"/>
        <v>768.4210526</v>
      </c>
      <c r="AN18" s="27">
        <v>0.0</v>
      </c>
      <c r="AO18" s="27">
        <f t="shared" si="6"/>
        <v>0</v>
      </c>
    </row>
    <row r="19">
      <c r="A19" s="15" t="s">
        <v>95</v>
      </c>
      <c r="B19" s="15" t="s">
        <v>96</v>
      </c>
      <c r="C19" s="15" t="s">
        <v>41</v>
      </c>
      <c r="D19" s="56">
        <f>SUMIF('2015-16 12 Mnths'!$A:$A,'Detail 18-19'!$A19,'2015-16 12 Mnths'!C:C)-SUMIF('Budget 12 Mnths'!$A:$A,'Detail 18-19'!$A19,'Budget 12 Mnths'!D:D)</f>
        <v>29</v>
      </c>
      <c r="E19" s="56">
        <f>SUMIF('2015-16 12 Mnths'!$A:$A,'Detail 18-19'!$A19,'2015-16 12 Mnths'!D:D)-SUMIF('Budget 12 Mnths'!$A:$A,'Detail 18-19'!$A19,'Budget 12 Mnths'!E:E)</f>
        <v>-50</v>
      </c>
      <c r="F19" s="56">
        <f>SUMIF('2015-16 12 Mnths'!$A:$A,'Detail 18-19'!$A19,'2015-16 12 Mnths'!E:E)-SUMIF('Budget 12 Mnths'!$A:$A,'Detail 18-19'!$A19,'Budget 12 Mnths'!F:F)</f>
        <v>240</v>
      </c>
      <c r="G19" s="56">
        <f>SUMIF('2015-16 12 Mnths'!$A:$A,'Detail 18-19'!$A19,'2015-16 12 Mnths'!F:F)-SUMIF('Budget 12 Mnths'!$A:$A,'Detail 18-19'!$A19,'Budget 12 Mnths'!G:G)</f>
        <v>0</v>
      </c>
      <c r="H19" s="56">
        <f>SUMIF('2015-16 12 Mnths'!$A:$A,'Detail 18-19'!$A19,'2015-16 12 Mnths'!G:G)-SUMIF('Budget 12 Mnths'!$A:$A,'Detail 18-19'!$A19,'Budget 12 Mnths'!H:H)</f>
        <v>0</v>
      </c>
      <c r="I19" s="56">
        <f>SUMIF('2015-16 12 Mnths'!$A:$A,'Detail 18-19'!$A19,'2015-16 12 Mnths'!H:H)-SUMIF('Budget 12 Mnths'!$A:$A,'Detail 18-19'!$A19,'Budget 12 Mnths'!I:I)</f>
        <v>0</v>
      </c>
      <c r="J19" s="56">
        <f>SUMIF('2015-16 12 Mnths'!$A:$A,'Detail 18-19'!$A19,'2015-16 12 Mnths'!I:I)-SUMIF('Budget 12 Mnths'!$A:$A,'Detail 18-19'!$A19,'Budget 12 Mnths'!J:J)</f>
        <v>0</v>
      </c>
      <c r="K19" s="56">
        <f>SUMIF('2015-16 12 Mnths'!$A:$A,'Detail 18-19'!$A19,'2015-16 12 Mnths'!J:J)-SUMIF('Budget 12 Mnths'!$A:$A,'Detail 18-19'!$A19,'Budget 12 Mnths'!K:K)</f>
        <v>0</v>
      </c>
      <c r="L19" s="56">
        <f>SUMIF('2015-16 12 Mnths'!$A:$A,'Detail 18-19'!$A19,'2015-16 12 Mnths'!K:K)-SUMIF('Budget 12 Mnths'!$A:$A,'Detail 18-19'!$A19,'Budget 12 Mnths'!L:L)</f>
        <v>0</v>
      </c>
      <c r="M19" s="56"/>
      <c r="N19" s="56"/>
      <c r="O19" s="56"/>
      <c r="P19" s="56">
        <f t="shared" si="1"/>
        <v>219</v>
      </c>
      <c r="Q19" s="14" t="str">
        <f>+VLOOKUP(A19,Mapping!$A$1:$E$443,5,FALSE)</f>
        <v>Aftercare</v>
      </c>
      <c r="R19" s="26">
        <f>+SUMIF('Budget 12 Mnths'!$A:$A,'Detail 18-19'!$A19,'Budget 12 Mnths'!$P:$P)</f>
        <v>100</v>
      </c>
      <c r="S19" s="26">
        <f>+SUMIF('2015-16 12 Mnths'!$A:$A,'Detail 18-19'!$A19,'2015-16 12 Mnths'!$O:$O)</f>
        <v>319</v>
      </c>
      <c r="T19" s="57">
        <f t="shared" si="2"/>
        <v>2.19</v>
      </c>
      <c r="U19" s="57">
        <f t="shared" si="3"/>
        <v>0.6865203762</v>
      </c>
      <c r="V19" s="8" t="s">
        <v>641</v>
      </c>
      <c r="W19" s="27">
        <f t="shared" si="13"/>
        <v>100</v>
      </c>
      <c r="X19" s="27">
        <f>+W19</f>
        <v>100</v>
      </c>
      <c r="Z19" s="57">
        <f>+X19/2</f>
        <v>50</v>
      </c>
      <c r="AA19" s="57" t="str">
        <f>IFERROR(+VLOOKUP(A19,Key!$A$1:$C$219,2,FALSE),"NOT FOUND")</f>
        <v>4235-1U</v>
      </c>
      <c r="AB19" s="27">
        <v>200.0</v>
      </c>
      <c r="AC19" s="27"/>
      <c r="AD19" s="27">
        <v>50.0</v>
      </c>
      <c r="AE19" s="27">
        <v>50.0</v>
      </c>
      <c r="AF19" s="27"/>
      <c r="AG19" s="27"/>
      <c r="AH19" s="27"/>
      <c r="AI19" s="27">
        <v>50.0</v>
      </c>
      <c r="AJ19" s="27">
        <v>50.0</v>
      </c>
      <c r="AK19" s="27"/>
      <c r="AL19" s="27"/>
      <c r="AM19" s="27"/>
      <c r="AN19" s="27"/>
      <c r="AO19" s="27">
        <f t="shared" si="6"/>
        <v>0</v>
      </c>
    </row>
    <row r="20">
      <c r="A20" s="15" t="s">
        <v>100</v>
      </c>
      <c r="B20" s="15" t="s">
        <v>101</v>
      </c>
      <c r="C20" s="15" t="s">
        <v>41</v>
      </c>
      <c r="D20" s="56">
        <f>SUMIF('2015-16 12 Mnths'!$A:$A,'Detail 18-19'!$A20,'2015-16 12 Mnths'!C:C)-SUMIF('Budget 12 Mnths'!$A:$A,'Detail 18-19'!$A20,'Budget 12 Mnths'!D:D)</f>
        <v>0</v>
      </c>
      <c r="E20" s="56">
        <f>SUMIF('2015-16 12 Mnths'!$A:$A,'Detail 18-19'!$A20,'2015-16 12 Mnths'!D:D)-SUMIF('Budget 12 Mnths'!$A:$A,'Detail 18-19'!$A20,'Budget 12 Mnths'!E:E)</f>
        <v>-122.55</v>
      </c>
      <c r="F20" s="56">
        <f>SUMIF('2015-16 12 Mnths'!$A:$A,'Detail 18-19'!$A20,'2015-16 12 Mnths'!E:E)-SUMIF('Budget 12 Mnths'!$A:$A,'Detail 18-19'!$A20,'Budget 12 Mnths'!F:F)</f>
        <v>-617.1</v>
      </c>
      <c r="G20" s="56">
        <f>SUMIF('2015-16 12 Mnths'!$A:$A,'Detail 18-19'!$A20,'2015-16 12 Mnths'!F:F)-SUMIF('Budget 12 Mnths'!$A:$A,'Detail 18-19'!$A20,'Budget 12 Mnths'!G:G)</f>
        <v>-725.1</v>
      </c>
      <c r="H20" s="56">
        <f>SUMIF('2015-16 12 Mnths'!$A:$A,'Detail 18-19'!$A20,'2015-16 12 Mnths'!G:G)-SUMIF('Budget 12 Mnths'!$A:$A,'Detail 18-19'!$A20,'Budget 12 Mnths'!H:H)</f>
        <v>-885.1</v>
      </c>
      <c r="I20" s="56">
        <f>SUMIF('2015-16 12 Mnths'!$A:$A,'Detail 18-19'!$A20,'2015-16 12 Mnths'!H:H)-SUMIF('Budget 12 Mnths'!$A:$A,'Detail 18-19'!$A20,'Budget 12 Mnths'!I:I)</f>
        <v>-829.1</v>
      </c>
      <c r="J20" s="56">
        <f>SUMIF('2015-16 12 Mnths'!$A:$A,'Detail 18-19'!$A20,'2015-16 12 Mnths'!I:I)-SUMIF('Budget 12 Mnths'!$A:$A,'Detail 18-19'!$A20,'Budget 12 Mnths'!J:J)</f>
        <v>-797.1</v>
      </c>
      <c r="K20" s="56">
        <f>SUMIF('2015-16 12 Mnths'!$A:$A,'Detail 18-19'!$A20,'2015-16 12 Mnths'!J:J)-SUMIF('Budget 12 Mnths'!$A:$A,'Detail 18-19'!$A20,'Budget 12 Mnths'!K:K)</f>
        <v>-689.1</v>
      </c>
      <c r="L20" s="56">
        <f>SUMIF('2015-16 12 Mnths'!$A:$A,'Detail 18-19'!$A20,'2015-16 12 Mnths'!K:K)-SUMIF('Budget 12 Mnths'!$A:$A,'Detail 18-19'!$A20,'Budget 12 Mnths'!L:L)</f>
        <v>-657.1</v>
      </c>
      <c r="M20" s="56"/>
      <c r="N20" s="56"/>
      <c r="O20" s="56"/>
      <c r="P20" s="56">
        <f t="shared" si="1"/>
        <v>-5322.25</v>
      </c>
      <c r="Q20" s="14" t="str">
        <f>+VLOOKUP(A20,Mapping!$A$1:$E$443,5,FALSE)</f>
        <v>Transportation</v>
      </c>
      <c r="R20" s="26">
        <f>+SUMIF('Budget 12 Mnths'!$A:$A,'Detail 18-19'!$A20,'Budget 12 Mnths'!$P:$P)</f>
        <v>13500.01</v>
      </c>
      <c r="S20" s="26">
        <f>+SUMIF('2015-16 12 Mnths'!$A:$A,'Detail 18-19'!$A20,'2015-16 12 Mnths'!$O:$O)</f>
        <v>5336</v>
      </c>
      <c r="T20" s="57">
        <f t="shared" si="2"/>
        <v>-0.3942404487</v>
      </c>
      <c r="U20" s="57">
        <f t="shared" si="3"/>
        <v>-0.9974231634</v>
      </c>
      <c r="V20" s="8" t="s">
        <v>451</v>
      </c>
      <c r="W20" s="27">
        <f>+S20/8*10</f>
        <v>6670</v>
      </c>
      <c r="X20" s="27">
        <v>3500.0</v>
      </c>
      <c r="Z20" s="57">
        <f>+X20/9.5*4.5</f>
        <v>1657.894737</v>
      </c>
      <c r="AA20" s="57" t="str">
        <f>IFERROR(+VLOOKUP(A20,Key!$A$1:$C$219,2,FALSE),"NOT FOUND")</f>
        <v>4240-1U</v>
      </c>
      <c r="AB20" s="27">
        <v>1000.0</v>
      </c>
      <c r="AC20" s="27">
        <v>0.0</v>
      </c>
      <c r="AD20" s="57">
        <f>+$AB20/9.5*0.5</f>
        <v>52.63157895</v>
      </c>
      <c r="AE20" s="57">
        <f t="shared" ref="AE20:AM20" si="14">+$AB20/9.5</f>
        <v>105.2631579</v>
      </c>
      <c r="AF20" s="57">
        <f t="shared" si="14"/>
        <v>105.2631579</v>
      </c>
      <c r="AG20" s="57">
        <f t="shared" si="14"/>
        <v>105.2631579</v>
      </c>
      <c r="AH20" s="57">
        <f t="shared" si="14"/>
        <v>105.2631579</v>
      </c>
      <c r="AI20" s="57">
        <f t="shared" si="14"/>
        <v>105.2631579</v>
      </c>
      <c r="AJ20" s="57">
        <f t="shared" si="14"/>
        <v>105.2631579</v>
      </c>
      <c r="AK20" s="57">
        <f t="shared" si="14"/>
        <v>105.2631579</v>
      </c>
      <c r="AL20" s="57">
        <f t="shared" si="14"/>
        <v>105.2631579</v>
      </c>
      <c r="AM20" s="57">
        <f t="shared" si="14"/>
        <v>105.2631579</v>
      </c>
      <c r="AN20" s="27">
        <v>0.0</v>
      </c>
      <c r="AO20" s="27">
        <f t="shared" si="6"/>
        <v>0</v>
      </c>
    </row>
    <row r="21" ht="15.75" hidden="1" customHeight="1">
      <c r="A21" s="15" t="s">
        <v>105</v>
      </c>
      <c r="B21" s="15" t="s">
        <v>106</v>
      </c>
      <c r="C21" s="15" t="s">
        <v>41</v>
      </c>
      <c r="D21" s="56">
        <f>SUMIF('2015-16 12 Mnths'!$A:$A,'Detail 18-19'!$A21,'2015-16 12 Mnths'!C:C)-SUMIF('Budget 12 Mnths'!$A:$A,'Detail 18-19'!$A21,'Budget 12 Mnths'!D:D)</f>
        <v>0</v>
      </c>
      <c r="E21" s="56">
        <f>SUMIF('2015-16 12 Mnths'!$A:$A,'Detail 18-19'!$A21,'2015-16 12 Mnths'!D:D)-SUMIF('Budget 12 Mnths'!$A:$A,'Detail 18-19'!$A21,'Budget 12 Mnths'!E:E)</f>
        <v>-125</v>
      </c>
      <c r="F21" s="56">
        <f>SUMIF('2015-16 12 Mnths'!$A:$A,'Detail 18-19'!$A21,'2015-16 12 Mnths'!E:E)-SUMIF('Budget 12 Mnths'!$A:$A,'Detail 18-19'!$A21,'Budget 12 Mnths'!F:F)</f>
        <v>0</v>
      </c>
      <c r="G21" s="56">
        <f>SUMIF('2015-16 12 Mnths'!$A:$A,'Detail 18-19'!$A21,'2015-16 12 Mnths'!F:F)-SUMIF('Budget 12 Mnths'!$A:$A,'Detail 18-19'!$A21,'Budget 12 Mnths'!G:G)</f>
        <v>0</v>
      </c>
      <c r="H21" s="56">
        <f>SUMIF('2015-16 12 Mnths'!$A:$A,'Detail 18-19'!$A21,'2015-16 12 Mnths'!G:G)-SUMIF('Budget 12 Mnths'!$A:$A,'Detail 18-19'!$A21,'Budget 12 Mnths'!H:H)</f>
        <v>0</v>
      </c>
      <c r="I21" s="56">
        <f>SUMIF('2015-16 12 Mnths'!$A:$A,'Detail 18-19'!$A21,'2015-16 12 Mnths'!H:H)-SUMIF('Budget 12 Mnths'!$A:$A,'Detail 18-19'!$A21,'Budget 12 Mnths'!I:I)</f>
        <v>0</v>
      </c>
      <c r="J21" s="56">
        <f>SUMIF('2015-16 12 Mnths'!$A:$A,'Detail 18-19'!$A21,'2015-16 12 Mnths'!I:I)-SUMIF('Budget 12 Mnths'!$A:$A,'Detail 18-19'!$A21,'Budget 12 Mnths'!J:J)</f>
        <v>-125</v>
      </c>
      <c r="K21" s="56">
        <f>SUMIF('2015-16 12 Mnths'!$A:$A,'Detail 18-19'!$A21,'2015-16 12 Mnths'!J:J)-SUMIF('Budget 12 Mnths'!$A:$A,'Detail 18-19'!$A21,'Budget 12 Mnths'!K:K)</f>
        <v>0</v>
      </c>
      <c r="L21" s="56">
        <f>SUMIF('2015-16 12 Mnths'!$A:$A,'Detail 18-19'!$A21,'2015-16 12 Mnths'!K:K)-SUMIF('Budget 12 Mnths'!$A:$A,'Detail 18-19'!$A21,'Budget 12 Mnths'!L:L)</f>
        <v>0</v>
      </c>
      <c r="M21" s="56"/>
      <c r="N21" s="56"/>
      <c r="O21" s="56"/>
      <c r="P21" s="56">
        <f t="shared" si="1"/>
        <v>-250</v>
      </c>
      <c r="Q21" s="14" t="str">
        <f>+VLOOKUP(A21,Mapping!$A$1:$E$443,5,FALSE)</f>
        <v>Merchandise</v>
      </c>
      <c r="R21" s="26">
        <f>+SUMIF('Budget 12 Mnths'!$A:$A,'Detail 18-19'!$A21,'Budget 12 Mnths'!$P:$P)</f>
        <v>250</v>
      </c>
      <c r="S21" s="26">
        <f>+SUMIF('2015-16 12 Mnths'!$A:$A,'Detail 18-19'!$A21,'2015-16 12 Mnths'!$O:$O)</f>
        <v>0</v>
      </c>
      <c r="T21" s="57">
        <f t="shared" si="2"/>
        <v>-1</v>
      </c>
      <c r="U21" s="57">
        <f t="shared" si="3"/>
        <v>0</v>
      </c>
      <c r="W21" s="27"/>
      <c r="X21" s="27" t="str">
        <f t="shared" ref="X21:X28" si="15">+W21</f>
        <v/>
      </c>
      <c r="Z21" s="57">
        <f t="shared" ref="Z21:Z31" si="16">+X21/2</f>
        <v>0</v>
      </c>
      <c r="AA21" s="57" t="str">
        <f>IFERROR(+VLOOKUP(A21,Key!$A$1:$C$219,2,FALSE),"NOT FOUND")</f>
        <v>4250-1U</v>
      </c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>
        <f t="shared" si="6"/>
        <v>0</v>
      </c>
    </row>
    <row r="22" ht="15.75" hidden="1" customHeight="1">
      <c r="A22" s="15" t="s">
        <v>109</v>
      </c>
      <c r="B22" s="15" t="s">
        <v>110</v>
      </c>
      <c r="C22" s="15" t="s">
        <v>41</v>
      </c>
      <c r="D22" s="56">
        <f>SUMIF('2015-16 12 Mnths'!$A:$A,'Detail 18-19'!$A22,'2015-16 12 Mnths'!C:C)-SUMIF('Budget 12 Mnths'!$A:$A,'Detail 18-19'!$A22,'Budget 12 Mnths'!D:D)</f>
        <v>0</v>
      </c>
      <c r="E22" s="56">
        <f>SUMIF('2015-16 12 Mnths'!$A:$A,'Detail 18-19'!$A22,'2015-16 12 Mnths'!D:D)-SUMIF('Budget 12 Mnths'!$A:$A,'Detail 18-19'!$A22,'Budget 12 Mnths'!E:E)</f>
        <v>0</v>
      </c>
      <c r="F22" s="56">
        <f>SUMIF('2015-16 12 Mnths'!$A:$A,'Detail 18-19'!$A22,'2015-16 12 Mnths'!E:E)-SUMIF('Budget 12 Mnths'!$A:$A,'Detail 18-19'!$A22,'Budget 12 Mnths'!F:F)</f>
        <v>0</v>
      </c>
      <c r="G22" s="56">
        <f>SUMIF('2015-16 12 Mnths'!$A:$A,'Detail 18-19'!$A22,'2015-16 12 Mnths'!F:F)-SUMIF('Budget 12 Mnths'!$A:$A,'Detail 18-19'!$A22,'Budget 12 Mnths'!G:G)</f>
        <v>0</v>
      </c>
      <c r="H22" s="56">
        <f>SUMIF('2015-16 12 Mnths'!$A:$A,'Detail 18-19'!$A22,'2015-16 12 Mnths'!G:G)-SUMIF('Budget 12 Mnths'!$A:$A,'Detail 18-19'!$A22,'Budget 12 Mnths'!H:H)</f>
        <v>0</v>
      </c>
      <c r="I22" s="56">
        <f>SUMIF('2015-16 12 Mnths'!$A:$A,'Detail 18-19'!$A22,'2015-16 12 Mnths'!H:H)-SUMIF('Budget 12 Mnths'!$A:$A,'Detail 18-19'!$A22,'Budget 12 Mnths'!I:I)</f>
        <v>0</v>
      </c>
      <c r="J22" s="56">
        <f>SUMIF('2015-16 12 Mnths'!$A:$A,'Detail 18-19'!$A22,'2015-16 12 Mnths'!I:I)-SUMIF('Budget 12 Mnths'!$A:$A,'Detail 18-19'!$A22,'Budget 12 Mnths'!J:J)</f>
        <v>0</v>
      </c>
      <c r="K22" s="56">
        <f>SUMIF('2015-16 12 Mnths'!$A:$A,'Detail 18-19'!$A22,'2015-16 12 Mnths'!J:J)-SUMIF('Budget 12 Mnths'!$A:$A,'Detail 18-19'!$A22,'Budget 12 Mnths'!K:K)</f>
        <v>0</v>
      </c>
      <c r="L22" s="56">
        <f>SUMIF('2015-16 12 Mnths'!$A:$A,'Detail 18-19'!$A22,'2015-16 12 Mnths'!K:K)-SUMIF('Budget 12 Mnths'!$A:$A,'Detail 18-19'!$A22,'Budget 12 Mnths'!L:L)</f>
        <v>0</v>
      </c>
      <c r="M22" s="56"/>
      <c r="N22" s="56"/>
      <c r="O22" s="56"/>
      <c r="P22" s="56">
        <f t="shared" si="1"/>
        <v>0</v>
      </c>
      <c r="Q22" s="14" t="str">
        <f>+VLOOKUP(A22,Mapping!$A$1:$E$443,5,FALSE)</f>
        <v>Merchandise</v>
      </c>
      <c r="R22" s="26">
        <f>+SUMIF('Budget 12 Mnths'!$A:$A,'Detail 18-19'!$A22,'Budget 12 Mnths'!$P:$P)</f>
        <v>0</v>
      </c>
      <c r="S22" s="26">
        <f>+SUMIF('2015-16 12 Mnths'!$A:$A,'Detail 18-19'!$A22,'2015-16 12 Mnths'!$O:$O)</f>
        <v>0</v>
      </c>
      <c r="T22" s="57">
        <f t="shared" si="2"/>
        <v>0</v>
      </c>
      <c r="U22" s="57">
        <f t="shared" si="3"/>
        <v>0</v>
      </c>
      <c r="W22" s="27"/>
      <c r="X22" s="27" t="str">
        <f t="shared" si="15"/>
        <v/>
      </c>
      <c r="Z22" s="57">
        <f t="shared" si="16"/>
        <v>0</v>
      </c>
      <c r="AA22" s="57" t="str">
        <f>IFERROR(+VLOOKUP(A22,Key!$A$1:$C$219,2,FALSE),"NOT FOUND")</f>
        <v>NOT FOUND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>
        <f t="shared" si="6"/>
        <v>0</v>
      </c>
    </row>
    <row r="23" ht="15.75" hidden="1" customHeight="1">
      <c r="A23" s="15" t="s">
        <v>111</v>
      </c>
      <c r="B23" s="15" t="s">
        <v>112</v>
      </c>
      <c r="C23" s="15" t="s">
        <v>41</v>
      </c>
      <c r="D23" s="56">
        <f>SUMIF('2015-16 12 Mnths'!$A:$A,'Detail 18-19'!$A23,'2015-16 12 Mnths'!C:C)-SUMIF('Budget 12 Mnths'!$A:$A,'Detail 18-19'!$A23,'Budget 12 Mnths'!D:D)</f>
        <v>0</v>
      </c>
      <c r="E23" s="56">
        <f>SUMIF('2015-16 12 Mnths'!$A:$A,'Detail 18-19'!$A23,'2015-16 12 Mnths'!D:D)-SUMIF('Budget 12 Mnths'!$A:$A,'Detail 18-19'!$A23,'Budget 12 Mnths'!E:E)</f>
        <v>0</v>
      </c>
      <c r="F23" s="56">
        <f>SUMIF('2015-16 12 Mnths'!$A:$A,'Detail 18-19'!$A23,'2015-16 12 Mnths'!E:E)-SUMIF('Budget 12 Mnths'!$A:$A,'Detail 18-19'!$A23,'Budget 12 Mnths'!F:F)</f>
        <v>0</v>
      </c>
      <c r="G23" s="56">
        <f>SUMIF('2015-16 12 Mnths'!$A:$A,'Detail 18-19'!$A23,'2015-16 12 Mnths'!F:F)-SUMIF('Budget 12 Mnths'!$A:$A,'Detail 18-19'!$A23,'Budget 12 Mnths'!G:G)</f>
        <v>0</v>
      </c>
      <c r="H23" s="56">
        <f>SUMIF('2015-16 12 Mnths'!$A:$A,'Detail 18-19'!$A23,'2015-16 12 Mnths'!G:G)-SUMIF('Budget 12 Mnths'!$A:$A,'Detail 18-19'!$A23,'Budget 12 Mnths'!H:H)</f>
        <v>0</v>
      </c>
      <c r="I23" s="56">
        <f>SUMIF('2015-16 12 Mnths'!$A:$A,'Detail 18-19'!$A23,'2015-16 12 Mnths'!H:H)-SUMIF('Budget 12 Mnths'!$A:$A,'Detail 18-19'!$A23,'Budget 12 Mnths'!I:I)</f>
        <v>0</v>
      </c>
      <c r="J23" s="56">
        <f>SUMIF('2015-16 12 Mnths'!$A:$A,'Detail 18-19'!$A23,'2015-16 12 Mnths'!I:I)-SUMIF('Budget 12 Mnths'!$A:$A,'Detail 18-19'!$A23,'Budget 12 Mnths'!J:J)</f>
        <v>0</v>
      </c>
      <c r="K23" s="56">
        <f>SUMIF('2015-16 12 Mnths'!$A:$A,'Detail 18-19'!$A23,'2015-16 12 Mnths'!J:J)-SUMIF('Budget 12 Mnths'!$A:$A,'Detail 18-19'!$A23,'Budget 12 Mnths'!K:K)</f>
        <v>0</v>
      </c>
      <c r="L23" s="56">
        <f>SUMIF('2015-16 12 Mnths'!$A:$A,'Detail 18-19'!$A23,'2015-16 12 Mnths'!K:K)-SUMIF('Budget 12 Mnths'!$A:$A,'Detail 18-19'!$A23,'Budget 12 Mnths'!L:L)</f>
        <v>0</v>
      </c>
      <c r="M23" s="56"/>
      <c r="N23" s="56"/>
      <c r="O23" s="56"/>
      <c r="P23" s="56">
        <f t="shared" si="1"/>
        <v>0</v>
      </c>
      <c r="Q23" s="14" t="str">
        <f>+VLOOKUP(A23,Mapping!$A$1:$E$443,5,FALSE)</f>
        <v>Merchandise</v>
      </c>
      <c r="R23" s="26">
        <f>+SUMIF('Budget 12 Mnths'!$A:$A,'Detail 18-19'!$A23,'Budget 12 Mnths'!$P:$P)</f>
        <v>0</v>
      </c>
      <c r="S23" s="26">
        <f>+SUMIF('2015-16 12 Mnths'!$A:$A,'Detail 18-19'!$A23,'2015-16 12 Mnths'!$O:$O)</f>
        <v>0</v>
      </c>
      <c r="T23" s="57">
        <f t="shared" si="2"/>
        <v>0</v>
      </c>
      <c r="U23" s="57">
        <f t="shared" si="3"/>
        <v>0</v>
      </c>
      <c r="W23" s="27"/>
      <c r="X23" s="27" t="str">
        <f t="shared" si="15"/>
        <v/>
      </c>
      <c r="Z23" s="57">
        <f t="shared" si="16"/>
        <v>0</v>
      </c>
      <c r="AA23" s="57" t="str">
        <f>IFERROR(+VLOOKUP(A23,Key!$A$1:$C$219,2,FALSE),"NOT FOUND")</f>
        <v>NOT FOUND</v>
      </c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>
        <f t="shared" si="6"/>
        <v>0</v>
      </c>
    </row>
    <row r="24" ht="15.75" hidden="1" customHeight="1">
      <c r="A24" s="15" t="s">
        <v>114</v>
      </c>
      <c r="B24" s="15" t="s">
        <v>116</v>
      </c>
      <c r="C24" s="15" t="s">
        <v>41</v>
      </c>
      <c r="D24" s="56">
        <f>SUMIF('2015-16 12 Mnths'!$A:$A,'Detail 18-19'!$A24,'2015-16 12 Mnths'!C:C)-SUMIF('Budget 12 Mnths'!$A:$A,'Detail 18-19'!$A24,'Budget 12 Mnths'!D:D)</f>
        <v>0</v>
      </c>
      <c r="E24" s="56">
        <f>SUMIF('2015-16 12 Mnths'!$A:$A,'Detail 18-19'!$A24,'2015-16 12 Mnths'!D:D)-SUMIF('Budget 12 Mnths'!$A:$A,'Detail 18-19'!$A24,'Budget 12 Mnths'!E:E)</f>
        <v>0</v>
      </c>
      <c r="F24" s="56">
        <f>SUMIF('2015-16 12 Mnths'!$A:$A,'Detail 18-19'!$A24,'2015-16 12 Mnths'!E:E)-SUMIF('Budget 12 Mnths'!$A:$A,'Detail 18-19'!$A24,'Budget 12 Mnths'!F:F)</f>
        <v>0</v>
      </c>
      <c r="G24" s="56">
        <f>SUMIF('2015-16 12 Mnths'!$A:$A,'Detail 18-19'!$A24,'2015-16 12 Mnths'!F:F)-SUMIF('Budget 12 Mnths'!$A:$A,'Detail 18-19'!$A24,'Budget 12 Mnths'!G:G)</f>
        <v>0</v>
      </c>
      <c r="H24" s="56">
        <f>SUMIF('2015-16 12 Mnths'!$A:$A,'Detail 18-19'!$A24,'2015-16 12 Mnths'!G:G)-SUMIF('Budget 12 Mnths'!$A:$A,'Detail 18-19'!$A24,'Budget 12 Mnths'!H:H)</f>
        <v>0</v>
      </c>
      <c r="I24" s="56">
        <f>SUMIF('2015-16 12 Mnths'!$A:$A,'Detail 18-19'!$A24,'2015-16 12 Mnths'!H:H)-SUMIF('Budget 12 Mnths'!$A:$A,'Detail 18-19'!$A24,'Budget 12 Mnths'!I:I)</f>
        <v>0</v>
      </c>
      <c r="J24" s="56">
        <f>SUMIF('2015-16 12 Mnths'!$A:$A,'Detail 18-19'!$A24,'2015-16 12 Mnths'!I:I)-SUMIF('Budget 12 Mnths'!$A:$A,'Detail 18-19'!$A24,'Budget 12 Mnths'!J:J)</f>
        <v>0</v>
      </c>
      <c r="K24" s="56">
        <f>SUMIF('2015-16 12 Mnths'!$A:$A,'Detail 18-19'!$A24,'2015-16 12 Mnths'!J:J)-SUMIF('Budget 12 Mnths'!$A:$A,'Detail 18-19'!$A24,'Budget 12 Mnths'!K:K)</f>
        <v>0</v>
      </c>
      <c r="L24" s="56">
        <f>SUMIF('2015-16 12 Mnths'!$A:$A,'Detail 18-19'!$A24,'2015-16 12 Mnths'!K:K)-SUMIF('Budget 12 Mnths'!$A:$A,'Detail 18-19'!$A24,'Budget 12 Mnths'!L:L)</f>
        <v>0</v>
      </c>
      <c r="M24" s="56"/>
      <c r="N24" s="56"/>
      <c r="O24" s="56"/>
      <c r="P24" s="56">
        <f t="shared" si="1"/>
        <v>0</v>
      </c>
      <c r="Q24" s="14" t="str">
        <f>+VLOOKUP(A24,Mapping!$A$1:$E$443,5,FALSE)</f>
        <v>Merchandise</v>
      </c>
      <c r="R24" s="26">
        <f>+SUMIF('Budget 12 Mnths'!$A:$A,'Detail 18-19'!$A24,'Budget 12 Mnths'!$P:$P)</f>
        <v>0</v>
      </c>
      <c r="S24" s="26">
        <f>+SUMIF('2015-16 12 Mnths'!$A:$A,'Detail 18-19'!$A24,'2015-16 12 Mnths'!$O:$O)</f>
        <v>0</v>
      </c>
      <c r="T24" s="57">
        <f t="shared" si="2"/>
        <v>0</v>
      </c>
      <c r="U24" s="57">
        <f t="shared" si="3"/>
        <v>0</v>
      </c>
      <c r="W24" s="27"/>
      <c r="X24" s="27" t="str">
        <f t="shared" si="15"/>
        <v/>
      </c>
      <c r="Z24" s="57">
        <f t="shared" si="16"/>
        <v>0</v>
      </c>
      <c r="AA24" s="57" t="str">
        <f>IFERROR(+VLOOKUP(A24,Key!$A$1:$C$219,2,FALSE),"NOT FOUND")</f>
        <v>NOT FOUND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>
        <f t="shared" si="6"/>
        <v>0</v>
      </c>
    </row>
    <row r="25" ht="15.75" hidden="1" customHeight="1">
      <c r="A25" s="15" t="s">
        <v>117</v>
      </c>
      <c r="B25" s="15" t="s">
        <v>118</v>
      </c>
      <c r="C25" s="15" t="s">
        <v>41</v>
      </c>
      <c r="D25" s="56">
        <f>SUMIF('2015-16 12 Mnths'!$A:$A,'Detail 18-19'!$A25,'2015-16 12 Mnths'!C:C)-SUMIF('Budget 12 Mnths'!$A:$A,'Detail 18-19'!$A25,'Budget 12 Mnths'!D:D)</f>
        <v>0</v>
      </c>
      <c r="E25" s="56">
        <f>SUMIF('2015-16 12 Mnths'!$A:$A,'Detail 18-19'!$A25,'2015-16 12 Mnths'!D:D)-SUMIF('Budget 12 Mnths'!$A:$A,'Detail 18-19'!$A25,'Budget 12 Mnths'!E:E)</f>
        <v>0</v>
      </c>
      <c r="F25" s="56">
        <f>SUMIF('2015-16 12 Mnths'!$A:$A,'Detail 18-19'!$A25,'2015-16 12 Mnths'!E:E)-SUMIF('Budget 12 Mnths'!$A:$A,'Detail 18-19'!$A25,'Budget 12 Mnths'!F:F)</f>
        <v>0</v>
      </c>
      <c r="G25" s="56">
        <f>SUMIF('2015-16 12 Mnths'!$A:$A,'Detail 18-19'!$A25,'2015-16 12 Mnths'!F:F)-SUMIF('Budget 12 Mnths'!$A:$A,'Detail 18-19'!$A25,'Budget 12 Mnths'!G:G)</f>
        <v>0</v>
      </c>
      <c r="H25" s="56">
        <f>SUMIF('2015-16 12 Mnths'!$A:$A,'Detail 18-19'!$A25,'2015-16 12 Mnths'!G:G)-SUMIF('Budget 12 Mnths'!$A:$A,'Detail 18-19'!$A25,'Budget 12 Mnths'!H:H)</f>
        <v>0</v>
      </c>
      <c r="I25" s="56">
        <f>SUMIF('2015-16 12 Mnths'!$A:$A,'Detail 18-19'!$A25,'2015-16 12 Mnths'!H:H)-SUMIF('Budget 12 Mnths'!$A:$A,'Detail 18-19'!$A25,'Budget 12 Mnths'!I:I)</f>
        <v>0</v>
      </c>
      <c r="J25" s="56">
        <f>SUMIF('2015-16 12 Mnths'!$A:$A,'Detail 18-19'!$A25,'2015-16 12 Mnths'!I:I)-SUMIF('Budget 12 Mnths'!$A:$A,'Detail 18-19'!$A25,'Budget 12 Mnths'!J:J)</f>
        <v>0</v>
      </c>
      <c r="K25" s="56">
        <f>SUMIF('2015-16 12 Mnths'!$A:$A,'Detail 18-19'!$A25,'2015-16 12 Mnths'!J:J)-SUMIF('Budget 12 Mnths'!$A:$A,'Detail 18-19'!$A25,'Budget 12 Mnths'!K:K)</f>
        <v>0</v>
      </c>
      <c r="L25" s="56">
        <f>SUMIF('2015-16 12 Mnths'!$A:$A,'Detail 18-19'!$A25,'2015-16 12 Mnths'!K:K)-SUMIF('Budget 12 Mnths'!$A:$A,'Detail 18-19'!$A25,'Budget 12 Mnths'!L:L)</f>
        <v>0</v>
      </c>
      <c r="M25" s="56"/>
      <c r="N25" s="56"/>
      <c r="O25" s="56"/>
      <c r="P25" s="56">
        <f t="shared" si="1"/>
        <v>0</v>
      </c>
      <c r="Q25" s="14" t="str">
        <f>+VLOOKUP(A25,Mapping!$A$1:$E$443,5,FALSE)</f>
        <v>Merchandise</v>
      </c>
      <c r="R25" s="26">
        <f>+SUMIF('Budget 12 Mnths'!$A:$A,'Detail 18-19'!$A25,'Budget 12 Mnths'!$P:$P)</f>
        <v>0</v>
      </c>
      <c r="S25" s="26">
        <f>+SUMIF('2015-16 12 Mnths'!$A:$A,'Detail 18-19'!$A25,'2015-16 12 Mnths'!$O:$O)</f>
        <v>0</v>
      </c>
      <c r="T25" s="57">
        <f t="shared" si="2"/>
        <v>0</v>
      </c>
      <c r="U25" s="57">
        <f t="shared" si="3"/>
        <v>0</v>
      </c>
      <c r="W25" s="27"/>
      <c r="X25" s="27" t="str">
        <f t="shared" si="15"/>
        <v/>
      </c>
      <c r="Z25" s="57">
        <f t="shared" si="16"/>
        <v>0</v>
      </c>
      <c r="AA25" s="57" t="str">
        <f>IFERROR(+VLOOKUP(A25,Key!$A$1:$C$219,2,FALSE),"NOT FOUND")</f>
        <v>NOT FOUND</v>
      </c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>
        <f t="shared" si="6"/>
        <v>0</v>
      </c>
    </row>
    <row r="26" ht="15.75" hidden="1" customHeight="1">
      <c r="A26" s="15" t="s">
        <v>123</v>
      </c>
      <c r="B26" s="15" t="s">
        <v>124</v>
      </c>
      <c r="C26" s="15" t="s">
        <v>41</v>
      </c>
      <c r="D26" s="56">
        <f>SUMIF('2015-16 12 Mnths'!$A:$A,'Detail 18-19'!$A26,'2015-16 12 Mnths'!C:C)-SUMIF('Budget 12 Mnths'!$A:$A,'Detail 18-19'!$A26,'Budget 12 Mnths'!D:D)</f>
        <v>0</v>
      </c>
      <c r="E26" s="56">
        <f>SUMIF('2015-16 12 Mnths'!$A:$A,'Detail 18-19'!$A26,'2015-16 12 Mnths'!D:D)-SUMIF('Budget 12 Mnths'!$A:$A,'Detail 18-19'!$A26,'Budget 12 Mnths'!E:E)</f>
        <v>0</v>
      </c>
      <c r="F26" s="56">
        <f>SUMIF('2015-16 12 Mnths'!$A:$A,'Detail 18-19'!$A26,'2015-16 12 Mnths'!E:E)-SUMIF('Budget 12 Mnths'!$A:$A,'Detail 18-19'!$A26,'Budget 12 Mnths'!F:F)</f>
        <v>0</v>
      </c>
      <c r="G26" s="56">
        <f>SUMIF('2015-16 12 Mnths'!$A:$A,'Detail 18-19'!$A26,'2015-16 12 Mnths'!F:F)-SUMIF('Budget 12 Mnths'!$A:$A,'Detail 18-19'!$A26,'Budget 12 Mnths'!G:G)</f>
        <v>0</v>
      </c>
      <c r="H26" s="56">
        <f>SUMIF('2015-16 12 Mnths'!$A:$A,'Detail 18-19'!$A26,'2015-16 12 Mnths'!G:G)-SUMIF('Budget 12 Mnths'!$A:$A,'Detail 18-19'!$A26,'Budget 12 Mnths'!H:H)</f>
        <v>0</v>
      </c>
      <c r="I26" s="56">
        <f>SUMIF('2015-16 12 Mnths'!$A:$A,'Detail 18-19'!$A26,'2015-16 12 Mnths'!H:H)-SUMIF('Budget 12 Mnths'!$A:$A,'Detail 18-19'!$A26,'Budget 12 Mnths'!I:I)</f>
        <v>0</v>
      </c>
      <c r="J26" s="56">
        <f>SUMIF('2015-16 12 Mnths'!$A:$A,'Detail 18-19'!$A26,'2015-16 12 Mnths'!I:I)-SUMIF('Budget 12 Mnths'!$A:$A,'Detail 18-19'!$A26,'Budget 12 Mnths'!J:J)</f>
        <v>0</v>
      </c>
      <c r="K26" s="56">
        <f>SUMIF('2015-16 12 Mnths'!$A:$A,'Detail 18-19'!$A26,'2015-16 12 Mnths'!J:J)-SUMIF('Budget 12 Mnths'!$A:$A,'Detail 18-19'!$A26,'Budget 12 Mnths'!K:K)</f>
        <v>0</v>
      </c>
      <c r="L26" s="56">
        <f>SUMIF('2015-16 12 Mnths'!$A:$A,'Detail 18-19'!$A26,'2015-16 12 Mnths'!K:K)-SUMIF('Budget 12 Mnths'!$A:$A,'Detail 18-19'!$A26,'Budget 12 Mnths'!L:L)</f>
        <v>0</v>
      </c>
      <c r="M26" s="56"/>
      <c r="N26" s="56"/>
      <c r="O26" s="56"/>
      <c r="P26" s="56">
        <f t="shared" si="1"/>
        <v>0</v>
      </c>
      <c r="Q26" s="14" t="str">
        <f>+VLOOKUP(A26,Mapping!$A$1:$E$443,5,FALSE)</f>
        <v>Merchandise</v>
      </c>
      <c r="R26" s="26">
        <f>+SUMIF('Budget 12 Mnths'!$A:$A,'Detail 18-19'!$A26,'Budget 12 Mnths'!$P:$P)</f>
        <v>0</v>
      </c>
      <c r="S26" s="26">
        <f>+SUMIF('2015-16 12 Mnths'!$A:$A,'Detail 18-19'!$A26,'2015-16 12 Mnths'!$O:$O)</f>
        <v>0</v>
      </c>
      <c r="T26" s="57">
        <f t="shared" si="2"/>
        <v>0</v>
      </c>
      <c r="U26" s="57">
        <f t="shared" si="3"/>
        <v>0</v>
      </c>
      <c r="W26" s="27"/>
      <c r="X26" s="27" t="str">
        <f t="shared" si="15"/>
        <v/>
      </c>
      <c r="Z26" s="57">
        <f t="shared" si="16"/>
        <v>0</v>
      </c>
      <c r="AA26" s="57" t="str">
        <f>IFERROR(+VLOOKUP(A26,Key!$A$1:$C$219,2,FALSE),"NOT FOUND")</f>
        <v>NOT FOUND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>
        <f t="shared" si="6"/>
        <v>0</v>
      </c>
    </row>
    <row r="27" ht="15.75" hidden="1" customHeight="1">
      <c r="A27" s="15" t="s">
        <v>127</v>
      </c>
      <c r="B27" s="15" t="s">
        <v>128</v>
      </c>
      <c r="C27" s="15" t="s">
        <v>41</v>
      </c>
      <c r="D27" s="56">
        <f>SUMIF('2015-16 12 Mnths'!$A:$A,'Detail 18-19'!$A27,'2015-16 12 Mnths'!C:C)-SUMIF('Budget 12 Mnths'!$A:$A,'Detail 18-19'!$A27,'Budget 12 Mnths'!D:D)</f>
        <v>0</v>
      </c>
      <c r="E27" s="56">
        <f>SUMIF('2015-16 12 Mnths'!$A:$A,'Detail 18-19'!$A27,'2015-16 12 Mnths'!D:D)-SUMIF('Budget 12 Mnths'!$A:$A,'Detail 18-19'!$A27,'Budget 12 Mnths'!E:E)</f>
        <v>0</v>
      </c>
      <c r="F27" s="56">
        <f>SUMIF('2015-16 12 Mnths'!$A:$A,'Detail 18-19'!$A27,'2015-16 12 Mnths'!E:E)-SUMIF('Budget 12 Mnths'!$A:$A,'Detail 18-19'!$A27,'Budget 12 Mnths'!F:F)</f>
        <v>0</v>
      </c>
      <c r="G27" s="56">
        <f>SUMIF('2015-16 12 Mnths'!$A:$A,'Detail 18-19'!$A27,'2015-16 12 Mnths'!F:F)-SUMIF('Budget 12 Mnths'!$A:$A,'Detail 18-19'!$A27,'Budget 12 Mnths'!G:G)</f>
        <v>0</v>
      </c>
      <c r="H27" s="56">
        <f>SUMIF('2015-16 12 Mnths'!$A:$A,'Detail 18-19'!$A27,'2015-16 12 Mnths'!G:G)-SUMIF('Budget 12 Mnths'!$A:$A,'Detail 18-19'!$A27,'Budget 12 Mnths'!H:H)</f>
        <v>0</v>
      </c>
      <c r="I27" s="56">
        <f>SUMIF('2015-16 12 Mnths'!$A:$A,'Detail 18-19'!$A27,'2015-16 12 Mnths'!H:H)-SUMIF('Budget 12 Mnths'!$A:$A,'Detail 18-19'!$A27,'Budget 12 Mnths'!I:I)</f>
        <v>0</v>
      </c>
      <c r="J27" s="56">
        <f>SUMIF('2015-16 12 Mnths'!$A:$A,'Detail 18-19'!$A27,'2015-16 12 Mnths'!I:I)-SUMIF('Budget 12 Mnths'!$A:$A,'Detail 18-19'!$A27,'Budget 12 Mnths'!J:J)</f>
        <v>0</v>
      </c>
      <c r="K27" s="56">
        <f>SUMIF('2015-16 12 Mnths'!$A:$A,'Detail 18-19'!$A27,'2015-16 12 Mnths'!J:J)-SUMIF('Budget 12 Mnths'!$A:$A,'Detail 18-19'!$A27,'Budget 12 Mnths'!K:K)</f>
        <v>0</v>
      </c>
      <c r="L27" s="56">
        <f>SUMIF('2015-16 12 Mnths'!$A:$A,'Detail 18-19'!$A27,'2015-16 12 Mnths'!K:K)-SUMIF('Budget 12 Mnths'!$A:$A,'Detail 18-19'!$A27,'Budget 12 Mnths'!L:L)</f>
        <v>0</v>
      </c>
      <c r="M27" s="56"/>
      <c r="N27" s="56"/>
      <c r="O27" s="56"/>
      <c r="P27" s="56">
        <f t="shared" si="1"/>
        <v>0</v>
      </c>
      <c r="Q27" s="14" t="str">
        <f>+VLOOKUP(A27,Mapping!$A$1:$E$443,5,FALSE)</f>
        <v>Merchandise</v>
      </c>
      <c r="R27" s="26">
        <f>+SUMIF('Budget 12 Mnths'!$A:$A,'Detail 18-19'!$A27,'Budget 12 Mnths'!$P:$P)</f>
        <v>0</v>
      </c>
      <c r="S27" s="26">
        <f>+SUMIF('2015-16 12 Mnths'!$A:$A,'Detail 18-19'!$A27,'2015-16 12 Mnths'!$O:$O)</f>
        <v>0</v>
      </c>
      <c r="T27" s="57">
        <f t="shared" si="2"/>
        <v>0</v>
      </c>
      <c r="U27" s="57">
        <f t="shared" si="3"/>
        <v>0</v>
      </c>
      <c r="W27" s="27"/>
      <c r="X27" s="27" t="str">
        <f t="shared" si="15"/>
        <v/>
      </c>
      <c r="Z27" s="57">
        <f t="shared" si="16"/>
        <v>0</v>
      </c>
      <c r="AA27" s="57" t="str">
        <f>IFERROR(+VLOOKUP(A27,Key!$A$1:$C$219,2,FALSE),"NOT FOUND")</f>
        <v>NOT FOUND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>
        <f t="shared" si="6"/>
        <v>0</v>
      </c>
    </row>
    <row r="28" ht="15.75" hidden="1" customHeight="1">
      <c r="A28" s="15" t="s">
        <v>129</v>
      </c>
      <c r="B28" s="15" t="s">
        <v>130</v>
      </c>
      <c r="C28" s="15" t="s">
        <v>41</v>
      </c>
      <c r="D28" s="56">
        <f>SUMIF('2015-16 12 Mnths'!$A:$A,'Detail 18-19'!$A28,'2015-16 12 Mnths'!C:C)-SUMIF('Budget 12 Mnths'!$A:$A,'Detail 18-19'!$A28,'Budget 12 Mnths'!D:D)</f>
        <v>0</v>
      </c>
      <c r="E28" s="56">
        <f>SUMIF('2015-16 12 Mnths'!$A:$A,'Detail 18-19'!$A28,'2015-16 12 Mnths'!D:D)-SUMIF('Budget 12 Mnths'!$A:$A,'Detail 18-19'!$A28,'Budget 12 Mnths'!E:E)</f>
        <v>0</v>
      </c>
      <c r="F28" s="56">
        <f>SUMIF('2015-16 12 Mnths'!$A:$A,'Detail 18-19'!$A28,'2015-16 12 Mnths'!E:E)-SUMIF('Budget 12 Mnths'!$A:$A,'Detail 18-19'!$A28,'Budget 12 Mnths'!F:F)</f>
        <v>0</v>
      </c>
      <c r="G28" s="56">
        <f>SUMIF('2015-16 12 Mnths'!$A:$A,'Detail 18-19'!$A28,'2015-16 12 Mnths'!F:F)-SUMIF('Budget 12 Mnths'!$A:$A,'Detail 18-19'!$A28,'Budget 12 Mnths'!G:G)</f>
        <v>0</v>
      </c>
      <c r="H28" s="56">
        <f>SUMIF('2015-16 12 Mnths'!$A:$A,'Detail 18-19'!$A28,'2015-16 12 Mnths'!G:G)-SUMIF('Budget 12 Mnths'!$A:$A,'Detail 18-19'!$A28,'Budget 12 Mnths'!H:H)</f>
        <v>0</v>
      </c>
      <c r="I28" s="56">
        <f>SUMIF('2015-16 12 Mnths'!$A:$A,'Detail 18-19'!$A28,'2015-16 12 Mnths'!H:H)-SUMIF('Budget 12 Mnths'!$A:$A,'Detail 18-19'!$A28,'Budget 12 Mnths'!I:I)</f>
        <v>0</v>
      </c>
      <c r="J28" s="56">
        <f>SUMIF('2015-16 12 Mnths'!$A:$A,'Detail 18-19'!$A28,'2015-16 12 Mnths'!I:I)-SUMIF('Budget 12 Mnths'!$A:$A,'Detail 18-19'!$A28,'Budget 12 Mnths'!J:J)</f>
        <v>0</v>
      </c>
      <c r="K28" s="56">
        <f>SUMIF('2015-16 12 Mnths'!$A:$A,'Detail 18-19'!$A28,'2015-16 12 Mnths'!J:J)-SUMIF('Budget 12 Mnths'!$A:$A,'Detail 18-19'!$A28,'Budget 12 Mnths'!K:K)</f>
        <v>0</v>
      </c>
      <c r="L28" s="56">
        <f>SUMIF('2015-16 12 Mnths'!$A:$A,'Detail 18-19'!$A28,'2015-16 12 Mnths'!K:K)-SUMIF('Budget 12 Mnths'!$A:$A,'Detail 18-19'!$A28,'Budget 12 Mnths'!L:L)</f>
        <v>0</v>
      </c>
      <c r="M28" s="56"/>
      <c r="N28" s="56"/>
      <c r="O28" s="56"/>
      <c r="P28" s="56">
        <f t="shared" si="1"/>
        <v>0</v>
      </c>
      <c r="Q28" s="14" t="str">
        <f>+VLOOKUP(A28,Mapping!$A$1:$E$443,5,FALSE)</f>
        <v>Merchandise</v>
      </c>
      <c r="R28" s="26">
        <f>+SUMIF('Budget 12 Mnths'!$A:$A,'Detail 18-19'!$A28,'Budget 12 Mnths'!$P:$P)</f>
        <v>0</v>
      </c>
      <c r="S28" s="26">
        <f>+SUMIF('2015-16 12 Mnths'!$A:$A,'Detail 18-19'!$A28,'2015-16 12 Mnths'!$O:$O)</f>
        <v>0</v>
      </c>
      <c r="T28" s="57">
        <f t="shared" si="2"/>
        <v>0</v>
      </c>
      <c r="U28" s="57">
        <f t="shared" si="3"/>
        <v>0</v>
      </c>
      <c r="W28" s="27"/>
      <c r="X28" s="27" t="str">
        <f t="shared" si="15"/>
        <v/>
      </c>
      <c r="Z28" s="57">
        <f t="shared" si="16"/>
        <v>0</v>
      </c>
      <c r="AA28" s="57" t="str">
        <f>IFERROR(+VLOOKUP(A28,Key!$A$1:$C$219,2,FALSE),"NOT FOUND")</f>
        <v>NOT FOUND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>
        <f t="shared" si="6"/>
        <v>0</v>
      </c>
    </row>
    <row r="29" ht="15.75" customHeight="1">
      <c r="A29" s="15" t="s">
        <v>134</v>
      </c>
      <c r="B29" s="15" t="s">
        <v>135</v>
      </c>
      <c r="C29" s="15" t="s">
        <v>41</v>
      </c>
      <c r="D29" s="56">
        <f>SUMIF('2015-16 12 Mnths'!$A:$A,'Detail 18-19'!$A29,'2015-16 12 Mnths'!C:C)-SUMIF('Budget 12 Mnths'!$A:$A,'Detail 18-19'!$A29,'Budget 12 Mnths'!D:D)</f>
        <v>0</v>
      </c>
      <c r="E29" s="56">
        <f>SUMIF('2015-16 12 Mnths'!$A:$A,'Detail 18-19'!$A29,'2015-16 12 Mnths'!D:D)-SUMIF('Budget 12 Mnths'!$A:$A,'Detail 18-19'!$A29,'Budget 12 Mnths'!E:E)</f>
        <v>-26.32</v>
      </c>
      <c r="F29" s="56">
        <f>SUMIF('2015-16 12 Mnths'!$A:$A,'Detail 18-19'!$A29,'2015-16 12 Mnths'!E:E)-SUMIF('Budget 12 Mnths'!$A:$A,'Detail 18-19'!$A29,'Budget 12 Mnths'!F:F)</f>
        <v>81.89</v>
      </c>
      <c r="G29" s="56">
        <f>SUMIF('2015-16 12 Mnths'!$A:$A,'Detail 18-19'!$A29,'2015-16 12 Mnths'!F:F)-SUMIF('Budget 12 Mnths'!$A:$A,'Detail 18-19'!$A29,'Budget 12 Mnths'!G:G)</f>
        <v>-52.63</v>
      </c>
      <c r="H29" s="56">
        <f>SUMIF('2015-16 12 Mnths'!$A:$A,'Detail 18-19'!$A29,'2015-16 12 Mnths'!G:G)-SUMIF('Budget 12 Mnths'!$A:$A,'Detail 18-19'!$A29,'Budget 12 Mnths'!H:H)</f>
        <v>-52.63</v>
      </c>
      <c r="I29" s="56">
        <f>SUMIF('2015-16 12 Mnths'!$A:$A,'Detail 18-19'!$A29,'2015-16 12 Mnths'!H:H)-SUMIF('Budget 12 Mnths'!$A:$A,'Detail 18-19'!$A29,'Budget 12 Mnths'!I:I)</f>
        <v>-52.63</v>
      </c>
      <c r="J29" s="56">
        <f>SUMIF('2015-16 12 Mnths'!$A:$A,'Detail 18-19'!$A29,'2015-16 12 Mnths'!I:I)-SUMIF('Budget 12 Mnths'!$A:$A,'Detail 18-19'!$A29,'Budget 12 Mnths'!J:J)</f>
        <v>-52.63</v>
      </c>
      <c r="K29" s="56">
        <f>SUMIF('2015-16 12 Mnths'!$A:$A,'Detail 18-19'!$A29,'2015-16 12 Mnths'!J:J)-SUMIF('Budget 12 Mnths'!$A:$A,'Detail 18-19'!$A29,'Budget 12 Mnths'!K:K)</f>
        <v>-52.63</v>
      </c>
      <c r="L29" s="56">
        <f>SUMIF('2015-16 12 Mnths'!$A:$A,'Detail 18-19'!$A29,'2015-16 12 Mnths'!K:K)-SUMIF('Budget 12 Mnths'!$A:$A,'Detail 18-19'!$A29,'Budget 12 Mnths'!L:L)</f>
        <v>-52.63</v>
      </c>
      <c r="M29" s="56"/>
      <c r="N29" s="56"/>
      <c r="O29" s="56"/>
      <c r="P29" s="56">
        <f t="shared" si="1"/>
        <v>-260.21</v>
      </c>
      <c r="Q29" s="14" t="str">
        <f>+VLOOKUP(A29,Mapping!$A$1:$E$443,5,FALSE)</f>
        <v>Merchandise</v>
      </c>
      <c r="R29" s="26">
        <f>+SUMIF('Budget 12 Mnths'!$A:$A,'Detail 18-19'!$A29,'Budget 12 Mnths'!$P:$P)</f>
        <v>499.99</v>
      </c>
      <c r="S29" s="26">
        <f>+SUMIF('2015-16 12 Mnths'!$A:$A,'Detail 18-19'!$A29,'2015-16 12 Mnths'!$O:$O)</f>
        <v>134.52</v>
      </c>
      <c r="T29" s="57">
        <f t="shared" si="2"/>
        <v>-0.5204304086</v>
      </c>
      <c r="U29" s="57">
        <f t="shared" si="3"/>
        <v>-1.934359203</v>
      </c>
      <c r="V29" s="8" t="s">
        <v>641</v>
      </c>
      <c r="W29" s="27">
        <f t="shared" ref="W29:W31" si="17">+R29</f>
        <v>499.99</v>
      </c>
      <c r="X29" s="27"/>
      <c r="Z29" s="57">
        <f t="shared" si="16"/>
        <v>0</v>
      </c>
      <c r="AA29" s="57" t="str">
        <f>IFERROR(+VLOOKUP(A29,Key!$A$1:$C$219,2,FALSE),"NOT FOUND")</f>
        <v>4250-1U</v>
      </c>
      <c r="AB29" s="27">
        <v>500.0</v>
      </c>
      <c r="AC29" s="27"/>
      <c r="AD29" s="27">
        <v>250.0</v>
      </c>
      <c r="AE29" s="27"/>
      <c r="AF29" s="27"/>
      <c r="AG29" s="27"/>
      <c r="AH29" s="27"/>
      <c r="AI29" s="27">
        <v>250.0</v>
      </c>
      <c r="AJ29" s="27"/>
      <c r="AK29" s="27"/>
      <c r="AL29" s="27"/>
      <c r="AM29" s="27"/>
      <c r="AN29" s="27"/>
      <c r="AO29" s="27">
        <f t="shared" si="6"/>
        <v>0</v>
      </c>
    </row>
    <row r="30" ht="15.75" customHeight="1">
      <c r="A30" s="15" t="s">
        <v>137</v>
      </c>
      <c r="B30" s="15" t="s">
        <v>138</v>
      </c>
      <c r="C30" s="15" t="s">
        <v>41</v>
      </c>
      <c r="D30" s="56">
        <f>SUMIF('2015-16 12 Mnths'!$A:$A,'Detail 18-19'!$A30,'2015-16 12 Mnths'!C:C)-SUMIF('Budget 12 Mnths'!$A:$A,'Detail 18-19'!$A30,'Budget 12 Mnths'!D:D)</f>
        <v>628</v>
      </c>
      <c r="E30" s="56">
        <f>SUMIF('2015-16 12 Mnths'!$A:$A,'Detail 18-19'!$A30,'2015-16 12 Mnths'!D:D)-SUMIF('Budget 12 Mnths'!$A:$A,'Detail 18-19'!$A30,'Budget 12 Mnths'!E:E)</f>
        <v>-149</v>
      </c>
      <c r="F30" s="56">
        <f>SUMIF('2015-16 12 Mnths'!$A:$A,'Detail 18-19'!$A30,'2015-16 12 Mnths'!E:E)-SUMIF('Budget 12 Mnths'!$A:$A,'Detail 18-19'!$A30,'Budget 12 Mnths'!F:F)</f>
        <v>113</v>
      </c>
      <c r="G30" s="56">
        <f>SUMIF('2015-16 12 Mnths'!$A:$A,'Detail 18-19'!$A30,'2015-16 12 Mnths'!F:F)-SUMIF('Budget 12 Mnths'!$A:$A,'Detail 18-19'!$A30,'Budget 12 Mnths'!G:G)</f>
        <v>26.5</v>
      </c>
      <c r="H30" s="56">
        <f>SUMIF('2015-16 12 Mnths'!$A:$A,'Detail 18-19'!$A30,'2015-16 12 Mnths'!G:G)-SUMIF('Budget 12 Mnths'!$A:$A,'Detail 18-19'!$A30,'Budget 12 Mnths'!H:H)</f>
        <v>88</v>
      </c>
      <c r="I30" s="56">
        <f>SUMIF('2015-16 12 Mnths'!$A:$A,'Detail 18-19'!$A30,'2015-16 12 Mnths'!H:H)-SUMIF('Budget 12 Mnths'!$A:$A,'Detail 18-19'!$A30,'Budget 12 Mnths'!I:I)</f>
        <v>80</v>
      </c>
      <c r="J30" s="56">
        <f>SUMIF('2015-16 12 Mnths'!$A:$A,'Detail 18-19'!$A30,'2015-16 12 Mnths'!I:I)-SUMIF('Budget 12 Mnths'!$A:$A,'Detail 18-19'!$A30,'Budget 12 Mnths'!J:J)</f>
        <v>-145</v>
      </c>
      <c r="K30" s="56">
        <f>SUMIF('2015-16 12 Mnths'!$A:$A,'Detail 18-19'!$A30,'2015-16 12 Mnths'!J:J)-SUMIF('Budget 12 Mnths'!$A:$A,'Detail 18-19'!$A30,'Budget 12 Mnths'!K:K)</f>
        <v>10</v>
      </c>
      <c r="L30" s="56">
        <f>SUMIF('2015-16 12 Mnths'!$A:$A,'Detail 18-19'!$A30,'2015-16 12 Mnths'!K:K)-SUMIF('Budget 12 Mnths'!$A:$A,'Detail 18-19'!$A30,'Budget 12 Mnths'!L:L)</f>
        <v>0</v>
      </c>
      <c r="M30" s="56"/>
      <c r="N30" s="56"/>
      <c r="O30" s="56"/>
      <c r="P30" s="56">
        <f t="shared" si="1"/>
        <v>651.5</v>
      </c>
      <c r="Q30" s="14" t="str">
        <f>+VLOOKUP(A30,Mapping!$A$1:$E$443,5,FALSE)</f>
        <v>Merchandise</v>
      </c>
      <c r="R30" s="26">
        <f>+SUMIF('Budget 12 Mnths'!$A:$A,'Detail 18-19'!$A30,'Budget 12 Mnths'!$P:$P)</f>
        <v>500</v>
      </c>
      <c r="S30" s="26">
        <f>+SUMIF('2015-16 12 Mnths'!$A:$A,'Detail 18-19'!$A30,'2015-16 12 Mnths'!$O:$O)</f>
        <v>1151.5</v>
      </c>
      <c r="T30" s="57">
        <f t="shared" si="2"/>
        <v>1.303</v>
      </c>
      <c r="U30" s="57">
        <f t="shared" si="3"/>
        <v>0.5657837603</v>
      </c>
      <c r="V30" s="8" t="s">
        <v>641</v>
      </c>
      <c r="W30" s="27">
        <f t="shared" si="17"/>
        <v>500</v>
      </c>
      <c r="X30" s="27"/>
      <c r="Z30" s="57">
        <f t="shared" si="16"/>
        <v>0</v>
      </c>
      <c r="AA30" s="57" t="str">
        <f>IFERROR(+VLOOKUP(A30,Key!$A$1:$C$219,2,FALSE),"NOT FOUND")</f>
        <v>4260-1U</v>
      </c>
      <c r="AB30" s="27">
        <v>500.0</v>
      </c>
      <c r="AC30" s="27"/>
      <c r="AD30" s="27">
        <v>250.0</v>
      </c>
      <c r="AE30" s="27"/>
      <c r="AF30" s="27"/>
      <c r="AG30" s="27"/>
      <c r="AH30" s="27"/>
      <c r="AI30" s="27">
        <v>250.0</v>
      </c>
      <c r="AJ30" s="27"/>
      <c r="AK30" s="27"/>
      <c r="AL30" s="27"/>
      <c r="AM30" s="27"/>
      <c r="AN30" s="27"/>
      <c r="AO30" s="27">
        <f t="shared" si="6"/>
        <v>0</v>
      </c>
    </row>
    <row r="31" ht="15.75" customHeight="1">
      <c r="A31" s="15" t="s">
        <v>140</v>
      </c>
      <c r="B31" s="15" t="s">
        <v>141</v>
      </c>
      <c r="C31" s="15" t="s">
        <v>41</v>
      </c>
      <c r="D31" s="56">
        <f>SUMIF('2015-16 12 Mnths'!$A:$A,'Detail 18-19'!$A31,'2015-16 12 Mnths'!C:C)-SUMIF('Budget 12 Mnths'!$A:$A,'Detail 18-19'!$A31,'Budget 12 Mnths'!D:D)</f>
        <v>0</v>
      </c>
      <c r="E31" s="56">
        <f>SUMIF('2015-16 12 Mnths'!$A:$A,'Detail 18-19'!$A31,'2015-16 12 Mnths'!D:D)-SUMIF('Budget 12 Mnths'!$A:$A,'Detail 18-19'!$A31,'Budget 12 Mnths'!E:E)</f>
        <v>27.37</v>
      </c>
      <c r="F31" s="56">
        <f>SUMIF('2015-16 12 Mnths'!$A:$A,'Detail 18-19'!$A31,'2015-16 12 Mnths'!E:E)-SUMIF('Budget 12 Mnths'!$A:$A,'Detail 18-19'!$A31,'Budget 12 Mnths'!F:F)</f>
        <v>-105.27</v>
      </c>
      <c r="G31" s="56">
        <f>SUMIF('2015-16 12 Mnths'!$A:$A,'Detail 18-19'!$A31,'2015-16 12 Mnths'!F:F)-SUMIF('Budget 12 Mnths'!$A:$A,'Detail 18-19'!$A31,'Budget 12 Mnths'!G:G)</f>
        <v>22.73</v>
      </c>
      <c r="H31" s="56">
        <f>SUMIF('2015-16 12 Mnths'!$A:$A,'Detail 18-19'!$A31,'2015-16 12 Mnths'!G:G)-SUMIF('Budget 12 Mnths'!$A:$A,'Detail 18-19'!$A31,'Budget 12 Mnths'!H:H)</f>
        <v>-25.27</v>
      </c>
      <c r="I31" s="56">
        <f>SUMIF('2015-16 12 Mnths'!$A:$A,'Detail 18-19'!$A31,'2015-16 12 Mnths'!H:H)-SUMIF('Budget 12 Mnths'!$A:$A,'Detail 18-19'!$A31,'Budget 12 Mnths'!I:I)</f>
        <v>-105.27</v>
      </c>
      <c r="J31" s="56">
        <f>SUMIF('2015-16 12 Mnths'!$A:$A,'Detail 18-19'!$A31,'2015-16 12 Mnths'!I:I)-SUMIF('Budget 12 Mnths'!$A:$A,'Detail 18-19'!$A31,'Budget 12 Mnths'!J:J)</f>
        <v>-105.27</v>
      </c>
      <c r="K31" s="56">
        <f>SUMIF('2015-16 12 Mnths'!$A:$A,'Detail 18-19'!$A31,'2015-16 12 Mnths'!J:J)-SUMIF('Budget 12 Mnths'!$A:$A,'Detail 18-19'!$A31,'Budget 12 Mnths'!K:K)</f>
        <v>-105.27</v>
      </c>
      <c r="L31" s="56">
        <f>SUMIF('2015-16 12 Mnths'!$A:$A,'Detail 18-19'!$A31,'2015-16 12 Mnths'!K:K)-SUMIF('Budget 12 Mnths'!$A:$A,'Detail 18-19'!$A31,'Budget 12 Mnths'!L:L)</f>
        <v>-105.27</v>
      </c>
      <c r="M31" s="56"/>
      <c r="N31" s="56"/>
      <c r="O31" s="56"/>
      <c r="P31" s="56">
        <f t="shared" si="1"/>
        <v>-501.52</v>
      </c>
      <c r="Q31" s="14" t="str">
        <f>+VLOOKUP(A31,Mapping!$A$1:$E$443,5,FALSE)</f>
        <v>Merchandise</v>
      </c>
      <c r="R31" s="26">
        <f>+SUMIF('Budget 12 Mnths'!$A:$A,'Detail 18-19'!$A31,'Budget 12 Mnths'!$P:$P)</f>
        <v>1000.02</v>
      </c>
      <c r="S31" s="26">
        <f>+SUMIF('2015-16 12 Mnths'!$A:$A,'Detail 18-19'!$A31,'2015-16 12 Mnths'!$O:$O)</f>
        <v>308</v>
      </c>
      <c r="T31" s="57">
        <f t="shared" si="2"/>
        <v>-0.5015099698</v>
      </c>
      <c r="U31" s="57">
        <f t="shared" si="3"/>
        <v>-1.628311688</v>
      </c>
      <c r="V31" s="8" t="s">
        <v>641</v>
      </c>
      <c r="W31" s="27">
        <f t="shared" si="17"/>
        <v>1000.02</v>
      </c>
      <c r="X31" s="27"/>
      <c r="Z31" s="57">
        <f t="shared" si="16"/>
        <v>0</v>
      </c>
      <c r="AA31" s="57" t="str">
        <f>IFERROR(+VLOOKUP(A31,Key!$A$1:$C$219,2,FALSE),"NOT FOUND")</f>
        <v>4250-1U</v>
      </c>
      <c r="AB31" s="27">
        <v>250.0</v>
      </c>
      <c r="AC31" s="27"/>
      <c r="AD31" s="27">
        <v>125.0</v>
      </c>
      <c r="AE31" s="27"/>
      <c r="AF31" s="27"/>
      <c r="AG31" s="27"/>
      <c r="AH31" s="27"/>
      <c r="AI31" s="27">
        <v>125.0</v>
      </c>
      <c r="AJ31" s="27"/>
      <c r="AK31" s="27"/>
      <c r="AL31" s="27"/>
      <c r="AM31" s="27"/>
      <c r="AN31" s="27"/>
      <c r="AO31" s="27">
        <f t="shared" si="6"/>
        <v>0</v>
      </c>
    </row>
    <row r="32" ht="15.75" customHeight="1">
      <c r="A32" s="15" t="s">
        <v>144</v>
      </c>
      <c r="B32" s="15" t="s">
        <v>145</v>
      </c>
      <c r="C32" s="15" t="s">
        <v>41</v>
      </c>
      <c r="D32" s="56">
        <f>SUMIF('2015-16 12 Mnths'!$A:$A,'Detail 18-19'!$A32,'2015-16 12 Mnths'!C:C)-SUMIF('Budget 12 Mnths'!$A:$A,'Detail 18-19'!$A32,'Budget 12 Mnths'!D:D)</f>
        <v>0</v>
      </c>
      <c r="E32" s="56">
        <f>SUMIF('2015-16 12 Mnths'!$A:$A,'Detail 18-19'!$A32,'2015-16 12 Mnths'!D:D)-SUMIF('Budget 12 Mnths'!$A:$A,'Detail 18-19'!$A32,'Budget 12 Mnths'!E:E)</f>
        <v>4480.75</v>
      </c>
      <c r="F32" s="56">
        <f>SUMIF('2015-16 12 Mnths'!$A:$A,'Detail 18-19'!$A32,'2015-16 12 Mnths'!E:E)-SUMIF('Budget 12 Mnths'!$A:$A,'Detail 18-19'!$A32,'Budget 12 Mnths'!F:F)</f>
        <v>3759</v>
      </c>
      <c r="G32" s="56">
        <f>SUMIF('2015-16 12 Mnths'!$A:$A,'Detail 18-19'!$A32,'2015-16 12 Mnths'!F:F)-SUMIF('Budget 12 Mnths'!$A:$A,'Detail 18-19'!$A32,'Budget 12 Mnths'!G:G)</f>
        <v>4800</v>
      </c>
      <c r="H32" s="56">
        <f>SUMIF('2015-16 12 Mnths'!$A:$A,'Detail 18-19'!$A32,'2015-16 12 Mnths'!G:G)-SUMIF('Budget 12 Mnths'!$A:$A,'Detail 18-19'!$A32,'Budget 12 Mnths'!H:H)</f>
        <v>2325</v>
      </c>
      <c r="I32" s="56">
        <f>SUMIF('2015-16 12 Mnths'!$A:$A,'Detail 18-19'!$A32,'2015-16 12 Mnths'!H:H)-SUMIF('Budget 12 Mnths'!$A:$A,'Detail 18-19'!$A32,'Budget 12 Mnths'!I:I)</f>
        <v>2925</v>
      </c>
      <c r="J32" s="56">
        <f>SUMIF('2015-16 12 Mnths'!$A:$A,'Detail 18-19'!$A32,'2015-16 12 Mnths'!I:I)-SUMIF('Budget 12 Mnths'!$A:$A,'Detail 18-19'!$A32,'Budget 12 Mnths'!J:J)</f>
        <v>2609</v>
      </c>
      <c r="K32" s="56">
        <f>SUMIF('2015-16 12 Mnths'!$A:$A,'Detail 18-19'!$A32,'2015-16 12 Mnths'!J:J)-SUMIF('Budget 12 Mnths'!$A:$A,'Detail 18-19'!$A32,'Budget 12 Mnths'!K:K)</f>
        <v>3525</v>
      </c>
      <c r="L32" s="56">
        <f>SUMIF('2015-16 12 Mnths'!$A:$A,'Detail 18-19'!$A32,'2015-16 12 Mnths'!K:K)-SUMIF('Budget 12 Mnths'!$A:$A,'Detail 18-19'!$A32,'Budget 12 Mnths'!L:L)</f>
        <v>4350</v>
      </c>
      <c r="M32" s="56"/>
      <c r="N32" s="56"/>
      <c r="O32" s="56"/>
      <c r="P32" s="56">
        <f t="shared" si="1"/>
        <v>28773.75</v>
      </c>
      <c r="Q32" s="14" t="str">
        <f>+VLOOKUP(A32,Mapping!$A$1:$E$443,5,FALSE)</f>
        <v>Merchandise</v>
      </c>
      <c r="R32" s="26">
        <f>+SUMIF('Budget 12 Mnths'!$A:$A,'Detail 18-19'!$A32,'Budget 12 Mnths'!$P:$P)</f>
        <v>0</v>
      </c>
      <c r="S32" s="26">
        <f>+SUMIF('2015-16 12 Mnths'!$A:$A,'Detail 18-19'!$A32,'2015-16 12 Mnths'!$O:$O)</f>
        <v>29773.75</v>
      </c>
      <c r="T32" s="57">
        <f t="shared" si="2"/>
        <v>0</v>
      </c>
      <c r="U32" s="57">
        <f t="shared" si="3"/>
        <v>0.9664133675</v>
      </c>
      <c r="V32" s="8" t="s">
        <v>451</v>
      </c>
      <c r="W32" s="27">
        <f>+S32/8*10</f>
        <v>37217.1875</v>
      </c>
      <c r="X32" s="27">
        <v>25000.0</v>
      </c>
      <c r="Z32" s="57">
        <f>+X32/9.5*4.5</f>
        <v>11842.10526</v>
      </c>
      <c r="AA32" s="57" t="str">
        <f>IFERROR(+VLOOKUP(A32,Key!$A$1:$C$219,2,FALSE),"NOT FOUND")</f>
        <v>4270-1U</v>
      </c>
      <c r="AB32" s="27">
        <v>27000.0</v>
      </c>
      <c r="AC32" s="27">
        <v>0.0</v>
      </c>
      <c r="AD32" s="57">
        <f>+$AB32/9.5*0.5</f>
        <v>1421.052632</v>
      </c>
      <c r="AE32" s="57">
        <f t="shared" ref="AE32:AM32" si="18">+$AB32/9.5</f>
        <v>2842.105263</v>
      </c>
      <c r="AF32" s="57">
        <f t="shared" si="18"/>
        <v>2842.105263</v>
      </c>
      <c r="AG32" s="57">
        <f t="shared" si="18"/>
        <v>2842.105263</v>
      </c>
      <c r="AH32" s="57">
        <f t="shared" si="18"/>
        <v>2842.105263</v>
      </c>
      <c r="AI32" s="57">
        <f t="shared" si="18"/>
        <v>2842.105263</v>
      </c>
      <c r="AJ32" s="57">
        <f t="shared" si="18"/>
        <v>2842.105263</v>
      </c>
      <c r="AK32" s="57">
        <f t="shared" si="18"/>
        <v>2842.105263</v>
      </c>
      <c r="AL32" s="57">
        <f t="shared" si="18"/>
        <v>2842.105263</v>
      </c>
      <c r="AM32" s="57">
        <f t="shared" si="18"/>
        <v>2842.105263</v>
      </c>
      <c r="AN32" s="27">
        <v>0.0</v>
      </c>
      <c r="AO32" s="27">
        <f t="shared" si="6"/>
        <v>0</v>
      </c>
    </row>
    <row r="33" ht="15.75" hidden="1" customHeight="1">
      <c r="A33" s="15" t="s">
        <v>147</v>
      </c>
      <c r="B33" s="15" t="s">
        <v>148</v>
      </c>
      <c r="C33" s="15" t="s">
        <v>41</v>
      </c>
      <c r="D33" s="56">
        <f>SUMIF('2015-16 12 Mnths'!$A:$A,'Detail 18-19'!$A33,'2015-16 12 Mnths'!C:C)-SUMIF('Budget 12 Mnths'!$A:$A,'Detail 18-19'!$A33,'Budget 12 Mnths'!D:D)</f>
        <v>0</v>
      </c>
      <c r="E33" s="56">
        <f>SUMIF('2015-16 12 Mnths'!$A:$A,'Detail 18-19'!$A33,'2015-16 12 Mnths'!D:D)-SUMIF('Budget 12 Mnths'!$A:$A,'Detail 18-19'!$A33,'Budget 12 Mnths'!E:E)</f>
        <v>0</v>
      </c>
      <c r="F33" s="56">
        <f>SUMIF('2015-16 12 Mnths'!$A:$A,'Detail 18-19'!$A33,'2015-16 12 Mnths'!E:E)-SUMIF('Budget 12 Mnths'!$A:$A,'Detail 18-19'!$A33,'Budget 12 Mnths'!F:F)</f>
        <v>0</v>
      </c>
      <c r="G33" s="56">
        <f>SUMIF('2015-16 12 Mnths'!$A:$A,'Detail 18-19'!$A33,'2015-16 12 Mnths'!F:F)-SUMIF('Budget 12 Mnths'!$A:$A,'Detail 18-19'!$A33,'Budget 12 Mnths'!G:G)</f>
        <v>0</v>
      </c>
      <c r="H33" s="56">
        <f>SUMIF('2015-16 12 Mnths'!$A:$A,'Detail 18-19'!$A33,'2015-16 12 Mnths'!G:G)-SUMIF('Budget 12 Mnths'!$A:$A,'Detail 18-19'!$A33,'Budget 12 Mnths'!H:H)</f>
        <v>0</v>
      </c>
      <c r="I33" s="56">
        <f>SUMIF('2015-16 12 Mnths'!$A:$A,'Detail 18-19'!$A33,'2015-16 12 Mnths'!H:H)-SUMIF('Budget 12 Mnths'!$A:$A,'Detail 18-19'!$A33,'Budget 12 Mnths'!I:I)</f>
        <v>0</v>
      </c>
      <c r="J33" s="56">
        <f>SUMIF('2015-16 12 Mnths'!$A:$A,'Detail 18-19'!$A33,'2015-16 12 Mnths'!I:I)-SUMIF('Budget 12 Mnths'!$A:$A,'Detail 18-19'!$A33,'Budget 12 Mnths'!J:J)</f>
        <v>0</v>
      </c>
      <c r="K33" s="56">
        <f>SUMIF('2015-16 12 Mnths'!$A:$A,'Detail 18-19'!$A33,'2015-16 12 Mnths'!J:J)-SUMIF('Budget 12 Mnths'!$A:$A,'Detail 18-19'!$A33,'Budget 12 Mnths'!K:K)</f>
        <v>0</v>
      </c>
      <c r="L33" s="56">
        <f>SUMIF('2015-16 12 Mnths'!$A:$A,'Detail 18-19'!$A33,'2015-16 12 Mnths'!K:K)-SUMIF('Budget 12 Mnths'!$A:$A,'Detail 18-19'!$A33,'Budget 12 Mnths'!L:L)</f>
        <v>0</v>
      </c>
      <c r="M33" s="56"/>
      <c r="N33" s="56"/>
      <c r="O33" s="56"/>
      <c r="P33" s="56">
        <f t="shared" si="1"/>
        <v>0</v>
      </c>
      <c r="Q33" s="14" t="str">
        <f>+VLOOKUP(A33,Mapping!$A$1:$E$443,5,FALSE)</f>
        <v>Merchandise</v>
      </c>
      <c r="R33" s="26">
        <f>+SUMIF('Budget 12 Mnths'!$A:$A,'Detail 18-19'!$A33,'Budget 12 Mnths'!$P:$P)</f>
        <v>0</v>
      </c>
      <c r="S33" s="26">
        <f>+SUMIF('2015-16 12 Mnths'!$A:$A,'Detail 18-19'!$A33,'2015-16 12 Mnths'!$O:$O)</f>
        <v>0</v>
      </c>
      <c r="T33" s="57">
        <f t="shared" si="2"/>
        <v>0</v>
      </c>
      <c r="U33" s="57">
        <f t="shared" si="3"/>
        <v>0</v>
      </c>
      <c r="W33" s="27"/>
      <c r="X33" s="27" t="str">
        <f t="shared" ref="X33:X42" si="19">+W33</f>
        <v/>
      </c>
      <c r="Z33" s="57">
        <f t="shared" ref="Z33:Z34" si="20">+X33/2</f>
        <v>0</v>
      </c>
      <c r="AA33" s="57" t="str">
        <f>IFERROR(+VLOOKUP(A33,Key!$A$1:$C$219,2,FALSE),"NOT FOUND")</f>
        <v>NOT FOUND</v>
      </c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>
        <f t="shared" si="6"/>
        <v>0</v>
      </c>
    </row>
    <row r="34" ht="15.75" hidden="1" customHeight="1">
      <c r="A34" s="15" t="s">
        <v>149</v>
      </c>
      <c r="B34" s="15" t="s">
        <v>150</v>
      </c>
      <c r="C34" s="15" t="s">
        <v>41</v>
      </c>
      <c r="D34" s="56">
        <f>SUMIF('2015-16 12 Mnths'!$A:$A,'Detail 18-19'!$A34,'2015-16 12 Mnths'!C:C)-SUMIF('Budget 12 Mnths'!$A:$A,'Detail 18-19'!$A34,'Budget 12 Mnths'!D:D)</f>
        <v>0</v>
      </c>
      <c r="E34" s="56">
        <f>SUMIF('2015-16 12 Mnths'!$A:$A,'Detail 18-19'!$A34,'2015-16 12 Mnths'!D:D)-SUMIF('Budget 12 Mnths'!$A:$A,'Detail 18-19'!$A34,'Budget 12 Mnths'!E:E)</f>
        <v>0</v>
      </c>
      <c r="F34" s="56">
        <f>SUMIF('2015-16 12 Mnths'!$A:$A,'Detail 18-19'!$A34,'2015-16 12 Mnths'!E:E)-SUMIF('Budget 12 Mnths'!$A:$A,'Detail 18-19'!$A34,'Budget 12 Mnths'!F:F)</f>
        <v>0</v>
      </c>
      <c r="G34" s="56">
        <f>SUMIF('2015-16 12 Mnths'!$A:$A,'Detail 18-19'!$A34,'2015-16 12 Mnths'!F:F)-SUMIF('Budget 12 Mnths'!$A:$A,'Detail 18-19'!$A34,'Budget 12 Mnths'!G:G)</f>
        <v>0</v>
      </c>
      <c r="H34" s="56">
        <f>SUMIF('2015-16 12 Mnths'!$A:$A,'Detail 18-19'!$A34,'2015-16 12 Mnths'!G:G)-SUMIF('Budget 12 Mnths'!$A:$A,'Detail 18-19'!$A34,'Budget 12 Mnths'!H:H)</f>
        <v>0</v>
      </c>
      <c r="I34" s="56">
        <f>SUMIF('2015-16 12 Mnths'!$A:$A,'Detail 18-19'!$A34,'2015-16 12 Mnths'!H:H)-SUMIF('Budget 12 Mnths'!$A:$A,'Detail 18-19'!$A34,'Budget 12 Mnths'!I:I)</f>
        <v>0</v>
      </c>
      <c r="J34" s="56">
        <f>SUMIF('2015-16 12 Mnths'!$A:$A,'Detail 18-19'!$A34,'2015-16 12 Mnths'!I:I)-SUMIF('Budget 12 Mnths'!$A:$A,'Detail 18-19'!$A34,'Budget 12 Mnths'!J:J)</f>
        <v>0</v>
      </c>
      <c r="K34" s="56">
        <f>SUMIF('2015-16 12 Mnths'!$A:$A,'Detail 18-19'!$A34,'2015-16 12 Mnths'!J:J)-SUMIF('Budget 12 Mnths'!$A:$A,'Detail 18-19'!$A34,'Budget 12 Mnths'!K:K)</f>
        <v>0</v>
      </c>
      <c r="L34" s="56">
        <f>SUMIF('2015-16 12 Mnths'!$A:$A,'Detail 18-19'!$A34,'2015-16 12 Mnths'!K:K)-SUMIF('Budget 12 Mnths'!$A:$A,'Detail 18-19'!$A34,'Budget 12 Mnths'!L:L)</f>
        <v>0</v>
      </c>
      <c r="M34" s="56"/>
      <c r="N34" s="56"/>
      <c r="O34" s="56"/>
      <c r="P34" s="56">
        <f t="shared" si="1"/>
        <v>0</v>
      </c>
      <c r="Q34" s="14" t="str">
        <f>+VLOOKUP(A34,Mapping!$A$1:$E$443,5,FALSE)</f>
        <v>Student Activities</v>
      </c>
      <c r="R34" s="26">
        <f>+SUMIF('Budget 12 Mnths'!$A:$A,'Detail 18-19'!$A34,'Budget 12 Mnths'!$P:$P)</f>
        <v>0</v>
      </c>
      <c r="S34" s="26">
        <f>+SUMIF('2015-16 12 Mnths'!$A:$A,'Detail 18-19'!$A34,'2015-16 12 Mnths'!$O:$O)</f>
        <v>0</v>
      </c>
      <c r="T34" s="57">
        <f t="shared" si="2"/>
        <v>0</v>
      </c>
      <c r="U34" s="57">
        <f t="shared" si="3"/>
        <v>0</v>
      </c>
      <c r="W34" s="27"/>
      <c r="X34" s="27" t="str">
        <f t="shared" si="19"/>
        <v/>
      </c>
      <c r="Z34" s="57">
        <f t="shared" si="20"/>
        <v>0</v>
      </c>
      <c r="AA34" s="57" t="str">
        <f>IFERROR(+VLOOKUP(A34,Key!$A$1:$C$219,2,FALSE),"NOT FOUND")</f>
        <v>NOT FOUND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>
        <f t="shared" si="6"/>
        <v>0</v>
      </c>
    </row>
    <row r="35" ht="15.75" hidden="1" customHeight="1">
      <c r="A35" s="15" t="s">
        <v>152</v>
      </c>
      <c r="B35" s="15" t="s">
        <v>153</v>
      </c>
      <c r="C35" s="15" t="s">
        <v>41</v>
      </c>
      <c r="D35" s="56">
        <f>SUMIF('2015-16 12 Mnths'!$A:$A,'Detail 18-19'!$A35,'2015-16 12 Mnths'!C:C)-SUMIF('Budget 12 Mnths'!$A:$A,'Detail 18-19'!$A35,'Budget 12 Mnths'!D:D)</f>
        <v>395</v>
      </c>
      <c r="E35" s="56">
        <f>SUMIF('2015-16 12 Mnths'!$A:$A,'Detail 18-19'!$A35,'2015-16 12 Mnths'!D:D)-SUMIF('Budget 12 Mnths'!$A:$A,'Detail 18-19'!$A35,'Budget 12 Mnths'!E:E)</f>
        <v>-5</v>
      </c>
      <c r="F35" s="56">
        <f>SUMIF('2015-16 12 Mnths'!$A:$A,'Detail 18-19'!$A35,'2015-16 12 Mnths'!E:E)-SUMIF('Budget 12 Mnths'!$A:$A,'Detail 18-19'!$A35,'Budget 12 Mnths'!F:F)</f>
        <v>-5</v>
      </c>
      <c r="G35" s="56">
        <f>SUMIF('2015-16 12 Mnths'!$A:$A,'Detail 18-19'!$A35,'2015-16 12 Mnths'!F:F)-SUMIF('Budget 12 Mnths'!$A:$A,'Detail 18-19'!$A35,'Budget 12 Mnths'!G:G)</f>
        <v>-10.52</v>
      </c>
      <c r="H35" s="56">
        <f>SUMIF('2015-16 12 Mnths'!$A:$A,'Detail 18-19'!$A35,'2015-16 12 Mnths'!G:G)-SUMIF('Budget 12 Mnths'!$A:$A,'Detail 18-19'!$A35,'Budget 12 Mnths'!H:H)</f>
        <v>29.48</v>
      </c>
      <c r="I35" s="56">
        <f>SUMIF('2015-16 12 Mnths'!$A:$A,'Detail 18-19'!$A35,'2015-16 12 Mnths'!H:H)-SUMIF('Budget 12 Mnths'!$A:$A,'Detail 18-19'!$A35,'Budget 12 Mnths'!I:I)</f>
        <v>-10.52</v>
      </c>
      <c r="J35" s="56">
        <f>SUMIF('2015-16 12 Mnths'!$A:$A,'Detail 18-19'!$A35,'2015-16 12 Mnths'!I:I)-SUMIF('Budget 12 Mnths'!$A:$A,'Detail 18-19'!$A35,'Budget 12 Mnths'!J:J)</f>
        <v>-10.52</v>
      </c>
      <c r="K35" s="56">
        <f>SUMIF('2015-16 12 Mnths'!$A:$A,'Detail 18-19'!$A35,'2015-16 12 Mnths'!J:J)-SUMIF('Budget 12 Mnths'!$A:$A,'Detail 18-19'!$A35,'Budget 12 Mnths'!K:K)</f>
        <v>-10.52</v>
      </c>
      <c r="L35" s="56">
        <f>SUMIF('2015-16 12 Mnths'!$A:$A,'Detail 18-19'!$A35,'2015-16 12 Mnths'!K:K)-SUMIF('Budget 12 Mnths'!$A:$A,'Detail 18-19'!$A35,'Budget 12 Mnths'!L:L)</f>
        <v>28.98</v>
      </c>
      <c r="M35" s="56"/>
      <c r="N35" s="56"/>
      <c r="O35" s="56"/>
      <c r="P35" s="56">
        <f t="shared" si="1"/>
        <v>401.38</v>
      </c>
      <c r="Q35" s="14" t="str">
        <f>+VLOOKUP(A35,Mapping!$A$1:$E$443,5,FALSE)</f>
        <v>Student Activities</v>
      </c>
      <c r="R35" s="26">
        <f>+SUMIF('Budget 12 Mnths'!$A:$A,'Detail 18-19'!$A35,'Budget 12 Mnths'!$P:$P)</f>
        <v>99.99</v>
      </c>
      <c r="S35" s="26">
        <f>+SUMIF('2015-16 12 Mnths'!$A:$A,'Detail 18-19'!$A35,'2015-16 12 Mnths'!$O:$O)</f>
        <v>479.5</v>
      </c>
      <c r="T35" s="57">
        <f t="shared" si="2"/>
        <v>4.01420142</v>
      </c>
      <c r="U35" s="57">
        <f t="shared" si="3"/>
        <v>0.837080292</v>
      </c>
      <c r="V35" s="8" t="s">
        <v>451</v>
      </c>
      <c r="W35" s="27">
        <v>500.0</v>
      </c>
      <c r="X35" s="27">
        <f t="shared" si="19"/>
        <v>500</v>
      </c>
      <c r="Z35" s="57">
        <v>0.0</v>
      </c>
      <c r="AA35" s="57" t="str">
        <f>IFERROR(+VLOOKUP(A35,Key!$A$1:$C$219,2,FALSE),"NOT FOUND")</f>
        <v>NOT FOUND</v>
      </c>
      <c r="AB35" s="27">
        <v>0.0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>
        <f t="shared" si="6"/>
        <v>0</v>
      </c>
    </row>
    <row r="36" ht="15.75" hidden="1" customHeight="1">
      <c r="A36" s="15" t="s">
        <v>155</v>
      </c>
      <c r="B36" s="15" t="s">
        <v>156</v>
      </c>
      <c r="C36" s="15" t="s">
        <v>41</v>
      </c>
      <c r="D36" s="56">
        <f>SUMIF('2015-16 12 Mnths'!$A:$A,'Detail 18-19'!$A36,'2015-16 12 Mnths'!C:C)-SUMIF('Budget 12 Mnths'!$A:$A,'Detail 18-19'!$A36,'Budget 12 Mnths'!D:D)</f>
        <v>0</v>
      </c>
      <c r="E36" s="56">
        <f>SUMIF('2015-16 12 Mnths'!$A:$A,'Detail 18-19'!$A36,'2015-16 12 Mnths'!D:D)-SUMIF('Budget 12 Mnths'!$A:$A,'Detail 18-19'!$A36,'Budget 12 Mnths'!E:E)</f>
        <v>0</v>
      </c>
      <c r="F36" s="56">
        <f>SUMIF('2015-16 12 Mnths'!$A:$A,'Detail 18-19'!$A36,'2015-16 12 Mnths'!E:E)-SUMIF('Budget 12 Mnths'!$A:$A,'Detail 18-19'!$A36,'Budget 12 Mnths'!F:F)</f>
        <v>0</v>
      </c>
      <c r="G36" s="56">
        <f>SUMIF('2015-16 12 Mnths'!$A:$A,'Detail 18-19'!$A36,'2015-16 12 Mnths'!F:F)-SUMIF('Budget 12 Mnths'!$A:$A,'Detail 18-19'!$A36,'Budget 12 Mnths'!G:G)</f>
        <v>0</v>
      </c>
      <c r="H36" s="56">
        <f>SUMIF('2015-16 12 Mnths'!$A:$A,'Detail 18-19'!$A36,'2015-16 12 Mnths'!G:G)-SUMIF('Budget 12 Mnths'!$A:$A,'Detail 18-19'!$A36,'Budget 12 Mnths'!H:H)</f>
        <v>0</v>
      </c>
      <c r="I36" s="56">
        <f>SUMIF('2015-16 12 Mnths'!$A:$A,'Detail 18-19'!$A36,'2015-16 12 Mnths'!H:H)-SUMIF('Budget 12 Mnths'!$A:$A,'Detail 18-19'!$A36,'Budget 12 Mnths'!I:I)</f>
        <v>0</v>
      </c>
      <c r="J36" s="56">
        <f>SUMIF('2015-16 12 Mnths'!$A:$A,'Detail 18-19'!$A36,'2015-16 12 Mnths'!I:I)-SUMIF('Budget 12 Mnths'!$A:$A,'Detail 18-19'!$A36,'Budget 12 Mnths'!J:J)</f>
        <v>0</v>
      </c>
      <c r="K36" s="56">
        <f>SUMIF('2015-16 12 Mnths'!$A:$A,'Detail 18-19'!$A36,'2015-16 12 Mnths'!J:J)-SUMIF('Budget 12 Mnths'!$A:$A,'Detail 18-19'!$A36,'Budget 12 Mnths'!K:K)</f>
        <v>0</v>
      </c>
      <c r="L36" s="56">
        <f>SUMIF('2015-16 12 Mnths'!$A:$A,'Detail 18-19'!$A36,'2015-16 12 Mnths'!K:K)-SUMIF('Budget 12 Mnths'!$A:$A,'Detail 18-19'!$A36,'Budget 12 Mnths'!L:L)</f>
        <v>0</v>
      </c>
      <c r="M36" s="56"/>
      <c r="N36" s="56"/>
      <c r="O36" s="56"/>
      <c r="P36" s="56">
        <f t="shared" si="1"/>
        <v>0</v>
      </c>
      <c r="Q36" s="14" t="str">
        <f>+VLOOKUP(A36,Mapping!$A$1:$E$443,5,FALSE)</f>
        <v>Student Activities</v>
      </c>
      <c r="R36" s="26">
        <f>+SUMIF('Budget 12 Mnths'!$A:$A,'Detail 18-19'!$A36,'Budget 12 Mnths'!$P:$P)</f>
        <v>0</v>
      </c>
      <c r="S36" s="26">
        <f>+SUMIF('2015-16 12 Mnths'!$A:$A,'Detail 18-19'!$A36,'2015-16 12 Mnths'!$O:$O)</f>
        <v>0</v>
      </c>
      <c r="T36" s="57">
        <f t="shared" si="2"/>
        <v>0</v>
      </c>
      <c r="U36" s="57">
        <f t="shared" si="3"/>
        <v>0</v>
      </c>
      <c r="W36" s="27"/>
      <c r="X36" s="27" t="str">
        <f t="shared" si="19"/>
        <v/>
      </c>
      <c r="Z36" s="57">
        <f t="shared" ref="Z36:Z37" si="21">+X36/2</f>
        <v>0</v>
      </c>
      <c r="AA36" s="57" t="str">
        <f>IFERROR(+VLOOKUP(A36,Key!$A$1:$C$219,2,FALSE),"NOT FOUND")</f>
        <v>NOT FOUND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>
        <f t="shared" si="6"/>
        <v>0</v>
      </c>
    </row>
    <row r="37" ht="15.75" hidden="1" customHeight="1">
      <c r="A37" s="15" t="s">
        <v>159</v>
      </c>
      <c r="B37" s="15" t="s">
        <v>160</v>
      </c>
      <c r="C37" s="15" t="s">
        <v>41</v>
      </c>
      <c r="D37" s="56">
        <f>SUMIF('2015-16 12 Mnths'!$A:$A,'Detail 18-19'!$A37,'2015-16 12 Mnths'!C:C)-SUMIF('Budget 12 Mnths'!$A:$A,'Detail 18-19'!$A37,'Budget 12 Mnths'!D:D)</f>
        <v>0</v>
      </c>
      <c r="E37" s="56">
        <f>SUMIF('2015-16 12 Mnths'!$A:$A,'Detail 18-19'!$A37,'2015-16 12 Mnths'!D:D)-SUMIF('Budget 12 Mnths'!$A:$A,'Detail 18-19'!$A37,'Budget 12 Mnths'!E:E)</f>
        <v>0</v>
      </c>
      <c r="F37" s="56">
        <f>SUMIF('2015-16 12 Mnths'!$A:$A,'Detail 18-19'!$A37,'2015-16 12 Mnths'!E:E)-SUMIF('Budget 12 Mnths'!$A:$A,'Detail 18-19'!$A37,'Budget 12 Mnths'!F:F)</f>
        <v>0</v>
      </c>
      <c r="G37" s="56">
        <f>SUMIF('2015-16 12 Mnths'!$A:$A,'Detail 18-19'!$A37,'2015-16 12 Mnths'!F:F)-SUMIF('Budget 12 Mnths'!$A:$A,'Detail 18-19'!$A37,'Budget 12 Mnths'!G:G)</f>
        <v>0</v>
      </c>
      <c r="H37" s="56">
        <f>SUMIF('2015-16 12 Mnths'!$A:$A,'Detail 18-19'!$A37,'2015-16 12 Mnths'!G:G)-SUMIF('Budget 12 Mnths'!$A:$A,'Detail 18-19'!$A37,'Budget 12 Mnths'!H:H)</f>
        <v>0</v>
      </c>
      <c r="I37" s="56">
        <f>SUMIF('2015-16 12 Mnths'!$A:$A,'Detail 18-19'!$A37,'2015-16 12 Mnths'!H:H)-SUMIF('Budget 12 Mnths'!$A:$A,'Detail 18-19'!$A37,'Budget 12 Mnths'!I:I)</f>
        <v>0</v>
      </c>
      <c r="J37" s="56">
        <f>SUMIF('2015-16 12 Mnths'!$A:$A,'Detail 18-19'!$A37,'2015-16 12 Mnths'!I:I)-SUMIF('Budget 12 Mnths'!$A:$A,'Detail 18-19'!$A37,'Budget 12 Mnths'!J:J)</f>
        <v>0</v>
      </c>
      <c r="K37" s="56">
        <f>SUMIF('2015-16 12 Mnths'!$A:$A,'Detail 18-19'!$A37,'2015-16 12 Mnths'!J:J)-SUMIF('Budget 12 Mnths'!$A:$A,'Detail 18-19'!$A37,'Budget 12 Mnths'!K:K)</f>
        <v>0</v>
      </c>
      <c r="L37" s="56">
        <f>SUMIF('2015-16 12 Mnths'!$A:$A,'Detail 18-19'!$A37,'2015-16 12 Mnths'!K:K)-SUMIF('Budget 12 Mnths'!$A:$A,'Detail 18-19'!$A37,'Budget 12 Mnths'!L:L)</f>
        <v>0</v>
      </c>
      <c r="M37" s="56"/>
      <c r="N37" s="56"/>
      <c r="O37" s="56"/>
      <c r="P37" s="56">
        <f t="shared" si="1"/>
        <v>0</v>
      </c>
      <c r="Q37" s="14" t="str">
        <f>+VLOOKUP(A37,Mapping!$A$1:$E$443,5,FALSE)</f>
        <v>Student Activities</v>
      </c>
      <c r="R37" s="26">
        <f>+SUMIF('Budget 12 Mnths'!$A:$A,'Detail 18-19'!$A37,'Budget 12 Mnths'!$P:$P)</f>
        <v>0</v>
      </c>
      <c r="S37" s="26">
        <f>+SUMIF('2015-16 12 Mnths'!$A:$A,'Detail 18-19'!$A37,'2015-16 12 Mnths'!$O:$O)</f>
        <v>0</v>
      </c>
      <c r="T37" s="57">
        <f t="shared" si="2"/>
        <v>0</v>
      </c>
      <c r="U37" s="57">
        <f t="shared" si="3"/>
        <v>0</v>
      </c>
      <c r="W37" s="27"/>
      <c r="X37" s="27" t="str">
        <f t="shared" si="19"/>
        <v/>
      </c>
      <c r="Z37" s="57">
        <f t="shared" si="21"/>
        <v>0</v>
      </c>
      <c r="AA37" s="57" t="str">
        <f>IFERROR(+VLOOKUP(A37,Key!$A$1:$C$219,2,FALSE),"NOT FOUND")</f>
        <v>NOT FOUND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>
        <f t="shared" si="6"/>
        <v>0</v>
      </c>
    </row>
    <row r="38" ht="15.75" customHeight="1">
      <c r="A38" s="15" t="s">
        <v>163</v>
      </c>
      <c r="B38" s="15" t="s">
        <v>164</v>
      </c>
      <c r="C38" s="15" t="s">
        <v>41</v>
      </c>
      <c r="D38" s="56">
        <f>SUMIF('2015-16 12 Mnths'!$A:$A,'Detail 18-19'!$A38,'2015-16 12 Mnths'!C:C)-SUMIF('Budget 12 Mnths'!$A:$A,'Detail 18-19'!$A38,'Budget 12 Mnths'!D:D)</f>
        <v>0</v>
      </c>
      <c r="E38" s="56">
        <f>SUMIF('2015-16 12 Mnths'!$A:$A,'Detail 18-19'!$A38,'2015-16 12 Mnths'!D:D)-SUMIF('Budget 12 Mnths'!$A:$A,'Detail 18-19'!$A38,'Budget 12 Mnths'!E:E)</f>
        <v>0</v>
      </c>
      <c r="F38" s="56">
        <f>SUMIF('2015-16 12 Mnths'!$A:$A,'Detail 18-19'!$A38,'2015-16 12 Mnths'!E:E)-SUMIF('Budget 12 Mnths'!$A:$A,'Detail 18-19'!$A38,'Budget 12 Mnths'!F:F)</f>
        <v>0</v>
      </c>
      <c r="G38" s="56">
        <f>SUMIF('2015-16 12 Mnths'!$A:$A,'Detail 18-19'!$A38,'2015-16 12 Mnths'!F:F)-SUMIF('Budget 12 Mnths'!$A:$A,'Detail 18-19'!$A38,'Budget 12 Mnths'!G:G)</f>
        <v>0</v>
      </c>
      <c r="H38" s="56">
        <f>SUMIF('2015-16 12 Mnths'!$A:$A,'Detail 18-19'!$A38,'2015-16 12 Mnths'!G:G)-SUMIF('Budget 12 Mnths'!$A:$A,'Detail 18-19'!$A38,'Budget 12 Mnths'!H:H)</f>
        <v>90</v>
      </c>
      <c r="I38" s="56">
        <f>SUMIF('2015-16 12 Mnths'!$A:$A,'Detail 18-19'!$A38,'2015-16 12 Mnths'!H:H)-SUMIF('Budget 12 Mnths'!$A:$A,'Detail 18-19'!$A38,'Budget 12 Mnths'!I:I)</f>
        <v>0</v>
      </c>
      <c r="J38" s="56">
        <f>SUMIF('2015-16 12 Mnths'!$A:$A,'Detail 18-19'!$A38,'2015-16 12 Mnths'!I:I)-SUMIF('Budget 12 Mnths'!$A:$A,'Detail 18-19'!$A38,'Budget 12 Mnths'!J:J)</f>
        <v>176</v>
      </c>
      <c r="K38" s="56">
        <f>SUMIF('2015-16 12 Mnths'!$A:$A,'Detail 18-19'!$A38,'2015-16 12 Mnths'!J:J)-SUMIF('Budget 12 Mnths'!$A:$A,'Detail 18-19'!$A38,'Budget 12 Mnths'!K:K)</f>
        <v>-174</v>
      </c>
      <c r="L38" s="56">
        <f>SUMIF('2015-16 12 Mnths'!$A:$A,'Detail 18-19'!$A38,'2015-16 12 Mnths'!K:K)-SUMIF('Budget 12 Mnths'!$A:$A,'Detail 18-19'!$A38,'Budget 12 Mnths'!L:L)</f>
        <v>-400</v>
      </c>
      <c r="M38" s="56"/>
      <c r="N38" s="56"/>
      <c r="O38" s="56"/>
      <c r="P38" s="56">
        <f t="shared" si="1"/>
        <v>-308</v>
      </c>
      <c r="Q38" s="14" t="str">
        <f>+VLOOKUP(A38,Mapping!$A$1:$E$443,5,FALSE)</f>
        <v>Student Activities</v>
      </c>
      <c r="R38" s="26">
        <f>+SUMIF('Budget 12 Mnths'!$A:$A,'Detail 18-19'!$A38,'Budget 12 Mnths'!$P:$P)</f>
        <v>2000</v>
      </c>
      <c r="S38" s="26">
        <f>+SUMIF('2015-16 12 Mnths'!$A:$A,'Detail 18-19'!$A38,'2015-16 12 Mnths'!$O:$O)</f>
        <v>692</v>
      </c>
      <c r="T38" s="57">
        <f t="shared" si="2"/>
        <v>-0.154</v>
      </c>
      <c r="U38" s="57">
        <f t="shared" si="3"/>
        <v>-0.4450867052</v>
      </c>
      <c r="V38" s="8" t="s">
        <v>641</v>
      </c>
      <c r="W38" s="27">
        <v>2000.0</v>
      </c>
      <c r="X38" s="27">
        <f t="shared" si="19"/>
        <v>2000</v>
      </c>
      <c r="Z38" s="57">
        <v>0.0</v>
      </c>
      <c r="AA38" s="57" t="str">
        <f>IFERROR(+VLOOKUP(A38,Key!$A$1:$C$219,2,FALSE),"NOT FOUND")</f>
        <v>4290-1U</v>
      </c>
      <c r="AB38" s="27">
        <v>1500.0</v>
      </c>
      <c r="AC38" s="27"/>
      <c r="AD38" s="27"/>
      <c r="AE38" s="27"/>
      <c r="AF38" s="27"/>
      <c r="AG38" s="27"/>
      <c r="AH38" s="27"/>
      <c r="AI38" s="27"/>
      <c r="AJ38" s="27"/>
      <c r="AK38" s="27">
        <v>1000.0</v>
      </c>
      <c r="AL38" s="27">
        <v>500.0</v>
      </c>
      <c r="AM38" s="27"/>
      <c r="AN38" s="27"/>
      <c r="AO38" s="27">
        <f t="shared" si="6"/>
        <v>0</v>
      </c>
    </row>
    <row r="39" ht="15.75" customHeight="1">
      <c r="A39" s="15" t="s">
        <v>167</v>
      </c>
      <c r="B39" s="15" t="s">
        <v>168</v>
      </c>
      <c r="C39" s="15" t="s">
        <v>41</v>
      </c>
      <c r="D39" s="56">
        <f>SUMIF('2015-16 12 Mnths'!$A:$A,'Detail 18-19'!$A39,'2015-16 12 Mnths'!C:C)-SUMIF('Budget 12 Mnths'!$A:$A,'Detail 18-19'!$A39,'Budget 12 Mnths'!D:D)</f>
        <v>0</v>
      </c>
      <c r="E39" s="56">
        <f>SUMIF('2015-16 12 Mnths'!$A:$A,'Detail 18-19'!$A39,'2015-16 12 Mnths'!D:D)-SUMIF('Budget 12 Mnths'!$A:$A,'Detail 18-19'!$A39,'Budget 12 Mnths'!E:E)</f>
        <v>0</v>
      </c>
      <c r="F39" s="56">
        <f>SUMIF('2015-16 12 Mnths'!$A:$A,'Detail 18-19'!$A39,'2015-16 12 Mnths'!E:E)-SUMIF('Budget 12 Mnths'!$A:$A,'Detail 18-19'!$A39,'Budget 12 Mnths'!F:F)</f>
        <v>0</v>
      </c>
      <c r="G39" s="56">
        <f>SUMIF('2015-16 12 Mnths'!$A:$A,'Detail 18-19'!$A39,'2015-16 12 Mnths'!F:F)-SUMIF('Budget 12 Mnths'!$A:$A,'Detail 18-19'!$A39,'Budget 12 Mnths'!G:G)</f>
        <v>0</v>
      </c>
      <c r="H39" s="56">
        <f>SUMIF('2015-16 12 Mnths'!$A:$A,'Detail 18-19'!$A39,'2015-16 12 Mnths'!G:G)-SUMIF('Budget 12 Mnths'!$A:$A,'Detail 18-19'!$A39,'Budget 12 Mnths'!H:H)</f>
        <v>0</v>
      </c>
      <c r="I39" s="56">
        <f>SUMIF('2015-16 12 Mnths'!$A:$A,'Detail 18-19'!$A39,'2015-16 12 Mnths'!H:H)-SUMIF('Budget 12 Mnths'!$A:$A,'Detail 18-19'!$A39,'Budget 12 Mnths'!I:I)</f>
        <v>0</v>
      </c>
      <c r="J39" s="56">
        <f>SUMIF('2015-16 12 Mnths'!$A:$A,'Detail 18-19'!$A39,'2015-16 12 Mnths'!I:I)-SUMIF('Budget 12 Mnths'!$A:$A,'Detail 18-19'!$A39,'Budget 12 Mnths'!J:J)</f>
        <v>75</v>
      </c>
      <c r="K39" s="56">
        <f>SUMIF('2015-16 12 Mnths'!$A:$A,'Detail 18-19'!$A39,'2015-16 12 Mnths'!J:J)-SUMIF('Budget 12 Mnths'!$A:$A,'Detail 18-19'!$A39,'Budget 12 Mnths'!K:K)</f>
        <v>0</v>
      </c>
      <c r="L39" s="56">
        <f>SUMIF('2015-16 12 Mnths'!$A:$A,'Detail 18-19'!$A39,'2015-16 12 Mnths'!K:K)-SUMIF('Budget 12 Mnths'!$A:$A,'Detail 18-19'!$A39,'Budget 12 Mnths'!L:L)</f>
        <v>-250</v>
      </c>
      <c r="M39" s="56"/>
      <c r="N39" s="56"/>
      <c r="O39" s="56"/>
      <c r="P39" s="56">
        <f t="shared" si="1"/>
        <v>-175</v>
      </c>
      <c r="Q39" s="14" t="str">
        <f>+VLOOKUP(A39,Mapping!$A$1:$E$443,5,FALSE)</f>
        <v>Student Activities</v>
      </c>
      <c r="R39" s="26">
        <f>+SUMIF('Budget 12 Mnths'!$A:$A,'Detail 18-19'!$A39,'Budget 12 Mnths'!$P:$P)</f>
        <v>750</v>
      </c>
      <c r="S39" s="26">
        <f>+SUMIF('2015-16 12 Mnths'!$A:$A,'Detail 18-19'!$A39,'2015-16 12 Mnths'!$O:$O)</f>
        <v>75</v>
      </c>
      <c r="T39" s="57">
        <f t="shared" si="2"/>
        <v>-0.2333333333</v>
      </c>
      <c r="U39" s="57">
        <f t="shared" si="3"/>
        <v>-2.333333333</v>
      </c>
      <c r="V39" s="8" t="s">
        <v>641</v>
      </c>
      <c r="W39" s="27">
        <v>750.0</v>
      </c>
      <c r="X39" s="27">
        <f t="shared" si="19"/>
        <v>750</v>
      </c>
      <c r="Z39" s="57">
        <v>0.0</v>
      </c>
      <c r="AA39" s="57" t="str">
        <f>IFERROR(+VLOOKUP(A39,Key!$A$1:$C$219,2,FALSE),"NOT FOUND")</f>
        <v>4300-1U</v>
      </c>
      <c r="AB39" s="27">
        <v>750.0</v>
      </c>
      <c r="AC39" s="27"/>
      <c r="AD39" s="27"/>
      <c r="AE39" s="27"/>
      <c r="AF39" s="27"/>
      <c r="AG39" s="27"/>
      <c r="AH39" s="27"/>
      <c r="AI39" s="27"/>
      <c r="AJ39" s="27">
        <v>250.0</v>
      </c>
      <c r="AK39" s="27">
        <v>250.0</v>
      </c>
      <c r="AL39" s="27">
        <v>250.0</v>
      </c>
      <c r="AM39" s="27"/>
      <c r="AN39" s="27"/>
      <c r="AO39" s="27">
        <f t="shared" si="6"/>
        <v>0</v>
      </c>
    </row>
    <row r="40" ht="15.75" customHeight="1">
      <c r="A40" s="15" t="s">
        <v>171</v>
      </c>
      <c r="B40" s="15" t="s">
        <v>172</v>
      </c>
      <c r="C40" s="15" t="s">
        <v>41</v>
      </c>
      <c r="D40" s="56">
        <f>SUMIF('2015-16 12 Mnths'!$A:$A,'Detail 18-19'!$A40,'2015-16 12 Mnths'!C:C)-SUMIF('Budget 12 Mnths'!$A:$A,'Detail 18-19'!$A40,'Budget 12 Mnths'!D:D)</f>
        <v>-100</v>
      </c>
      <c r="E40" s="56">
        <f>SUMIF('2015-16 12 Mnths'!$A:$A,'Detail 18-19'!$A40,'2015-16 12 Mnths'!D:D)-SUMIF('Budget 12 Mnths'!$A:$A,'Detail 18-19'!$A40,'Budget 12 Mnths'!E:E)</f>
        <v>0</v>
      </c>
      <c r="F40" s="56">
        <f>SUMIF('2015-16 12 Mnths'!$A:$A,'Detail 18-19'!$A40,'2015-16 12 Mnths'!E:E)-SUMIF('Budget 12 Mnths'!$A:$A,'Detail 18-19'!$A40,'Budget 12 Mnths'!F:F)</f>
        <v>-100</v>
      </c>
      <c r="G40" s="56">
        <f>SUMIF('2015-16 12 Mnths'!$A:$A,'Detail 18-19'!$A40,'2015-16 12 Mnths'!F:F)-SUMIF('Budget 12 Mnths'!$A:$A,'Detail 18-19'!$A40,'Budget 12 Mnths'!G:G)</f>
        <v>-100</v>
      </c>
      <c r="H40" s="56">
        <f>SUMIF('2015-16 12 Mnths'!$A:$A,'Detail 18-19'!$A40,'2015-16 12 Mnths'!G:G)-SUMIF('Budget 12 Mnths'!$A:$A,'Detail 18-19'!$A40,'Budget 12 Mnths'!H:H)</f>
        <v>-100</v>
      </c>
      <c r="I40" s="56">
        <f>SUMIF('2015-16 12 Mnths'!$A:$A,'Detail 18-19'!$A40,'2015-16 12 Mnths'!H:H)-SUMIF('Budget 12 Mnths'!$A:$A,'Detail 18-19'!$A40,'Budget 12 Mnths'!I:I)</f>
        <v>-100</v>
      </c>
      <c r="J40" s="56">
        <f>SUMIF('2015-16 12 Mnths'!$A:$A,'Detail 18-19'!$A40,'2015-16 12 Mnths'!I:I)-SUMIF('Budget 12 Mnths'!$A:$A,'Detail 18-19'!$A40,'Budget 12 Mnths'!J:J)</f>
        <v>516</v>
      </c>
      <c r="K40" s="56">
        <f>SUMIF('2015-16 12 Mnths'!$A:$A,'Detail 18-19'!$A40,'2015-16 12 Mnths'!J:J)-SUMIF('Budget 12 Mnths'!$A:$A,'Detail 18-19'!$A40,'Budget 12 Mnths'!K:K)</f>
        <v>2</v>
      </c>
      <c r="L40" s="56">
        <f>SUMIF('2015-16 12 Mnths'!$A:$A,'Detail 18-19'!$A40,'2015-16 12 Mnths'!K:K)-SUMIF('Budget 12 Mnths'!$A:$A,'Detail 18-19'!$A40,'Budget 12 Mnths'!L:L)</f>
        <v>190</v>
      </c>
      <c r="M40" s="56"/>
      <c r="N40" s="56"/>
      <c r="O40" s="56"/>
      <c r="P40" s="56">
        <f t="shared" si="1"/>
        <v>208</v>
      </c>
      <c r="Q40" s="14" t="str">
        <f>+VLOOKUP(A40,Mapping!$A$1:$E$443,5,FALSE)</f>
        <v>Student Activities</v>
      </c>
      <c r="R40" s="26">
        <f>+SUMIF('Budget 12 Mnths'!$A:$A,'Detail 18-19'!$A40,'Budget 12 Mnths'!$P:$P)</f>
        <v>1000</v>
      </c>
      <c r="S40" s="26">
        <f>+SUMIF('2015-16 12 Mnths'!$A:$A,'Detail 18-19'!$A40,'2015-16 12 Mnths'!$O:$O)</f>
        <v>1314</v>
      </c>
      <c r="T40" s="57">
        <f t="shared" si="2"/>
        <v>0.208</v>
      </c>
      <c r="U40" s="57">
        <f t="shared" si="3"/>
        <v>0.1582952816</v>
      </c>
      <c r="V40" s="8" t="s">
        <v>641</v>
      </c>
      <c r="W40" s="27">
        <v>1000.0</v>
      </c>
      <c r="X40" s="27">
        <f t="shared" si="19"/>
        <v>1000</v>
      </c>
      <c r="Z40" s="57">
        <f t="shared" ref="Z40:Z41" si="22">+X40/2</f>
        <v>500</v>
      </c>
      <c r="AA40" s="57" t="str">
        <f>IFERROR(+VLOOKUP(A40,Key!$A$1:$C$219,2,FALSE),"NOT FOUND")</f>
        <v>4305-1U</v>
      </c>
      <c r="AB40" s="27">
        <v>5500.0</v>
      </c>
      <c r="AC40" s="27"/>
      <c r="AD40" s="27">
        <v>500.0</v>
      </c>
      <c r="AE40" s="27">
        <v>500.0</v>
      </c>
      <c r="AF40" s="27">
        <v>500.0</v>
      </c>
      <c r="AG40" s="27">
        <v>500.0</v>
      </c>
      <c r="AH40" s="27">
        <v>1000.0</v>
      </c>
      <c r="AI40" s="27">
        <v>500.0</v>
      </c>
      <c r="AJ40" s="27">
        <v>500.0</v>
      </c>
      <c r="AK40" s="27">
        <v>500.0</v>
      </c>
      <c r="AL40" s="27">
        <v>500.0</v>
      </c>
      <c r="AM40" s="27">
        <v>500.0</v>
      </c>
      <c r="AN40" s="27"/>
      <c r="AO40" s="27">
        <f t="shared" si="6"/>
        <v>0</v>
      </c>
    </row>
    <row r="41" ht="15.75" customHeight="1">
      <c r="A41" s="15" t="s">
        <v>175</v>
      </c>
      <c r="B41" s="15" t="s">
        <v>176</v>
      </c>
      <c r="C41" s="15" t="s">
        <v>41</v>
      </c>
      <c r="D41" s="56">
        <f>SUMIF('2015-16 12 Mnths'!$A:$A,'Detail 18-19'!$A41,'2015-16 12 Mnths'!C:C)-SUMIF('Budget 12 Mnths'!$A:$A,'Detail 18-19'!$A41,'Budget 12 Mnths'!D:D)</f>
        <v>-3000</v>
      </c>
      <c r="E41" s="56">
        <f>SUMIF('2015-16 12 Mnths'!$A:$A,'Detail 18-19'!$A41,'2015-16 12 Mnths'!D:D)-SUMIF('Budget 12 Mnths'!$A:$A,'Detail 18-19'!$A41,'Budget 12 Mnths'!E:E)</f>
        <v>0</v>
      </c>
      <c r="F41" s="56">
        <f>SUMIF('2015-16 12 Mnths'!$A:$A,'Detail 18-19'!$A41,'2015-16 12 Mnths'!E:E)-SUMIF('Budget 12 Mnths'!$A:$A,'Detail 18-19'!$A41,'Budget 12 Mnths'!F:F)</f>
        <v>0</v>
      </c>
      <c r="G41" s="56">
        <f>SUMIF('2015-16 12 Mnths'!$A:$A,'Detail 18-19'!$A41,'2015-16 12 Mnths'!F:F)-SUMIF('Budget 12 Mnths'!$A:$A,'Detail 18-19'!$A41,'Budget 12 Mnths'!G:G)</f>
        <v>0</v>
      </c>
      <c r="H41" s="56">
        <f>SUMIF('2015-16 12 Mnths'!$A:$A,'Detail 18-19'!$A41,'2015-16 12 Mnths'!G:G)-SUMIF('Budget 12 Mnths'!$A:$A,'Detail 18-19'!$A41,'Budget 12 Mnths'!H:H)</f>
        <v>0</v>
      </c>
      <c r="I41" s="56">
        <f>SUMIF('2015-16 12 Mnths'!$A:$A,'Detail 18-19'!$A41,'2015-16 12 Mnths'!H:H)-SUMIF('Budget 12 Mnths'!$A:$A,'Detail 18-19'!$A41,'Budget 12 Mnths'!I:I)</f>
        <v>0</v>
      </c>
      <c r="J41" s="56">
        <f>SUMIF('2015-16 12 Mnths'!$A:$A,'Detail 18-19'!$A41,'2015-16 12 Mnths'!I:I)-SUMIF('Budget 12 Mnths'!$A:$A,'Detail 18-19'!$A41,'Budget 12 Mnths'!J:J)</f>
        <v>0</v>
      </c>
      <c r="K41" s="56">
        <f>SUMIF('2015-16 12 Mnths'!$A:$A,'Detail 18-19'!$A41,'2015-16 12 Mnths'!J:J)-SUMIF('Budget 12 Mnths'!$A:$A,'Detail 18-19'!$A41,'Budget 12 Mnths'!K:K)</f>
        <v>0</v>
      </c>
      <c r="L41" s="56">
        <f>SUMIF('2015-16 12 Mnths'!$A:$A,'Detail 18-19'!$A41,'2015-16 12 Mnths'!K:K)-SUMIF('Budget 12 Mnths'!$A:$A,'Detail 18-19'!$A41,'Budget 12 Mnths'!L:L)</f>
        <v>0</v>
      </c>
      <c r="M41" s="56"/>
      <c r="N41" s="56"/>
      <c r="O41" s="56"/>
      <c r="P41" s="56">
        <f t="shared" si="1"/>
        <v>-3000</v>
      </c>
      <c r="Q41" s="14" t="str">
        <f>+VLOOKUP(A41,Mapping!$A$1:$E$443,5,FALSE)</f>
        <v>Student Activities</v>
      </c>
      <c r="R41" s="26">
        <f>+SUMIF('Budget 12 Mnths'!$A:$A,'Detail 18-19'!$A41,'Budget 12 Mnths'!$P:$P)</f>
        <v>8000</v>
      </c>
      <c r="S41" s="26">
        <f>+SUMIF('2015-16 12 Mnths'!$A:$A,'Detail 18-19'!$A41,'2015-16 12 Mnths'!$O:$O)</f>
        <v>0</v>
      </c>
      <c r="T41" s="57">
        <f t="shared" si="2"/>
        <v>-0.375</v>
      </c>
      <c r="U41" s="57">
        <f t="shared" si="3"/>
        <v>0</v>
      </c>
      <c r="V41" s="8" t="s">
        <v>641</v>
      </c>
      <c r="W41" s="27">
        <v>0.0</v>
      </c>
      <c r="X41" s="27">
        <f t="shared" si="19"/>
        <v>0</v>
      </c>
      <c r="Z41" s="57">
        <f t="shared" si="22"/>
        <v>0</v>
      </c>
      <c r="AA41" s="57" t="str">
        <f>IFERROR(+VLOOKUP(A41,Key!$A$1:$C$219,2,FALSE),"NOT FOUND")</f>
        <v>4310-1U</v>
      </c>
      <c r="AB41" s="27">
        <v>2500.0</v>
      </c>
      <c r="AC41" s="27">
        <v>1250.0</v>
      </c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>
        <v>1250.0</v>
      </c>
      <c r="AO41" s="27">
        <f t="shared" si="6"/>
        <v>0</v>
      </c>
    </row>
    <row r="42" ht="15.75" customHeight="1">
      <c r="A42" s="15" t="s">
        <v>178</v>
      </c>
      <c r="B42" s="15" t="s">
        <v>179</v>
      </c>
      <c r="C42" s="15" t="s">
        <v>41</v>
      </c>
      <c r="D42" s="56">
        <f>SUMIF('2015-16 12 Mnths'!$A:$A,'Detail 18-19'!$A42,'2015-16 12 Mnths'!C:C)-SUMIF('Budget 12 Mnths'!$A:$A,'Detail 18-19'!$A42,'Budget 12 Mnths'!D:D)</f>
        <v>0</v>
      </c>
      <c r="E42" s="56">
        <f>SUMIF('2015-16 12 Mnths'!$A:$A,'Detail 18-19'!$A42,'2015-16 12 Mnths'!D:D)-SUMIF('Budget 12 Mnths'!$A:$A,'Detail 18-19'!$A42,'Budget 12 Mnths'!E:E)</f>
        <v>0</v>
      </c>
      <c r="F42" s="56">
        <f>SUMIF('2015-16 12 Mnths'!$A:$A,'Detail 18-19'!$A42,'2015-16 12 Mnths'!E:E)-SUMIF('Budget 12 Mnths'!$A:$A,'Detail 18-19'!$A42,'Budget 12 Mnths'!F:F)</f>
        <v>30</v>
      </c>
      <c r="G42" s="56">
        <f>SUMIF('2015-16 12 Mnths'!$A:$A,'Detail 18-19'!$A42,'2015-16 12 Mnths'!F:F)-SUMIF('Budget 12 Mnths'!$A:$A,'Detail 18-19'!$A42,'Budget 12 Mnths'!G:G)</f>
        <v>0</v>
      </c>
      <c r="H42" s="56">
        <f>SUMIF('2015-16 12 Mnths'!$A:$A,'Detail 18-19'!$A42,'2015-16 12 Mnths'!G:G)-SUMIF('Budget 12 Mnths'!$A:$A,'Detail 18-19'!$A42,'Budget 12 Mnths'!H:H)</f>
        <v>30</v>
      </c>
      <c r="I42" s="56">
        <f>SUMIF('2015-16 12 Mnths'!$A:$A,'Detail 18-19'!$A42,'2015-16 12 Mnths'!H:H)-SUMIF('Budget 12 Mnths'!$A:$A,'Detail 18-19'!$A42,'Budget 12 Mnths'!I:I)</f>
        <v>0</v>
      </c>
      <c r="J42" s="56">
        <f>SUMIF('2015-16 12 Mnths'!$A:$A,'Detail 18-19'!$A42,'2015-16 12 Mnths'!I:I)-SUMIF('Budget 12 Mnths'!$A:$A,'Detail 18-19'!$A42,'Budget 12 Mnths'!J:J)</f>
        <v>0</v>
      </c>
      <c r="K42" s="56">
        <f>SUMIF('2015-16 12 Mnths'!$A:$A,'Detail 18-19'!$A42,'2015-16 12 Mnths'!J:J)-SUMIF('Budget 12 Mnths'!$A:$A,'Detail 18-19'!$A42,'Budget 12 Mnths'!K:K)</f>
        <v>0</v>
      </c>
      <c r="L42" s="56">
        <f>SUMIF('2015-16 12 Mnths'!$A:$A,'Detail 18-19'!$A42,'2015-16 12 Mnths'!K:K)-SUMIF('Budget 12 Mnths'!$A:$A,'Detail 18-19'!$A42,'Budget 12 Mnths'!L:L)</f>
        <v>0</v>
      </c>
      <c r="M42" s="56"/>
      <c r="N42" s="56"/>
      <c r="O42" s="56"/>
      <c r="P42" s="56">
        <f t="shared" si="1"/>
        <v>60</v>
      </c>
      <c r="Q42" s="14" t="str">
        <f>+VLOOKUP(A42,Mapping!$A$1:$E$443,5,FALSE)</f>
        <v>Student Activities</v>
      </c>
      <c r="R42" s="26">
        <f>+SUMIF('Budget 12 Mnths'!$A:$A,'Detail 18-19'!$A42,'Budget 12 Mnths'!$P:$P)</f>
        <v>800</v>
      </c>
      <c r="S42" s="26">
        <f>+SUMIF('2015-16 12 Mnths'!$A:$A,'Detail 18-19'!$A42,'2015-16 12 Mnths'!$O:$O)</f>
        <v>757</v>
      </c>
      <c r="T42" s="57">
        <f t="shared" si="2"/>
        <v>0.075</v>
      </c>
      <c r="U42" s="57">
        <f t="shared" si="3"/>
        <v>0.07926023778</v>
      </c>
      <c r="V42" s="8" t="s">
        <v>641</v>
      </c>
      <c r="W42" s="27">
        <v>800.0</v>
      </c>
      <c r="X42" s="27">
        <f t="shared" si="19"/>
        <v>800</v>
      </c>
      <c r="Z42" s="57">
        <v>0.0</v>
      </c>
      <c r="AA42" s="57" t="str">
        <f>IFERROR(+VLOOKUP(A42,Key!$A$1:$C$219,2,FALSE),"NOT FOUND")</f>
        <v>4315-1U</v>
      </c>
      <c r="AB42" s="27">
        <v>1000.0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>
        <v>1000.0</v>
      </c>
      <c r="AM42" s="27"/>
      <c r="AN42" s="27"/>
      <c r="AO42" s="27">
        <f t="shared" si="6"/>
        <v>0</v>
      </c>
    </row>
    <row r="43" ht="15.75" hidden="1" customHeight="1">
      <c r="A43" s="15" t="s">
        <v>181</v>
      </c>
      <c r="B43" s="15" t="s">
        <v>182</v>
      </c>
      <c r="C43" s="15" t="s">
        <v>41</v>
      </c>
      <c r="D43" s="56">
        <f>SUMIF('2015-16 12 Mnths'!$A:$A,'Detail 18-19'!$A43,'2015-16 12 Mnths'!C:C)-SUMIF('Budget 12 Mnths'!$A:$A,'Detail 18-19'!$A43,'Budget 12 Mnths'!D:D)</f>
        <v>0</v>
      </c>
      <c r="E43" s="56">
        <f>SUMIF('2015-16 12 Mnths'!$A:$A,'Detail 18-19'!$A43,'2015-16 12 Mnths'!D:D)-SUMIF('Budget 12 Mnths'!$A:$A,'Detail 18-19'!$A43,'Budget 12 Mnths'!E:E)</f>
        <v>0</v>
      </c>
      <c r="F43" s="56">
        <f>SUMIF('2015-16 12 Mnths'!$A:$A,'Detail 18-19'!$A43,'2015-16 12 Mnths'!E:E)-SUMIF('Budget 12 Mnths'!$A:$A,'Detail 18-19'!$A43,'Budget 12 Mnths'!F:F)</f>
        <v>0</v>
      </c>
      <c r="G43" s="56">
        <f>SUMIF('2015-16 12 Mnths'!$A:$A,'Detail 18-19'!$A43,'2015-16 12 Mnths'!F:F)-SUMIF('Budget 12 Mnths'!$A:$A,'Detail 18-19'!$A43,'Budget 12 Mnths'!G:G)</f>
        <v>0</v>
      </c>
      <c r="H43" s="56">
        <f>SUMIF('2015-16 12 Mnths'!$A:$A,'Detail 18-19'!$A43,'2015-16 12 Mnths'!G:G)-SUMIF('Budget 12 Mnths'!$A:$A,'Detail 18-19'!$A43,'Budget 12 Mnths'!H:H)</f>
        <v>0</v>
      </c>
      <c r="I43" s="56">
        <f>SUMIF('2015-16 12 Mnths'!$A:$A,'Detail 18-19'!$A43,'2015-16 12 Mnths'!H:H)-SUMIF('Budget 12 Mnths'!$A:$A,'Detail 18-19'!$A43,'Budget 12 Mnths'!I:I)</f>
        <v>0</v>
      </c>
      <c r="J43" s="56">
        <f>SUMIF('2015-16 12 Mnths'!$A:$A,'Detail 18-19'!$A43,'2015-16 12 Mnths'!I:I)-SUMIF('Budget 12 Mnths'!$A:$A,'Detail 18-19'!$A43,'Budget 12 Mnths'!J:J)</f>
        <v>0</v>
      </c>
      <c r="K43" s="56">
        <f>SUMIF('2015-16 12 Mnths'!$A:$A,'Detail 18-19'!$A43,'2015-16 12 Mnths'!J:J)-SUMIF('Budget 12 Mnths'!$A:$A,'Detail 18-19'!$A43,'Budget 12 Mnths'!K:K)</f>
        <v>0</v>
      </c>
      <c r="L43" s="56">
        <f>SUMIF('2015-16 12 Mnths'!$A:$A,'Detail 18-19'!$A43,'2015-16 12 Mnths'!K:K)-SUMIF('Budget 12 Mnths'!$A:$A,'Detail 18-19'!$A43,'Budget 12 Mnths'!L:L)</f>
        <v>0</v>
      </c>
      <c r="M43" s="56"/>
      <c r="N43" s="56"/>
      <c r="O43" s="56"/>
      <c r="P43" s="56">
        <f t="shared" si="1"/>
        <v>0</v>
      </c>
      <c r="Q43" s="14" t="str">
        <f>+VLOOKUP(A43,Mapping!$A$1:$E$443,5,FALSE)</f>
        <v>Student Activities</v>
      </c>
      <c r="R43" s="26">
        <f>+SUMIF('Budget 12 Mnths'!$A:$A,'Detail 18-19'!$A43,'Budget 12 Mnths'!$P:$P)</f>
        <v>0</v>
      </c>
      <c r="S43" s="26">
        <f>+SUMIF('2015-16 12 Mnths'!$A:$A,'Detail 18-19'!$A43,'2015-16 12 Mnths'!$O:$O)</f>
        <v>0</v>
      </c>
      <c r="T43" s="57">
        <f t="shared" si="2"/>
        <v>0</v>
      </c>
      <c r="U43" s="57">
        <f t="shared" si="3"/>
        <v>0</v>
      </c>
      <c r="W43" s="27">
        <v>8000.0</v>
      </c>
      <c r="X43" s="27">
        <v>0.0</v>
      </c>
      <c r="Z43" s="57">
        <f t="shared" ref="Z43:Z58" si="24">+X43/2</f>
        <v>0</v>
      </c>
      <c r="AA43" s="57" t="str">
        <f>IFERROR(+VLOOKUP(A43,Key!$A$1:$C$219,2,FALSE),"NOT FOUND")</f>
        <v>NOT FOUND</v>
      </c>
      <c r="AB43" s="27">
        <v>0.0</v>
      </c>
      <c r="AC43" s="57">
        <f t="shared" ref="AC43:AN43" si="23">+$AB43/12</f>
        <v>0</v>
      </c>
      <c r="AD43" s="57">
        <f t="shared" si="23"/>
        <v>0</v>
      </c>
      <c r="AE43" s="57">
        <f t="shared" si="23"/>
        <v>0</v>
      </c>
      <c r="AF43" s="57">
        <f t="shared" si="23"/>
        <v>0</v>
      </c>
      <c r="AG43" s="57">
        <f t="shared" si="23"/>
        <v>0</v>
      </c>
      <c r="AH43" s="57">
        <f t="shared" si="23"/>
        <v>0</v>
      </c>
      <c r="AI43" s="57">
        <f t="shared" si="23"/>
        <v>0</v>
      </c>
      <c r="AJ43" s="57">
        <f t="shared" si="23"/>
        <v>0</v>
      </c>
      <c r="AK43" s="57">
        <f t="shared" si="23"/>
        <v>0</v>
      </c>
      <c r="AL43" s="57">
        <f t="shared" si="23"/>
        <v>0</v>
      </c>
      <c r="AM43" s="57">
        <f t="shared" si="23"/>
        <v>0</v>
      </c>
      <c r="AN43" s="57">
        <f t="shared" si="23"/>
        <v>0</v>
      </c>
      <c r="AO43" s="27">
        <f t="shared" si="6"/>
        <v>0</v>
      </c>
    </row>
    <row r="44" ht="15.75" hidden="1" customHeight="1">
      <c r="A44" s="15" t="s">
        <v>184</v>
      </c>
      <c r="B44" s="15" t="s">
        <v>185</v>
      </c>
      <c r="C44" s="15" t="s">
        <v>41</v>
      </c>
      <c r="D44" s="56">
        <f>SUMIF('2015-16 12 Mnths'!$A:$A,'Detail 18-19'!$A44,'2015-16 12 Mnths'!C:C)-SUMIF('Budget 12 Mnths'!$A:$A,'Detail 18-19'!$A44,'Budget 12 Mnths'!D:D)</f>
        <v>0</v>
      </c>
      <c r="E44" s="56">
        <f>SUMIF('2015-16 12 Mnths'!$A:$A,'Detail 18-19'!$A44,'2015-16 12 Mnths'!D:D)-SUMIF('Budget 12 Mnths'!$A:$A,'Detail 18-19'!$A44,'Budget 12 Mnths'!E:E)</f>
        <v>0</v>
      </c>
      <c r="F44" s="56">
        <f>SUMIF('2015-16 12 Mnths'!$A:$A,'Detail 18-19'!$A44,'2015-16 12 Mnths'!E:E)-SUMIF('Budget 12 Mnths'!$A:$A,'Detail 18-19'!$A44,'Budget 12 Mnths'!F:F)</f>
        <v>0</v>
      </c>
      <c r="G44" s="56">
        <f>SUMIF('2015-16 12 Mnths'!$A:$A,'Detail 18-19'!$A44,'2015-16 12 Mnths'!F:F)-SUMIF('Budget 12 Mnths'!$A:$A,'Detail 18-19'!$A44,'Budget 12 Mnths'!G:G)</f>
        <v>0</v>
      </c>
      <c r="H44" s="56">
        <f>SUMIF('2015-16 12 Mnths'!$A:$A,'Detail 18-19'!$A44,'2015-16 12 Mnths'!G:G)-SUMIF('Budget 12 Mnths'!$A:$A,'Detail 18-19'!$A44,'Budget 12 Mnths'!H:H)</f>
        <v>0</v>
      </c>
      <c r="I44" s="56">
        <f>SUMIF('2015-16 12 Mnths'!$A:$A,'Detail 18-19'!$A44,'2015-16 12 Mnths'!H:H)-SUMIF('Budget 12 Mnths'!$A:$A,'Detail 18-19'!$A44,'Budget 12 Mnths'!I:I)</f>
        <v>0</v>
      </c>
      <c r="J44" s="56">
        <f>SUMIF('2015-16 12 Mnths'!$A:$A,'Detail 18-19'!$A44,'2015-16 12 Mnths'!I:I)-SUMIF('Budget 12 Mnths'!$A:$A,'Detail 18-19'!$A44,'Budget 12 Mnths'!J:J)</f>
        <v>0</v>
      </c>
      <c r="K44" s="56">
        <f>SUMIF('2015-16 12 Mnths'!$A:$A,'Detail 18-19'!$A44,'2015-16 12 Mnths'!J:J)-SUMIF('Budget 12 Mnths'!$A:$A,'Detail 18-19'!$A44,'Budget 12 Mnths'!K:K)</f>
        <v>0</v>
      </c>
      <c r="L44" s="56">
        <f>SUMIF('2015-16 12 Mnths'!$A:$A,'Detail 18-19'!$A44,'2015-16 12 Mnths'!K:K)-SUMIF('Budget 12 Mnths'!$A:$A,'Detail 18-19'!$A44,'Budget 12 Mnths'!L:L)</f>
        <v>0</v>
      </c>
      <c r="M44" s="56"/>
      <c r="N44" s="56"/>
      <c r="O44" s="56"/>
      <c r="P44" s="56">
        <f t="shared" si="1"/>
        <v>0</v>
      </c>
      <c r="Q44" s="14" t="str">
        <f>+VLOOKUP(A44,Mapping!$A$1:$E$443,5,FALSE)</f>
        <v>Student Activities</v>
      </c>
      <c r="R44" s="26">
        <f>+SUMIF('Budget 12 Mnths'!$A:$A,'Detail 18-19'!$A44,'Budget 12 Mnths'!$P:$P)</f>
        <v>0</v>
      </c>
      <c r="S44" s="26">
        <f>+SUMIF('2015-16 12 Mnths'!$A:$A,'Detail 18-19'!$A44,'2015-16 12 Mnths'!$O:$O)</f>
        <v>0</v>
      </c>
      <c r="T44" s="57">
        <f t="shared" si="2"/>
        <v>0</v>
      </c>
      <c r="U44" s="57">
        <f t="shared" si="3"/>
        <v>0</v>
      </c>
      <c r="W44" s="27"/>
      <c r="X44" s="27" t="str">
        <f t="shared" ref="X44:X51" si="25">+W44</f>
        <v/>
      </c>
      <c r="Z44" s="57">
        <f t="shared" si="24"/>
        <v>0</v>
      </c>
      <c r="AA44" s="57" t="str">
        <f>IFERROR(+VLOOKUP(A44,Key!$A$1:$C$219,2,FALSE),"NOT FOUND")</f>
        <v>NOT FOUND</v>
      </c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>
        <f t="shared" si="6"/>
        <v>0</v>
      </c>
    </row>
    <row r="45" ht="15.75" hidden="1" customHeight="1">
      <c r="A45" s="15" t="s">
        <v>188</v>
      </c>
      <c r="B45" s="15" t="s">
        <v>189</v>
      </c>
      <c r="C45" s="15" t="s">
        <v>41</v>
      </c>
      <c r="D45" s="56">
        <f>SUMIF('2015-16 12 Mnths'!$A:$A,'Detail 18-19'!$A45,'2015-16 12 Mnths'!C:C)-SUMIF('Budget 12 Mnths'!$A:$A,'Detail 18-19'!$A45,'Budget 12 Mnths'!D:D)</f>
        <v>0</v>
      </c>
      <c r="E45" s="56">
        <f>SUMIF('2015-16 12 Mnths'!$A:$A,'Detail 18-19'!$A45,'2015-16 12 Mnths'!D:D)-SUMIF('Budget 12 Mnths'!$A:$A,'Detail 18-19'!$A45,'Budget 12 Mnths'!E:E)</f>
        <v>0</v>
      </c>
      <c r="F45" s="56">
        <f>SUMIF('2015-16 12 Mnths'!$A:$A,'Detail 18-19'!$A45,'2015-16 12 Mnths'!E:E)-SUMIF('Budget 12 Mnths'!$A:$A,'Detail 18-19'!$A45,'Budget 12 Mnths'!F:F)</f>
        <v>0</v>
      </c>
      <c r="G45" s="56">
        <f>SUMIF('2015-16 12 Mnths'!$A:$A,'Detail 18-19'!$A45,'2015-16 12 Mnths'!F:F)-SUMIF('Budget 12 Mnths'!$A:$A,'Detail 18-19'!$A45,'Budget 12 Mnths'!G:G)</f>
        <v>0</v>
      </c>
      <c r="H45" s="56">
        <f>SUMIF('2015-16 12 Mnths'!$A:$A,'Detail 18-19'!$A45,'2015-16 12 Mnths'!G:G)-SUMIF('Budget 12 Mnths'!$A:$A,'Detail 18-19'!$A45,'Budget 12 Mnths'!H:H)</f>
        <v>100</v>
      </c>
      <c r="I45" s="56">
        <f>SUMIF('2015-16 12 Mnths'!$A:$A,'Detail 18-19'!$A45,'2015-16 12 Mnths'!H:H)-SUMIF('Budget 12 Mnths'!$A:$A,'Detail 18-19'!$A45,'Budget 12 Mnths'!I:I)</f>
        <v>0</v>
      </c>
      <c r="J45" s="56">
        <f>SUMIF('2015-16 12 Mnths'!$A:$A,'Detail 18-19'!$A45,'2015-16 12 Mnths'!I:I)-SUMIF('Budget 12 Mnths'!$A:$A,'Detail 18-19'!$A45,'Budget 12 Mnths'!J:J)</f>
        <v>250</v>
      </c>
      <c r="K45" s="56">
        <f>SUMIF('2015-16 12 Mnths'!$A:$A,'Detail 18-19'!$A45,'2015-16 12 Mnths'!J:J)-SUMIF('Budget 12 Mnths'!$A:$A,'Detail 18-19'!$A45,'Budget 12 Mnths'!K:K)</f>
        <v>2030</v>
      </c>
      <c r="L45" s="56">
        <f>SUMIF('2015-16 12 Mnths'!$A:$A,'Detail 18-19'!$A45,'2015-16 12 Mnths'!K:K)-SUMIF('Budget 12 Mnths'!$A:$A,'Detail 18-19'!$A45,'Budget 12 Mnths'!L:L)</f>
        <v>600</v>
      </c>
      <c r="M45" s="56"/>
      <c r="N45" s="56"/>
      <c r="O45" s="56"/>
      <c r="P45" s="56">
        <f t="shared" si="1"/>
        <v>2980</v>
      </c>
      <c r="Q45" s="14" t="str">
        <f>+VLOOKUP(A45,Mapping!$A$1:$E$443,5,FALSE)</f>
        <v>PTO</v>
      </c>
      <c r="R45" s="26">
        <f>+SUMIF('Budget 12 Mnths'!$A:$A,'Detail 18-19'!$A45,'Budget 12 Mnths'!$P:$P)</f>
        <v>0</v>
      </c>
      <c r="S45" s="26">
        <f>+SUMIF('2015-16 12 Mnths'!$A:$A,'Detail 18-19'!$A45,'2015-16 12 Mnths'!$O:$O)</f>
        <v>2980</v>
      </c>
      <c r="T45" s="57">
        <f t="shared" si="2"/>
        <v>0</v>
      </c>
      <c r="U45" s="57">
        <f t="shared" si="3"/>
        <v>1</v>
      </c>
      <c r="V45" s="8" t="s">
        <v>641</v>
      </c>
      <c r="W45" s="27">
        <v>0.0</v>
      </c>
      <c r="X45" s="27">
        <f t="shared" si="25"/>
        <v>0</v>
      </c>
      <c r="Z45" s="57">
        <f t="shared" si="24"/>
        <v>0</v>
      </c>
      <c r="AA45" s="57" t="str">
        <f>IFERROR(+VLOOKUP(A45,Key!$A$1:$C$219,2,FALSE),"NOT FOUND")</f>
        <v>NOT FOUND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>
        <f t="shared" si="6"/>
        <v>0</v>
      </c>
    </row>
    <row r="46" ht="15.75" hidden="1" customHeight="1">
      <c r="A46" s="15" t="s">
        <v>190</v>
      </c>
      <c r="B46" s="15" t="s">
        <v>192</v>
      </c>
      <c r="C46" s="15" t="s">
        <v>41</v>
      </c>
      <c r="D46" s="56">
        <f>SUMIF('2015-16 12 Mnths'!$A:$A,'Detail 18-19'!$A46,'2015-16 12 Mnths'!C:C)-SUMIF('Budget 12 Mnths'!$A:$A,'Detail 18-19'!$A46,'Budget 12 Mnths'!D:D)</f>
        <v>0</v>
      </c>
      <c r="E46" s="56">
        <f>SUMIF('2015-16 12 Mnths'!$A:$A,'Detail 18-19'!$A46,'2015-16 12 Mnths'!D:D)-SUMIF('Budget 12 Mnths'!$A:$A,'Detail 18-19'!$A46,'Budget 12 Mnths'!E:E)</f>
        <v>270</v>
      </c>
      <c r="F46" s="56">
        <f>SUMIF('2015-16 12 Mnths'!$A:$A,'Detail 18-19'!$A46,'2015-16 12 Mnths'!E:E)-SUMIF('Budget 12 Mnths'!$A:$A,'Detail 18-19'!$A46,'Budget 12 Mnths'!F:F)</f>
        <v>60</v>
      </c>
      <c r="G46" s="56">
        <f>SUMIF('2015-16 12 Mnths'!$A:$A,'Detail 18-19'!$A46,'2015-16 12 Mnths'!F:F)-SUMIF('Budget 12 Mnths'!$A:$A,'Detail 18-19'!$A46,'Budget 12 Mnths'!G:G)</f>
        <v>20</v>
      </c>
      <c r="H46" s="56">
        <f>SUMIF('2015-16 12 Mnths'!$A:$A,'Detail 18-19'!$A46,'2015-16 12 Mnths'!G:G)-SUMIF('Budget 12 Mnths'!$A:$A,'Detail 18-19'!$A46,'Budget 12 Mnths'!H:H)</f>
        <v>0</v>
      </c>
      <c r="I46" s="56">
        <f>SUMIF('2015-16 12 Mnths'!$A:$A,'Detail 18-19'!$A46,'2015-16 12 Mnths'!H:H)-SUMIF('Budget 12 Mnths'!$A:$A,'Detail 18-19'!$A46,'Budget 12 Mnths'!I:I)</f>
        <v>0</v>
      </c>
      <c r="J46" s="56">
        <f>SUMIF('2015-16 12 Mnths'!$A:$A,'Detail 18-19'!$A46,'2015-16 12 Mnths'!I:I)-SUMIF('Budget 12 Mnths'!$A:$A,'Detail 18-19'!$A46,'Budget 12 Mnths'!J:J)</f>
        <v>0</v>
      </c>
      <c r="K46" s="56">
        <f>SUMIF('2015-16 12 Mnths'!$A:$A,'Detail 18-19'!$A46,'2015-16 12 Mnths'!J:J)-SUMIF('Budget 12 Mnths'!$A:$A,'Detail 18-19'!$A46,'Budget 12 Mnths'!K:K)</f>
        <v>0</v>
      </c>
      <c r="L46" s="56">
        <f>SUMIF('2015-16 12 Mnths'!$A:$A,'Detail 18-19'!$A46,'2015-16 12 Mnths'!K:K)-SUMIF('Budget 12 Mnths'!$A:$A,'Detail 18-19'!$A46,'Budget 12 Mnths'!L:L)</f>
        <v>0</v>
      </c>
      <c r="M46" s="56"/>
      <c r="N46" s="56"/>
      <c r="O46" s="56"/>
      <c r="P46" s="56">
        <f t="shared" si="1"/>
        <v>350</v>
      </c>
      <c r="Q46" s="14" t="str">
        <f>+VLOOKUP(A46,Mapping!$A$1:$E$443,5,FALSE)</f>
        <v>PTO</v>
      </c>
      <c r="R46" s="26">
        <f>+SUMIF('Budget 12 Mnths'!$A:$A,'Detail 18-19'!$A46,'Budget 12 Mnths'!$P:$P)</f>
        <v>0</v>
      </c>
      <c r="S46" s="26">
        <f>+SUMIF('2015-16 12 Mnths'!$A:$A,'Detail 18-19'!$A46,'2015-16 12 Mnths'!$O:$O)</f>
        <v>350</v>
      </c>
      <c r="T46" s="57">
        <f t="shared" si="2"/>
        <v>0</v>
      </c>
      <c r="U46" s="57">
        <f t="shared" si="3"/>
        <v>1</v>
      </c>
      <c r="V46" s="8" t="s">
        <v>641</v>
      </c>
      <c r="W46" s="27">
        <v>0.0</v>
      </c>
      <c r="X46" s="27">
        <f t="shared" si="25"/>
        <v>0</v>
      </c>
      <c r="Z46" s="57">
        <f t="shared" si="24"/>
        <v>0</v>
      </c>
      <c r="AA46" s="57" t="str">
        <f>IFERROR(+VLOOKUP(A46,Key!$A$1:$C$219,2,FALSE),"NOT FOUND")</f>
        <v>NOT FOUND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>
        <f t="shared" si="6"/>
        <v>0</v>
      </c>
    </row>
    <row r="47" ht="15.75" hidden="1" customHeight="1">
      <c r="A47" s="15" t="s">
        <v>197</v>
      </c>
      <c r="B47" s="15" t="s">
        <v>198</v>
      </c>
      <c r="C47" s="15" t="s">
        <v>41</v>
      </c>
      <c r="D47" s="56">
        <f>SUMIF('2015-16 12 Mnths'!$A:$A,'Detail 18-19'!$A47,'2015-16 12 Mnths'!C:C)-SUMIF('Budget 12 Mnths'!$A:$A,'Detail 18-19'!$A47,'Budget 12 Mnths'!D:D)</f>
        <v>0</v>
      </c>
      <c r="E47" s="56">
        <f>SUMIF('2015-16 12 Mnths'!$A:$A,'Detail 18-19'!$A47,'2015-16 12 Mnths'!D:D)-SUMIF('Budget 12 Mnths'!$A:$A,'Detail 18-19'!$A47,'Budget 12 Mnths'!E:E)</f>
        <v>0</v>
      </c>
      <c r="F47" s="56">
        <f>SUMIF('2015-16 12 Mnths'!$A:$A,'Detail 18-19'!$A47,'2015-16 12 Mnths'!E:E)-SUMIF('Budget 12 Mnths'!$A:$A,'Detail 18-19'!$A47,'Budget 12 Mnths'!F:F)</f>
        <v>0</v>
      </c>
      <c r="G47" s="56">
        <f>SUMIF('2015-16 12 Mnths'!$A:$A,'Detail 18-19'!$A47,'2015-16 12 Mnths'!F:F)-SUMIF('Budget 12 Mnths'!$A:$A,'Detail 18-19'!$A47,'Budget 12 Mnths'!G:G)</f>
        <v>0</v>
      </c>
      <c r="H47" s="56">
        <f>SUMIF('2015-16 12 Mnths'!$A:$A,'Detail 18-19'!$A47,'2015-16 12 Mnths'!G:G)-SUMIF('Budget 12 Mnths'!$A:$A,'Detail 18-19'!$A47,'Budget 12 Mnths'!H:H)</f>
        <v>0</v>
      </c>
      <c r="I47" s="56">
        <f>SUMIF('2015-16 12 Mnths'!$A:$A,'Detail 18-19'!$A47,'2015-16 12 Mnths'!H:H)-SUMIF('Budget 12 Mnths'!$A:$A,'Detail 18-19'!$A47,'Budget 12 Mnths'!I:I)</f>
        <v>0</v>
      </c>
      <c r="J47" s="56">
        <f>SUMIF('2015-16 12 Mnths'!$A:$A,'Detail 18-19'!$A47,'2015-16 12 Mnths'!I:I)-SUMIF('Budget 12 Mnths'!$A:$A,'Detail 18-19'!$A47,'Budget 12 Mnths'!J:J)</f>
        <v>0</v>
      </c>
      <c r="K47" s="56">
        <f>SUMIF('2015-16 12 Mnths'!$A:$A,'Detail 18-19'!$A47,'2015-16 12 Mnths'!J:J)-SUMIF('Budget 12 Mnths'!$A:$A,'Detail 18-19'!$A47,'Budget 12 Mnths'!K:K)</f>
        <v>0</v>
      </c>
      <c r="L47" s="56">
        <f>SUMIF('2015-16 12 Mnths'!$A:$A,'Detail 18-19'!$A47,'2015-16 12 Mnths'!K:K)-SUMIF('Budget 12 Mnths'!$A:$A,'Detail 18-19'!$A47,'Budget 12 Mnths'!L:L)</f>
        <v>0</v>
      </c>
      <c r="M47" s="56"/>
      <c r="N47" s="56"/>
      <c r="O47" s="56"/>
      <c r="P47" s="56">
        <f t="shared" si="1"/>
        <v>0</v>
      </c>
      <c r="Q47" s="14" t="str">
        <f>+VLOOKUP(A47,Mapping!$A$1:$E$443,5,FALSE)</f>
        <v>Misc</v>
      </c>
      <c r="R47" s="26">
        <f>+SUMIF('Budget 12 Mnths'!$A:$A,'Detail 18-19'!$A47,'Budget 12 Mnths'!$P:$P)</f>
        <v>0</v>
      </c>
      <c r="S47" s="26">
        <f>+SUMIF('2015-16 12 Mnths'!$A:$A,'Detail 18-19'!$A47,'2015-16 12 Mnths'!$O:$O)</f>
        <v>0</v>
      </c>
      <c r="T47" s="57">
        <f t="shared" si="2"/>
        <v>0</v>
      </c>
      <c r="U47" s="57">
        <f t="shared" si="3"/>
        <v>0</v>
      </c>
      <c r="W47" s="27"/>
      <c r="X47" s="27" t="str">
        <f t="shared" si="25"/>
        <v/>
      </c>
      <c r="Z47" s="57">
        <f t="shared" si="24"/>
        <v>0</v>
      </c>
      <c r="AA47" s="57" t="str">
        <f>IFERROR(+VLOOKUP(A47,Key!$A$1:$C$219,2,FALSE),"NOT FOUND")</f>
        <v>4700-1U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>
        <f t="shared" si="6"/>
        <v>0</v>
      </c>
    </row>
    <row r="48" ht="15.75" hidden="1" customHeight="1">
      <c r="A48" s="15" t="s">
        <v>200</v>
      </c>
      <c r="B48" s="15" t="s">
        <v>201</v>
      </c>
      <c r="C48" s="15" t="s">
        <v>41</v>
      </c>
      <c r="D48" s="56">
        <f>SUMIF('2015-16 12 Mnths'!$A:$A,'Detail 18-19'!$A48,'2015-16 12 Mnths'!C:C)-SUMIF('Budget 12 Mnths'!$A:$A,'Detail 18-19'!$A48,'Budget 12 Mnths'!D:D)</f>
        <v>0</v>
      </c>
      <c r="E48" s="56">
        <f>SUMIF('2015-16 12 Mnths'!$A:$A,'Detail 18-19'!$A48,'2015-16 12 Mnths'!D:D)-SUMIF('Budget 12 Mnths'!$A:$A,'Detail 18-19'!$A48,'Budget 12 Mnths'!E:E)</f>
        <v>0</v>
      </c>
      <c r="F48" s="56">
        <f>SUMIF('2015-16 12 Mnths'!$A:$A,'Detail 18-19'!$A48,'2015-16 12 Mnths'!E:E)-SUMIF('Budget 12 Mnths'!$A:$A,'Detail 18-19'!$A48,'Budget 12 Mnths'!F:F)</f>
        <v>0</v>
      </c>
      <c r="G48" s="56">
        <f>SUMIF('2015-16 12 Mnths'!$A:$A,'Detail 18-19'!$A48,'2015-16 12 Mnths'!F:F)-SUMIF('Budget 12 Mnths'!$A:$A,'Detail 18-19'!$A48,'Budget 12 Mnths'!G:G)</f>
        <v>0</v>
      </c>
      <c r="H48" s="56">
        <f>SUMIF('2015-16 12 Mnths'!$A:$A,'Detail 18-19'!$A48,'2015-16 12 Mnths'!G:G)-SUMIF('Budget 12 Mnths'!$A:$A,'Detail 18-19'!$A48,'Budget 12 Mnths'!H:H)</f>
        <v>0</v>
      </c>
      <c r="I48" s="56">
        <f>SUMIF('2015-16 12 Mnths'!$A:$A,'Detail 18-19'!$A48,'2015-16 12 Mnths'!H:H)-SUMIF('Budget 12 Mnths'!$A:$A,'Detail 18-19'!$A48,'Budget 12 Mnths'!I:I)</f>
        <v>0</v>
      </c>
      <c r="J48" s="56">
        <f>SUMIF('2015-16 12 Mnths'!$A:$A,'Detail 18-19'!$A48,'2015-16 12 Mnths'!I:I)-SUMIF('Budget 12 Mnths'!$A:$A,'Detail 18-19'!$A48,'Budget 12 Mnths'!J:J)</f>
        <v>0</v>
      </c>
      <c r="K48" s="56">
        <f>SUMIF('2015-16 12 Mnths'!$A:$A,'Detail 18-19'!$A48,'2015-16 12 Mnths'!J:J)-SUMIF('Budget 12 Mnths'!$A:$A,'Detail 18-19'!$A48,'Budget 12 Mnths'!K:K)</f>
        <v>0</v>
      </c>
      <c r="L48" s="56">
        <f>SUMIF('2015-16 12 Mnths'!$A:$A,'Detail 18-19'!$A48,'2015-16 12 Mnths'!K:K)-SUMIF('Budget 12 Mnths'!$A:$A,'Detail 18-19'!$A48,'Budget 12 Mnths'!L:L)</f>
        <v>0</v>
      </c>
      <c r="M48" s="56"/>
      <c r="N48" s="56"/>
      <c r="O48" s="56"/>
      <c r="P48" s="56">
        <f t="shared" si="1"/>
        <v>0</v>
      </c>
      <c r="Q48" s="14" t="str">
        <f>+VLOOKUP(A48,Mapping!$A$1:$E$443,5,FALSE)</f>
        <v>Misc</v>
      </c>
      <c r="R48" s="26">
        <f>+SUMIF('Budget 12 Mnths'!$A:$A,'Detail 18-19'!$A48,'Budget 12 Mnths'!$P:$P)</f>
        <v>0</v>
      </c>
      <c r="S48" s="26">
        <f>+SUMIF('2015-16 12 Mnths'!$A:$A,'Detail 18-19'!$A48,'2015-16 12 Mnths'!$O:$O)</f>
        <v>0</v>
      </c>
      <c r="T48" s="57">
        <f t="shared" si="2"/>
        <v>0</v>
      </c>
      <c r="U48" s="57">
        <f t="shared" si="3"/>
        <v>0</v>
      </c>
      <c r="W48" s="27"/>
      <c r="X48" s="27" t="str">
        <f t="shared" si="25"/>
        <v/>
      </c>
      <c r="Z48" s="57">
        <f t="shared" si="24"/>
        <v>0</v>
      </c>
      <c r="AA48" s="57" t="str">
        <f>IFERROR(+VLOOKUP(A48,Key!$A$1:$C$219,2,FALSE),"NOT FOUND")</f>
        <v>NOT FOUND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>
        <f t="shared" si="6"/>
        <v>0</v>
      </c>
    </row>
    <row r="49" ht="15.75" hidden="1" customHeight="1">
      <c r="A49" s="15" t="s">
        <v>206</v>
      </c>
      <c r="B49" s="15" t="s">
        <v>207</v>
      </c>
      <c r="C49" s="15" t="s">
        <v>41</v>
      </c>
      <c r="D49" s="56">
        <f>SUMIF('2015-16 12 Mnths'!$A:$A,'Detail 18-19'!$A49,'2015-16 12 Mnths'!C:C)-SUMIF('Budget 12 Mnths'!$A:$A,'Detail 18-19'!$A49,'Budget 12 Mnths'!D:D)</f>
        <v>0</v>
      </c>
      <c r="E49" s="56">
        <f>SUMIF('2015-16 12 Mnths'!$A:$A,'Detail 18-19'!$A49,'2015-16 12 Mnths'!D:D)-SUMIF('Budget 12 Mnths'!$A:$A,'Detail 18-19'!$A49,'Budget 12 Mnths'!E:E)</f>
        <v>0</v>
      </c>
      <c r="F49" s="56">
        <f>SUMIF('2015-16 12 Mnths'!$A:$A,'Detail 18-19'!$A49,'2015-16 12 Mnths'!E:E)-SUMIF('Budget 12 Mnths'!$A:$A,'Detail 18-19'!$A49,'Budget 12 Mnths'!F:F)</f>
        <v>0</v>
      </c>
      <c r="G49" s="56">
        <f>SUMIF('2015-16 12 Mnths'!$A:$A,'Detail 18-19'!$A49,'2015-16 12 Mnths'!F:F)-SUMIF('Budget 12 Mnths'!$A:$A,'Detail 18-19'!$A49,'Budget 12 Mnths'!G:G)</f>
        <v>0</v>
      </c>
      <c r="H49" s="56">
        <f>SUMIF('2015-16 12 Mnths'!$A:$A,'Detail 18-19'!$A49,'2015-16 12 Mnths'!G:G)-SUMIF('Budget 12 Mnths'!$A:$A,'Detail 18-19'!$A49,'Budget 12 Mnths'!H:H)</f>
        <v>0</v>
      </c>
      <c r="I49" s="56">
        <f>SUMIF('2015-16 12 Mnths'!$A:$A,'Detail 18-19'!$A49,'2015-16 12 Mnths'!H:H)-SUMIF('Budget 12 Mnths'!$A:$A,'Detail 18-19'!$A49,'Budget 12 Mnths'!I:I)</f>
        <v>0</v>
      </c>
      <c r="J49" s="56">
        <f>SUMIF('2015-16 12 Mnths'!$A:$A,'Detail 18-19'!$A49,'2015-16 12 Mnths'!I:I)-SUMIF('Budget 12 Mnths'!$A:$A,'Detail 18-19'!$A49,'Budget 12 Mnths'!J:J)</f>
        <v>0</v>
      </c>
      <c r="K49" s="56">
        <f>SUMIF('2015-16 12 Mnths'!$A:$A,'Detail 18-19'!$A49,'2015-16 12 Mnths'!J:J)-SUMIF('Budget 12 Mnths'!$A:$A,'Detail 18-19'!$A49,'Budget 12 Mnths'!K:K)</f>
        <v>0</v>
      </c>
      <c r="L49" s="56">
        <f>SUMIF('2015-16 12 Mnths'!$A:$A,'Detail 18-19'!$A49,'2015-16 12 Mnths'!K:K)-SUMIF('Budget 12 Mnths'!$A:$A,'Detail 18-19'!$A49,'Budget 12 Mnths'!L:L)</f>
        <v>0</v>
      </c>
      <c r="M49" s="56"/>
      <c r="N49" s="56"/>
      <c r="O49" s="56"/>
      <c r="P49" s="56">
        <f t="shared" si="1"/>
        <v>0</v>
      </c>
      <c r="Q49" s="14" t="str">
        <f>+VLOOKUP(A49,Mapping!$A$1:$E$443,5,FALSE)</f>
        <v>Misc</v>
      </c>
      <c r="R49" s="26">
        <f>+SUMIF('Budget 12 Mnths'!$A:$A,'Detail 18-19'!$A49,'Budget 12 Mnths'!$P:$P)</f>
        <v>0</v>
      </c>
      <c r="S49" s="26">
        <f>+SUMIF('2015-16 12 Mnths'!$A:$A,'Detail 18-19'!$A49,'2015-16 12 Mnths'!$O:$O)</f>
        <v>0</v>
      </c>
      <c r="T49" s="57">
        <f t="shared" si="2"/>
        <v>0</v>
      </c>
      <c r="U49" s="57">
        <f t="shared" si="3"/>
        <v>0</v>
      </c>
      <c r="W49" s="27"/>
      <c r="X49" s="27" t="str">
        <f t="shared" si="25"/>
        <v/>
      </c>
      <c r="Z49" s="57">
        <f t="shared" si="24"/>
        <v>0</v>
      </c>
      <c r="AA49" s="57" t="str">
        <f>IFERROR(+VLOOKUP(A49,Key!$A$1:$C$219,2,FALSE),"NOT FOUND")</f>
        <v>NOT FOUND</v>
      </c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>
        <f t="shared" si="6"/>
        <v>0</v>
      </c>
    </row>
    <row r="50" ht="15.75" hidden="1" customHeight="1">
      <c r="A50" s="15" t="s">
        <v>210</v>
      </c>
      <c r="B50" s="15" t="s">
        <v>211</v>
      </c>
      <c r="C50" s="15" t="s">
        <v>41</v>
      </c>
      <c r="D50" s="56">
        <f>SUMIF('2015-16 12 Mnths'!$A:$A,'Detail 18-19'!$A50,'2015-16 12 Mnths'!C:C)-SUMIF('Budget 12 Mnths'!$A:$A,'Detail 18-19'!$A50,'Budget 12 Mnths'!D:D)</f>
        <v>0</v>
      </c>
      <c r="E50" s="56">
        <f>SUMIF('2015-16 12 Mnths'!$A:$A,'Detail 18-19'!$A50,'2015-16 12 Mnths'!D:D)-SUMIF('Budget 12 Mnths'!$A:$A,'Detail 18-19'!$A50,'Budget 12 Mnths'!E:E)</f>
        <v>0</v>
      </c>
      <c r="F50" s="56">
        <f>SUMIF('2015-16 12 Mnths'!$A:$A,'Detail 18-19'!$A50,'2015-16 12 Mnths'!E:E)-SUMIF('Budget 12 Mnths'!$A:$A,'Detail 18-19'!$A50,'Budget 12 Mnths'!F:F)</f>
        <v>0</v>
      </c>
      <c r="G50" s="56">
        <f>SUMIF('2015-16 12 Mnths'!$A:$A,'Detail 18-19'!$A50,'2015-16 12 Mnths'!F:F)-SUMIF('Budget 12 Mnths'!$A:$A,'Detail 18-19'!$A50,'Budget 12 Mnths'!G:G)</f>
        <v>0</v>
      </c>
      <c r="H50" s="56">
        <f>SUMIF('2015-16 12 Mnths'!$A:$A,'Detail 18-19'!$A50,'2015-16 12 Mnths'!G:G)-SUMIF('Budget 12 Mnths'!$A:$A,'Detail 18-19'!$A50,'Budget 12 Mnths'!H:H)</f>
        <v>0</v>
      </c>
      <c r="I50" s="56">
        <f>SUMIF('2015-16 12 Mnths'!$A:$A,'Detail 18-19'!$A50,'2015-16 12 Mnths'!H:H)-SUMIF('Budget 12 Mnths'!$A:$A,'Detail 18-19'!$A50,'Budget 12 Mnths'!I:I)</f>
        <v>0</v>
      </c>
      <c r="J50" s="56">
        <f>SUMIF('2015-16 12 Mnths'!$A:$A,'Detail 18-19'!$A50,'2015-16 12 Mnths'!I:I)-SUMIF('Budget 12 Mnths'!$A:$A,'Detail 18-19'!$A50,'Budget 12 Mnths'!J:J)</f>
        <v>0</v>
      </c>
      <c r="K50" s="56">
        <f>SUMIF('2015-16 12 Mnths'!$A:$A,'Detail 18-19'!$A50,'2015-16 12 Mnths'!J:J)-SUMIF('Budget 12 Mnths'!$A:$A,'Detail 18-19'!$A50,'Budget 12 Mnths'!K:K)</f>
        <v>0</v>
      </c>
      <c r="L50" s="56">
        <f>SUMIF('2015-16 12 Mnths'!$A:$A,'Detail 18-19'!$A50,'2015-16 12 Mnths'!K:K)-SUMIF('Budget 12 Mnths'!$A:$A,'Detail 18-19'!$A50,'Budget 12 Mnths'!L:L)</f>
        <v>0</v>
      </c>
      <c r="M50" s="56"/>
      <c r="N50" s="56"/>
      <c r="O50" s="56"/>
      <c r="P50" s="56">
        <f t="shared" si="1"/>
        <v>0</v>
      </c>
      <c r="Q50" s="14" t="str">
        <f>+VLOOKUP(A50,Mapping!$A$1:$E$443,5,FALSE)</f>
        <v>Misc</v>
      </c>
      <c r="R50" s="26">
        <f>+SUMIF('Budget 12 Mnths'!$A:$A,'Detail 18-19'!$A50,'Budget 12 Mnths'!$P:$P)</f>
        <v>0</v>
      </c>
      <c r="S50" s="26">
        <f>+SUMIF('2015-16 12 Mnths'!$A:$A,'Detail 18-19'!$A50,'2015-16 12 Mnths'!$O:$O)</f>
        <v>0</v>
      </c>
      <c r="T50" s="57">
        <f t="shared" si="2"/>
        <v>0</v>
      </c>
      <c r="U50" s="57">
        <f t="shared" si="3"/>
        <v>0</v>
      </c>
      <c r="W50" s="27"/>
      <c r="X50" s="27" t="str">
        <f t="shared" si="25"/>
        <v/>
      </c>
      <c r="Z50" s="57">
        <f t="shared" si="24"/>
        <v>0</v>
      </c>
      <c r="AA50" s="57" t="str">
        <f>IFERROR(+VLOOKUP(A50,Key!$A$1:$C$219,2,FALSE),"NOT FOUND")</f>
        <v>NOT FOUND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>
        <f t="shared" si="6"/>
        <v>0</v>
      </c>
    </row>
    <row r="51" ht="15.75" hidden="1" customHeight="1">
      <c r="A51" s="15" t="s">
        <v>213</v>
      </c>
      <c r="B51" s="15" t="s">
        <v>214</v>
      </c>
      <c r="C51" s="15" t="s">
        <v>41</v>
      </c>
      <c r="D51" s="56">
        <f>SUMIF('2015-16 12 Mnths'!$A:$A,'Detail 18-19'!$A51,'2015-16 12 Mnths'!C:C)-SUMIF('Budget 12 Mnths'!$A:$A,'Detail 18-19'!$A51,'Budget 12 Mnths'!D:D)</f>
        <v>0</v>
      </c>
      <c r="E51" s="56">
        <f>SUMIF('2015-16 12 Mnths'!$A:$A,'Detail 18-19'!$A51,'2015-16 12 Mnths'!D:D)-SUMIF('Budget 12 Mnths'!$A:$A,'Detail 18-19'!$A51,'Budget 12 Mnths'!E:E)</f>
        <v>0</v>
      </c>
      <c r="F51" s="56">
        <f>SUMIF('2015-16 12 Mnths'!$A:$A,'Detail 18-19'!$A51,'2015-16 12 Mnths'!E:E)-SUMIF('Budget 12 Mnths'!$A:$A,'Detail 18-19'!$A51,'Budget 12 Mnths'!F:F)</f>
        <v>0</v>
      </c>
      <c r="G51" s="56">
        <f>SUMIF('2015-16 12 Mnths'!$A:$A,'Detail 18-19'!$A51,'2015-16 12 Mnths'!F:F)-SUMIF('Budget 12 Mnths'!$A:$A,'Detail 18-19'!$A51,'Budget 12 Mnths'!G:G)</f>
        <v>0</v>
      </c>
      <c r="H51" s="56">
        <f>SUMIF('2015-16 12 Mnths'!$A:$A,'Detail 18-19'!$A51,'2015-16 12 Mnths'!G:G)-SUMIF('Budget 12 Mnths'!$A:$A,'Detail 18-19'!$A51,'Budget 12 Mnths'!H:H)</f>
        <v>0</v>
      </c>
      <c r="I51" s="56">
        <f>SUMIF('2015-16 12 Mnths'!$A:$A,'Detail 18-19'!$A51,'2015-16 12 Mnths'!H:H)-SUMIF('Budget 12 Mnths'!$A:$A,'Detail 18-19'!$A51,'Budget 12 Mnths'!I:I)</f>
        <v>0</v>
      </c>
      <c r="J51" s="56">
        <f>SUMIF('2015-16 12 Mnths'!$A:$A,'Detail 18-19'!$A51,'2015-16 12 Mnths'!I:I)-SUMIF('Budget 12 Mnths'!$A:$A,'Detail 18-19'!$A51,'Budget 12 Mnths'!J:J)</f>
        <v>0</v>
      </c>
      <c r="K51" s="56">
        <f>SUMIF('2015-16 12 Mnths'!$A:$A,'Detail 18-19'!$A51,'2015-16 12 Mnths'!J:J)-SUMIF('Budget 12 Mnths'!$A:$A,'Detail 18-19'!$A51,'Budget 12 Mnths'!K:K)</f>
        <v>0</v>
      </c>
      <c r="L51" s="56">
        <f>SUMIF('2015-16 12 Mnths'!$A:$A,'Detail 18-19'!$A51,'2015-16 12 Mnths'!K:K)-SUMIF('Budget 12 Mnths'!$A:$A,'Detail 18-19'!$A51,'Budget 12 Mnths'!L:L)</f>
        <v>0</v>
      </c>
      <c r="M51" s="56"/>
      <c r="N51" s="56"/>
      <c r="O51" s="56"/>
      <c r="P51" s="56">
        <f t="shared" si="1"/>
        <v>0</v>
      </c>
      <c r="Q51" s="14" t="str">
        <f>+VLOOKUP(A51,Mapping!$A$1:$E$443,5,FALSE)</f>
        <v>Misc</v>
      </c>
      <c r="R51" s="26">
        <f>+SUMIF('Budget 12 Mnths'!$A:$A,'Detail 18-19'!$A51,'Budget 12 Mnths'!$P:$P)</f>
        <v>0</v>
      </c>
      <c r="S51" s="26">
        <f>+SUMIF('2015-16 12 Mnths'!$A:$A,'Detail 18-19'!$A51,'2015-16 12 Mnths'!$O:$O)</f>
        <v>0</v>
      </c>
      <c r="T51" s="57">
        <f t="shared" si="2"/>
        <v>0</v>
      </c>
      <c r="U51" s="57">
        <f t="shared" si="3"/>
        <v>0</v>
      </c>
      <c r="W51" s="27"/>
      <c r="X51" s="27" t="str">
        <f t="shared" si="25"/>
        <v/>
      </c>
      <c r="Z51" s="57">
        <f t="shared" si="24"/>
        <v>0</v>
      </c>
      <c r="AA51" s="57" t="str">
        <f>IFERROR(+VLOOKUP(A51,Key!$A$1:$C$219,2,FALSE),"NOT FOUND")</f>
        <v>NOT FOUND</v>
      </c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>
        <f t="shared" si="6"/>
        <v>0</v>
      </c>
    </row>
    <row r="52" ht="15.75" customHeight="1">
      <c r="A52" s="15" t="s">
        <v>215</v>
      </c>
      <c r="B52" s="15" t="s">
        <v>216</v>
      </c>
      <c r="C52" s="15" t="s">
        <v>41</v>
      </c>
      <c r="D52" s="56">
        <f>SUMIF('2015-16 12 Mnths'!$A:$A,'Detail 18-19'!$A52,'2015-16 12 Mnths'!C:C)-SUMIF('Budget 12 Mnths'!$A:$A,'Detail 18-19'!$A52,'Budget 12 Mnths'!D:D)</f>
        <v>-5.94</v>
      </c>
      <c r="E52" s="56">
        <f>SUMIF('2015-16 12 Mnths'!$A:$A,'Detail 18-19'!$A52,'2015-16 12 Mnths'!D:D)-SUMIF('Budget 12 Mnths'!$A:$A,'Detail 18-19'!$A52,'Budget 12 Mnths'!E:E)</f>
        <v>-4.36</v>
      </c>
      <c r="F52" s="56">
        <f>SUMIF('2015-16 12 Mnths'!$A:$A,'Detail 18-19'!$A52,'2015-16 12 Mnths'!E:E)-SUMIF('Budget 12 Mnths'!$A:$A,'Detail 18-19'!$A52,'Budget 12 Mnths'!F:F)</f>
        <v>-5.47</v>
      </c>
      <c r="G52" s="56">
        <f>SUMIF('2015-16 12 Mnths'!$A:$A,'Detail 18-19'!$A52,'2015-16 12 Mnths'!F:F)-SUMIF('Budget 12 Mnths'!$A:$A,'Detail 18-19'!$A52,'Budget 12 Mnths'!G:G)</f>
        <v>-6.3</v>
      </c>
      <c r="H52" s="56">
        <f>SUMIF('2015-16 12 Mnths'!$A:$A,'Detail 18-19'!$A52,'2015-16 12 Mnths'!G:G)-SUMIF('Budget 12 Mnths'!$A:$A,'Detail 18-19'!$A52,'Budget 12 Mnths'!H:H)</f>
        <v>-5.2</v>
      </c>
      <c r="I52" s="56">
        <f>SUMIF('2015-16 12 Mnths'!$A:$A,'Detail 18-19'!$A52,'2015-16 12 Mnths'!H:H)-SUMIF('Budget 12 Mnths'!$A:$A,'Detail 18-19'!$A52,'Budget 12 Mnths'!I:I)</f>
        <v>-5.42</v>
      </c>
      <c r="J52" s="56">
        <f>SUMIF('2015-16 12 Mnths'!$A:$A,'Detail 18-19'!$A52,'2015-16 12 Mnths'!I:I)-SUMIF('Budget 12 Mnths'!$A:$A,'Detail 18-19'!$A52,'Budget 12 Mnths'!J:J)</f>
        <v>-5</v>
      </c>
      <c r="K52" s="56">
        <f>SUMIF('2015-16 12 Mnths'!$A:$A,'Detail 18-19'!$A52,'2015-16 12 Mnths'!J:J)-SUMIF('Budget 12 Mnths'!$A:$A,'Detail 18-19'!$A52,'Budget 12 Mnths'!K:K)</f>
        <v>-3.51</v>
      </c>
      <c r="L52" s="56">
        <f>SUMIF('2015-16 12 Mnths'!$A:$A,'Detail 18-19'!$A52,'2015-16 12 Mnths'!K:K)-SUMIF('Budget 12 Mnths'!$A:$A,'Detail 18-19'!$A52,'Budget 12 Mnths'!L:L)</f>
        <v>-3.27</v>
      </c>
      <c r="M52" s="56"/>
      <c r="N52" s="56"/>
      <c r="O52" s="56"/>
      <c r="P52" s="56">
        <f t="shared" si="1"/>
        <v>-44.47</v>
      </c>
      <c r="Q52" s="14" t="str">
        <f>+VLOOKUP(A52,Mapping!$A$1:$E$443,5,FALSE)</f>
        <v>Investment</v>
      </c>
      <c r="R52" s="26">
        <f>+SUMIF('Budget 12 Mnths'!$A:$A,'Detail 18-19'!$A52,'Budget 12 Mnths'!$P:$P)</f>
        <v>249.96</v>
      </c>
      <c r="S52" s="26">
        <f>+SUMIF('2015-16 12 Mnths'!$A:$A,'Detail 18-19'!$A52,'2015-16 12 Mnths'!$O:$O)</f>
        <v>143</v>
      </c>
      <c r="T52" s="57">
        <f t="shared" si="2"/>
        <v>-0.1779084654</v>
      </c>
      <c r="U52" s="57">
        <f t="shared" si="3"/>
        <v>-0.310979021</v>
      </c>
      <c r="V52" s="8" t="s">
        <v>451</v>
      </c>
      <c r="W52" s="27">
        <f>+S52/9*12</f>
        <v>190.6666667</v>
      </c>
      <c r="X52" s="27">
        <v>250.0</v>
      </c>
      <c r="Z52" s="57">
        <f t="shared" si="24"/>
        <v>125</v>
      </c>
      <c r="AA52" s="57" t="str">
        <f>IFERROR(+VLOOKUP(A52,Key!$A$1:$C$219,2,FALSE),"NOT FOUND")</f>
        <v>4800-1U</v>
      </c>
      <c r="AB52" s="27">
        <v>250.0</v>
      </c>
      <c r="AC52" s="57">
        <f t="shared" ref="AC52:AN52" si="26">+$AB52/12</f>
        <v>20.83333333</v>
      </c>
      <c r="AD52" s="57">
        <f t="shared" si="26"/>
        <v>20.83333333</v>
      </c>
      <c r="AE52" s="57">
        <f t="shared" si="26"/>
        <v>20.83333333</v>
      </c>
      <c r="AF52" s="57">
        <f t="shared" si="26"/>
        <v>20.83333333</v>
      </c>
      <c r="AG52" s="57">
        <f t="shared" si="26"/>
        <v>20.83333333</v>
      </c>
      <c r="AH52" s="57">
        <f t="shared" si="26"/>
        <v>20.83333333</v>
      </c>
      <c r="AI52" s="57">
        <f t="shared" si="26"/>
        <v>20.83333333</v>
      </c>
      <c r="AJ52" s="57">
        <f t="shared" si="26"/>
        <v>20.83333333</v>
      </c>
      <c r="AK52" s="57">
        <f t="shared" si="26"/>
        <v>20.83333333</v>
      </c>
      <c r="AL52" s="57">
        <f t="shared" si="26"/>
        <v>20.83333333</v>
      </c>
      <c r="AM52" s="57">
        <f t="shared" si="26"/>
        <v>20.83333333</v>
      </c>
      <c r="AN52" s="57">
        <f t="shared" si="26"/>
        <v>20.83333333</v>
      </c>
      <c r="AO52" s="27">
        <f t="shared" si="6"/>
        <v>0</v>
      </c>
    </row>
    <row r="53" ht="15.75" hidden="1" customHeight="1">
      <c r="A53" s="15" t="s">
        <v>219</v>
      </c>
      <c r="B53" s="15" t="s">
        <v>220</v>
      </c>
      <c r="C53" s="15" t="s">
        <v>41</v>
      </c>
      <c r="D53" s="56">
        <f>SUMIF('2015-16 12 Mnths'!$A:$A,'Detail 18-19'!$A53,'2015-16 12 Mnths'!C:C)-SUMIF('Budget 12 Mnths'!$A:$A,'Detail 18-19'!$A53,'Budget 12 Mnths'!D:D)</f>
        <v>0</v>
      </c>
      <c r="E53" s="56">
        <f>SUMIF('2015-16 12 Mnths'!$A:$A,'Detail 18-19'!$A53,'2015-16 12 Mnths'!D:D)-SUMIF('Budget 12 Mnths'!$A:$A,'Detail 18-19'!$A53,'Budget 12 Mnths'!E:E)</f>
        <v>0</v>
      </c>
      <c r="F53" s="56">
        <f>SUMIF('2015-16 12 Mnths'!$A:$A,'Detail 18-19'!$A53,'2015-16 12 Mnths'!E:E)-SUMIF('Budget 12 Mnths'!$A:$A,'Detail 18-19'!$A53,'Budget 12 Mnths'!F:F)</f>
        <v>0</v>
      </c>
      <c r="G53" s="56">
        <f>SUMIF('2015-16 12 Mnths'!$A:$A,'Detail 18-19'!$A53,'2015-16 12 Mnths'!F:F)-SUMIF('Budget 12 Mnths'!$A:$A,'Detail 18-19'!$A53,'Budget 12 Mnths'!G:G)</f>
        <v>0</v>
      </c>
      <c r="H53" s="56">
        <f>SUMIF('2015-16 12 Mnths'!$A:$A,'Detail 18-19'!$A53,'2015-16 12 Mnths'!G:G)-SUMIF('Budget 12 Mnths'!$A:$A,'Detail 18-19'!$A53,'Budget 12 Mnths'!H:H)</f>
        <v>0</v>
      </c>
      <c r="I53" s="56">
        <f>SUMIF('2015-16 12 Mnths'!$A:$A,'Detail 18-19'!$A53,'2015-16 12 Mnths'!H:H)-SUMIF('Budget 12 Mnths'!$A:$A,'Detail 18-19'!$A53,'Budget 12 Mnths'!I:I)</f>
        <v>0</v>
      </c>
      <c r="J53" s="56">
        <f>SUMIF('2015-16 12 Mnths'!$A:$A,'Detail 18-19'!$A53,'2015-16 12 Mnths'!I:I)-SUMIF('Budget 12 Mnths'!$A:$A,'Detail 18-19'!$A53,'Budget 12 Mnths'!J:J)</f>
        <v>0</v>
      </c>
      <c r="K53" s="56">
        <f>SUMIF('2015-16 12 Mnths'!$A:$A,'Detail 18-19'!$A53,'2015-16 12 Mnths'!J:J)-SUMIF('Budget 12 Mnths'!$A:$A,'Detail 18-19'!$A53,'Budget 12 Mnths'!K:K)</f>
        <v>0</v>
      </c>
      <c r="L53" s="56">
        <f>SUMIF('2015-16 12 Mnths'!$A:$A,'Detail 18-19'!$A53,'2015-16 12 Mnths'!K:K)-SUMIF('Budget 12 Mnths'!$A:$A,'Detail 18-19'!$A53,'Budget 12 Mnths'!L:L)</f>
        <v>0</v>
      </c>
      <c r="M53" s="56"/>
      <c r="N53" s="56"/>
      <c r="O53" s="56"/>
      <c r="P53" s="56">
        <f t="shared" si="1"/>
        <v>0</v>
      </c>
      <c r="Q53" s="14" t="str">
        <f>+VLOOKUP(A53,Mapping!$A$1:$E$443,5,FALSE)</f>
        <v>Investment</v>
      </c>
      <c r="R53" s="26">
        <f>+SUMIF('Budget 12 Mnths'!$A:$A,'Detail 18-19'!$A53,'Budget 12 Mnths'!$P:$P)</f>
        <v>0</v>
      </c>
      <c r="S53" s="26">
        <f>+SUMIF('2015-16 12 Mnths'!$A:$A,'Detail 18-19'!$A53,'2015-16 12 Mnths'!$O:$O)</f>
        <v>0</v>
      </c>
      <c r="T53" s="57">
        <f t="shared" si="2"/>
        <v>0</v>
      </c>
      <c r="U53" s="57">
        <f t="shared" si="3"/>
        <v>0</v>
      </c>
      <c r="W53" s="27"/>
      <c r="X53" s="27" t="str">
        <f t="shared" ref="X53:X61" si="27">+W53</f>
        <v/>
      </c>
      <c r="Z53" s="57">
        <f t="shared" si="24"/>
        <v>0</v>
      </c>
      <c r="AA53" s="57" t="str">
        <f>IFERROR(+VLOOKUP(A53,Key!$A$1:$C$219,2,FALSE),"NOT FOUND")</f>
        <v>NOT FOUND</v>
      </c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>
        <f t="shared" si="6"/>
        <v>0</v>
      </c>
    </row>
    <row r="54" ht="15.75" hidden="1" customHeight="1">
      <c r="A54" s="15" t="s">
        <v>221</v>
      </c>
      <c r="B54" s="15" t="s">
        <v>222</v>
      </c>
      <c r="C54" s="15" t="s">
        <v>41</v>
      </c>
      <c r="D54" s="56">
        <f>SUMIF('2015-16 12 Mnths'!$A:$A,'Detail 18-19'!$A54,'2015-16 12 Mnths'!C:C)-SUMIF('Budget 12 Mnths'!$A:$A,'Detail 18-19'!$A54,'Budget 12 Mnths'!D:D)</f>
        <v>0</v>
      </c>
      <c r="E54" s="56">
        <f>SUMIF('2015-16 12 Mnths'!$A:$A,'Detail 18-19'!$A54,'2015-16 12 Mnths'!D:D)-SUMIF('Budget 12 Mnths'!$A:$A,'Detail 18-19'!$A54,'Budget 12 Mnths'!E:E)</f>
        <v>0</v>
      </c>
      <c r="F54" s="56">
        <f>SUMIF('2015-16 12 Mnths'!$A:$A,'Detail 18-19'!$A54,'2015-16 12 Mnths'!E:E)-SUMIF('Budget 12 Mnths'!$A:$A,'Detail 18-19'!$A54,'Budget 12 Mnths'!F:F)</f>
        <v>0</v>
      </c>
      <c r="G54" s="56">
        <f>SUMIF('2015-16 12 Mnths'!$A:$A,'Detail 18-19'!$A54,'2015-16 12 Mnths'!F:F)-SUMIF('Budget 12 Mnths'!$A:$A,'Detail 18-19'!$A54,'Budget 12 Mnths'!G:G)</f>
        <v>0</v>
      </c>
      <c r="H54" s="56">
        <f>SUMIF('2015-16 12 Mnths'!$A:$A,'Detail 18-19'!$A54,'2015-16 12 Mnths'!G:G)-SUMIF('Budget 12 Mnths'!$A:$A,'Detail 18-19'!$A54,'Budget 12 Mnths'!H:H)</f>
        <v>0</v>
      </c>
      <c r="I54" s="56">
        <f>SUMIF('2015-16 12 Mnths'!$A:$A,'Detail 18-19'!$A54,'2015-16 12 Mnths'!H:H)-SUMIF('Budget 12 Mnths'!$A:$A,'Detail 18-19'!$A54,'Budget 12 Mnths'!I:I)</f>
        <v>0</v>
      </c>
      <c r="J54" s="56">
        <f>SUMIF('2015-16 12 Mnths'!$A:$A,'Detail 18-19'!$A54,'2015-16 12 Mnths'!I:I)-SUMIF('Budget 12 Mnths'!$A:$A,'Detail 18-19'!$A54,'Budget 12 Mnths'!J:J)</f>
        <v>0</v>
      </c>
      <c r="K54" s="56">
        <f>SUMIF('2015-16 12 Mnths'!$A:$A,'Detail 18-19'!$A54,'2015-16 12 Mnths'!J:J)-SUMIF('Budget 12 Mnths'!$A:$A,'Detail 18-19'!$A54,'Budget 12 Mnths'!K:K)</f>
        <v>0</v>
      </c>
      <c r="L54" s="56">
        <f>SUMIF('2015-16 12 Mnths'!$A:$A,'Detail 18-19'!$A54,'2015-16 12 Mnths'!K:K)-SUMIF('Budget 12 Mnths'!$A:$A,'Detail 18-19'!$A54,'Budget 12 Mnths'!L:L)</f>
        <v>0</v>
      </c>
      <c r="M54" s="56"/>
      <c r="N54" s="56"/>
      <c r="O54" s="56"/>
      <c r="P54" s="56">
        <f t="shared" si="1"/>
        <v>0</v>
      </c>
      <c r="Q54" s="14" t="str">
        <f>+VLOOKUP(A54,Mapping!$A$1:$E$443,5,FALSE)</f>
        <v>Investment</v>
      </c>
      <c r="R54" s="26">
        <f>+SUMIF('Budget 12 Mnths'!$A:$A,'Detail 18-19'!$A54,'Budget 12 Mnths'!$P:$P)</f>
        <v>0</v>
      </c>
      <c r="S54" s="26">
        <f>+SUMIF('2015-16 12 Mnths'!$A:$A,'Detail 18-19'!$A54,'2015-16 12 Mnths'!$O:$O)</f>
        <v>0</v>
      </c>
      <c r="T54" s="57">
        <f t="shared" si="2"/>
        <v>0</v>
      </c>
      <c r="U54" s="57">
        <f t="shared" si="3"/>
        <v>0</v>
      </c>
      <c r="W54" s="27"/>
      <c r="X54" s="27" t="str">
        <f t="shared" si="27"/>
        <v/>
      </c>
      <c r="Z54" s="57">
        <f t="shared" si="24"/>
        <v>0</v>
      </c>
      <c r="AA54" s="57" t="str">
        <f>IFERROR(+VLOOKUP(A54,Key!$A$1:$C$219,2,FALSE),"NOT FOUND")</f>
        <v>NOT FOUND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>
        <f t="shared" si="6"/>
        <v>0</v>
      </c>
    </row>
    <row r="55" ht="15.75" hidden="1" customHeight="1">
      <c r="A55" s="15" t="s">
        <v>224</v>
      </c>
      <c r="B55" s="15" t="s">
        <v>225</v>
      </c>
      <c r="C55" s="15" t="s">
        <v>41</v>
      </c>
      <c r="D55" s="56">
        <f>SUMIF('2015-16 12 Mnths'!$A:$A,'Detail 18-19'!$A55,'2015-16 12 Mnths'!C:C)-SUMIF('Budget 12 Mnths'!$A:$A,'Detail 18-19'!$A55,'Budget 12 Mnths'!D:D)</f>
        <v>0</v>
      </c>
      <c r="E55" s="56">
        <f>SUMIF('2015-16 12 Mnths'!$A:$A,'Detail 18-19'!$A55,'2015-16 12 Mnths'!D:D)-SUMIF('Budget 12 Mnths'!$A:$A,'Detail 18-19'!$A55,'Budget 12 Mnths'!E:E)</f>
        <v>0</v>
      </c>
      <c r="F55" s="56">
        <f>SUMIF('2015-16 12 Mnths'!$A:$A,'Detail 18-19'!$A55,'2015-16 12 Mnths'!E:E)-SUMIF('Budget 12 Mnths'!$A:$A,'Detail 18-19'!$A55,'Budget 12 Mnths'!F:F)</f>
        <v>0</v>
      </c>
      <c r="G55" s="56">
        <f>SUMIF('2015-16 12 Mnths'!$A:$A,'Detail 18-19'!$A55,'2015-16 12 Mnths'!F:F)-SUMIF('Budget 12 Mnths'!$A:$A,'Detail 18-19'!$A55,'Budget 12 Mnths'!G:G)</f>
        <v>0</v>
      </c>
      <c r="H55" s="56">
        <f>SUMIF('2015-16 12 Mnths'!$A:$A,'Detail 18-19'!$A55,'2015-16 12 Mnths'!G:G)-SUMIF('Budget 12 Mnths'!$A:$A,'Detail 18-19'!$A55,'Budget 12 Mnths'!H:H)</f>
        <v>0</v>
      </c>
      <c r="I55" s="56">
        <f>SUMIF('2015-16 12 Mnths'!$A:$A,'Detail 18-19'!$A55,'2015-16 12 Mnths'!H:H)-SUMIF('Budget 12 Mnths'!$A:$A,'Detail 18-19'!$A55,'Budget 12 Mnths'!I:I)</f>
        <v>0</v>
      </c>
      <c r="J55" s="56">
        <f>SUMIF('2015-16 12 Mnths'!$A:$A,'Detail 18-19'!$A55,'2015-16 12 Mnths'!I:I)-SUMIF('Budget 12 Mnths'!$A:$A,'Detail 18-19'!$A55,'Budget 12 Mnths'!J:J)</f>
        <v>0</v>
      </c>
      <c r="K55" s="56">
        <f>SUMIF('2015-16 12 Mnths'!$A:$A,'Detail 18-19'!$A55,'2015-16 12 Mnths'!J:J)-SUMIF('Budget 12 Mnths'!$A:$A,'Detail 18-19'!$A55,'Budget 12 Mnths'!K:K)</f>
        <v>0</v>
      </c>
      <c r="L55" s="56">
        <f>SUMIF('2015-16 12 Mnths'!$A:$A,'Detail 18-19'!$A55,'2015-16 12 Mnths'!K:K)-SUMIF('Budget 12 Mnths'!$A:$A,'Detail 18-19'!$A55,'Budget 12 Mnths'!L:L)</f>
        <v>0</v>
      </c>
      <c r="M55" s="56"/>
      <c r="N55" s="56"/>
      <c r="O55" s="56"/>
      <c r="P55" s="56">
        <f t="shared" si="1"/>
        <v>0</v>
      </c>
      <c r="Q55" s="14" t="str">
        <f>+VLOOKUP(A55,Mapping!$A$1:$E$443,5,FALSE)</f>
        <v>Investment</v>
      </c>
      <c r="R55" s="26">
        <f>+SUMIF('Budget 12 Mnths'!$A:$A,'Detail 18-19'!$A55,'Budget 12 Mnths'!$P:$P)</f>
        <v>0</v>
      </c>
      <c r="S55" s="26">
        <f>+SUMIF('2015-16 12 Mnths'!$A:$A,'Detail 18-19'!$A55,'2015-16 12 Mnths'!$O:$O)</f>
        <v>0</v>
      </c>
      <c r="T55" s="57">
        <f t="shared" si="2"/>
        <v>0</v>
      </c>
      <c r="U55" s="57">
        <f t="shared" si="3"/>
        <v>0</v>
      </c>
      <c r="W55" s="27"/>
      <c r="X55" s="27" t="str">
        <f t="shared" si="27"/>
        <v/>
      </c>
      <c r="Z55" s="57">
        <f t="shared" si="24"/>
        <v>0</v>
      </c>
      <c r="AA55" s="57" t="str">
        <f>IFERROR(+VLOOKUP(A55,Key!$A$1:$C$219,2,FALSE),"NOT FOUND")</f>
        <v>NOT FOUND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f t="shared" si="6"/>
        <v>0</v>
      </c>
    </row>
    <row r="56" ht="15.75" hidden="1" customHeight="1">
      <c r="A56" s="15" t="s">
        <v>229</v>
      </c>
      <c r="B56" s="15" t="s">
        <v>230</v>
      </c>
      <c r="C56" s="15" t="s">
        <v>41</v>
      </c>
      <c r="D56" s="56">
        <f>SUMIF('2015-16 12 Mnths'!$A:$A,'Detail 18-19'!$A56,'2015-16 12 Mnths'!C:C)-SUMIF('Budget 12 Mnths'!$A:$A,'Detail 18-19'!$A56,'Budget 12 Mnths'!D:D)</f>
        <v>0</v>
      </c>
      <c r="E56" s="56">
        <f>SUMIF('2015-16 12 Mnths'!$A:$A,'Detail 18-19'!$A56,'2015-16 12 Mnths'!D:D)-SUMIF('Budget 12 Mnths'!$A:$A,'Detail 18-19'!$A56,'Budget 12 Mnths'!E:E)</f>
        <v>0</v>
      </c>
      <c r="F56" s="56">
        <f>SUMIF('2015-16 12 Mnths'!$A:$A,'Detail 18-19'!$A56,'2015-16 12 Mnths'!E:E)-SUMIF('Budget 12 Mnths'!$A:$A,'Detail 18-19'!$A56,'Budget 12 Mnths'!F:F)</f>
        <v>0</v>
      </c>
      <c r="G56" s="56">
        <f>SUMIF('2015-16 12 Mnths'!$A:$A,'Detail 18-19'!$A56,'2015-16 12 Mnths'!F:F)-SUMIF('Budget 12 Mnths'!$A:$A,'Detail 18-19'!$A56,'Budget 12 Mnths'!G:G)</f>
        <v>0</v>
      </c>
      <c r="H56" s="56">
        <f>SUMIF('2015-16 12 Mnths'!$A:$A,'Detail 18-19'!$A56,'2015-16 12 Mnths'!G:G)-SUMIF('Budget 12 Mnths'!$A:$A,'Detail 18-19'!$A56,'Budget 12 Mnths'!H:H)</f>
        <v>0</v>
      </c>
      <c r="I56" s="56">
        <f>SUMIF('2015-16 12 Mnths'!$A:$A,'Detail 18-19'!$A56,'2015-16 12 Mnths'!H:H)-SUMIF('Budget 12 Mnths'!$A:$A,'Detail 18-19'!$A56,'Budget 12 Mnths'!I:I)</f>
        <v>0</v>
      </c>
      <c r="J56" s="56">
        <f>SUMIF('2015-16 12 Mnths'!$A:$A,'Detail 18-19'!$A56,'2015-16 12 Mnths'!I:I)-SUMIF('Budget 12 Mnths'!$A:$A,'Detail 18-19'!$A56,'Budget 12 Mnths'!J:J)</f>
        <v>0</v>
      </c>
      <c r="K56" s="56">
        <f>SUMIF('2015-16 12 Mnths'!$A:$A,'Detail 18-19'!$A56,'2015-16 12 Mnths'!J:J)-SUMIF('Budget 12 Mnths'!$A:$A,'Detail 18-19'!$A56,'Budget 12 Mnths'!K:K)</f>
        <v>0</v>
      </c>
      <c r="L56" s="56">
        <f>SUMIF('2015-16 12 Mnths'!$A:$A,'Detail 18-19'!$A56,'2015-16 12 Mnths'!K:K)-SUMIF('Budget 12 Mnths'!$A:$A,'Detail 18-19'!$A56,'Budget 12 Mnths'!L:L)</f>
        <v>0</v>
      </c>
      <c r="M56" s="56"/>
      <c r="N56" s="56"/>
      <c r="O56" s="56"/>
      <c r="P56" s="56">
        <f t="shared" si="1"/>
        <v>0</v>
      </c>
      <c r="Q56" s="14" t="str">
        <f>+VLOOKUP(A56,Mapping!$A$1:$E$443,5,FALSE)</f>
        <v>Investment</v>
      </c>
      <c r="R56" s="26">
        <f>+SUMIF('Budget 12 Mnths'!$A:$A,'Detail 18-19'!$A56,'Budget 12 Mnths'!$P:$P)</f>
        <v>0</v>
      </c>
      <c r="S56" s="26">
        <f>+SUMIF('2015-16 12 Mnths'!$A:$A,'Detail 18-19'!$A56,'2015-16 12 Mnths'!$O:$O)</f>
        <v>0</v>
      </c>
      <c r="T56" s="57">
        <f t="shared" si="2"/>
        <v>0</v>
      </c>
      <c r="U56" s="57">
        <f t="shared" si="3"/>
        <v>0</v>
      </c>
      <c r="W56" s="27"/>
      <c r="X56" s="27" t="str">
        <f t="shared" si="27"/>
        <v/>
      </c>
      <c r="Z56" s="57">
        <f t="shared" si="24"/>
        <v>0</v>
      </c>
      <c r="AA56" s="57" t="str">
        <f>IFERROR(+VLOOKUP(A56,Key!$A$1:$C$219,2,FALSE),"NOT FOUND")</f>
        <v>NOT FOUND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>
        <f t="shared" si="6"/>
        <v>0</v>
      </c>
    </row>
    <row r="57" ht="15.75" hidden="1" customHeight="1">
      <c r="A57" s="15" t="s">
        <v>231</v>
      </c>
      <c r="B57" s="15" t="s">
        <v>233</v>
      </c>
      <c r="C57" s="15" t="s">
        <v>41</v>
      </c>
      <c r="D57" s="56">
        <f>SUMIF('2015-16 12 Mnths'!$A:$A,'Detail 18-19'!$A57,'2015-16 12 Mnths'!C:C)-SUMIF('Budget 12 Mnths'!$A:$A,'Detail 18-19'!$A57,'Budget 12 Mnths'!D:D)</f>
        <v>0</v>
      </c>
      <c r="E57" s="56">
        <f>SUMIF('2015-16 12 Mnths'!$A:$A,'Detail 18-19'!$A57,'2015-16 12 Mnths'!D:D)-SUMIF('Budget 12 Mnths'!$A:$A,'Detail 18-19'!$A57,'Budget 12 Mnths'!E:E)</f>
        <v>0</v>
      </c>
      <c r="F57" s="56">
        <f>SUMIF('2015-16 12 Mnths'!$A:$A,'Detail 18-19'!$A57,'2015-16 12 Mnths'!E:E)-SUMIF('Budget 12 Mnths'!$A:$A,'Detail 18-19'!$A57,'Budget 12 Mnths'!F:F)</f>
        <v>0</v>
      </c>
      <c r="G57" s="56">
        <f>SUMIF('2015-16 12 Mnths'!$A:$A,'Detail 18-19'!$A57,'2015-16 12 Mnths'!F:F)-SUMIF('Budget 12 Mnths'!$A:$A,'Detail 18-19'!$A57,'Budget 12 Mnths'!G:G)</f>
        <v>0</v>
      </c>
      <c r="H57" s="56">
        <f>SUMIF('2015-16 12 Mnths'!$A:$A,'Detail 18-19'!$A57,'2015-16 12 Mnths'!G:G)-SUMIF('Budget 12 Mnths'!$A:$A,'Detail 18-19'!$A57,'Budget 12 Mnths'!H:H)</f>
        <v>0</v>
      </c>
      <c r="I57" s="56">
        <f>SUMIF('2015-16 12 Mnths'!$A:$A,'Detail 18-19'!$A57,'2015-16 12 Mnths'!H:H)-SUMIF('Budget 12 Mnths'!$A:$A,'Detail 18-19'!$A57,'Budget 12 Mnths'!I:I)</f>
        <v>0</v>
      </c>
      <c r="J57" s="56">
        <f>SUMIF('2015-16 12 Mnths'!$A:$A,'Detail 18-19'!$A57,'2015-16 12 Mnths'!I:I)-SUMIF('Budget 12 Mnths'!$A:$A,'Detail 18-19'!$A57,'Budget 12 Mnths'!J:J)</f>
        <v>0</v>
      </c>
      <c r="K57" s="56">
        <f>SUMIF('2015-16 12 Mnths'!$A:$A,'Detail 18-19'!$A57,'2015-16 12 Mnths'!J:J)-SUMIF('Budget 12 Mnths'!$A:$A,'Detail 18-19'!$A57,'Budget 12 Mnths'!K:K)</f>
        <v>0</v>
      </c>
      <c r="L57" s="56">
        <f>SUMIF('2015-16 12 Mnths'!$A:$A,'Detail 18-19'!$A57,'2015-16 12 Mnths'!K:K)-SUMIF('Budget 12 Mnths'!$A:$A,'Detail 18-19'!$A57,'Budget 12 Mnths'!L:L)</f>
        <v>0</v>
      </c>
      <c r="M57" s="56"/>
      <c r="N57" s="56"/>
      <c r="O57" s="56"/>
      <c r="P57" s="56">
        <f t="shared" si="1"/>
        <v>0</v>
      </c>
      <c r="Q57" s="14" t="str">
        <f>+VLOOKUP(A57,Mapping!$A$1:$E$443,5,FALSE)</f>
        <v>Investment</v>
      </c>
      <c r="R57" s="26">
        <f>+SUMIF('Budget 12 Mnths'!$A:$A,'Detail 18-19'!$A57,'Budget 12 Mnths'!$P:$P)</f>
        <v>0</v>
      </c>
      <c r="S57" s="26">
        <f>+SUMIF('2015-16 12 Mnths'!$A:$A,'Detail 18-19'!$A57,'2015-16 12 Mnths'!$O:$O)</f>
        <v>0</v>
      </c>
      <c r="T57" s="57">
        <f t="shared" si="2"/>
        <v>0</v>
      </c>
      <c r="U57" s="57">
        <f t="shared" si="3"/>
        <v>0</v>
      </c>
      <c r="W57" s="27"/>
      <c r="X57" s="27" t="str">
        <f t="shared" si="27"/>
        <v/>
      </c>
      <c r="Z57" s="57">
        <f t="shared" si="24"/>
        <v>0</v>
      </c>
      <c r="AA57" s="57" t="str">
        <f>IFERROR(+VLOOKUP(A57,Key!$A$1:$C$219,2,FALSE),"NOT FOUND")</f>
        <v>NOT FOUND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f t="shared" si="6"/>
        <v>0</v>
      </c>
    </row>
    <row r="58" ht="15.75" hidden="1" customHeight="1">
      <c r="A58" s="15" t="s">
        <v>235</v>
      </c>
      <c r="B58" s="15" t="s">
        <v>236</v>
      </c>
      <c r="C58" s="15" t="s">
        <v>41</v>
      </c>
      <c r="D58" s="56">
        <f>SUMIF('2015-16 12 Mnths'!$A:$A,'Detail 18-19'!$A58,'2015-16 12 Mnths'!C:C)-SUMIF('Budget 12 Mnths'!$A:$A,'Detail 18-19'!$A58,'Budget 12 Mnths'!D:D)</f>
        <v>0</v>
      </c>
      <c r="E58" s="56">
        <f>SUMIF('2015-16 12 Mnths'!$A:$A,'Detail 18-19'!$A58,'2015-16 12 Mnths'!D:D)-SUMIF('Budget 12 Mnths'!$A:$A,'Detail 18-19'!$A58,'Budget 12 Mnths'!E:E)</f>
        <v>0</v>
      </c>
      <c r="F58" s="56">
        <f>SUMIF('2015-16 12 Mnths'!$A:$A,'Detail 18-19'!$A58,'2015-16 12 Mnths'!E:E)-SUMIF('Budget 12 Mnths'!$A:$A,'Detail 18-19'!$A58,'Budget 12 Mnths'!F:F)</f>
        <v>0</v>
      </c>
      <c r="G58" s="56">
        <f>SUMIF('2015-16 12 Mnths'!$A:$A,'Detail 18-19'!$A58,'2015-16 12 Mnths'!F:F)-SUMIF('Budget 12 Mnths'!$A:$A,'Detail 18-19'!$A58,'Budget 12 Mnths'!G:G)</f>
        <v>0</v>
      </c>
      <c r="H58" s="56">
        <f>SUMIF('2015-16 12 Mnths'!$A:$A,'Detail 18-19'!$A58,'2015-16 12 Mnths'!G:G)-SUMIF('Budget 12 Mnths'!$A:$A,'Detail 18-19'!$A58,'Budget 12 Mnths'!H:H)</f>
        <v>0</v>
      </c>
      <c r="I58" s="56">
        <f>SUMIF('2015-16 12 Mnths'!$A:$A,'Detail 18-19'!$A58,'2015-16 12 Mnths'!H:H)-SUMIF('Budget 12 Mnths'!$A:$A,'Detail 18-19'!$A58,'Budget 12 Mnths'!I:I)</f>
        <v>0</v>
      </c>
      <c r="J58" s="56">
        <f>SUMIF('2015-16 12 Mnths'!$A:$A,'Detail 18-19'!$A58,'2015-16 12 Mnths'!I:I)-SUMIF('Budget 12 Mnths'!$A:$A,'Detail 18-19'!$A58,'Budget 12 Mnths'!J:J)</f>
        <v>0</v>
      </c>
      <c r="K58" s="56">
        <f>SUMIF('2015-16 12 Mnths'!$A:$A,'Detail 18-19'!$A58,'2015-16 12 Mnths'!J:J)-SUMIF('Budget 12 Mnths'!$A:$A,'Detail 18-19'!$A58,'Budget 12 Mnths'!K:K)</f>
        <v>0</v>
      </c>
      <c r="L58" s="56">
        <f>SUMIF('2015-16 12 Mnths'!$A:$A,'Detail 18-19'!$A58,'2015-16 12 Mnths'!K:K)-SUMIF('Budget 12 Mnths'!$A:$A,'Detail 18-19'!$A58,'Budget 12 Mnths'!L:L)</f>
        <v>0</v>
      </c>
      <c r="M58" s="56"/>
      <c r="N58" s="56"/>
      <c r="O58" s="56"/>
      <c r="P58" s="56">
        <f t="shared" si="1"/>
        <v>0</v>
      </c>
      <c r="Q58" s="14" t="str">
        <f>+VLOOKUP(A58,Mapping!$A$1:$E$443,5,FALSE)</f>
        <v>Investment</v>
      </c>
      <c r="R58" s="26">
        <f>+SUMIF('Budget 12 Mnths'!$A:$A,'Detail 18-19'!$A58,'Budget 12 Mnths'!$P:$P)</f>
        <v>0</v>
      </c>
      <c r="S58" s="26">
        <f>+SUMIF('2015-16 12 Mnths'!$A:$A,'Detail 18-19'!$A58,'2015-16 12 Mnths'!$O:$O)</f>
        <v>0</v>
      </c>
      <c r="T58" s="57">
        <f t="shared" si="2"/>
        <v>0</v>
      </c>
      <c r="U58" s="57">
        <f t="shared" si="3"/>
        <v>0</v>
      </c>
      <c r="W58" s="27"/>
      <c r="X58" s="27" t="str">
        <f t="shared" si="27"/>
        <v/>
      </c>
      <c r="Z58" s="57">
        <f t="shared" si="24"/>
        <v>0</v>
      </c>
      <c r="AA58" s="57" t="str">
        <f>IFERROR(+VLOOKUP(A58,Key!$A$1:$C$219,2,FALSE),"NOT FOUND")</f>
        <v>NOT FOUND</v>
      </c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>
        <f t="shared" si="6"/>
        <v>0</v>
      </c>
    </row>
    <row r="59" ht="15.75" customHeight="1">
      <c r="A59" s="15" t="s">
        <v>238</v>
      </c>
      <c r="B59" s="15" t="s">
        <v>239</v>
      </c>
      <c r="C59" s="15" t="s">
        <v>41</v>
      </c>
      <c r="D59" s="56">
        <f>SUMIF('2015-16 12 Mnths'!$A:$A,'Detail 18-19'!$A59,'2015-16 12 Mnths'!C:C)-SUMIF('Budget 12 Mnths'!$A:$A,'Detail 18-19'!$A59,'Budget 12 Mnths'!D:D)</f>
        <v>0</v>
      </c>
      <c r="E59" s="56">
        <f>SUMIF('2015-16 12 Mnths'!$A:$A,'Detail 18-19'!$A59,'2015-16 12 Mnths'!D:D)-SUMIF('Budget 12 Mnths'!$A:$A,'Detail 18-19'!$A59,'Budget 12 Mnths'!E:E)</f>
        <v>0</v>
      </c>
      <c r="F59" s="56">
        <f>SUMIF('2015-16 12 Mnths'!$A:$A,'Detail 18-19'!$A59,'2015-16 12 Mnths'!E:E)-SUMIF('Budget 12 Mnths'!$A:$A,'Detail 18-19'!$A59,'Budget 12 Mnths'!F:F)</f>
        <v>0</v>
      </c>
      <c r="G59" s="56">
        <f>SUMIF('2015-16 12 Mnths'!$A:$A,'Detail 18-19'!$A59,'2015-16 12 Mnths'!F:F)-SUMIF('Budget 12 Mnths'!$A:$A,'Detail 18-19'!$A59,'Budget 12 Mnths'!G:G)</f>
        <v>0</v>
      </c>
      <c r="H59" s="56">
        <f>SUMIF('2015-16 12 Mnths'!$A:$A,'Detail 18-19'!$A59,'2015-16 12 Mnths'!G:G)-SUMIF('Budget 12 Mnths'!$A:$A,'Detail 18-19'!$A59,'Budget 12 Mnths'!H:H)</f>
        <v>0</v>
      </c>
      <c r="I59" s="56">
        <f>SUMIF('2015-16 12 Mnths'!$A:$A,'Detail 18-19'!$A59,'2015-16 12 Mnths'!H:H)-SUMIF('Budget 12 Mnths'!$A:$A,'Detail 18-19'!$A59,'Budget 12 Mnths'!I:I)</f>
        <v>0</v>
      </c>
      <c r="J59" s="56">
        <f>SUMIF('2015-16 12 Mnths'!$A:$A,'Detail 18-19'!$A59,'2015-16 12 Mnths'!I:I)-SUMIF('Budget 12 Mnths'!$A:$A,'Detail 18-19'!$A59,'Budget 12 Mnths'!J:J)</f>
        <v>720</v>
      </c>
      <c r="K59" s="56">
        <f>SUMIF('2015-16 12 Mnths'!$A:$A,'Detail 18-19'!$A59,'2015-16 12 Mnths'!J:J)-SUMIF('Budget 12 Mnths'!$A:$A,'Detail 18-19'!$A59,'Budget 12 Mnths'!K:K)</f>
        <v>-5000</v>
      </c>
      <c r="L59" s="56">
        <f>SUMIF('2015-16 12 Mnths'!$A:$A,'Detail 18-19'!$A59,'2015-16 12 Mnths'!K:K)-SUMIF('Budget 12 Mnths'!$A:$A,'Detail 18-19'!$A59,'Budget 12 Mnths'!L:L)</f>
        <v>2440</v>
      </c>
      <c r="M59" s="56"/>
      <c r="N59" s="56"/>
      <c r="O59" s="56"/>
      <c r="P59" s="56">
        <f t="shared" si="1"/>
        <v>-1840</v>
      </c>
      <c r="Q59" s="14" t="str">
        <f>+VLOOKUP(A59,Mapping!$A$1:$E$443,5,FALSE)</f>
        <v>Fundraising</v>
      </c>
      <c r="R59" s="26">
        <f>+SUMIF('Budget 12 Mnths'!$A:$A,'Detail 18-19'!$A59,'Budget 12 Mnths'!$P:$P)</f>
        <v>15000</v>
      </c>
      <c r="S59" s="26">
        <f>+SUMIF('2015-16 12 Mnths'!$A:$A,'Detail 18-19'!$A59,'2015-16 12 Mnths'!$O:$O)</f>
        <v>13160</v>
      </c>
      <c r="T59" s="57">
        <f t="shared" si="2"/>
        <v>-0.1226666667</v>
      </c>
      <c r="U59" s="57">
        <f t="shared" si="3"/>
        <v>-0.1398176292</v>
      </c>
      <c r="V59" s="8" t="s">
        <v>451</v>
      </c>
      <c r="W59" s="27">
        <v>13500.0</v>
      </c>
      <c r="X59" s="27">
        <f t="shared" si="27"/>
        <v>13500</v>
      </c>
      <c r="Z59" s="57">
        <v>0.0</v>
      </c>
      <c r="AA59" s="57" t="str">
        <f>IFERROR(+VLOOKUP(A59,Key!$A$1:$C$219,2,FALSE),"NOT FOUND")</f>
        <v>4900-3U</v>
      </c>
      <c r="AB59" s="27">
        <v>10000.0</v>
      </c>
      <c r="AC59" s="27"/>
      <c r="AD59" s="27"/>
      <c r="AE59" s="27"/>
      <c r="AF59" s="27"/>
      <c r="AG59" s="27"/>
      <c r="AH59" s="27"/>
      <c r="AI59" s="27"/>
      <c r="AJ59" s="27">
        <v>1500.0</v>
      </c>
      <c r="AK59" s="27">
        <v>8500.0</v>
      </c>
      <c r="AL59" s="27"/>
      <c r="AM59" s="27"/>
      <c r="AN59" s="27"/>
      <c r="AO59" s="27">
        <f t="shared" si="6"/>
        <v>0</v>
      </c>
    </row>
    <row r="60" ht="15.75" customHeight="1">
      <c r="A60" s="15" t="s">
        <v>240</v>
      </c>
      <c r="B60" s="15" t="s">
        <v>241</v>
      </c>
      <c r="C60" s="15" t="s">
        <v>41</v>
      </c>
      <c r="D60" s="56">
        <f>SUMIF('2015-16 12 Mnths'!$A:$A,'Detail 18-19'!$A60,'2015-16 12 Mnths'!C:C)-SUMIF('Budget 12 Mnths'!$A:$A,'Detail 18-19'!$A60,'Budget 12 Mnths'!D:D)</f>
        <v>0</v>
      </c>
      <c r="E60" s="56">
        <f>SUMIF('2015-16 12 Mnths'!$A:$A,'Detail 18-19'!$A60,'2015-16 12 Mnths'!D:D)-SUMIF('Budget 12 Mnths'!$A:$A,'Detail 18-19'!$A60,'Budget 12 Mnths'!E:E)</f>
        <v>0</v>
      </c>
      <c r="F60" s="56">
        <f>SUMIF('2015-16 12 Mnths'!$A:$A,'Detail 18-19'!$A60,'2015-16 12 Mnths'!E:E)-SUMIF('Budget 12 Mnths'!$A:$A,'Detail 18-19'!$A60,'Budget 12 Mnths'!F:F)</f>
        <v>0</v>
      </c>
      <c r="G60" s="56">
        <f>SUMIF('2015-16 12 Mnths'!$A:$A,'Detail 18-19'!$A60,'2015-16 12 Mnths'!F:F)-SUMIF('Budget 12 Mnths'!$A:$A,'Detail 18-19'!$A60,'Budget 12 Mnths'!G:G)</f>
        <v>835</v>
      </c>
      <c r="H60" s="56">
        <f>SUMIF('2015-16 12 Mnths'!$A:$A,'Detail 18-19'!$A60,'2015-16 12 Mnths'!G:G)-SUMIF('Budget 12 Mnths'!$A:$A,'Detail 18-19'!$A60,'Budget 12 Mnths'!H:H)</f>
        <v>5760</v>
      </c>
      <c r="I60" s="56">
        <f>SUMIF('2015-16 12 Mnths'!$A:$A,'Detail 18-19'!$A60,'2015-16 12 Mnths'!H:H)-SUMIF('Budget 12 Mnths'!$A:$A,'Detail 18-19'!$A60,'Budget 12 Mnths'!I:I)</f>
        <v>98</v>
      </c>
      <c r="J60" s="56">
        <f>SUMIF('2015-16 12 Mnths'!$A:$A,'Detail 18-19'!$A60,'2015-16 12 Mnths'!I:I)-SUMIF('Budget 12 Mnths'!$A:$A,'Detail 18-19'!$A60,'Budget 12 Mnths'!J:J)</f>
        <v>0</v>
      </c>
      <c r="K60" s="56">
        <f>SUMIF('2015-16 12 Mnths'!$A:$A,'Detail 18-19'!$A60,'2015-16 12 Mnths'!J:J)-SUMIF('Budget 12 Mnths'!$A:$A,'Detail 18-19'!$A60,'Budget 12 Mnths'!K:K)</f>
        <v>0</v>
      </c>
      <c r="L60" s="56">
        <f>SUMIF('2015-16 12 Mnths'!$A:$A,'Detail 18-19'!$A60,'2015-16 12 Mnths'!K:K)-SUMIF('Budget 12 Mnths'!$A:$A,'Detail 18-19'!$A60,'Budget 12 Mnths'!L:L)</f>
        <v>0</v>
      </c>
      <c r="M60" s="56"/>
      <c r="N60" s="56"/>
      <c r="O60" s="56"/>
      <c r="P60" s="56">
        <f t="shared" si="1"/>
        <v>6693</v>
      </c>
      <c r="Q60" s="14" t="str">
        <f>+VLOOKUP(A60,Mapping!$A$1:$E$443,5,FALSE)</f>
        <v>Fundraising</v>
      </c>
      <c r="R60" s="26">
        <f>+SUMIF('Budget 12 Mnths'!$A:$A,'Detail 18-19'!$A60,'Budget 12 Mnths'!$P:$P)</f>
        <v>0</v>
      </c>
      <c r="S60" s="26">
        <f>+SUMIF('2015-16 12 Mnths'!$A:$A,'Detail 18-19'!$A60,'2015-16 12 Mnths'!$O:$O)</f>
        <v>6693</v>
      </c>
      <c r="T60" s="57">
        <f t="shared" si="2"/>
        <v>0</v>
      </c>
      <c r="U60" s="57">
        <f t="shared" si="3"/>
        <v>1</v>
      </c>
      <c r="V60" s="8" t="s">
        <v>451</v>
      </c>
      <c r="W60" s="27">
        <v>6700.0</v>
      </c>
      <c r="X60" s="27">
        <f t="shared" si="27"/>
        <v>6700</v>
      </c>
      <c r="Z60" s="57">
        <v>6700.0</v>
      </c>
      <c r="AA60" s="57" t="str">
        <f>IFERROR(+VLOOKUP(A60,Key!$A$1:$C$219,2,FALSE),"NOT FOUND")</f>
        <v>4950-3U</v>
      </c>
      <c r="AB60" s="27">
        <v>6500.0</v>
      </c>
      <c r="AC60" s="27"/>
      <c r="AD60" s="27"/>
      <c r="AE60" s="27"/>
      <c r="AF60" s="27"/>
      <c r="AG60" s="27">
        <v>4000.0</v>
      </c>
      <c r="AH60" s="27">
        <v>2500.0</v>
      </c>
      <c r="AI60" s="27"/>
      <c r="AJ60" s="27"/>
      <c r="AK60" s="27"/>
      <c r="AL60" s="27"/>
      <c r="AM60" s="27"/>
      <c r="AN60" s="27"/>
      <c r="AO60" s="27">
        <f t="shared" si="6"/>
        <v>0</v>
      </c>
    </row>
    <row r="61" ht="15.75" customHeight="1">
      <c r="A61" s="15" t="s">
        <v>243</v>
      </c>
      <c r="B61" s="15" t="s">
        <v>244</v>
      </c>
      <c r="C61" s="15" t="s">
        <v>41</v>
      </c>
      <c r="D61" s="56">
        <f>SUMIF('2015-16 12 Mnths'!$A:$A,'Detail 18-19'!$A61,'2015-16 12 Mnths'!C:C)-SUMIF('Budget 12 Mnths'!$A:$A,'Detail 18-19'!$A61,'Budget 12 Mnths'!D:D)</f>
        <v>0</v>
      </c>
      <c r="E61" s="56">
        <f>SUMIF('2015-16 12 Mnths'!$A:$A,'Detail 18-19'!$A61,'2015-16 12 Mnths'!D:D)-SUMIF('Budget 12 Mnths'!$A:$A,'Detail 18-19'!$A61,'Budget 12 Mnths'!E:E)</f>
        <v>0</v>
      </c>
      <c r="F61" s="56">
        <f>SUMIF('2015-16 12 Mnths'!$A:$A,'Detail 18-19'!$A61,'2015-16 12 Mnths'!E:E)-SUMIF('Budget 12 Mnths'!$A:$A,'Detail 18-19'!$A61,'Budget 12 Mnths'!F:F)</f>
        <v>0</v>
      </c>
      <c r="G61" s="56">
        <f>SUMIF('2015-16 12 Mnths'!$A:$A,'Detail 18-19'!$A61,'2015-16 12 Mnths'!F:F)-SUMIF('Budget 12 Mnths'!$A:$A,'Detail 18-19'!$A61,'Budget 12 Mnths'!G:G)</f>
        <v>0</v>
      </c>
      <c r="H61" s="56">
        <f>SUMIF('2015-16 12 Mnths'!$A:$A,'Detail 18-19'!$A61,'2015-16 12 Mnths'!G:G)-SUMIF('Budget 12 Mnths'!$A:$A,'Detail 18-19'!$A61,'Budget 12 Mnths'!H:H)</f>
        <v>0</v>
      </c>
      <c r="I61" s="56">
        <f>SUMIF('2015-16 12 Mnths'!$A:$A,'Detail 18-19'!$A61,'2015-16 12 Mnths'!H:H)-SUMIF('Budget 12 Mnths'!$A:$A,'Detail 18-19'!$A61,'Budget 12 Mnths'!I:I)</f>
        <v>0</v>
      </c>
      <c r="J61" s="56">
        <f>SUMIF('2015-16 12 Mnths'!$A:$A,'Detail 18-19'!$A61,'2015-16 12 Mnths'!I:I)-SUMIF('Budget 12 Mnths'!$A:$A,'Detail 18-19'!$A61,'Budget 12 Mnths'!J:J)</f>
        <v>0</v>
      </c>
      <c r="K61" s="56">
        <f>SUMIF('2015-16 12 Mnths'!$A:$A,'Detail 18-19'!$A61,'2015-16 12 Mnths'!J:J)-SUMIF('Budget 12 Mnths'!$A:$A,'Detail 18-19'!$A61,'Budget 12 Mnths'!K:K)</f>
        <v>0</v>
      </c>
      <c r="L61" s="56">
        <f>SUMIF('2015-16 12 Mnths'!$A:$A,'Detail 18-19'!$A61,'2015-16 12 Mnths'!K:K)-SUMIF('Budget 12 Mnths'!$A:$A,'Detail 18-19'!$A61,'Budget 12 Mnths'!L:L)</f>
        <v>6875.02</v>
      </c>
      <c r="M61" s="56"/>
      <c r="N61" s="56"/>
      <c r="O61" s="56"/>
      <c r="P61" s="56">
        <f t="shared" si="1"/>
        <v>6875.02</v>
      </c>
      <c r="Q61" s="14" t="str">
        <f>+VLOOKUP(A61,Mapping!$A$1:$E$443,5,FALSE)</f>
        <v>Fundraising</v>
      </c>
      <c r="R61" s="26">
        <f>+SUMIF('Budget 12 Mnths'!$A:$A,'Detail 18-19'!$A61,'Budget 12 Mnths'!$P:$P)</f>
        <v>0</v>
      </c>
      <c r="S61" s="26">
        <f>+SUMIF('2015-16 12 Mnths'!$A:$A,'Detail 18-19'!$A61,'2015-16 12 Mnths'!$O:$O)</f>
        <v>6875.02</v>
      </c>
      <c r="T61" s="57">
        <f t="shared" si="2"/>
        <v>0</v>
      </c>
      <c r="U61" s="57">
        <f t="shared" si="3"/>
        <v>1</v>
      </c>
      <c r="V61" s="8" t="s">
        <v>451</v>
      </c>
      <c r="W61" s="27">
        <v>7000.0</v>
      </c>
      <c r="X61" s="27">
        <f t="shared" si="27"/>
        <v>7000</v>
      </c>
      <c r="Z61" s="57">
        <v>0.0</v>
      </c>
      <c r="AA61" s="57" t="str">
        <f>IFERROR(+VLOOKUP(A61,Key!$A$1:$C$219,2,FALSE),"NOT FOUND")</f>
        <v>4905-3U</v>
      </c>
      <c r="AB61" s="27">
        <v>7000.0</v>
      </c>
      <c r="AC61" s="27"/>
      <c r="AD61" s="27"/>
      <c r="AE61" s="27"/>
      <c r="AF61" s="27"/>
      <c r="AG61" s="27"/>
      <c r="AH61" s="27"/>
      <c r="AI61" s="27"/>
      <c r="AJ61" s="27"/>
      <c r="AK61" s="27">
        <v>7000.0</v>
      </c>
      <c r="AL61" s="27"/>
      <c r="AM61" s="27"/>
      <c r="AN61" s="27"/>
      <c r="AO61" s="27">
        <f t="shared" si="6"/>
        <v>0</v>
      </c>
    </row>
    <row r="62" ht="15.75" customHeight="1">
      <c r="A62" s="15" t="s">
        <v>247</v>
      </c>
      <c r="B62" s="15" t="s">
        <v>248</v>
      </c>
      <c r="C62" s="15" t="s">
        <v>41</v>
      </c>
      <c r="D62" s="56">
        <f>SUMIF('2015-16 12 Mnths'!$A:$A,'Detail 18-19'!$A62,'2015-16 12 Mnths'!C:C)-SUMIF('Budget 12 Mnths'!$A:$A,'Detail 18-19'!$A62,'Budget 12 Mnths'!D:D)</f>
        <v>0</v>
      </c>
      <c r="E62" s="56">
        <f>SUMIF('2015-16 12 Mnths'!$A:$A,'Detail 18-19'!$A62,'2015-16 12 Mnths'!D:D)-SUMIF('Budget 12 Mnths'!$A:$A,'Detail 18-19'!$A62,'Budget 12 Mnths'!E:E)</f>
        <v>0</v>
      </c>
      <c r="F62" s="56">
        <f>SUMIF('2015-16 12 Mnths'!$A:$A,'Detail 18-19'!$A62,'2015-16 12 Mnths'!E:E)-SUMIF('Budget 12 Mnths'!$A:$A,'Detail 18-19'!$A62,'Budget 12 Mnths'!F:F)</f>
        <v>0</v>
      </c>
      <c r="G62" s="56">
        <f>SUMIF('2015-16 12 Mnths'!$A:$A,'Detail 18-19'!$A62,'2015-16 12 Mnths'!F:F)-SUMIF('Budget 12 Mnths'!$A:$A,'Detail 18-19'!$A62,'Budget 12 Mnths'!G:G)</f>
        <v>0</v>
      </c>
      <c r="H62" s="56">
        <f>SUMIF('2015-16 12 Mnths'!$A:$A,'Detail 18-19'!$A62,'2015-16 12 Mnths'!G:G)-SUMIF('Budget 12 Mnths'!$A:$A,'Detail 18-19'!$A62,'Budget 12 Mnths'!H:H)</f>
        <v>0</v>
      </c>
      <c r="I62" s="56">
        <f>SUMIF('2015-16 12 Mnths'!$A:$A,'Detail 18-19'!$A62,'2015-16 12 Mnths'!H:H)-SUMIF('Budget 12 Mnths'!$A:$A,'Detail 18-19'!$A62,'Budget 12 Mnths'!I:I)</f>
        <v>0</v>
      </c>
      <c r="J62" s="56">
        <f>SUMIF('2015-16 12 Mnths'!$A:$A,'Detail 18-19'!$A62,'2015-16 12 Mnths'!I:I)-SUMIF('Budget 12 Mnths'!$A:$A,'Detail 18-19'!$A62,'Budget 12 Mnths'!J:J)</f>
        <v>0</v>
      </c>
      <c r="K62" s="56">
        <f>SUMIF('2015-16 12 Mnths'!$A:$A,'Detail 18-19'!$A62,'2015-16 12 Mnths'!J:J)-SUMIF('Budget 12 Mnths'!$A:$A,'Detail 18-19'!$A62,'Budget 12 Mnths'!K:K)</f>
        <v>500</v>
      </c>
      <c r="L62" s="56">
        <f>SUMIF('2015-16 12 Mnths'!$A:$A,'Detail 18-19'!$A62,'2015-16 12 Mnths'!K:K)-SUMIF('Budget 12 Mnths'!$A:$A,'Detail 18-19'!$A62,'Budget 12 Mnths'!L:L)</f>
        <v>-8000</v>
      </c>
      <c r="M62" s="56"/>
      <c r="N62" s="56"/>
      <c r="O62" s="56"/>
      <c r="P62" s="56">
        <f t="shared" si="1"/>
        <v>-7500</v>
      </c>
      <c r="Q62" s="14" t="str">
        <f>+VLOOKUP(A62,Mapping!$A$1:$E$443,5,FALSE)</f>
        <v>Fundraising</v>
      </c>
      <c r="R62" s="26">
        <f>+SUMIF('Budget 12 Mnths'!$A:$A,'Detail 18-19'!$A62,'Budget 12 Mnths'!$P:$P)</f>
        <v>10000</v>
      </c>
      <c r="S62" s="26">
        <f>+SUMIF('2015-16 12 Mnths'!$A:$A,'Detail 18-19'!$A62,'2015-16 12 Mnths'!$O:$O)</f>
        <v>2500</v>
      </c>
      <c r="T62" s="57">
        <f t="shared" si="2"/>
        <v>-0.75</v>
      </c>
      <c r="U62" s="57">
        <f t="shared" si="3"/>
        <v>-3</v>
      </c>
      <c r="V62" s="8" t="s">
        <v>451</v>
      </c>
      <c r="W62" s="27">
        <v>2500.0</v>
      </c>
      <c r="X62" s="27">
        <v>7500.0</v>
      </c>
      <c r="Z62" s="57">
        <v>0.0</v>
      </c>
      <c r="AA62" s="57" t="str">
        <f>IFERROR(+VLOOKUP(A62,Key!$A$1:$C$219,2,FALSE),"NOT FOUND")</f>
        <v>4910-3U</v>
      </c>
      <c r="AB62" s="27">
        <v>2750.0</v>
      </c>
      <c r="AC62" s="27"/>
      <c r="AD62" s="27"/>
      <c r="AE62" s="27"/>
      <c r="AF62" s="27"/>
      <c r="AG62" s="27"/>
      <c r="AH62" s="27"/>
      <c r="AI62" s="27"/>
      <c r="AJ62" s="27">
        <v>2000.0</v>
      </c>
      <c r="AK62" s="27">
        <v>750.0</v>
      </c>
      <c r="AL62" s="27"/>
      <c r="AM62" s="27"/>
      <c r="AN62" s="27"/>
      <c r="AO62" s="27">
        <f t="shared" si="6"/>
        <v>0</v>
      </c>
    </row>
    <row r="63" ht="15.75" customHeight="1">
      <c r="A63" s="15" t="s">
        <v>251</v>
      </c>
      <c r="B63" s="15" t="s">
        <v>252</v>
      </c>
      <c r="C63" s="15" t="s">
        <v>41</v>
      </c>
      <c r="D63" s="56">
        <f>SUMIF('2015-16 12 Mnths'!$A:$A,'Detail 18-19'!$A63,'2015-16 12 Mnths'!C:C)-SUMIF('Budget 12 Mnths'!$A:$A,'Detail 18-19'!$A63,'Budget 12 Mnths'!D:D)</f>
        <v>0</v>
      </c>
      <c r="E63" s="56">
        <f>SUMIF('2015-16 12 Mnths'!$A:$A,'Detail 18-19'!$A63,'2015-16 12 Mnths'!D:D)-SUMIF('Budget 12 Mnths'!$A:$A,'Detail 18-19'!$A63,'Budget 12 Mnths'!E:E)</f>
        <v>0</v>
      </c>
      <c r="F63" s="56">
        <f>SUMIF('2015-16 12 Mnths'!$A:$A,'Detail 18-19'!$A63,'2015-16 12 Mnths'!E:E)-SUMIF('Budget 12 Mnths'!$A:$A,'Detail 18-19'!$A63,'Budget 12 Mnths'!F:F)</f>
        <v>0</v>
      </c>
      <c r="G63" s="56">
        <f>SUMIF('2015-16 12 Mnths'!$A:$A,'Detail 18-19'!$A63,'2015-16 12 Mnths'!F:F)-SUMIF('Budget 12 Mnths'!$A:$A,'Detail 18-19'!$A63,'Budget 12 Mnths'!G:G)</f>
        <v>0</v>
      </c>
      <c r="H63" s="56">
        <f>SUMIF('2015-16 12 Mnths'!$A:$A,'Detail 18-19'!$A63,'2015-16 12 Mnths'!G:G)-SUMIF('Budget 12 Mnths'!$A:$A,'Detail 18-19'!$A63,'Budget 12 Mnths'!H:H)</f>
        <v>0</v>
      </c>
      <c r="I63" s="56">
        <f>SUMIF('2015-16 12 Mnths'!$A:$A,'Detail 18-19'!$A63,'2015-16 12 Mnths'!H:H)-SUMIF('Budget 12 Mnths'!$A:$A,'Detail 18-19'!$A63,'Budget 12 Mnths'!I:I)</f>
        <v>0</v>
      </c>
      <c r="J63" s="56">
        <f>SUMIF('2015-16 12 Mnths'!$A:$A,'Detail 18-19'!$A63,'2015-16 12 Mnths'!I:I)-SUMIF('Budget 12 Mnths'!$A:$A,'Detail 18-19'!$A63,'Budget 12 Mnths'!J:J)</f>
        <v>0</v>
      </c>
      <c r="K63" s="56">
        <f>SUMIF('2015-16 12 Mnths'!$A:$A,'Detail 18-19'!$A63,'2015-16 12 Mnths'!J:J)-SUMIF('Budget 12 Mnths'!$A:$A,'Detail 18-19'!$A63,'Budget 12 Mnths'!K:K)</f>
        <v>50</v>
      </c>
      <c r="L63" s="56">
        <f>SUMIF('2015-16 12 Mnths'!$A:$A,'Detail 18-19'!$A63,'2015-16 12 Mnths'!K:K)-SUMIF('Budget 12 Mnths'!$A:$A,'Detail 18-19'!$A63,'Budget 12 Mnths'!L:L)</f>
        <v>-8594.7</v>
      </c>
      <c r="M63" s="56"/>
      <c r="N63" s="56"/>
      <c r="O63" s="56"/>
      <c r="P63" s="56">
        <f t="shared" si="1"/>
        <v>-8544.7</v>
      </c>
      <c r="Q63" s="14" t="str">
        <f>+VLOOKUP(A63,Mapping!$A$1:$E$443,5,FALSE)</f>
        <v>Fundraising</v>
      </c>
      <c r="R63" s="26">
        <f>+SUMIF('Budget 12 Mnths'!$A:$A,'Detail 18-19'!$A63,'Budget 12 Mnths'!$P:$P)</f>
        <v>10000</v>
      </c>
      <c r="S63" s="26">
        <f>+SUMIF('2015-16 12 Mnths'!$A:$A,'Detail 18-19'!$A63,'2015-16 12 Mnths'!$O:$O)</f>
        <v>1455.3</v>
      </c>
      <c r="T63" s="57">
        <f t="shared" si="2"/>
        <v>-0.85447</v>
      </c>
      <c r="U63" s="57">
        <f t="shared" si="3"/>
        <v>-5.871435443</v>
      </c>
      <c r="V63" s="8" t="s">
        <v>451</v>
      </c>
      <c r="W63" s="27">
        <v>1500.0</v>
      </c>
      <c r="X63" s="27">
        <v>5000.0</v>
      </c>
      <c r="Z63" s="57">
        <v>0.0</v>
      </c>
      <c r="AA63" s="57" t="str">
        <f>IFERROR(+VLOOKUP(A63,Key!$A$1:$C$219,2,FALSE),"NOT FOUND")</f>
        <v>4915-3U</v>
      </c>
      <c r="AB63" s="27">
        <v>12000.0</v>
      </c>
      <c r="AC63" s="27"/>
      <c r="AD63" s="27"/>
      <c r="AE63" s="27"/>
      <c r="AF63" s="27"/>
      <c r="AG63" s="27"/>
      <c r="AH63" s="27"/>
      <c r="AI63" s="27"/>
      <c r="AJ63" s="27">
        <v>4000.0</v>
      </c>
      <c r="AK63" s="27">
        <v>8000.0</v>
      </c>
      <c r="AL63" s="27"/>
      <c r="AM63" s="27"/>
      <c r="AN63" s="27"/>
      <c r="AO63" s="27">
        <f t="shared" si="6"/>
        <v>0</v>
      </c>
    </row>
    <row r="64" ht="15.75" customHeight="1">
      <c r="A64" s="15" t="s">
        <v>253</v>
      </c>
      <c r="B64" s="15" t="s">
        <v>254</v>
      </c>
      <c r="C64" s="15" t="s">
        <v>41</v>
      </c>
      <c r="D64" s="56">
        <f>SUMIF('2015-16 12 Mnths'!$A:$A,'Detail 18-19'!$A64,'2015-16 12 Mnths'!C:C)-SUMIF('Budget 12 Mnths'!$A:$A,'Detail 18-19'!$A64,'Budget 12 Mnths'!D:D)</f>
        <v>0</v>
      </c>
      <c r="E64" s="56">
        <f>SUMIF('2015-16 12 Mnths'!$A:$A,'Detail 18-19'!$A64,'2015-16 12 Mnths'!D:D)-SUMIF('Budget 12 Mnths'!$A:$A,'Detail 18-19'!$A64,'Budget 12 Mnths'!E:E)</f>
        <v>0</v>
      </c>
      <c r="F64" s="56">
        <f>SUMIF('2015-16 12 Mnths'!$A:$A,'Detail 18-19'!$A64,'2015-16 12 Mnths'!E:E)-SUMIF('Budget 12 Mnths'!$A:$A,'Detail 18-19'!$A64,'Budget 12 Mnths'!F:F)</f>
        <v>0</v>
      </c>
      <c r="G64" s="56">
        <f>SUMIF('2015-16 12 Mnths'!$A:$A,'Detail 18-19'!$A64,'2015-16 12 Mnths'!F:F)-SUMIF('Budget 12 Mnths'!$A:$A,'Detail 18-19'!$A64,'Budget 12 Mnths'!G:G)</f>
        <v>0</v>
      </c>
      <c r="H64" s="56">
        <f>SUMIF('2015-16 12 Mnths'!$A:$A,'Detail 18-19'!$A64,'2015-16 12 Mnths'!G:G)-SUMIF('Budget 12 Mnths'!$A:$A,'Detail 18-19'!$A64,'Budget 12 Mnths'!H:H)</f>
        <v>0</v>
      </c>
      <c r="I64" s="56">
        <f>SUMIF('2015-16 12 Mnths'!$A:$A,'Detail 18-19'!$A64,'2015-16 12 Mnths'!H:H)-SUMIF('Budget 12 Mnths'!$A:$A,'Detail 18-19'!$A64,'Budget 12 Mnths'!I:I)</f>
        <v>0</v>
      </c>
      <c r="J64" s="56">
        <f>SUMIF('2015-16 12 Mnths'!$A:$A,'Detail 18-19'!$A64,'2015-16 12 Mnths'!I:I)-SUMIF('Budget 12 Mnths'!$A:$A,'Detail 18-19'!$A64,'Budget 12 Mnths'!J:J)</f>
        <v>0</v>
      </c>
      <c r="K64" s="56">
        <f>SUMIF('2015-16 12 Mnths'!$A:$A,'Detail 18-19'!$A64,'2015-16 12 Mnths'!J:J)-SUMIF('Budget 12 Mnths'!$A:$A,'Detail 18-19'!$A64,'Budget 12 Mnths'!K:K)</f>
        <v>0</v>
      </c>
      <c r="L64" s="56">
        <f>SUMIF('2015-16 12 Mnths'!$A:$A,'Detail 18-19'!$A64,'2015-16 12 Mnths'!K:K)-SUMIF('Budget 12 Mnths'!$A:$A,'Detail 18-19'!$A64,'Budget 12 Mnths'!L:L)</f>
        <v>2480</v>
      </c>
      <c r="M64" s="56"/>
      <c r="N64" s="56"/>
      <c r="O64" s="56"/>
      <c r="P64" s="56">
        <f t="shared" si="1"/>
        <v>2480</v>
      </c>
      <c r="Q64" s="14" t="str">
        <f>+VLOOKUP(A64,Mapping!$A$1:$E$443,5,FALSE)</f>
        <v>Fundraising</v>
      </c>
      <c r="R64" s="26">
        <f>+SUMIF('Budget 12 Mnths'!$A:$A,'Detail 18-19'!$A64,'Budget 12 Mnths'!$P:$P)</f>
        <v>0</v>
      </c>
      <c r="S64" s="26">
        <f>+SUMIF('2015-16 12 Mnths'!$A:$A,'Detail 18-19'!$A64,'2015-16 12 Mnths'!$O:$O)</f>
        <v>2489</v>
      </c>
      <c r="T64" s="57">
        <f t="shared" si="2"/>
        <v>0</v>
      </c>
      <c r="U64" s="57">
        <f t="shared" si="3"/>
        <v>0.99638409</v>
      </c>
      <c r="V64" s="8" t="s">
        <v>451</v>
      </c>
      <c r="W64" s="27">
        <v>2500.0</v>
      </c>
      <c r="X64" s="27">
        <v>2500.0</v>
      </c>
      <c r="Z64" s="57">
        <v>0.0</v>
      </c>
      <c r="AA64" s="57" t="str">
        <f>IFERROR(+VLOOKUP(A64,Key!$A$1:$C$219,2,FALSE),"NOT FOUND")</f>
        <v>4920-3U</v>
      </c>
      <c r="AB64" s="27">
        <v>1500.0</v>
      </c>
      <c r="AC64" s="27"/>
      <c r="AD64" s="27"/>
      <c r="AE64" s="27"/>
      <c r="AF64" s="27"/>
      <c r="AG64" s="27"/>
      <c r="AH64" s="27"/>
      <c r="AI64" s="27"/>
      <c r="AJ64" s="27"/>
      <c r="AK64" s="27">
        <v>1500.0</v>
      </c>
      <c r="AL64" s="27"/>
      <c r="AM64" s="27"/>
      <c r="AN64" s="27"/>
      <c r="AO64" s="27">
        <f t="shared" si="6"/>
        <v>0</v>
      </c>
      <c r="AQ64" s="27"/>
    </row>
    <row r="65" ht="15.75" hidden="1" customHeight="1">
      <c r="A65" s="15" t="s">
        <v>257</v>
      </c>
      <c r="B65" s="15" t="s">
        <v>258</v>
      </c>
      <c r="C65" s="15" t="s">
        <v>41</v>
      </c>
      <c r="D65" s="56">
        <f>SUMIF('2015-16 12 Mnths'!$A:$A,'Detail 18-19'!$A65,'2015-16 12 Mnths'!C:C)-SUMIF('Budget 12 Mnths'!$A:$A,'Detail 18-19'!$A65,'Budget 12 Mnths'!D:D)</f>
        <v>0</v>
      </c>
      <c r="E65" s="56">
        <f>SUMIF('2015-16 12 Mnths'!$A:$A,'Detail 18-19'!$A65,'2015-16 12 Mnths'!D:D)-SUMIF('Budget 12 Mnths'!$A:$A,'Detail 18-19'!$A65,'Budget 12 Mnths'!E:E)</f>
        <v>0</v>
      </c>
      <c r="F65" s="56">
        <f>SUMIF('2015-16 12 Mnths'!$A:$A,'Detail 18-19'!$A65,'2015-16 12 Mnths'!E:E)-SUMIF('Budget 12 Mnths'!$A:$A,'Detail 18-19'!$A65,'Budget 12 Mnths'!F:F)</f>
        <v>0</v>
      </c>
      <c r="G65" s="56">
        <f>SUMIF('2015-16 12 Mnths'!$A:$A,'Detail 18-19'!$A65,'2015-16 12 Mnths'!F:F)-SUMIF('Budget 12 Mnths'!$A:$A,'Detail 18-19'!$A65,'Budget 12 Mnths'!G:G)</f>
        <v>0</v>
      </c>
      <c r="H65" s="56">
        <f>SUMIF('2015-16 12 Mnths'!$A:$A,'Detail 18-19'!$A65,'2015-16 12 Mnths'!G:G)-SUMIF('Budget 12 Mnths'!$A:$A,'Detail 18-19'!$A65,'Budget 12 Mnths'!H:H)</f>
        <v>0</v>
      </c>
      <c r="I65" s="56">
        <f>SUMIF('2015-16 12 Mnths'!$A:$A,'Detail 18-19'!$A65,'2015-16 12 Mnths'!H:H)-SUMIF('Budget 12 Mnths'!$A:$A,'Detail 18-19'!$A65,'Budget 12 Mnths'!I:I)</f>
        <v>0</v>
      </c>
      <c r="J65" s="56">
        <f>SUMIF('2015-16 12 Mnths'!$A:$A,'Detail 18-19'!$A65,'2015-16 12 Mnths'!I:I)-SUMIF('Budget 12 Mnths'!$A:$A,'Detail 18-19'!$A65,'Budget 12 Mnths'!J:J)</f>
        <v>0</v>
      </c>
      <c r="K65" s="56">
        <f>SUMIF('2015-16 12 Mnths'!$A:$A,'Detail 18-19'!$A65,'2015-16 12 Mnths'!J:J)-SUMIF('Budget 12 Mnths'!$A:$A,'Detail 18-19'!$A65,'Budget 12 Mnths'!K:K)</f>
        <v>0</v>
      </c>
      <c r="L65" s="56">
        <f>SUMIF('2015-16 12 Mnths'!$A:$A,'Detail 18-19'!$A65,'2015-16 12 Mnths'!K:K)-SUMIF('Budget 12 Mnths'!$A:$A,'Detail 18-19'!$A65,'Budget 12 Mnths'!L:L)</f>
        <v>0</v>
      </c>
      <c r="M65" s="56"/>
      <c r="N65" s="56"/>
      <c r="O65" s="56"/>
      <c r="P65" s="56">
        <f t="shared" si="1"/>
        <v>0</v>
      </c>
      <c r="Q65" s="14" t="str">
        <f>+VLOOKUP(A65,Mapping!$A$1:$E$443,5,FALSE)</f>
        <v>Fundraising</v>
      </c>
      <c r="R65" s="26">
        <f>+SUMIF('Budget 12 Mnths'!$A:$A,'Detail 18-19'!$A65,'Budget 12 Mnths'!$P:$P)</f>
        <v>0</v>
      </c>
      <c r="S65" s="26">
        <f>+SUMIF('2015-16 12 Mnths'!$A:$A,'Detail 18-19'!$A65,'2015-16 12 Mnths'!$O:$O)</f>
        <v>0</v>
      </c>
      <c r="T65" s="57">
        <f t="shared" si="2"/>
        <v>0</v>
      </c>
      <c r="U65" s="57">
        <f t="shared" si="3"/>
        <v>0</v>
      </c>
      <c r="W65" s="27"/>
      <c r="X65" s="27" t="str">
        <f t="shared" ref="X65:X83" si="28">+W65</f>
        <v/>
      </c>
      <c r="Z65" s="57">
        <f t="shared" ref="Z65:Z72" si="29">+X65/2</f>
        <v>0</v>
      </c>
      <c r="AA65" s="57" t="str">
        <f>IFERROR(+VLOOKUP(A65,Key!$A$1:$C$219,2,FALSE),"NOT FOUND")</f>
        <v>NOT FOUND</v>
      </c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>
        <f t="shared" si="6"/>
        <v>0</v>
      </c>
    </row>
    <row r="66" ht="15.75" hidden="1" customHeight="1">
      <c r="A66" s="15" t="s">
        <v>260</v>
      </c>
      <c r="B66" s="15" t="s">
        <v>261</v>
      </c>
      <c r="C66" s="15" t="s">
        <v>41</v>
      </c>
      <c r="D66" s="56">
        <f>SUMIF('2015-16 12 Mnths'!$A:$A,'Detail 18-19'!$A66,'2015-16 12 Mnths'!C:C)-SUMIF('Budget 12 Mnths'!$A:$A,'Detail 18-19'!$A66,'Budget 12 Mnths'!D:D)</f>
        <v>0</v>
      </c>
      <c r="E66" s="56">
        <f>SUMIF('2015-16 12 Mnths'!$A:$A,'Detail 18-19'!$A66,'2015-16 12 Mnths'!D:D)-SUMIF('Budget 12 Mnths'!$A:$A,'Detail 18-19'!$A66,'Budget 12 Mnths'!E:E)</f>
        <v>0</v>
      </c>
      <c r="F66" s="56">
        <f>SUMIF('2015-16 12 Mnths'!$A:$A,'Detail 18-19'!$A66,'2015-16 12 Mnths'!E:E)-SUMIF('Budget 12 Mnths'!$A:$A,'Detail 18-19'!$A66,'Budget 12 Mnths'!F:F)</f>
        <v>0</v>
      </c>
      <c r="G66" s="56">
        <f>SUMIF('2015-16 12 Mnths'!$A:$A,'Detail 18-19'!$A66,'2015-16 12 Mnths'!F:F)-SUMIF('Budget 12 Mnths'!$A:$A,'Detail 18-19'!$A66,'Budget 12 Mnths'!G:G)</f>
        <v>0</v>
      </c>
      <c r="H66" s="56">
        <f>SUMIF('2015-16 12 Mnths'!$A:$A,'Detail 18-19'!$A66,'2015-16 12 Mnths'!G:G)-SUMIF('Budget 12 Mnths'!$A:$A,'Detail 18-19'!$A66,'Budget 12 Mnths'!H:H)</f>
        <v>0</v>
      </c>
      <c r="I66" s="56">
        <f>SUMIF('2015-16 12 Mnths'!$A:$A,'Detail 18-19'!$A66,'2015-16 12 Mnths'!H:H)-SUMIF('Budget 12 Mnths'!$A:$A,'Detail 18-19'!$A66,'Budget 12 Mnths'!I:I)</f>
        <v>0</v>
      </c>
      <c r="J66" s="56">
        <f>SUMIF('2015-16 12 Mnths'!$A:$A,'Detail 18-19'!$A66,'2015-16 12 Mnths'!I:I)-SUMIF('Budget 12 Mnths'!$A:$A,'Detail 18-19'!$A66,'Budget 12 Mnths'!J:J)</f>
        <v>0</v>
      </c>
      <c r="K66" s="56">
        <f>SUMIF('2015-16 12 Mnths'!$A:$A,'Detail 18-19'!$A66,'2015-16 12 Mnths'!J:J)-SUMIF('Budget 12 Mnths'!$A:$A,'Detail 18-19'!$A66,'Budget 12 Mnths'!K:K)</f>
        <v>0</v>
      </c>
      <c r="L66" s="56">
        <f>SUMIF('2015-16 12 Mnths'!$A:$A,'Detail 18-19'!$A66,'2015-16 12 Mnths'!K:K)-SUMIF('Budget 12 Mnths'!$A:$A,'Detail 18-19'!$A66,'Budget 12 Mnths'!L:L)</f>
        <v>0</v>
      </c>
      <c r="M66" s="56"/>
      <c r="N66" s="56"/>
      <c r="O66" s="56"/>
      <c r="P66" s="56">
        <f t="shared" si="1"/>
        <v>0</v>
      </c>
      <c r="Q66" s="14" t="str">
        <f>+VLOOKUP(A66,Mapping!$A$1:$E$443,5,FALSE)</f>
        <v>Fundraising</v>
      </c>
      <c r="R66" s="26">
        <f>+SUMIF('Budget 12 Mnths'!$A:$A,'Detail 18-19'!$A66,'Budget 12 Mnths'!$P:$P)</f>
        <v>0</v>
      </c>
      <c r="S66" s="26">
        <f>+SUMIF('2015-16 12 Mnths'!$A:$A,'Detail 18-19'!$A66,'2015-16 12 Mnths'!$O:$O)</f>
        <v>0</v>
      </c>
      <c r="T66" s="57">
        <f t="shared" si="2"/>
        <v>0</v>
      </c>
      <c r="U66" s="57">
        <f t="shared" si="3"/>
        <v>0</v>
      </c>
      <c r="W66" s="27"/>
      <c r="X66" s="27" t="str">
        <f t="shared" si="28"/>
        <v/>
      </c>
      <c r="Z66" s="57">
        <f t="shared" si="29"/>
        <v>0</v>
      </c>
      <c r="AA66" s="57" t="str">
        <f>IFERROR(+VLOOKUP(A66,Key!$A$1:$C$219,2,FALSE),"NOT FOUND")</f>
        <v>NOT FOUND</v>
      </c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>
        <f t="shared" si="6"/>
        <v>0</v>
      </c>
    </row>
    <row r="67" ht="15.75" hidden="1" customHeight="1">
      <c r="A67" s="15" t="s">
        <v>262</v>
      </c>
      <c r="B67" s="15" t="s">
        <v>264</v>
      </c>
      <c r="C67" s="15" t="s">
        <v>41</v>
      </c>
      <c r="D67" s="56">
        <f>SUMIF('2015-16 12 Mnths'!$A:$A,'Detail 18-19'!$A67,'2015-16 12 Mnths'!C:C)-SUMIF('Budget 12 Mnths'!$A:$A,'Detail 18-19'!$A67,'Budget 12 Mnths'!D:D)</f>
        <v>0</v>
      </c>
      <c r="E67" s="56">
        <f>SUMIF('2015-16 12 Mnths'!$A:$A,'Detail 18-19'!$A67,'2015-16 12 Mnths'!D:D)-SUMIF('Budget 12 Mnths'!$A:$A,'Detail 18-19'!$A67,'Budget 12 Mnths'!E:E)</f>
        <v>0</v>
      </c>
      <c r="F67" s="56">
        <f>SUMIF('2015-16 12 Mnths'!$A:$A,'Detail 18-19'!$A67,'2015-16 12 Mnths'!E:E)-SUMIF('Budget 12 Mnths'!$A:$A,'Detail 18-19'!$A67,'Budget 12 Mnths'!F:F)</f>
        <v>0</v>
      </c>
      <c r="G67" s="56">
        <f>SUMIF('2015-16 12 Mnths'!$A:$A,'Detail 18-19'!$A67,'2015-16 12 Mnths'!F:F)-SUMIF('Budget 12 Mnths'!$A:$A,'Detail 18-19'!$A67,'Budget 12 Mnths'!G:G)</f>
        <v>0</v>
      </c>
      <c r="H67" s="56">
        <f>SUMIF('2015-16 12 Mnths'!$A:$A,'Detail 18-19'!$A67,'2015-16 12 Mnths'!G:G)-SUMIF('Budget 12 Mnths'!$A:$A,'Detail 18-19'!$A67,'Budget 12 Mnths'!H:H)</f>
        <v>0</v>
      </c>
      <c r="I67" s="56">
        <f>SUMIF('2015-16 12 Mnths'!$A:$A,'Detail 18-19'!$A67,'2015-16 12 Mnths'!H:H)-SUMIF('Budget 12 Mnths'!$A:$A,'Detail 18-19'!$A67,'Budget 12 Mnths'!I:I)</f>
        <v>0</v>
      </c>
      <c r="J67" s="56">
        <f>SUMIF('2015-16 12 Mnths'!$A:$A,'Detail 18-19'!$A67,'2015-16 12 Mnths'!I:I)-SUMIF('Budget 12 Mnths'!$A:$A,'Detail 18-19'!$A67,'Budget 12 Mnths'!J:J)</f>
        <v>0</v>
      </c>
      <c r="K67" s="56">
        <f>SUMIF('2015-16 12 Mnths'!$A:$A,'Detail 18-19'!$A67,'2015-16 12 Mnths'!J:J)-SUMIF('Budget 12 Mnths'!$A:$A,'Detail 18-19'!$A67,'Budget 12 Mnths'!K:K)</f>
        <v>0</v>
      </c>
      <c r="L67" s="56">
        <f>SUMIF('2015-16 12 Mnths'!$A:$A,'Detail 18-19'!$A67,'2015-16 12 Mnths'!K:K)-SUMIF('Budget 12 Mnths'!$A:$A,'Detail 18-19'!$A67,'Budget 12 Mnths'!L:L)</f>
        <v>0</v>
      </c>
      <c r="M67" s="56"/>
      <c r="N67" s="56"/>
      <c r="O67" s="56"/>
      <c r="P67" s="56">
        <f t="shared" si="1"/>
        <v>0</v>
      </c>
      <c r="Q67" s="14" t="str">
        <f>+VLOOKUP(A67,Mapping!$A$1:$E$443,5,FALSE)</f>
        <v>Fundraising</v>
      </c>
      <c r="R67" s="26">
        <f>+SUMIF('Budget 12 Mnths'!$A:$A,'Detail 18-19'!$A67,'Budget 12 Mnths'!$P:$P)</f>
        <v>0</v>
      </c>
      <c r="S67" s="26">
        <f>+SUMIF('2015-16 12 Mnths'!$A:$A,'Detail 18-19'!$A67,'2015-16 12 Mnths'!$O:$O)</f>
        <v>0</v>
      </c>
      <c r="T67" s="57">
        <f t="shared" si="2"/>
        <v>0</v>
      </c>
      <c r="U67" s="57">
        <f t="shared" si="3"/>
        <v>0</v>
      </c>
      <c r="W67" s="27"/>
      <c r="X67" s="27" t="str">
        <f t="shared" si="28"/>
        <v/>
      </c>
      <c r="Z67" s="57">
        <f t="shared" si="29"/>
        <v>0</v>
      </c>
      <c r="AA67" s="57" t="str">
        <f>IFERROR(+VLOOKUP(A67,Key!$A$1:$C$219,2,FALSE),"NOT FOUND")</f>
        <v>NOT FOUND</v>
      </c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>
        <f t="shared" si="6"/>
        <v>0</v>
      </c>
    </row>
    <row r="68" ht="15.75" hidden="1" customHeight="1">
      <c r="A68" s="15" t="s">
        <v>265</v>
      </c>
      <c r="B68" s="15" t="s">
        <v>266</v>
      </c>
      <c r="C68" s="15" t="s">
        <v>41</v>
      </c>
      <c r="D68" s="56">
        <f>SUMIF('2015-16 12 Mnths'!$A:$A,'Detail 18-19'!$A68,'2015-16 12 Mnths'!C:C)-SUMIF('Budget 12 Mnths'!$A:$A,'Detail 18-19'!$A68,'Budget 12 Mnths'!D:D)</f>
        <v>0</v>
      </c>
      <c r="E68" s="56">
        <f>SUMIF('2015-16 12 Mnths'!$A:$A,'Detail 18-19'!$A68,'2015-16 12 Mnths'!D:D)-SUMIF('Budget 12 Mnths'!$A:$A,'Detail 18-19'!$A68,'Budget 12 Mnths'!E:E)</f>
        <v>0</v>
      </c>
      <c r="F68" s="56">
        <f>SUMIF('2015-16 12 Mnths'!$A:$A,'Detail 18-19'!$A68,'2015-16 12 Mnths'!E:E)-SUMIF('Budget 12 Mnths'!$A:$A,'Detail 18-19'!$A68,'Budget 12 Mnths'!F:F)</f>
        <v>0</v>
      </c>
      <c r="G68" s="56">
        <f>SUMIF('2015-16 12 Mnths'!$A:$A,'Detail 18-19'!$A68,'2015-16 12 Mnths'!F:F)-SUMIF('Budget 12 Mnths'!$A:$A,'Detail 18-19'!$A68,'Budget 12 Mnths'!G:G)</f>
        <v>0</v>
      </c>
      <c r="H68" s="56">
        <f>SUMIF('2015-16 12 Mnths'!$A:$A,'Detail 18-19'!$A68,'2015-16 12 Mnths'!G:G)-SUMIF('Budget 12 Mnths'!$A:$A,'Detail 18-19'!$A68,'Budget 12 Mnths'!H:H)</f>
        <v>0</v>
      </c>
      <c r="I68" s="56">
        <f>SUMIF('2015-16 12 Mnths'!$A:$A,'Detail 18-19'!$A68,'2015-16 12 Mnths'!H:H)-SUMIF('Budget 12 Mnths'!$A:$A,'Detail 18-19'!$A68,'Budget 12 Mnths'!I:I)</f>
        <v>0</v>
      </c>
      <c r="J68" s="56">
        <f>SUMIF('2015-16 12 Mnths'!$A:$A,'Detail 18-19'!$A68,'2015-16 12 Mnths'!I:I)-SUMIF('Budget 12 Mnths'!$A:$A,'Detail 18-19'!$A68,'Budget 12 Mnths'!J:J)</f>
        <v>0</v>
      </c>
      <c r="K68" s="56">
        <f>SUMIF('2015-16 12 Mnths'!$A:$A,'Detail 18-19'!$A68,'2015-16 12 Mnths'!J:J)-SUMIF('Budget 12 Mnths'!$A:$A,'Detail 18-19'!$A68,'Budget 12 Mnths'!K:K)</f>
        <v>0</v>
      </c>
      <c r="L68" s="56">
        <f>SUMIF('2015-16 12 Mnths'!$A:$A,'Detail 18-19'!$A68,'2015-16 12 Mnths'!K:K)-SUMIF('Budget 12 Mnths'!$A:$A,'Detail 18-19'!$A68,'Budget 12 Mnths'!L:L)</f>
        <v>0</v>
      </c>
      <c r="M68" s="56"/>
      <c r="N68" s="56"/>
      <c r="O68" s="56"/>
      <c r="P68" s="56">
        <f t="shared" si="1"/>
        <v>0</v>
      </c>
      <c r="Q68" s="14" t="str">
        <f>+VLOOKUP(A68,Mapping!$A$1:$E$443,5,FALSE)</f>
        <v>Fundraising</v>
      </c>
      <c r="R68" s="26">
        <f>+SUMIF('Budget 12 Mnths'!$A:$A,'Detail 18-19'!$A68,'Budget 12 Mnths'!$P:$P)</f>
        <v>0</v>
      </c>
      <c r="S68" s="26">
        <f>+SUMIF('2015-16 12 Mnths'!$A:$A,'Detail 18-19'!$A68,'2015-16 12 Mnths'!$O:$O)</f>
        <v>0</v>
      </c>
      <c r="T68" s="57">
        <f t="shared" si="2"/>
        <v>0</v>
      </c>
      <c r="U68" s="57">
        <f t="shared" si="3"/>
        <v>0</v>
      </c>
      <c r="W68" s="27"/>
      <c r="X68" s="27" t="str">
        <f t="shared" si="28"/>
        <v/>
      </c>
      <c r="Z68" s="57">
        <f t="shared" si="29"/>
        <v>0</v>
      </c>
      <c r="AA68" s="57" t="str">
        <f>IFERROR(+VLOOKUP(A68,Key!$A$1:$C$219,2,FALSE),"NOT FOUND")</f>
        <v>NOT FOUND</v>
      </c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>
        <f t="shared" si="6"/>
        <v>0</v>
      </c>
    </row>
    <row r="69" ht="15.75" hidden="1" customHeight="1">
      <c r="A69" s="15" t="s">
        <v>268</v>
      </c>
      <c r="B69" s="15" t="s">
        <v>269</v>
      </c>
      <c r="C69" s="15" t="s">
        <v>41</v>
      </c>
      <c r="D69" s="56">
        <f>SUMIF('2015-16 12 Mnths'!$A:$A,'Detail 18-19'!$A69,'2015-16 12 Mnths'!C:C)-SUMIF('Budget 12 Mnths'!$A:$A,'Detail 18-19'!$A69,'Budget 12 Mnths'!D:D)</f>
        <v>0</v>
      </c>
      <c r="E69" s="56">
        <f>SUMIF('2015-16 12 Mnths'!$A:$A,'Detail 18-19'!$A69,'2015-16 12 Mnths'!D:D)-SUMIF('Budget 12 Mnths'!$A:$A,'Detail 18-19'!$A69,'Budget 12 Mnths'!E:E)</f>
        <v>0</v>
      </c>
      <c r="F69" s="56">
        <f>SUMIF('2015-16 12 Mnths'!$A:$A,'Detail 18-19'!$A69,'2015-16 12 Mnths'!E:E)-SUMIF('Budget 12 Mnths'!$A:$A,'Detail 18-19'!$A69,'Budget 12 Mnths'!F:F)</f>
        <v>0</v>
      </c>
      <c r="G69" s="56">
        <f>SUMIF('2015-16 12 Mnths'!$A:$A,'Detail 18-19'!$A69,'2015-16 12 Mnths'!F:F)-SUMIF('Budget 12 Mnths'!$A:$A,'Detail 18-19'!$A69,'Budget 12 Mnths'!G:G)</f>
        <v>0</v>
      </c>
      <c r="H69" s="56">
        <f>SUMIF('2015-16 12 Mnths'!$A:$A,'Detail 18-19'!$A69,'2015-16 12 Mnths'!G:G)-SUMIF('Budget 12 Mnths'!$A:$A,'Detail 18-19'!$A69,'Budget 12 Mnths'!H:H)</f>
        <v>0</v>
      </c>
      <c r="I69" s="56">
        <f>SUMIF('2015-16 12 Mnths'!$A:$A,'Detail 18-19'!$A69,'2015-16 12 Mnths'!H:H)-SUMIF('Budget 12 Mnths'!$A:$A,'Detail 18-19'!$A69,'Budget 12 Mnths'!I:I)</f>
        <v>0</v>
      </c>
      <c r="J69" s="56">
        <f>SUMIF('2015-16 12 Mnths'!$A:$A,'Detail 18-19'!$A69,'2015-16 12 Mnths'!I:I)-SUMIF('Budget 12 Mnths'!$A:$A,'Detail 18-19'!$A69,'Budget 12 Mnths'!J:J)</f>
        <v>0</v>
      </c>
      <c r="K69" s="56">
        <f>SUMIF('2015-16 12 Mnths'!$A:$A,'Detail 18-19'!$A69,'2015-16 12 Mnths'!J:J)-SUMIF('Budget 12 Mnths'!$A:$A,'Detail 18-19'!$A69,'Budget 12 Mnths'!K:K)</f>
        <v>0</v>
      </c>
      <c r="L69" s="56">
        <f>SUMIF('2015-16 12 Mnths'!$A:$A,'Detail 18-19'!$A69,'2015-16 12 Mnths'!K:K)-SUMIF('Budget 12 Mnths'!$A:$A,'Detail 18-19'!$A69,'Budget 12 Mnths'!L:L)</f>
        <v>0</v>
      </c>
      <c r="M69" s="56"/>
      <c r="N69" s="56"/>
      <c r="O69" s="56"/>
      <c r="P69" s="56">
        <f t="shared" si="1"/>
        <v>0</v>
      </c>
      <c r="Q69" s="14" t="str">
        <f>+VLOOKUP(A69,Mapping!$A$1:$E$443,5,FALSE)</f>
        <v>Fundraising</v>
      </c>
      <c r="R69" s="26">
        <f>+SUMIF('Budget 12 Mnths'!$A:$A,'Detail 18-19'!$A69,'Budget 12 Mnths'!$P:$P)</f>
        <v>0</v>
      </c>
      <c r="S69" s="26">
        <f>+SUMIF('2015-16 12 Mnths'!$A:$A,'Detail 18-19'!$A69,'2015-16 12 Mnths'!$O:$O)</f>
        <v>0</v>
      </c>
      <c r="T69" s="57">
        <f t="shared" si="2"/>
        <v>0</v>
      </c>
      <c r="U69" s="57">
        <f t="shared" si="3"/>
        <v>0</v>
      </c>
      <c r="W69" s="27"/>
      <c r="X69" s="27" t="str">
        <f t="shared" si="28"/>
        <v/>
      </c>
      <c r="Z69" s="57">
        <f t="shared" si="29"/>
        <v>0</v>
      </c>
      <c r="AA69" s="57" t="str">
        <f>IFERROR(+VLOOKUP(A69,Key!$A$1:$C$219,2,FALSE),"NOT FOUND")</f>
        <v>NOT FOUND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>
        <f t="shared" si="6"/>
        <v>0</v>
      </c>
    </row>
    <row r="70" ht="15.75" hidden="1" customHeight="1">
      <c r="A70" s="15" t="s">
        <v>270</v>
      </c>
      <c r="B70" s="15" t="s">
        <v>271</v>
      </c>
      <c r="C70" s="15" t="s">
        <v>41</v>
      </c>
      <c r="D70" s="56">
        <f>SUMIF('2015-16 12 Mnths'!$A:$A,'Detail 18-19'!$A70,'2015-16 12 Mnths'!C:C)-SUMIF('Budget 12 Mnths'!$A:$A,'Detail 18-19'!$A70,'Budget 12 Mnths'!D:D)</f>
        <v>0</v>
      </c>
      <c r="E70" s="56">
        <f>SUMIF('2015-16 12 Mnths'!$A:$A,'Detail 18-19'!$A70,'2015-16 12 Mnths'!D:D)-SUMIF('Budget 12 Mnths'!$A:$A,'Detail 18-19'!$A70,'Budget 12 Mnths'!E:E)</f>
        <v>0</v>
      </c>
      <c r="F70" s="56">
        <f>SUMIF('2015-16 12 Mnths'!$A:$A,'Detail 18-19'!$A70,'2015-16 12 Mnths'!E:E)-SUMIF('Budget 12 Mnths'!$A:$A,'Detail 18-19'!$A70,'Budget 12 Mnths'!F:F)</f>
        <v>0</v>
      </c>
      <c r="G70" s="56">
        <f>SUMIF('2015-16 12 Mnths'!$A:$A,'Detail 18-19'!$A70,'2015-16 12 Mnths'!F:F)-SUMIF('Budget 12 Mnths'!$A:$A,'Detail 18-19'!$A70,'Budget 12 Mnths'!G:G)</f>
        <v>0</v>
      </c>
      <c r="H70" s="56">
        <f>SUMIF('2015-16 12 Mnths'!$A:$A,'Detail 18-19'!$A70,'2015-16 12 Mnths'!G:G)-SUMIF('Budget 12 Mnths'!$A:$A,'Detail 18-19'!$A70,'Budget 12 Mnths'!H:H)</f>
        <v>0</v>
      </c>
      <c r="I70" s="56">
        <f>SUMIF('2015-16 12 Mnths'!$A:$A,'Detail 18-19'!$A70,'2015-16 12 Mnths'!H:H)-SUMIF('Budget 12 Mnths'!$A:$A,'Detail 18-19'!$A70,'Budget 12 Mnths'!I:I)</f>
        <v>0</v>
      </c>
      <c r="J70" s="56">
        <f>SUMIF('2015-16 12 Mnths'!$A:$A,'Detail 18-19'!$A70,'2015-16 12 Mnths'!I:I)-SUMIF('Budget 12 Mnths'!$A:$A,'Detail 18-19'!$A70,'Budget 12 Mnths'!J:J)</f>
        <v>0</v>
      </c>
      <c r="K70" s="56">
        <f>SUMIF('2015-16 12 Mnths'!$A:$A,'Detail 18-19'!$A70,'2015-16 12 Mnths'!J:J)-SUMIF('Budget 12 Mnths'!$A:$A,'Detail 18-19'!$A70,'Budget 12 Mnths'!K:K)</f>
        <v>0</v>
      </c>
      <c r="L70" s="56">
        <f>SUMIF('2015-16 12 Mnths'!$A:$A,'Detail 18-19'!$A70,'2015-16 12 Mnths'!K:K)-SUMIF('Budget 12 Mnths'!$A:$A,'Detail 18-19'!$A70,'Budget 12 Mnths'!L:L)</f>
        <v>0</v>
      </c>
      <c r="M70" s="56"/>
      <c r="N70" s="56"/>
      <c r="O70" s="56"/>
      <c r="P70" s="56">
        <f t="shared" si="1"/>
        <v>0</v>
      </c>
      <c r="Q70" s="14" t="str">
        <f>+VLOOKUP(A70,Mapping!$A$1:$E$443,5,FALSE)</f>
        <v>Fundraising</v>
      </c>
      <c r="R70" s="26">
        <f>+SUMIF('Budget 12 Mnths'!$A:$A,'Detail 18-19'!$A70,'Budget 12 Mnths'!$P:$P)</f>
        <v>0</v>
      </c>
      <c r="S70" s="26">
        <f>+SUMIF('2015-16 12 Mnths'!$A:$A,'Detail 18-19'!$A70,'2015-16 12 Mnths'!$O:$O)</f>
        <v>0</v>
      </c>
      <c r="T70" s="57">
        <f t="shared" si="2"/>
        <v>0</v>
      </c>
      <c r="U70" s="57">
        <f t="shared" si="3"/>
        <v>0</v>
      </c>
      <c r="W70" s="27"/>
      <c r="X70" s="27" t="str">
        <f t="shared" si="28"/>
        <v/>
      </c>
      <c r="Z70" s="57">
        <f t="shared" si="29"/>
        <v>0</v>
      </c>
      <c r="AA70" s="57" t="str">
        <f>IFERROR(+VLOOKUP(A70,Key!$A$1:$C$219,2,FALSE),"NOT FOUND")</f>
        <v>NOT FOUND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>
        <f t="shared" si="6"/>
        <v>0</v>
      </c>
    </row>
    <row r="71" ht="15.75" hidden="1" customHeight="1">
      <c r="A71" s="15" t="s">
        <v>272</v>
      </c>
      <c r="B71" s="15" t="s">
        <v>273</v>
      </c>
      <c r="C71" s="15" t="s">
        <v>41</v>
      </c>
      <c r="D71" s="56">
        <f>SUMIF('2015-16 12 Mnths'!$A:$A,'Detail 18-19'!$A71,'2015-16 12 Mnths'!C:C)-SUMIF('Budget 12 Mnths'!$A:$A,'Detail 18-19'!$A71,'Budget 12 Mnths'!D:D)</f>
        <v>0</v>
      </c>
      <c r="E71" s="56">
        <f>SUMIF('2015-16 12 Mnths'!$A:$A,'Detail 18-19'!$A71,'2015-16 12 Mnths'!D:D)-SUMIF('Budget 12 Mnths'!$A:$A,'Detail 18-19'!$A71,'Budget 12 Mnths'!E:E)</f>
        <v>0</v>
      </c>
      <c r="F71" s="56">
        <f>SUMIF('2015-16 12 Mnths'!$A:$A,'Detail 18-19'!$A71,'2015-16 12 Mnths'!E:E)-SUMIF('Budget 12 Mnths'!$A:$A,'Detail 18-19'!$A71,'Budget 12 Mnths'!F:F)</f>
        <v>0</v>
      </c>
      <c r="G71" s="56">
        <f>SUMIF('2015-16 12 Mnths'!$A:$A,'Detail 18-19'!$A71,'2015-16 12 Mnths'!F:F)-SUMIF('Budget 12 Mnths'!$A:$A,'Detail 18-19'!$A71,'Budget 12 Mnths'!G:G)</f>
        <v>0</v>
      </c>
      <c r="H71" s="56">
        <f>SUMIF('2015-16 12 Mnths'!$A:$A,'Detail 18-19'!$A71,'2015-16 12 Mnths'!G:G)-SUMIF('Budget 12 Mnths'!$A:$A,'Detail 18-19'!$A71,'Budget 12 Mnths'!H:H)</f>
        <v>0</v>
      </c>
      <c r="I71" s="56">
        <f>SUMIF('2015-16 12 Mnths'!$A:$A,'Detail 18-19'!$A71,'2015-16 12 Mnths'!H:H)-SUMIF('Budget 12 Mnths'!$A:$A,'Detail 18-19'!$A71,'Budget 12 Mnths'!I:I)</f>
        <v>0</v>
      </c>
      <c r="J71" s="56">
        <f>SUMIF('2015-16 12 Mnths'!$A:$A,'Detail 18-19'!$A71,'2015-16 12 Mnths'!I:I)-SUMIF('Budget 12 Mnths'!$A:$A,'Detail 18-19'!$A71,'Budget 12 Mnths'!J:J)</f>
        <v>0</v>
      </c>
      <c r="K71" s="56">
        <f>SUMIF('2015-16 12 Mnths'!$A:$A,'Detail 18-19'!$A71,'2015-16 12 Mnths'!J:J)-SUMIF('Budget 12 Mnths'!$A:$A,'Detail 18-19'!$A71,'Budget 12 Mnths'!K:K)</f>
        <v>0</v>
      </c>
      <c r="L71" s="56">
        <f>SUMIF('2015-16 12 Mnths'!$A:$A,'Detail 18-19'!$A71,'2015-16 12 Mnths'!K:K)-SUMIF('Budget 12 Mnths'!$A:$A,'Detail 18-19'!$A71,'Budget 12 Mnths'!L:L)</f>
        <v>0</v>
      </c>
      <c r="M71" s="56"/>
      <c r="N71" s="56"/>
      <c r="O71" s="56"/>
      <c r="P71" s="56">
        <f t="shared" si="1"/>
        <v>0</v>
      </c>
      <c r="Q71" s="14" t="str">
        <f>+VLOOKUP(A71,Mapping!$A$1:$E$443,5,FALSE)</f>
        <v>Fundraising</v>
      </c>
      <c r="R71" s="26">
        <f>+SUMIF('Budget 12 Mnths'!$A:$A,'Detail 18-19'!$A71,'Budget 12 Mnths'!$P:$P)</f>
        <v>0</v>
      </c>
      <c r="S71" s="26">
        <f>+SUMIF('2015-16 12 Mnths'!$A:$A,'Detail 18-19'!$A71,'2015-16 12 Mnths'!$O:$O)</f>
        <v>0</v>
      </c>
      <c r="T71" s="57">
        <f t="shared" si="2"/>
        <v>0</v>
      </c>
      <c r="U71" s="57">
        <f t="shared" si="3"/>
        <v>0</v>
      </c>
      <c r="W71" s="27"/>
      <c r="X71" s="27" t="str">
        <f t="shared" si="28"/>
        <v/>
      </c>
      <c r="Z71" s="57">
        <f t="shared" si="29"/>
        <v>0</v>
      </c>
      <c r="AA71" s="57" t="str">
        <f>IFERROR(+VLOOKUP(A71,Key!$A$1:$C$219,2,FALSE),"NOT FOUND")</f>
        <v>NOT FOUND</v>
      </c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>
        <f t="shared" si="6"/>
        <v>0</v>
      </c>
    </row>
    <row r="72" ht="15.75" hidden="1" customHeight="1">
      <c r="A72" s="15" t="s">
        <v>274</v>
      </c>
      <c r="B72" s="15" t="s">
        <v>275</v>
      </c>
      <c r="C72" s="15" t="s">
        <v>41</v>
      </c>
      <c r="D72" s="56">
        <f>SUMIF('2015-16 12 Mnths'!$A:$A,'Detail 18-19'!$A72,'2015-16 12 Mnths'!C:C)-SUMIF('Budget 12 Mnths'!$A:$A,'Detail 18-19'!$A72,'Budget 12 Mnths'!D:D)</f>
        <v>0</v>
      </c>
      <c r="E72" s="56">
        <f>SUMIF('2015-16 12 Mnths'!$A:$A,'Detail 18-19'!$A72,'2015-16 12 Mnths'!D:D)-SUMIF('Budget 12 Mnths'!$A:$A,'Detail 18-19'!$A72,'Budget 12 Mnths'!E:E)</f>
        <v>0</v>
      </c>
      <c r="F72" s="56">
        <f>SUMIF('2015-16 12 Mnths'!$A:$A,'Detail 18-19'!$A72,'2015-16 12 Mnths'!E:E)-SUMIF('Budget 12 Mnths'!$A:$A,'Detail 18-19'!$A72,'Budget 12 Mnths'!F:F)</f>
        <v>0</v>
      </c>
      <c r="G72" s="56">
        <f>SUMIF('2015-16 12 Mnths'!$A:$A,'Detail 18-19'!$A72,'2015-16 12 Mnths'!F:F)-SUMIF('Budget 12 Mnths'!$A:$A,'Detail 18-19'!$A72,'Budget 12 Mnths'!G:G)</f>
        <v>0</v>
      </c>
      <c r="H72" s="56">
        <f>SUMIF('2015-16 12 Mnths'!$A:$A,'Detail 18-19'!$A72,'2015-16 12 Mnths'!G:G)-SUMIF('Budget 12 Mnths'!$A:$A,'Detail 18-19'!$A72,'Budget 12 Mnths'!H:H)</f>
        <v>0</v>
      </c>
      <c r="I72" s="56">
        <f>SUMIF('2015-16 12 Mnths'!$A:$A,'Detail 18-19'!$A72,'2015-16 12 Mnths'!H:H)-SUMIF('Budget 12 Mnths'!$A:$A,'Detail 18-19'!$A72,'Budget 12 Mnths'!I:I)</f>
        <v>0</v>
      </c>
      <c r="J72" s="56">
        <f>SUMIF('2015-16 12 Mnths'!$A:$A,'Detail 18-19'!$A72,'2015-16 12 Mnths'!I:I)-SUMIF('Budget 12 Mnths'!$A:$A,'Detail 18-19'!$A72,'Budget 12 Mnths'!J:J)</f>
        <v>0</v>
      </c>
      <c r="K72" s="56">
        <f>SUMIF('2015-16 12 Mnths'!$A:$A,'Detail 18-19'!$A72,'2015-16 12 Mnths'!J:J)-SUMIF('Budget 12 Mnths'!$A:$A,'Detail 18-19'!$A72,'Budget 12 Mnths'!K:K)</f>
        <v>0</v>
      </c>
      <c r="L72" s="56">
        <f>SUMIF('2015-16 12 Mnths'!$A:$A,'Detail 18-19'!$A72,'2015-16 12 Mnths'!K:K)-SUMIF('Budget 12 Mnths'!$A:$A,'Detail 18-19'!$A72,'Budget 12 Mnths'!L:L)</f>
        <v>0</v>
      </c>
      <c r="M72" s="56"/>
      <c r="N72" s="56"/>
      <c r="O72" s="56"/>
      <c r="P72" s="56">
        <f t="shared" si="1"/>
        <v>0</v>
      </c>
      <c r="Q72" s="14" t="str">
        <f>+VLOOKUP(A72,Mapping!$A$1:$E$443,5,FALSE)</f>
        <v>Fundraising</v>
      </c>
      <c r="R72" s="26">
        <f>+SUMIF('Budget 12 Mnths'!$A:$A,'Detail 18-19'!$A72,'Budget 12 Mnths'!$P:$P)</f>
        <v>0</v>
      </c>
      <c r="S72" s="26">
        <f>+SUMIF('2015-16 12 Mnths'!$A:$A,'Detail 18-19'!$A72,'2015-16 12 Mnths'!$O:$O)</f>
        <v>0</v>
      </c>
      <c r="T72" s="57">
        <f t="shared" si="2"/>
        <v>0</v>
      </c>
      <c r="U72" s="57">
        <f t="shared" si="3"/>
        <v>0</v>
      </c>
      <c r="W72" s="27"/>
      <c r="X72" s="27" t="str">
        <f t="shared" si="28"/>
        <v/>
      </c>
      <c r="Z72" s="57">
        <f t="shared" si="29"/>
        <v>0</v>
      </c>
      <c r="AA72" s="57" t="str">
        <f>IFERROR(+VLOOKUP(A72,Key!$A$1:$C$219,2,FALSE),"NOT FOUND")</f>
        <v>NOT FOUND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>
        <f t="shared" si="6"/>
        <v>0</v>
      </c>
    </row>
    <row r="73" ht="15.75" customHeight="1">
      <c r="A73" s="15" t="s">
        <v>276</v>
      </c>
      <c r="B73" s="15" t="s">
        <v>277</v>
      </c>
      <c r="C73" s="15" t="s">
        <v>41</v>
      </c>
      <c r="D73" s="56">
        <f>SUMIF('2015-16 12 Mnths'!$A:$A,'Detail 18-19'!$A73,'2015-16 12 Mnths'!C:C)-SUMIF('Budget 12 Mnths'!$A:$A,'Detail 18-19'!$A73,'Budget 12 Mnths'!D:D)</f>
        <v>28871.22</v>
      </c>
      <c r="E73" s="56">
        <f>SUMIF('2015-16 12 Mnths'!$A:$A,'Detail 18-19'!$A73,'2015-16 12 Mnths'!D:D)-SUMIF('Budget 12 Mnths'!$A:$A,'Detail 18-19'!$A73,'Budget 12 Mnths'!E:E)</f>
        <v>4602.74</v>
      </c>
      <c r="F73" s="56">
        <f>SUMIF('2015-16 12 Mnths'!$A:$A,'Detail 18-19'!$A73,'2015-16 12 Mnths'!E:E)-SUMIF('Budget 12 Mnths'!$A:$A,'Detail 18-19'!$A73,'Budget 12 Mnths'!F:F)</f>
        <v>6017.06</v>
      </c>
      <c r="G73" s="56">
        <f>SUMIF('2015-16 12 Mnths'!$A:$A,'Detail 18-19'!$A73,'2015-16 12 Mnths'!F:F)-SUMIF('Budget 12 Mnths'!$A:$A,'Detail 18-19'!$A73,'Budget 12 Mnths'!G:G)</f>
        <v>521.84</v>
      </c>
      <c r="H73" s="56">
        <f>SUMIF('2015-16 12 Mnths'!$A:$A,'Detail 18-19'!$A73,'2015-16 12 Mnths'!G:G)-SUMIF('Budget 12 Mnths'!$A:$A,'Detail 18-19'!$A73,'Budget 12 Mnths'!H:H)</f>
        <v>923.79</v>
      </c>
      <c r="I73" s="56">
        <f>SUMIF('2015-16 12 Mnths'!$A:$A,'Detail 18-19'!$A73,'2015-16 12 Mnths'!H:H)-SUMIF('Budget 12 Mnths'!$A:$A,'Detail 18-19'!$A73,'Budget 12 Mnths'!I:I)</f>
        <v>-833.33</v>
      </c>
      <c r="J73" s="56">
        <f>SUMIF('2015-16 12 Mnths'!$A:$A,'Detail 18-19'!$A73,'2015-16 12 Mnths'!I:I)-SUMIF('Budget 12 Mnths'!$A:$A,'Detail 18-19'!$A73,'Budget 12 Mnths'!J:J)</f>
        <v>-833.33</v>
      </c>
      <c r="K73" s="56">
        <f>SUMIF('2015-16 12 Mnths'!$A:$A,'Detail 18-19'!$A73,'2015-16 12 Mnths'!J:J)-SUMIF('Budget 12 Mnths'!$A:$A,'Detail 18-19'!$A73,'Budget 12 Mnths'!K:K)</f>
        <v>1229.47</v>
      </c>
      <c r="L73" s="56">
        <f>SUMIF('2015-16 12 Mnths'!$A:$A,'Detail 18-19'!$A73,'2015-16 12 Mnths'!K:K)-SUMIF('Budget 12 Mnths'!$A:$A,'Detail 18-19'!$A73,'Budget 12 Mnths'!L:L)</f>
        <v>-355.08</v>
      </c>
      <c r="M73" s="56"/>
      <c r="N73" s="56"/>
      <c r="O73" s="56"/>
      <c r="P73" s="56">
        <f t="shared" si="1"/>
        <v>40144.38</v>
      </c>
      <c r="Q73" s="14" t="str">
        <f>+VLOOKUP(A73,Mapping!$A$1:$E$443,5,FALSE)</f>
        <v>Restricted Released</v>
      </c>
      <c r="R73" s="26">
        <f>+SUMIF('Budget 12 Mnths'!$A:$A,'Detail 18-19'!$A73,'Budget 12 Mnths'!$P:$P)</f>
        <v>10000</v>
      </c>
      <c r="S73" s="26">
        <f>+SUMIF('2015-16 12 Mnths'!$A:$A,'Detail 18-19'!$A73,'2015-16 12 Mnths'!$O:$O)</f>
        <v>47644.35</v>
      </c>
      <c r="T73" s="57">
        <f t="shared" si="2"/>
        <v>4.014438</v>
      </c>
      <c r="U73" s="57">
        <f t="shared" si="3"/>
        <v>0.8425842728</v>
      </c>
      <c r="V73" s="8" t="s">
        <v>641</v>
      </c>
      <c r="W73" s="27">
        <v>10000.0</v>
      </c>
      <c r="X73" s="27">
        <f t="shared" si="28"/>
        <v>10000</v>
      </c>
      <c r="Z73" s="57">
        <v>8000.0</v>
      </c>
      <c r="AA73" s="57" t="str">
        <f>IFERROR(+VLOOKUP(A73,Key!$A$1:$C$219,2,FALSE),"NOT FOUND")</f>
        <v>4990-3U</v>
      </c>
      <c r="AB73" s="27">
        <v>10000.0</v>
      </c>
      <c r="AC73" s="27"/>
      <c r="AD73" s="27">
        <v>2500.0</v>
      </c>
      <c r="AE73" s="27">
        <v>2500.0</v>
      </c>
      <c r="AF73" s="27">
        <v>1000.0</v>
      </c>
      <c r="AG73" s="27">
        <v>1000.0</v>
      </c>
      <c r="AH73" s="27">
        <v>1000.0</v>
      </c>
      <c r="AI73" s="27">
        <v>250.0</v>
      </c>
      <c r="AJ73" s="27">
        <v>250.0</v>
      </c>
      <c r="AK73" s="27">
        <v>250.0</v>
      </c>
      <c r="AL73" s="27">
        <v>1000.0</v>
      </c>
      <c r="AM73" s="27">
        <v>250.0</v>
      </c>
      <c r="AN73" s="27"/>
      <c r="AO73" s="27">
        <f t="shared" si="6"/>
        <v>0</v>
      </c>
    </row>
    <row r="74" ht="15.75" hidden="1" customHeight="1">
      <c r="A74" s="15" t="s">
        <v>352</v>
      </c>
      <c r="B74" s="15" t="s">
        <v>353</v>
      </c>
      <c r="C74" s="15" t="s">
        <v>119</v>
      </c>
      <c r="D74" s="56">
        <f>SUMIF('2015-16 12 Mnths'!$A:$A,'Detail 18-19'!$A74,'2015-16 12 Mnths'!C:C)-SUMIF('Budget 12 Mnths'!$A:$A,'Detail 18-19'!$A74,'Budget 12 Mnths'!D:D)</f>
        <v>0</v>
      </c>
      <c r="E74" s="56">
        <f>SUMIF('2015-16 12 Mnths'!$A:$A,'Detail 18-19'!$A74,'2015-16 12 Mnths'!D:D)-SUMIF('Budget 12 Mnths'!$A:$A,'Detail 18-19'!$A74,'Budget 12 Mnths'!E:E)</f>
        <v>0</v>
      </c>
      <c r="F74" s="56">
        <f>SUMIF('2015-16 12 Mnths'!$A:$A,'Detail 18-19'!$A74,'2015-16 12 Mnths'!E:E)-SUMIF('Budget 12 Mnths'!$A:$A,'Detail 18-19'!$A74,'Budget 12 Mnths'!F:F)</f>
        <v>0</v>
      </c>
      <c r="G74" s="56">
        <f>SUMIF('2015-16 12 Mnths'!$A:$A,'Detail 18-19'!$A74,'2015-16 12 Mnths'!F:F)-SUMIF('Budget 12 Mnths'!$A:$A,'Detail 18-19'!$A74,'Budget 12 Mnths'!G:G)</f>
        <v>0</v>
      </c>
      <c r="H74" s="56">
        <f>SUMIF('2015-16 12 Mnths'!$A:$A,'Detail 18-19'!$A74,'2015-16 12 Mnths'!G:G)-SUMIF('Budget 12 Mnths'!$A:$A,'Detail 18-19'!$A74,'Budget 12 Mnths'!H:H)</f>
        <v>0</v>
      </c>
      <c r="I74" s="56">
        <f>SUMIF('2015-16 12 Mnths'!$A:$A,'Detail 18-19'!$A74,'2015-16 12 Mnths'!H:H)-SUMIF('Budget 12 Mnths'!$A:$A,'Detail 18-19'!$A74,'Budget 12 Mnths'!I:I)</f>
        <v>0</v>
      </c>
      <c r="J74" s="56">
        <f>SUMIF('2015-16 12 Mnths'!$A:$A,'Detail 18-19'!$A74,'2015-16 12 Mnths'!I:I)-SUMIF('Budget 12 Mnths'!$A:$A,'Detail 18-19'!$A74,'Budget 12 Mnths'!J:J)</f>
        <v>0</v>
      </c>
      <c r="K74" s="56">
        <f>SUMIF('2015-16 12 Mnths'!$A:$A,'Detail 18-19'!$A74,'2015-16 12 Mnths'!J:J)-SUMIF('Budget 12 Mnths'!$A:$A,'Detail 18-19'!$A74,'Budget 12 Mnths'!K:K)</f>
        <v>0</v>
      </c>
      <c r="L74" s="56">
        <f>SUMIF('2015-16 12 Mnths'!$A:$A,'Detail 18-19'!$A74,'2015-16 12 Mnths'!K:K)-SUMIF('Budget 12 Mnths'!$A:$A,'Detail 18-19'!$A74,'Budget 12 Mnths'!L:L)</f>
        <v>0</v>
      </c>
      <c r="M74" s="56"/>
      <c r="N74" s="56"/>
      <c r="O74" s="56"/>
      <c r="P74" s="56">
        <f t="shared" si="1"/>
        <v>0</v>
      </c>
      <c r="Q74" s="14" t="str">
        <f>+VLOOKUP(A74,Mapping!$A$1:$E$443,5,FALSE)</f>
        <v/>
      </c>
      <c r="R74" s="26">
        <f>+SUMIF('Budget 12 Mnths'!$A:$A,'Detail 18-19'!$A74,'Budget 12 Mnths'!$P:$P)</f>
        <v>0</v>
      </c>
      <c r="S74" s="26">
        <f>+SUMIF('2015-16 12 Mnths'!$A:$A,'Detail 18-19'!$A74,'2015-16 12 Mnths'!$O:$O)</f>
        <v>0</v>
      </c>
      <c r="T74" s="57">
        <f t="shared" si="2"/>
        <v>0</v>
      </c>
      <c r="U74" s="57">
        <f t="shared" si="3"/>
        <v>0</v>
      </c>
      <c r="W74" s="27"/>
      <c r="X74" s="27" t="str">
        <f t="shared" si="28"/>
        <v/>
      </c>
      <c r="Z74" s="57">
        <f t="shared" ref="Z74:Z78" si="30">+X74/2</f>
        <v>0</v>
      </c>
      <c r="AA74" s="57" t="str">
        <f>IFERROR(+VLOOKUP(A74,Key!$A$1:$C$219,2,FALSE),"NOT FOUND")</f>
        <v>NOT FOUND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>
        <f t="shared" si="6"/>
        <v>0</v>
      </c>
    </row>
    <row r="75" ht="15.75" hidden="1" customHeight="1">
      <c r="A75" s="15" t="s">
        <v>355</v>
      </c>
      <c r="B75" s="15" t="s">
        <v>356</v>
      </c>
      <c r="C75" s="15" t="s">
        <v>119</v>
      </c>
      <c r="D75" s="56">
        <f>SUMIF('2015-16 12 Mnths'!$A:$A,'Detail 18-19'!$A75,'2015-16 12 Mnths'!C:C)-SUMIF('Budget 12 Mnths'!$A:$A,'Detail 18-19'!$A75,'Budget 12 Mnths'!D:D)</f>
        <v>29704.55</v>
      </c>
      <c r="E75" s="56">
        <f>SUMIF('2015-16 12 Mnths'!$A:$A,'Detail 18-19'!$A75,'2015-16 12 Mnths'!D:D)-SUMIF('Budget 12 Mnths'!$A:$A,'Detail 18-19'!$A75,'Budget 12 Mnths'!E:E)</f>
        <v>5436.07</v>
      </c>
      <c r="F75" s="56">
        <f>SUMIF('2015-16 12 Mnths'!$A:$A,'Detail 18-19'!$A75,'2015-16 12 Mnths'!E:E)-SUMIF('Budget 12 Mnths'!$A:$A,'Detail 18-19'!$A75,'Budget 12 Mnths'!F:F)</f>
        <v>6850.39</v>
      </c>
      <c r="G75" s="56">
        <f>SUMIF('2015-16 12 Mnths'!$A:$A,'Detail 18-19'!$A75,'2015-16 12 Mnths'!F:F)-SUMIF('Budget 12 Mnths'!$A:$A,'Detail 18-19'!$A75,'Budget 12 Mnths'!G:G)</f>
        <v>1355.17</v>
      </c>
      <c r="H75" s="56">
        <f>SUMIF('2015-16 12 Mnths'!$A:$A,'Detail 18-19'!$A75,'2015-16 12 Mnths'!G:G)-SUMIF('Budget 12 Mnths'!$A:$A,'Detail 18-19'!$A75,'Budget 12 Mnths'!H:H)</f>
        <v>1757.12</v>
      </c>
      <c r="I75" s="56">
        <f>SUMIF('2015-16 12 Mnths'!$A:$A,'Detail 18-19'!$A75,'2015-16 12 Mnths'!H:H)-SUMIF('Budget 12 Mnths'!$A:$A,'Detail 18-19'!$A75,'Budget 12 Mnths'!I:I)</f>
        <v>0</v>
      </c>
      <c r="J75" s="56">
        <f>SUMIF('2015-16 12 Mnths'!$A:$A,'Detail 18-19'!$A75,'2015-16 12 Mnths'!I:I)-SUMIF('Budget 12 Mnths'!$A:$A,'Detail 18-19'!$A75,'Budget 12 Mnths'!J:J)</f>
        <v>0</v>
      </c>
      <c r="K75" s="56">
        <f>SUMIF('2015-16 12 Mnths'!$A:$A,'Detail 18-19'!$A75,'2015-16 12 Mnths'!J:J)-SUMIF('Budget 12 Mnths'!$A:$A,'Detail 18-19'!$A75,'Budget 12 Mnths'!K:K)</f>
        <v>2062.8</v>
      </c>
      <c r="L75" s="56">
        <f>SUMIF('2015-16 12 Mnths'!$A:$A,'Detail 18-19'!$A75,'2015-16 12 Mnths'!K:K)-SUMIF('Budget 12 Mnths'!$A:$A,'Detail 18-19'!$A75,'Budget 12 Mnths'!L:L)</f>
        <v>478.25</v>
      </c>
      <c r="M75" s="56"/>
      <c r="N75" s="56"/>
      <c r="O75" s="56"/>
      <c r="P75" s="56">
        <f t="shared" si="1"/>
        <v>47644.35</v>
      </c>
      <c r="Q75" s="14" t="str">
        <f>+VLOOKUP(A75,Mapping!$A$1:$E$443,5,FALSE)</f>
        <v/>
      </c>
      <c r="R75" s="26">
        <f>+SUMIF('Budget 12 Mnths'!$A:$A,'Detail 18-19'!$A75,'Budget 12 Mnths'!$P:$P)</f>
        <v>0</v>
      </c>
      <c r="S75" s="26">
        <f>+SUMIF('2015-16 12 Mnths'!$A:$A,'Detail 18-19'!$A75,'2015-16 12 Mnths'!$O:$O)</f>
        <v>47644.35</v>
      </c>
      <c r="T75" s="57">
        <f t="shared" si="2"/>
        <v>0</v>
      </c>
      <c r="U75" s="57">
        <f t="shared" si="3"/>
        <v>1</v>
      </c>
      <c r="W75" s="27"/>
      <c r="X75" s="27" t="str">
        <f t="shared" si="28"/>
        <v/>
      </c>
      <c r="Z75" s="57">
        <f t="shared" si="30"/>
        <v>0</v>
      </c>
      <c r="AA75" s="57" t="str">
        <f>IFERROR(+VLOOKUP(A75,Key!$A$1:$C$219,2,FALSE),"NOT FOUND")</f>
        <v>4995-3T</v>
      </c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>
        <f t="shared" si="6"/>
        <v>0</v>
      </c>
    </row>
    <row r="76" ht="15.75" hidden="1" customHeight="1">
      <c r="A76" s="15" t="s">
        <v>286</v>
      </c>
      <c r="B76" s="15" t="s">
        <v>287</v>
      </c>
      <c r="C76" s="15" t="s">
        <v>283</v>
      </c>
      <c r="D76" s="56">
        <f>SUMIF('2015-16 12 Mnths'!$A:$A,'Detail 18-19'!$A76,'2015-16 12 Mnths'!C:C)-SUMIF('Budget 12 Mnths'!$A:$A,'Detail 18-19'!$A76,'Budget 12 Mnths'!D:D)</f>
        <v>0</v>
      </c>
      <c r="E76" s="56">
        <f>SUMIF('2015-16 12 Mnths'!$A:$A,'Detail 18-19'!$A76,'2015-16 12 Mnths'!D:D)-SUMIF('Budget 12 Mnths'!$A:$A,'Detail 18-19'!$A76,'Budget 12 Mnths'!E:E)</f>
        <v>0</v>
      </c>
      <c r="F76" s="56">
        <f>SUMIF('2015-16 12 Mnths'!$A:$A,'Detail 18-19'!$A76,'2015-16 12 Mnths'!E:E)-SUMIF('Budget 12 Mnths'!$A:$A,'Detail 18-19'!$A76,'Budget 12 Mnths'!F:F)</f>
        <v>0</v>
      </c>
      <c r="G76" s="56">
        <f>SUMIF('2015-16 12 Mnths'!$A:$A,'Detail 18-19'!$A76,'2015-16 12 Mnths'!F:F)-SUMIF('Budget 12 Mnths'!$A:$A,'Detail 18-19'!$A76,'Budget 12 Mnths'!G:G)</f>
        <v>0</v>
      </c>
      <c r="H76" s="56">
        <f>SUMIF('2015-16 12 Mnths'!$A:$A,'Detail 18-19'!$A76,'2015-16 12 Mnths'!G:G)-SUMIF('Budget 12 Mnths'!$A:$A,'Detail 18-19'!$A76,'Budget 12 Mnths'!H:H)</f>
        <v>0</v>
      </c>
      <c r="I76" s="56">
        <f>SUMIF('2015-16 12 Mnths'!$A:$A,'Detail 18-19'!$A76,'2015-16 12 Mnths'!H:H)-SUMIF('Budget 12 Mnths'!$A:$A,'Detail 18-19'!$A76,'Budget 12 Mnths'!I:I)</f>
        <v>0</v>
      </c>
      <c r="J76" s="56">
        <f>SUMIF('2015-16 12 Mnths'!$A:$A,'Detail 18-19'!$A76,'2015-16 12 Mnths'!I:I)-SUMIF('Budget 12 Mnths'!$A:$A,'Detail 18-19'!$A76,'Budget 12 Mnths'!J:J)</f>
        <v>0</v>
      </c>
      <c r="K76" s="56">
        <f>SUMIF('2015-16 12 Mnths'!$A:$A,'Detail 18-19'!$A76,'2015-16 12 Mnths'!J:J)-SUMIF('Budget 12 Mnths'!$A:$A,'Detail 18-19'!$A76,'Budget 12 Mnths'!K:K)</f>
        <v>0</v>
      </c>
      <c r="L76" s="56">
        <f>SUMIF('2015-16 12 Mnths'!$A:$A,'Detail 18-19'!$A76,'2015-16 12 Mnths'!K:K)-SUMIF('Budget 12 Mnths'!$A:$A,'Detail 18-19'!$A76,'Budget 12 Mnths'!L:L)</f>
        <v>0</v>
      </c>
      <c r="M76" s="56"/>
      <c r="N76" s="56"/>
      <c r="O76" s="56"/>
      <c r="P76" s="56">
        <f t="shared" si="1"/>
        <v>0</v>
      </c>
      <c r="Q76" s="14" t="str">
        <f>+VLOOKUP(A76,Mapping!$A$1:$E$443,5,FALSE)</f>
        <v>Cost of Fundraising</v>
      </c>
      <c r="R76" s="26">
        <f>+SUMIF('Budget 12 Mnths'!$A:$A,'Detail 18-19'!$A76,'Budget 12 Mnths'!$P:$P)</f>
        <v>0</v>
      </c>
      <c r="S76" s="26">
        <f>+SUMIF('2015-16 12 Mnths'!$A:$A,'Detail 18-19'!$A76,'2015-16 12 Mnths'!$O:$O)</f>
        <v>0</v>
      </c>
      <c r="T76" s="57">
        <f t="shared" si="2"/>
        <v>0</v>
      </c>
      <c r="U76" s="57">
        <f t="shared" si="3"/>
        <v>0</v>
      </c>
      <c r="W76" s="27"/>
      <c r="X76" s="27" t="str">
        <f t="shared" si="28"/>
        <v/>
      </c>
      <c r="Z76" s="57">
        <f t="shared" si="30"/>
        <v>0</v>
      </c>
      <c r="AA76" s="57" t="str">
        <f>IFERROR(+VLOOKUP(A76,Key!$A$1:$C$219,2,FALSE),"NOT FOUND")</f>
        <v>NOT FOUND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>
        <f t="shared" si="6"/>
        <v>0</v>
      </c>
    </row>
    <row r="77" ht="15.75" hidden="1" customHeight="1">
      <c r="A77" s="15" t="s">
        <v>288</v>
      </c>
      <c r="B77" s="15" t="s">
        <v>289</v>
      </c>
      <c r="C77" s="15" t="s">
        <v>283</v>
      </c>
      <c r="D77" s="56">
        <f>SUMIF('2015-16 12 Mnths'!$A:$A,'Detail 18-19'!$A77,'2015-16 12 Mnths'!C:C)-SUMIF('Budget 12 Mnths'!$A:$A,'Detail 18-19'!$A77,'Budget 12 Mnths'!D:D)</f>
        <v>0</v>
      </c>
      <c r="E77" s="56">
        <f>SUMIF('2015-16 12 Mnths'!$A:$A,'Detail 18-19'!$A77,'2015-16 12 Mnths'!D:D)-SUMIF('Budget 12 Mnths'!$A:$A,'Detail 18-19'!$A77,'Budget 12 Mnths'!E:E)</f>
        <v>0</v>
      </c>
      <c r="F77" s="56">
        <f>SUMIF('2015-16 12 Mnths'!$A:$A,'Detail 18-19'!$A77,'2015-16 12 Mnths'!E:E)-SUMIF('Budget 12 Mnths'!$A:$A,'Detail 18-19'!$A77,'Budget 12 Mnths'!F:F)</f>
        <v>0</v>
      </c>
      <c r="G77" s="56">
        <f>SUMIF('2015-16 12 Mnths'!$A:$A,'Detail 18-19'!$A77,'2015-16 12 Mnths'!F:F)-SUMIF('Budget 12 Mnths'!$A:$A,'Detail 18-19'!$A77,'Budget 12 Mnths'!G:G)</f>
        <v>0</v>
      </c>
      <c r="H77" s="56">
        <f>SUMIF('2015-16 12 Mnths'!$A:$A,'Detail 18-19'!$A77,'2015-16 12 Mnths'!G:G)-SUMIF('Budget 12 Mnths'!$A:$A,'Detail 18-19'!$A77,'Budget 12 Mnths'!H:H)</f>
        <v>0</v>
      </c>
      <c r="I77" s="56">
        <f>SUMIF('2015-16 12 Mnths'!$A:$A,'Detail 18-19'!$A77,'2015-16 12 Mnths'!H:H)-SUMIF('Budget 12 Mnths'!$A:$A,'Detail 18-19'!$A77,'Budget 12 Mnths'!I:I)</f>
        <v>0</v>
      </c>
      <c r="J77" s="56">
        <f>SUMIF('2015-16 12 Mnths'!$A:$A,'Detail 18-19'!$A77,'2015-16 12 Mnths'!I:I)-SUMIF('Budget 12 Mnths'!$A:$A,'Detail 18-19'!$A77,'Budget 12 Mnths'!J:J)</f>
        <v>0</v>
      </c>
      <c r="K77" s="56">
        <f>SUMIF('2015-16 12 Mnths'!$A:$A,'Detail 18-19'!$A77,'2015-16 12 Mnths'!J:J)-SUMIF('Budget 12 Mnths'!$A:$A,'Detail 18-19'!$A77,'Budget 12 Mnths'!K:K)</f>
        <v>0</v>
      </c>
      <c r="L77" s="56">
        <f>SUMIF('2015-16 12 Mnths'!$A:$A,'Detail 18-19'!$A77,'2015-16 12 Mnths'!K:K)-SUMIF('Budget 12 Mnths'!$A:$A,'Detail 18-19'!$A77,'Budget 12 Mnths'!L:L)</f>
        <v>0</v>
      </c>
      <c r="M77" s="56"/>
      <c r="N77" s="56"/>
      <c r="O77" s="56"/>
      <c r="P77" s="56">
        <f t="shared" si="1"/>
        <v>0</v>
      </c>
      <c r="Q77" s="14" t="str">
        <f>+VLOOKUP(A77,Mapping!$A$1:$E$443,5,FALSE)</f>
        <v>Cost of Fundraising</v>
      </c>
      <c r="R77" s="26">
        <f>+SUMIF('Budget 12 Mnths'!$A:$A,'Detail 18-19'!$A77,'Budget 12 Mnths'!$P:$P)</f>
        <v>0</v>
      </c>
      <c r="S77" s="26">
        <f>+SUMIF('2015-16 12 Mnths'!$A:$A,'Detail 18-19'!$A77,'2015-16 12 Mnths'!$O:$O)</f>
        <v>0</v>
      </c>
      <c r="T77" s="57">
        <f t="shared" si="2"/>
        <v>0</v>
      </c>
      <c r="U77" s="57">
        <f t="shared" si="3"/>
        <v>0</v>
      </c>
      <c r="W77" s="27"/>
      <c r="X77" s="27" t="str">
        <f t="shared" si="28"/>
        <v/>
      </c>
      <c r="Z77" s="57">
        <f t="shared" si="30"/>
        <v>0</v>
      </c>
      <c r="AA77" s="57" t="str">
        <f>IFERROR(+VLOOKUP(A77,Key!$A$1:$C$219,2,FALSE),"NOT FOUND")</f>
        <v>5005-3U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>
        <f t="shared" si="6"/>
        <v>0</v>
      </c>
    </row>
    <row r="78" ht="15.75" hidden="1" customHeight="1">
      <c r="A78" s="15" t="s">
        <v>290</v>
      </c>
      <c r="B78" s="15" t="s">
        <v>291</v>
      </c>
      <c r="C78" s="15" t="s">
        <v>283</v>
      </c>
      <c r="D78" s="56">
        <f>SUMIF('2015-16 12 Mnths'!$A:$A,'Detail 18-19'!$A78,'2015-16 12 Mnths'!C:C)-SUMIF('Budget 12 Mnths'!$A:$A,'Detail 18-19'!$A78,'Budget 12 Mnths'!D:D)</f>
        <v>0</v>
      </c>
      <c r="E78" s="56">
        <f>SUMIF('2015-16 12 Mnths'!$A:$A,'Detail 18-19'!$A78,'2015-16 12 Mnths'!D:D)-SUMIF('Budget 12 Mnths'!$A:$A,'Detail 18-19'!$A78,'Budget 12 Mnths'!E:E)</f>
        <v>0</v>
      </c>
      <c r="F78" s="56">
        <f>SUMIF('2015-16 12 Mnths'!$A:$A,'Detail 18-19'!$A78,'2015-16 12 Mnths'!E:E)-SUMIF('Budget 12 Mnths'!$A:$A,'Detail 18-19'!$A78,'Budget 12 Mnths'!F:F)</f>
        <v>0</v>
      </c>
      <c r="G78" s="56">
        <f>SUMIF('2015-16 12 Mnths'!$A:$A,'Detail 18-19'!$A78,'2015-16 12 Mnths'!F:F)-SUMIF('Budget 12 Mnths'!$A:$A,'Detail 18-19'!$A78,'Budget 12 Mnths'!G:G)</f>
        <v>0</v>
      </c>
      <c r="H78" s="56">
        <f>SUMIF('2015-16 12 Mnths'!$A:$A,'Detail 18-19'!$A78,'2015-16 12 Mnths'!G:G)-SUMIF('Budget 12 Mnths'!$A:$A,'Detail 18-19'!$A78,'Budget 12 Mnths'!H:H)</f>
        <v>0</v>
      </c>
      <c r="I78" s="56">
        <f>SUMIF('2015-16 12 Mnths'!$A:$A,'Detail 18-19'!$A78,'2015-16 12 Mnths'!H:H)-SUMIF('Budget 12 Mnths'!$A:$A,'Detail 18-19'!$A78,'Budget 12 Mnths'!I:I)</f>
        <v>0</v>
      </c>
      <c r="J78" s="56">
        <f>SUMIF('2015-16 12 Mnths'!$A:$A,'Detail 18-19'!$A78,'2015-16 12 Mnths'!I:I)-SUMIF('Budget 12 Mnths'!$A:$A,'Detail 18-19'!$A78,'Budget 12 Mnths'!J:J)</f>
        <v>0</v>
      </c>
      <c r="K78" s="56">
        <f>SUMIF('2015-16 12 Mnths'!$A:$A,'Detail 18-19'!$A78,'2015-16 12 Mnths'!J:J)-SUMIF('Budget 12 Mnths'!$A:$A,'Detail 18-19'!$A78,'Budget 12 Mnths'!K:K)</f>
        <v>0</v>
      </c>
      <c r="L78" s="56">
        <f>SUMIF('2015-16 12 Mnths'!$A:$A,'Detail 18-19'!$A78,'2015-16 12 Mnths'!K:K)-SUMIF('Budget 12 Mnths'!$A:$A,'Detail 18-19'!$A78,'Budget 12 Mnths'!L:L)</f>
        <v>0</v>
      </c>
      <c r="M78" s="56"/>
      <c r="N78" s="56"/>
      <c r="O78" s="56"/>
      <c r="P78" s="56">
        <f t="shared" si="1"/>
        <v>0</v>
      </c>
      <c r="Q78" s="14" t="str">
        <f>+VLOOKUP(A78,Mapping!$A$1:$E$443,5,FALSE)</f>
        <v>Cost of Fundraising</v>
      </c>
      <c r="R78" s="26">
        <f>+SUMIF('Budget 12 Mnths'!$A:$A,'Detail 18-19'!$A78,'Budget 12 Mnths'!$P:$P)</f>
        <v>0</v>
      </c>
      <c r="S78" s="26">
        <f>+SUMIF('2015-16 12 Mnths'!$A:$A,'Detail 18-19'!$A78,'2015-16 12 Mnths'!$O:$O)</f>
        <v>0</v>
      </c>
      <c r="T78" s="57">
        <f t="shared" si="2"/>
        <v>0</v>
      </c>
      <c r="U78" s="57">
        <f t="shared" si="3"/>
        <v>0</v>
      </c>
      <c r="W78" s="27"/>
      <c r="X78" s="27" t="str">
        <f t="shared" si="28"/>
        <v/>
      </c>
      <c r="Z78" s="57">
        <f t="shared" si="30"/>
        <v>0</v>
      </c>
      <c r="AA78" s="57" t="str">
        <f>IFERROR(+VLOOKUP(A78,Key!$A$1:$C$219,2,FALSE),"NOT FOUND")</f>
        <v>NOT FOUND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>
        <f t="shared" si="6"/>
        <v>0</v>
      </c>
    </row>
    <row r="79" ht="15.75" hidden="1" customHeight="1">
      <c r="A79" s="15" t="s">
        <v>292</v>
      </c>
      <c r="B79" s="15" t="s">
        <v>293</v>
      </c>
      <c r="C79" s="15" t="s">
        <v>283</v>
      </c>
      <c r="D79" s="56">
        <f>SUMIF('2015-16 12 Mnths'!$A:$A,'Detail 18-19'!$A79,'2015-16 12 Mnths'!C:C)-SUMIF('Budget 12 Mnths'!$A:$A,'Detail 18-19'!$A79,'Budget 12 Mnths'!D:D)</f>
        <v>-208.33</v>
      </c>
      <c r="E79" s="56">
        <f>SUMIF('2015-16 12 Mnths'!$A:$A,'Detail 18-19'!$A79,'2015-16 12 Mnths'!D:D)-SUMIF('Budget 12 Mnths'!$A:$A,'Detail 18-19'!$A79,'Budget 12 Mnths'!E:E)</f>
        <v>-208.33</v>
      </c>
      <c r="F79" s="56">
        <f>SUMIF('2015-16 12 Mnths'!$A:$A,'Detail 18-19'!$A79,'2015-16 12 Mnths'!E:E)-SUMIF('Budget 12 Mnths'!$A:$A,'Detail 18-19'!$A79,'Budget 12 Mnths'!F:F)</f>
        <v>-208.33</v>
      </c>
      <c r="G79" s="56">
        <f>SUMIF('2015-16 12 Mnths'!$A:$A,'Detail 18-19'!$A79,'2015-16 12 Mnths'!F:F)-SUMIF('Budget 12 Mnths'!$A:$A,'Detail 18-19'!$A79,'Budget 12 Mnths'!G:G)</f>
        <v>-625</v>
      </c>
      <c r="H79" s="56">
        <f>SUMIF('2015-16 12 Mnths'!$A:$A,'Detail 18-19'!$A79,'2015-16 12 Mnths'!G:G)-SUMIF('Budget 12 Mnths'!$A:$A,'Detail 18-19'!$A79,'Budget 12 Mnths'!H:H)</f>
        <v>-625</v>
      </c>
      <c r="I79" s="56">
        <f>SUMIF('2015-16 12 Mnths'!$A:$A,'Detail 18-19'!$A79,'2015-16 12 Mnths'!H:H)-SUMIF('Budget 12 Mnths'!$A:$A,'Detail 18-19'!$A79,'Budget 12 Mnths'!I:I)</f>
        <v>-625</v>
      </c>
      <c r="J79" s="56">
        <f>SUMIF('2015-16 12 Mnths'!$A:$A,'Detail 18-19'!$A79,'2015-16 12 Mnths'!I:I)-SUMIF('Budget 12 Mnths'!$A:$A,'Detail 18-19'!$A79,'Budget 12 Mnths'!J:J)</f>
        <v>0</v>
      </c>
      <c r="K79" s="56">
        <f>SUMIF('2015-16 12 Mnths'!$A:$A,'Detail 18-19'!$A79,'2015-16 12 Mnths'!J:J)-SUMIF('Budget 12 Mnths'!$A:$A,'Detail 18-19'!$A79,'Budget 12 Mnths'!K:K)</f>
        <v>0</v>
      </c>
      <c r="L79" s="56">
        <f>SUMIF('2015-16 12 Mnths'!$A:$A,'Detail 18-19'!$A79,'2015-16 12 Mnths'!K:K)-SUMIF('Budget 12 Mnths'!$A:$A,'Detail 18-19'!$A79,'Budget 12 Mnths'!L:L)</f>
        <v>0</v>
      </c>
      <c r="M79" s="56"/>
      <c r="N79" s="56"/>
      <c r="O79" s="56"/>
      <c r="P79" s="56">
        <f t="shared" si="1"/>
        <v>-2499.99</v>
      </c>
      <c r="Q79" s="14" t="str">
        <f>+VLOOKUP(A79,Mapping!$A$1:$E$443,5,FALSE)</f>
        <v>Cost of Fundraising</v>
      </c>
      <c r="R79" s="26">
        <f>+SUMIF('Budget 12 Mnths'!$A:$A,'Detail 18-19'!$A79,'Budget 12 Mnths'!$P:$P)</f>
        <v>2499.99</v>
      </c>
      <c r="S79" s="26">
        <f>+SUMIF('2015-16 12 Mnths'!$A:$A,'Detail 18-19'!$A79,'2015-16 12 Mnths'!$O:$O)</f>
        <v>0</v>
      </c>
      <c r="T79" s="57">
        <f t="shared" si="2"/>
        <v>-1</v>
      </c>
      <c r="U79" s="57">
        <f t="shared" si="3"/>
        <v>0</v>
      </c>
      <c r="V79" s="8" t="s">
        <v>641</v>
      </c>
      <c r="W79" s="27">
        <v>2500.0</v>
      </c>
      <c r="X79" s="27">
        <f t="shared" si="28"/>
        <v>2500</v>
      </c>
      <c r="Z79" s="57">
        <v>2500.0</v>
      </c>
      <c r="AA79" s="57" t="str">
        <f>IFERROR(+VLOOKUP(A79,Key!$A$1:$C$219,2,FALSE),"NOT FOUND")</f>
        <v>NOT FOUND</v>
      </c>
      <c r="AB79" s="27">
        <v>0.0</v>
      </c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>
        <f t="shared" si="6"/>
        <v>0</v>
      </c>
    </row>
    <row r="80" ht="15.75" hidden="1" customHeight="1">
      <c r="A80" s="15" t="s">
        <v>294</v>
      </c>
      <c r="B80" s="15" t="s">
        <v>295</v>
      </c>
      <c r="C80" s="15" t="s">
        <v>283</v>
      </c>
      <c r="D80" s="56">
        <f>SUMIF('2015-16 12 Mnths'!$A:$A,'Detail 18-19'!$A80,'2015-16 12 Mnths'!C:C)-SUMIF('Budget 12 Mnths'!$A:$A,'Detail 18-19'!$A80,'Budget 12 Mnths'!D:D)</f>
        <v>0</v>
      </c>
      <c r="E80" s="56">
        <f>SUMIF('2015-16 12 Mnths'!$A:$A,'Detail 18-19'!$A80,'2015-16 12 Mnths'!D:D)-SUMIF('Budget 12 Mnths'!$A:$A,'Detail 18-19'!$A80,'Budget 12 Mnths'!E:E)</f>
        <v>0</v>
      </c>
      <c r="F80" s="56">
        <f>SUMIF('2015-16 12 Mnths'!$A:$A,'Detail 18-19'!$A80,'2015-16 12 Mnths'!E:E)-SUMIF('Budget 12 Mnths'!$A:$A,'Detail 18-19'!$A80,'Budget 12 Mnths'!F:F)</f>
        <v>0</v>
      </c>
      <c r="G80" s="56">
        <f>SUMIF('2015-16 12 Mnths'!$A:$A,'Detail 18-19'!$A80,'2015-16 12 Mnths'!F:F)-SUMIF('Budget 12 Mnths'!$A:$A,'Detail 18-19'!$A80,'Budget 12 Mnths'!G:G)</f>
        <v>0</v>
      </c>
      <c r="H80" s="56">
        <f>SUMIF('2015-16 12 Mnths'!$A:$A,'Detail 18-19'!$A80,'2015-16 12 Mnths'!G:G)-SUMIF('Budget 12 Mnths'!$A:$A,'Detail 18-19'!$A80,'Budget 12 Mnths'!H:H)</f>
        <v>0</v>
      </c>
      <c r="I80" s="56">
        <f>SUMIF('2015-16 12 Mnths'!$A:$A,'Detail 18-19'!$A80,'2015-16 12 Mnths'!H:H)-SUMIF('Budget 12 Mnths'!$A:$A,'Detail 18-19'!$A80,'Budget 12 Mnths'!I:I)</f>
        <v>0</v>
      </c>
      <c r="J80" s="56">
        <f>SUMIF('2015-16 12 Mnths'!$A:$A,'Detail 18-19'!$A80,'2015-16 12 Mnths'!I:I)-SUMIF('Budget 12 Mnths'!$A:$A,'Detail 18-19'!$A80,'Budget 12 Mnths'!J:J)</f>
        <v>0</v>
      </c>
      <c r="K80" s="56">
        <f>SUMIF('2015-16 12 Mnths'!$A:$A,'Detail 18-19'!$A80,'2015-16 12 Mnths'!J:J)-SUMIF('Budget 12 Mnths'!$A:$A,'Detail 18-19'!$A80,'Budget 12 Mnths'!K:K)</f>
        <v>0</v>
      </c>
      <c r="L80" s="56">
        <f>SUMIF('2015-16 12 Mnths'!$A:$A,'Detail 18-19'!$A80,'2015-16 12 Mnths'!K:K)-SUMIF('Budget 12 Mnths'!$A:$A,'Detail 18-19'!$A80,'Budget 12 Mnths'!L:L)</f>
        <v>0</v>
      </c>
      <c r="M80" s="56"/>
      <c r="N80" s="56"/>
      <c r="O80" s="56"/>
      <c r="P80" s="56">
        <f t="shared" si="1"/>
        <v>0</v>
      </c>
      <c r="Q80" s="14" t="str">
        <f>+VLOOKUP(A80,Mapping!$A$1:$E$443,5,FALSE)</f>
        <v>Cost of Fundraising</v>
      </c>
      <c r="R80" s="26">
        <f>+SUMIF('Budget 12 Mnths'!$A:$A,'Detail 18-19'!$A80,'Budget 12 Mnths'!$P:$P)</f>
        <v>0</v>
      </c>
      <c r="S80" s="26">
        <f>+SUMIF('2015-16 12 Mnths'!$A:$A,'Detail 18-19'!$A80,'2015-16 12 Mnths'!$O:$O)</f>
        <v>0</v>
      </c>
      <c r="T80" s="57">
        <f t="shared" si="2"/>
        <v>0</v>
      </c>
      <c r="U80" s="57">
        <f t="shared" si="3"/>
        <v>0</v>
      </c>
      <c r="W80" s="27"/>
      <c r="X80" s="27" t="str">
        <f t="shared" si="28"/>
        <v/>
      </c>
      <c r="Z80" s="57">
        <f t="shared" ref="Z80:Z81" si="31">+X80/2</f>
        <v>0</v>
      </c>
      <c r="AA80" s="57" t="str">
        <f>IFERROR(+VLOOKUP(A80,Key!$A$1:$C$219,2,FALSE),"NOT FOUND")</f>
        <v>NOT FOUND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>
        <f t="shared" si="6"/>
        <v>0</v>
      </c>
    </row>
    <row r="81" ht="15.75" hidden="1" customHeight="1">
      <c r="A81" s="15" t="s">
        <v>298</v>
      </c>
      <c r="B81" s="15" t="s">
        <v>299</v>
      </c>
      <c r="C81" s="15" t="s">
        <v>283</v>
      </c>
      <c r="D81" s="56">
        <f>SUMIF('2015-16 12 Mnths'!$A:$A,'Detail 18-19'!$A81,'2015-16 12 Mnths'!C:C)-SUMIF('Budget 12 Mnths'!$A:$A,'Detail 18-19'!$A81,'Budget 12 Mnths'!D:D)</f>
        <v>0</v>
      </c>
      <c r="E81" s="56">
        <f>SUMIF('2015-16 12 Mnths'!$A:$A,'Detail 18-19'!$A81,'2015-16 12 Mnths'!D:D)-SUMIF('Budget 12 Mnths'!$A:$A,'Detail 18-19'!$A81,'Budget 12 Mnths'!E:E)</f>
        <v>0</v>
      </c>
      <c r="F81" s="56">
        <f>SUMIF('2015-16 12 Mnths'!$A:$A,'Detail 18-19'!$A81,'2015-16 12 Mnths'!E:E)-SUMIF('Budget 12 Mnths'!$A:$A,'Detail 18-19'!$A81,'Budget 12 Mnths'!F:F)</f>
        <v>0</v>
      </c>
      <c r="G81" s="56">
        <f>SUMIF('2015-16 12 Mnths'!$A:$A,'Detail 18-19'!$A81,'2015-16 12 Mnths'!F:F)-SUMIF('Budget 12 Mnths'!$A:$A,'Detail 18-19'!$A81,'Budget 12 Mnths'!G:G)</f>
        <v>0</v>
      </c>
      <c r="H81" s="56">
        <f>SUMIF('2015-16 12 Mnths'!$A:$A,'Detail 18-19'!$A81,'2015-16 12 Mnths'!G:G)-SUMIF('Budget 12 Mnths'!$A:$A,'Detail 18-19'!$A81,'Budget 12 Mnths'!H:H)</f>
        <v>0</v>
      </c>
      <c r="I81" s="56">
        <f>SUMIF('2015-16 12 Mnths'!$A:$A,'Detail 18-19'!$A81,'2015-16 12 Mnths'!H:H)-SUMIF('Budget 12 Mnths'!$A:$A,'Detail 18-19'!$A81,'Budget 12 Mnths'!I:I)</f>
        <v>0</v>
      </c>
      <c r="J81" s="56">
        <f>SUMIF('2015-16 12 Mnths'!$A:$A,'Detail 18-19'!$A81,'2015-16 12 Mnths'!I:I)-SUMIF('Budget 12 Mnths'!$A:$A,'Detail 18-19'!$A81,'Budget 12 Mnths'!J:J)</f>
        <v>0</v>
      </c>
      <c r="K81" s="56">
        <f>SUMIF('2015-16 12 Mnths'!$A:$A,'Detail 18-19'!$A81,'2015-16 12 Mnths'!J:J)-SUMIF('Budget 12 Mnths'!$A:$A,'Detail 18-19'!$A81,'Budget 12 Mnths'!K:K)</f>
        <v>0</v>
      </c>
      <c r="L81" s="56">
        <f>SUMIF('2015-16 12 Mnths'!$A:$A,'Detail 18-19'!$A81,'2015-16 12 Mnths'!K:K)-SUMIF('Budget 12 Mnths'!$A:$A,'Detail 18-19'!$A81,'Budget 12 Mnths'!L:L)</f>
        <v>0</v>
      </c>
      <c r="M81" s="56"/>
      <c r="N81" s="56"/>
      <c r="O81" s="56"/>
      <c r="P81" s="56">
        <f t="shared" si="1"/>
        <v>0</v>
      </c>
      <c r="Q81" s="14" t="str">
        <f>+VLOOKUP(A81,Mapping!$A$1:$E$443,5,FALSE)</f>
        <v>Cost of Fundraising</v>
      </c>
      <c r="R81" s="26">
        <f>+SUMIF('Budget 12 Mnths'!$A:$A,'Detail 18-19'!$A81,'Budget 12 Mnths'!$P:$P)</f>
        <v>0</v>
      </c>
      <c r="S81" s="26">
        <f>+SUMIF('2015-16 12 Mnths'!$A:$A,'Detail 18-19'!$A81,'2015-16 12 Mnths'!$O:$O)</f>
        <v>0</v>
      </c>
      <c r="T81" s="57">
        <f t="shared" si="2"/>
        <v>0</v>
      </c>
      <c r="U81" s="57">
        <f t="shared" si="3"/>
        <v>0</v>
      </c>
      <c r="W81" s="27"/>
      <c r="X81" s="27" t="str">
        <f t="shared" si="28"/>
        <v/>
      </c>
      <c r="Z81" s="57">
        <f t="shared" si="31"/>
        <v>0</v>
      </c>
      <c r="AA81" s="57" t="str">
        <f>IFERROR(+VLOOKUP(A81,Key!$A$1:$C$219,2,FALSE),"NOT FOUND")</f>
        <v>NOT FOUND</v>
      </c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>
        <f t="shared" si="6"/>
        <v>0</v>
      </c>
    </row>
    <row r="82" ht="15.75" customHeight="1">
      <c r="A82" s="15" t="s">
        <v>300</v>
      </c>
      <c r="B82" s="15" t="s">
        <v>301</v>
      </c>
      <c r="C82" s="15" t="s">
        <v>283</v>
      </c>
      <c r="D82" s="56">
        <f>SUMIF('2015-16 12 Mnths'!$A:$A,'Detail 18-19'!$A82,'2015-16 12 Mnths'!C:C)-SUMIF('Budget 12 Mnths'!$A:$A,'Detail 18-19'!$A82,'Budget 12 Mnths'!D:D)</f>
        <v>0</v>
      </c>
      <c r="E82" s="56">
        <f>SUMIF('2015-16 12 Mnths'!$A:$A,'Detail 18-19'!$A82,'2015-16 12 Mnths'!D:D)-SUMIF('Budget 12 Mnths'!$A:$A,'Detail 18-19'!$A82,'Budget 12 Mnths'!E:E)</f>
        <v>0</v>
      </c>
      <c r="F82" s="56">
        <f>SUMIF('2015-16 12 Mnths'!$A:$A,'Detail 18-19'!$A82,'2015-16 12 Mnths'!E:E)-SUMIF('Budget 12 Mnths'!$A:$A,'Detail 18-19'!$A82,'Budget 12 Mnths'!F:F)</f>
        <v>0</v>
      </c>
      <c r="G82" s="56">
        <f>SUMIF('2015-16 12 Mnths'!$A:$A,'Detail 18-19'!$A82,'2015-16 12 Mnths'!F:F)-SUMIF('Budget 12 Mnths'!$A:$A,'Detail 18-19'!$A82,'Budget 12 Mnths'!G:G)</f>
        <v>0</v>
      </c>
      <c r="H82" s="56">
        <f>SUMIF('2015-16 12 Mnths'!$A:$A,'Detail 18-19'!$A82,'2015-16 12 Mnths'!G:G)-SUMIF('Budget 12 Mnths'!$A:$A,'Detail 18-19'!$A82,'Budget 12 Mnths'!H:H)</f>
        <v>4040.26</v>
      </c>
      <c r="I82" s="56">
        <f>SUMIF('2015-16 12 Mnths'!$A:$A,'Detail 18-19'!$A82,'2015-16 12 Mnths'!H:H)-SUMIF('Budget 12 Mnths'!$A:$A,'Detail 18-19'!$A82,'Budget 12 Mnths'!I:I)</f>
        <v>18.75</v>
      </c>
      <c r="J82" s="56">
        <f>SUMIF('2015-16 12 Mnths'!$A:$A,'Detail 18-19'!$A82,'2015-16 12 Mnths'!I:I)-SUMIF('Budget 12 Mnths'!$A:$A,'Detail 18-19'!$A82,'Budget 12 Mnths'!J:J)</f>
        <v>0</v>
      </c>
      <c r="K82" s="56">
        <f>SUMIF('2015-16 12 Mnths'!$A:$A,'Detail 18-19'!$A82,'2015-16 12 Mnths'!J:J)-SUMIF('Budget 12 Mnths'!$A:$A,'Detail 18-19'!$A82,'Budget 12 Mnths'!K:K)</f>
        <v>0</v>
      </c>
      <c r="L82" s="56">
        <f>SUMIF('2015-16 12 Mnths'!$A:$A,'Detail 18-19'!$A82,'2015-16 12 Mnths'!K:K)-SUMIF('Budget 12 Mnths'!$A:$A,'Detail 18-19'!$A82,'Budget 12 Mnths'!L:L)</f>
        <v>0</v>
      </c>
      <c r="M82" s="56"/>
      <c r="N82" s="56"/>
      <c r="O82" s="56"/>
      <c r="P82" s="56">
        <f t="shared" si="1"/>
        <v>4059.01</v>
      </c>
      <c r="Q82" s="14" t="str">
        <f>+VLOOKUP(A82,Mapping!$A$1:$E$443,5,FALSE)</f>
        <v>Cost of Fundraising</v>
      </c>
      <c r="R82" s="26">
        <f>+SUMIF('Budget 12 Mnths'!$A:$A,'Detail 18-19'!$A82,'Budget 12 Mnths'!$P:$P)</f>
        <v>0</v>
      </c>
      <c r="S82" s="26">
        <f>+SUMIF('2015-16 12 Mnths'!$A:$A,'Detail 18-19'!$A82,'2015-16 12 Mnths'!$O:$O)</f>
        <v>4059.01</v>
      </c>
      <c r="T82" s="57">
        <f t="shared" si="2"/>
        <v>0</v>
      </c>
      <c r="U82" s="57">
        <f t="shared" si="3"/>
        <v>1</v>
      </c>
      <c r="V82" s="8" t="s">
        <v>451</v>
      </c>
      <c r="W82" s="27">
        <v>4000.0</v>
      </c>
      <c r="X82" s="27">
        <f t="shared" si="28"/>
        <v>4000</v>
      </c>
      <c r="Z82" s="57">
        <v>4000.0</v>
      </c>
      <c r="AA82" s="57" t="str">
        <f>IFERROR(+VLOOKUP(A82,Key!$A$1:$C$219,2,FALSE),"NOT FOUND")</f>
        <v>5010-3U</v>
      </c>
      <c r="AB82" s="27">
        <v>4500.0</v>
      </c>
      <c r="AC82" s="27"/>
      <c r="AD82" s="27"/>
      <c r="AE82" s="27"/>
      <c r="AF82" s="27"/>
      <c r="AG82" s="27">
        <v>2000.0</v>
      </c>
      <c r="AH82" s="27">
        <v>2500.0</v>
      </c>
      <c r="AI82" s="27"/>
      <c r="AJ82" s="27"/>
      <c r="AK82" s="27"/>
      <c r="AL82" s="27"/>
      <c r="AM82" s="27"/>
      <c r="AN82" s="27"/>
      <c r="AO82" s="27">
        <f t="shared" si="6"/>
        <v>0</v>
      </c>
    </row>
    <row r="83" ht="15.75" hidden="1" customHeight="1">
      <c r="A83" s="15" t="s">
        <v>302</v>
      </c>
      <c r="B83" s="15" t="s">
        <v>303</v>
      </c>
      <c r="C83" s="15" t="s">
        <v>283</v>
      </c>
      <c r="D83" s="56">
        <f>SUMIF('2015-16 12 Mnths'!$A:$A,'Detail 18-19'!$A83,'2015-16 12 Mnths'!C:C)-SUMIF('Budget 12 Mnths'!$A:$A,'Detail 18-19'!$A83,'Budget 12 Mnths'!D:D)</f>
        <v>0</v>
      </c>
      <c r="E83" s="56">
        <f>SUMIF('2015-16 12 Mnths'!$A:$A,'Detail 18-19'!$A83,'2015-16 12 Mnths'!D:D)-SUMIF('Budget 12 Mnths'!$A:$A,'Detail 18-19'!$A83,'Budget 12 Mnths'!E:E)</f>
        <v>0</v>
      </c>
      <c r="F83" s="56">
        <f>SUMIF('2015-16 12 Mnths'!$A:$A,'Detail 18-19'!$A83,'2015-16 12 Mnths'!E:E)-SUMIF('Budget 12 Mnths'!$A:$A,'Detail 18-19'!$A83,'Budget 12 Mnths'!F:F)</f>
        <v>0</v>
      </c>
      <c r="G83" s="56">
        <f>SUMIF('2015-16 12 Mnths'!$A:$A,'Detail 18-19'!$A83,'2015-16 12 Mnths'!F:F)-SUMIF('Budget 12 Mnths'!$A:$A,'Detail 18-19'!$A83,'Budget 12 Mnths'!G:G)</f>
        <v>0</v>
      </c>
      <c r="H83" s="56">
        <f>SUMIF('2015-16 12 Mnths'!$A:$A,'Detail 18-19'!$A83,'2015-16 12 Mnths'!G:G)-SUMIF('Budget 12 Mnths'!$A:$A,'Detail 18-19'!$A83,'Budget 12 Mnths'!H:H)</f>
        <v>0</v>
      </c>
      <c r="I83" s="56">
        <f>SUMIF('2015-16 12 Mnths'!$A:$A,'Detail 18-19'!$A83,'2015-16 12 Mnths'!H:H)-SUMIF('Budget 12 Mnths'!$A:$A,'Detail 18-19'!$A83,'Budget 12 Mnths'!I:I)</f>
        <v>0</v>
      </c>
      <c r="J83" s="56">
        <f>SUMIF('2015-16 12 Mnths'!$A:$A,'Detail 18-19'!$A83,'2015-16 12 Mnths'!I:I)-SUMIF('Budget 12 Mnths'!$A:$A,'Detail 18-19'!$A83,'Budget 12 Mnths'!J:J)</f>
        <v>0</v>
      </c>
      <c r="K83" s="56">
        <f>SUMIF('2015-16 12 Mnths'!$A:$A,'Detail 18-19'!$A83,'2015-16 12 Mnths'!J:J)-SUMIF('Budget 12 Mnths'!$A:$A,'Detail 18-19'!$A83,'Budget 12 Mnths'!K:K)</f>
        <v>0</v>
      </c>
      <c r="L83" s="56">
        <f>SUMIF('2015-16 12 Mnths'!$A:$A,'Detail 18-19'!$A83,'2015-16 12 Mnths'!K:K)-SUMIF('Budget 12 Mnths'!$A:$A,'Detail 18-19'!$A83,'Budget 12 Mnths'!L:L)</f>
        <v>0</v>
      </c>
      <c r="M83" s="56"/>
      <c r="N83" s="56"/>
      <c r="O83" s="56"/>
      <c r="P83" s="56">
        <f t="shared" si="1"/>
        <v>0</v>
      </c>
      <c r="Q83" s="14" t="str">
        <f>+VLOOKUP(A83,Mapping!$A$1:$E$443,5,FALSE)</f>
        <v>Cost of Fundraising</v>
      </c>
      <c r="R83" s="26">
        <f>+SUMIF('Budget 12 Mnths'!$A:$A,'Detail 18-19'!$A83,'Budget 12 Mnths'!$P:$P)</f>
        <v>0</v>
      </c>
      <c r="S83" s="26">
        <f>+SUMIF('2015-16 12 Mnths'!$A:$A,'Detail 18-19'!$A83,'2015-16 12 Mnths'!$O:$O)</f>
        <v>0</v>
      </c>
      <c r="T83" s="57">
        <f t="shared" si="2"/>
        <v>0</v>
      </c>
      <c r="U83" s="57">
        <f t="shared" si="3"/>
        <v>0</v>
      </c>
      <c r="W83" s="27"/>
      <c r="X83" s="27" t="str">
        <f t="shared" si="28"/>
        <v/>
      </c>
      <c r="Z83" s="57">
        <f>+X83/2</f>
        <v>0</v>
      </c>
      <c r="AA83" s="57" t="str">
        <f>IFERROR(+VLOOKUP(A83,Key!$A$1:$C$219,2,FALSE),"NOT FOUND")</f>
        <v>NOT FOUND</v>
      </c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>
        <f t="shared" si="6"/>
        <v>0</v>
      </c>
    </row>
    <row r="84" ht="15.75" customHeight="1">
      <c r="A84" s="15" t="s">
        <v>304</v>
      </c>
      <c r="B84" s="15" t="s">
        <v>1470</v>
      </c>
      <c r="C84" s="15" t="s">
        <v>283</v>
      </c>
      <c r="D84" s="56">
        <f>SUMIF('2015-16 12 Mnths'!$A:$A,'Detail 18-19'!$A84,'2015-16 12 Mnths'!C:C)-SUMIF('Budget 12 Mnths'!$A:$A,'Detail 18-19'!$A84,'Budget 12 Mnths'!D:D)</f>
        <v>0</v>
      </c>
      <c r="E84" s="56">
        <f>SUMIF('2015-16 12 Mnths'!$A:$A,'Detail 18-19'!$A84,'2015-16 12 Mnths'!D:D)-SUMIF('Budget 12 Mnths'!$A:$A,'Detail 18-19'!$A84,'Budget 12 Mnths'!E:E)</f>
        <v>0</v>
      </c>
      <c r="F84" s="56">
        <f>SUMIF('2015-16 12 Mnths'!$A:$A,'Detail 18-19'!$A84,'2015-16 12 Mnths'!E:E)-SUMIF('Budget 12 Mnths'!$A:$A,'Detail 18-19'!$A84,'Budget 12 Mnths'!F:F)</f>
        <v>0</v>
      </c>
      <c r="G84" s="56">
        <f>SUMIF('2015-16 12 Mnths'!$A:$A,'Detail 18-19'!$A84,'2015-16 12 Mnths'!F:F)-SUMIF('Budget 12 Mnths'!$A:$A,'Detail 18-19'!$A84,'Budget 12 Mnths'!G:G)</f>
        <v>0</v>
      </c>
      <c r="H84" s="56">
        <f>SUMIF('2015-16 12 Mnths'!$A:$A,'Detail 18-19'!$A84,'2015-16 12 Mnths'!G:G)-SUMIF('Budget 12 Mnths'!$A:$A,'Detail 18-19'!$A84,'Budget 12 Mnths'!H:H)</f>
        <v>0</v>
      </c>
      <c r="I84" s="56">
        <f>SUMIF('2015-16 12 Mnths'!$A:$A,'Detail 18-19'!$A84,'2015-16 12 Mnths'!H:H)-SUMIF('Budget 12 Mnths'!$A:$A,'Detail 18-19'!$A84,'Budget 12 Mnths'!I:I)</f>
        <v>0</v>
      </c>
      <c r="J84" s="56">
        <f>SUMIF('2015-16 12 Mnths'!$A:$A,'Detail 18-19'!$A84,'2015-16 12 Mnths'!I:I)-SUMIF('Budget 12 Mnths'!$A:$A,'Detail 18-19'!$A84,'Budget 12 Mnths'!J:J)</f>
        <v>0</v>
      </c>
      <c r="K84" s="56">
        <f>SUMIF('2015-16 12 Mnths'!$A:$A,'Detail 18-19'!$A84,'2015-16 12 Mnths'!J:J)-SUMIF('Budget 12 Mnths'!$A:$A,'Detail 18-19'!$A84,'Budget 12 Mnths'!K:K)</f>
        <v>0</v>
      </c>
      <c r="L84" s="56">
        <f>SUMIF('2015-16 12 Mnths'!$A:$A,'Detail 18-19'!$A84,'2015-16 12 Mnths'!K:K)-SUMIF('Budget 12 Mnths'!$A:$A,'Detail 18-19'!$A84,'Budget 12 Mnths'!L:L)</f>
        <v>0</v>
      </c>
      <c r="M84" s="56"/>
      <c r="N84" s="56"/>
      <c r="O84" s="56"/>
      <c r="P84" s="56">
        <f t="shared" si="1"/>
        <v>0</v>
      </c>
      <c r="Q84" s="14" t="str">
        <f>+VLOOKUP(A84,Mapping!$A$1:$E$443,5,FALSE)</f>
        <v>Cost of Fundraising</v>
      </c>
      <c r="R84" s="26">
        <f>+SUMIF('Budget 12 Mnths'!$A:$A,'Detail 18-19'!$A84,'Budget 12 Mnths'!$P:$P)</f>
        <v>0</v>
      </c>
      <c r="S84" s="26">
        <f>+SUMIF('2015-16 12 Mnths'!$A:$A,'Detail 18-19'!$A84,'2015-16 12 Mnths'!$O:$O)</f>
        <v>0</v>
      </c>
      <c r="T84" s="57">
        <f t="shared" si="2"/>
        <v>0</v>
      </c>
      <c r="U84" s="57">
        <f t="shared" si="3"/>
        <v>0</v>
      </c>
      <c r="W84" s="27">
        <v>20000.0</v>
      </c>
      <c r="X84" s="27">
        <v>0.0</v>
      </c>
      <c r="Y84" s="8" t="s">
        <v>714</v>
      </c>
      <c r="Z84" s="57">
        <v>20000.0</v>
      </c>
      <c r="AA84" s="57" t="str">
        <f>IFERROR(+VLOOKUP(A84,Key!$A$1:$C$219,2,FALSE),"NOT FOUND")</f>
        <v>5010-3U</v>
      </c>
      <c r="AB84" s="27">
        <v>7000.0</v>
      </c>
      <c r="AC84" s="27"/>
      <c r="AD84" s="27"/>
      <c r="AE84" s="27">
        <v>0.0</v>
      </c>
      <c r="AF84" s="27">
        <v>0.0</v>
      </c>
      <c r="AG84" s="27">
        <v>0.0</v>
      </c>
      <c r="AH84" s="27">
        <v>0.0</v>
      </c>
      <c r="AI84" s="27"/>
      <c r="AJ84" s="27"/>
      <c r="AK84" s="27">
        <v>7000.0</v>
      </c>
      <c r="AL84" s="27"/>
      <c r="AM84" s="27"/>
      <c r="AN84" s="27"/>
      <c r="AO84" s="27">
        <f t="shared" si="6"/>
        <v>0</v>
      </c>
    </row>
    <row r="85" ht="15.75" customHeight="1">
      <c r="A85" s="15" t="s">
        <v>306</v>
      </c>
      <c r="B85" s="15" t="s">
        <v>307</v>
      </c>
      <c r="C85" s="15" t="s">
        <v>283</v>
      </c>
      <c r="D85" s="56">
        <f>SUMIF('2015-16 12 Mnths'!$A:$A,'Detail 18-19'!$A85,'2015-16 12 Mnths'!C:C)-SUMIF('Budget 12 Mnths'!$A:$A,'Detail 18-19'!$A85,'Budget 12 Mnths'!D:D)</f>
        <v>0</v>
      </c>
      <c r="E85" s="56">
        <f>SUMIF('2015-16 12 Mnths'!$A:$A,'Detail 18-19'!$A85,'2015-16 12 Mnths'!D:D)-SUMIF('Budget 12 Mnths'!$A:$A,'Detail 18-19'!$A85,'Budget 12 Mnths'!E:E)</f>
        <v>0</v>
      </c>
      <c r="F85" s="56">
        <f>SUMIF('2015-16 12 Mnths'!$A:$A,'Detail 18-19'!$A85,'2015-16 12 Mnths'!E:E)-SUMIF('Budget 12 Mnths'!$A:$A,'Detail 18-19'!$A85,'Budget 12 Mnths'!F:F)</f>
        <v>0</v>
      </c>
      <c r="G85" s="56">
        <f>SUMIF('2015-16 12 Mnths'!$A:$A,'Detail 18-19'!$A85,'2015-16 12 Mnths'!F:F)-SUMIF('Budget 12 Mnths'!$A:$A,'Detail 18-19'!$A85,'Budget 12 Mnths'!G:G)</f>
        <v>0</v>
      </c>
      <c r="H85" s="56">
        <f>SUMIF('2015-16 12 Mnths'!$A:$A,'Detail 18-19'!$A85,'2015-16 12 Mnths'!G:G)-SUMIF('Budget 12 Mnths'!$A:$A,'Detail 18-19'!$A85,'Budget 12 Mnths'!H:H)</f>
        <v>0</v>
      </c>
      <c r="I85" s="56">
        <f>SUMIF('2015-16 12 Mnths'!$A:$A,'Detail 18-19'!$A85,'2015-16 12 Mnths'!H:H)-SUMIF('Budget 12 Mnths'!$A:$A,'Detail 18-19'!$A85,'Budget 12 Mnths'!I:I)</f>
        <v>0</v>
      </c>
      <c r="J85" s="56">
        <f>SUMIF('2015-16 12 Mnths'!$A:$A,'Detail 18-19'!$A85,'2015-16 12 Mnths'!I:I)-SUMIF('Budget 12 Mnths'!$A:$A,'Detail 18-19'!$A85,'Budget 12 Mnths'!J:J)</f>
        <v>45</v>
      </c>
      <c r="K85" s="56">
        <f>SUMIF('2015-16 12 Mnths'!$A:$A,'Detail 18-19'!$A85,'2015-16 12 Mnths'!J:J)-SUMIF('Budget 12 Mnths'!$A:$A,'Detail 18-19'!$A85,'Budget 12 Mnths'!K:K)</f>
        <v>-2400</v>
      </c>
      <c r="L85" s="56">
        <f>SUMIF('2015-16 12 Mnths'!$A:$A,'Detail 18-19'!$A85,'2015-16 12 Mnths'!K:K)-SUMIF('Budget 12 Mnths'!$A:$A,'Detail 18-19'!$A85,'Budget 12 Mnths'!L:L)</f>
        <v>-1783.7</v>
      </c>
      <c r="M85" s="56"/>
      <c r="N85" s="56"/>
      <c r="O85" s="56"/>
      <c r="P85" s="56">
        <f t="shared" si="1"/>
        <v>-4138.7</v>
      </c>
      <c r="Q85" s="14" t="str">
        <f>+VLOOKUP(A85,Mapping!$A$1:$E$443,5,FALSE)</f>
        <v>Cost of Fundraising</v>
      </c>
      <c r="R85" s="26">
        <f>+SUMIF('Budget 12 Mnths'!$A:$A,'Detail 18-19'!$A85,'Budget 12 Mnths'!$P:$P)</f>
        <v>7500</v>
      </c>
      <c r="S85" s="26">
        <f>+SUMIF('2015-16 12 Mnths'!$A:$A,'Detail 18-19'!$A85,'2015-16 12 Mnths'!$O:$O)</f>
        <v>3361.3</v>
      </c>
      <c r="T85" s="57">
        <f t="shared" si="2"/>
        <v>-0.5518266667</v>
      </c>
      <c r="U85" s="57">
        <f t="shared" si="3"/>
        <v>-1.231279564</v>
      </c>
      <c r="V85" s="8" t="s">
        <v>641</v>
      </c>
      <c r="W85" s="27">
        <v>7500.0</v>
      </c>
      <c r="X85" s="27">
        <f t="shared" ref="X85:X93" si="32">+W85</f>
        <v>7500</v>
      </c>
      <c r="Z85" s="57">
        <v>0.0</v>
      </c>
      <c r="AA85" s="57" t="str">
        <f>IFERROR(+VLOOKUP(A85,Key!$A$1:$C$219,2,FALSE),"NOT FOUND")</f>
        <v>5010-3U</v>
      </c>
      <c r="AB85" s="27">
        <v>8000.0</v>
      </c>
      <c r="AC85" s="27"/>
      <c r="AD85" s="27"/>
      <c r="AE85" s="27"/>
      <c r="AF85" s="27"/>
      <c r="AG85" s="27"/>
      <c r="AH85" s="27"/>
      <c r="AI85" s="27">
        <v>1000.0</v>
      </c>
      <c r="AJ85" s="27">
        <v>1500.0</v>
      </c>
      <c r="AK85" s="27">
        <v>5500.0</v>
      </c>
      <c r="AL85" s="27"/>
      <c r="AM85" s="27"/>
      <c r="AN85" s="27"/>
      <c r="AO85" s="27">
        <f t="shared" si="6"/>
        <v>0</v>
      </c>
    </row>
    <row r="86" ht="15.75" hidden="1" customHeight="1">
      <c r="A86" s="15" t="s">
        <v>308</v>
      </c>
      <c r="B86" s="15" t="s">
        <v>309</v>
      </c>
      <c r="C86" s="15" t="s">
        <v>283</v>
      </c>
      <c r="D86" s="56">
        <f>SUMIF('2015-16 12 Mnths'!$A:$A,'Detail 18-19'!$A86,'2015-16 12 Mnths'!C:C)-SUMIF('Budget 12 Mnths'!$A:$A,'Detail 18-19'!$A86,'Budget 12 Mnths'!D:D)</f>
        <v>0</v>
      </c>
      <c r="E86" s="56">
        <f>SUMIF('2015-16 12 Mnths'!$A:$A,'Detail 18-19'!$A86,'2015-16 12 Mnths'!D:D)-SUMIF('Budget 12 Mnths'!$A:$A,'Detail 18-19'!$A86,'Budget 12 Mnths'!E:E)</f>
        <v>0</v>
      </c>
      <c r="F86" s="56">
        <f>SUMIF('2015-16 12 Mnths'!$A:$A,'Detail 18-19'!$A86,'2015-16 12 Mnths'!E:E)-SUMIF('Budget 12 Mnths'!$A:$A,'Detail 18-19'!$A86,'Budget 12 Mnths'!F:F)</f>
        <v>0</v>
      </c>
      <c r="G86" s="56">
        <f>SUMIF('2015-16 12 Mnths'!$A:$A,'Detail 18-19'!$A86,'2015-16 12 Mnths'!F:F)-SUMIF('Budget 12 Mnths'!$A:$A,'Detail 18-19'!$A86,'Budget 12 Mnths'!G:G)</f>
        <v>0</v>
      </c>
      <c r="H86" s="56">
        <f>SUMIF('2015-16 12 Mnths'!$A:$A,'Detail 18-19'!$A86,'2015-16 12 Mnths'!G:G)-SUMIF('Budget 12 Mnths'!$A:$A,'Detail 18-19'!$A86,'Budget 12 Mnths'!H:H)</f>
        <v>0</v>
      </c>
      <c r="I86" s="56">
        <f>SUMIF('2015-16 12 Mnths'!$A:$A,'Detail 18-19'!$A86,'2015-16 12 Mnths'!H:H)-SUMIF('Budget 12 Mnths'!$A:$A,'Detail 18-19'!$A86,'Budget 12 Mnths'!I:I)</f>
        <v>0</v>
      </c>
      <c r="J86" s="56">
        <f>SUMIF('2015-16 12 Mnths'!$A:$A,'Detail 18-19'!$A86,'2015-16 12 Mnths'!I:I)-SUMIF('Budget 12 Mnths'!$A:$A,'Detail 18-19'!$A86,'Budget 12 Mnths'!J:J)</f>
        <v>0</v>
      </c>
      <c r="K86" s="56">
        <f>SUMIF('2015-16 12 Mnths'!$A:$A,'Detail 18-19'!$A86,'2015-16 12 Mnths'!J:J)-SUMIF('Budget 12 Mnths'!$A:$A,'Detail 18-19'!$A86,'Budget 12 Mnths'!K:K)</f>
        <v>0</v>
      </c>
      <c r="L86" s="56">
        <f>SUMIF('2015-16 12 Mnths'!$A:$A,'Detail 18-19'!$A86,'2015-16 12 Mnths'!K:K)-SUMIF('Budget 12 Mnths'!$A:$A,'Detail 18-19'!$A86,'Budget 12 Mnths'!L:L)</f>
        <v>0</v>
      </c>
      <c r="M86" s="56"/>
      <c r="N86" s="56"/>
      <c r="O86" s="56"/>
      <c r="P86" s="56">
        <f t="shared" si="1"/>
        <v>0</v>
      </c>
      <c r="Q86" s="14" t="str">
        <f>+VLOOKUP(A86,Mapping!$A$1:$E$443,5,FALSE)</f>
        <v>Cost of Goods Sold</v>
      </c>
      <c r="R86" s="26">
        <f>+SUMIF('Budget 12 Mnths'!$A:$A,'Detail 18-19'!$A86,'Budget 12 Mnths'!$P:$P)</f>
        <v>0</v>
      </c>
      <c r="S86" s="26">
        <f>+SUMIF('2015-16 12 Mnths'!$A:$A,'Detail 18-19'!$A86,'2015-16 12 Mnths'!$O:$O)</f>
        <v>0</v>
      </c>
      <c r="T86" s="57">
        <f t="shared" si="2"/>
        <v>0</v>
      </c>
      <c r="U86" s="57">
        <f t="shared" si="3"/>
        <v>0</v>
      </c>
      <c r="W86" s="27"/>
      <c r="X86" s="27" t="str">
        <f t="shared" si="32"/>
        <v/>
      </c>
      <c r="Z86" s="57">
        <f t="shared" ref="Z86:Z96" si="33">+X86/2</f>
        <v>0</v>
      </c>
      <c r="AA86" s="57" t="str">
        <f>IFERROR(+VLOOKUP(A86,Key!$A$1:$C$219,2,FALSE),"NOT FOUND")</f>
        <v>5015-1U</v>
      </c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>
        <f t="shared" si="6"/>
        <v>0</v>
      </c>
    </row>
    <row r="87" ht="15.75" hidden="1" customHeight="1">
      <c r="A87" s="15" t="s">
        <v>310</v>
      </c>
      <c r="B87" s="15" t="s">
        <v>311</v>
      </c>
      <c r="C87" s="15" t="s">
        <v>283</v>
      </c>
      <c r="D87" s="56">
        <f>SUMIF('2015-16 12 Mnths'!$A:$A,'Detail 18-19'!$A87,'2015-16 12 Mnths'!C:C)-SUMIF('Budget 12 Mnths'!$A:$A,'Detail 18-19'!$A87,'Budget 12 Mnths'!D:D)</f>
        <v>0</v>
      </c>
      <c r="E87" s="56">
        <f>SUMIF('2015-16 12 Mnths'!$A:$A,'Detail 18-19'!$A87,'2015-16 12 Mnths'!D:D)-SUMIF('Budget 12 Mnths'!$A:$A,'Detail 18-19'!$A87,'Budget 12 Mnths'!E:E)</f>
        <v>0</v>
      </c>
      <c r="F87" s="56">
        <f>SUMIF('2015-16 12 Mnths'!$A:$A,'Detail 18-19'!$A87,'2015-16 12 Mnths'!E:E)-SUMIF('Budget 12 Mnths'!$A:$A,'Detail 18-19'!$A87,'Budget 12 Mnths'!F:F)</f>
        <v>0</v>
      </c>
      <c r="G87" s="56">
        <f>SUMIF('2015-16 12 Mnths'!$A:$A,'Detail 18-19'!$A87,'2015-16 12 Mnths'!F:F)-SUMIF('Budget 12 Mnths'!$A:$A,'Detail 18-19'!$A87,'Budget 12 Mnths'!G:G)</f>
        <v>0</v>
      </c>
      <c r="H87" s="56">
        <f>SUMIF('2015-16 12 Mnths'!$A:$A,'Detail 18-19'!$A87,'2015-16 12 Mnths'!G:G)-SUMIF('Budget 12 Mnths'!$A:$A,'Detail 18-19'!$A87,'Budget 12 Mnths'!H:H)</f>
        <v>0</v>
      </c>
      <c r="I87" s="56">
        <f>SUMIF('2015-16 12 Mnths'!$A:$A,'Detail 18-19'!$A87,'2015-16 12 Mnths'!H:H)-SUMIF('Budget 12 Mnths'!$A:$A,'Detail 18-19'!$A87,'Budget 12 Mnths'!I:I)</f>
        <v>0</v>
      </c>
      <c r="J87" s="56">
        <f>SUMIF('2015-16 12 Mnths'!$A:$A,'Detail 18-19'!$A87,'2015-16 12 Mnths'!I:I)-SUMIF('Budget 12 Mnths'!$A:$A,'Detail 18-19'!$A87,'Budget 12 Mnths'!J:J)</f>
        <v>0</v>
      </c>
      <c r="K87" s="56">
        <f>SUMIF('2015-16 12 Mnths'!$A:$A,'Detail 18-19'!$A87,'2015-16 12 Mnths'!J:J)-SUMIF('Budget 12 Mnths'!$A:$A,'Detail 18-19'!$A87,'Budget 12 Mnths'!K:K)</f>
        <v>0</v>
      </c>
      <c r="L87" s="56">
        <f>SUMIF('2015-16 12 Mnths'!$A:$A,'Detail 18-19'!$A87,'2015-16 12 Mnths'!K:K)-SUMIF('Budget 12 Mnths'!$A:$A,'Detail 18-19'!$A87,'Budget 12 Mnths'!L:L)</f>
        <v>0</v>
      </c>
      <c r="M87" s="56"/>
      <c r="N87" s="56"/>
      <c r="O87" s="56"/>
      <c r="P87" s="56">
        <f t="shared" si="1"/>
        <v>0</v>
      </c>
      <c r="Q87" s="14" t="str">
        <f>+VLOOKUP(A87,Mapping!$A$1:$E$443,5,FALSE)</f>
        <v>Cost of Goods Sold</v>
      </c>
      <c r="R87" s="26">
        <f>+SUMIF('Budget 12 Mnths'!$A:$A,'Detail 18-19'!$A87,'Budget 12 Mnths'!$P:$P)</f>
        <v>0</v>
      </c>
      <c r="S87" s="26">
        <f>+SUMIF('2015-16 12 Mnths'!$A:$A,'Detail 18-19'!$A87,'2015-16 12 Mnths'!$O:$O)</f>
        <v>0</v>
      </c>
      <c r="T87" s="57">
        <f t="shared" si="2"/>
        <v>0</v>
      </c>
      <c r="U87" s="57">
        <f t="shared" si="3"/>
        <v>0</v>
      </c>
      <c r="W87" s="27"/>
      <c r="X87" s="27" t="str">
        <f t="shared" si="32"/>
        <v/>
      </c>
      <c r="Z87" s="57">
        <f t="shared" si="33"/>
        <v>0</v>
      </c>
      <c r="AA87" s="57" t="str">
        <f>IFERROR(+VLOOKUP(A87,Key!$A$1:$C$219,2,FALSE),"NOT FOUND")</f>
        <v>NOT FOUND</v>
      </c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>
        <f t="shared" si="6"/>
        <v>0</v>
      </c>
    </row>
    <row r="88" ht="15.75" hidden="1" customHeight="1">
      <c r="A88" s="15" t="s">
        <v>313</v>
      </c>
      <c r="B88" s="15" t="s">
        <v>314</v>
      </c>
      <c r="C88" s="15" t="s">
        <v>283</v>
      </c>
      <c r="D88" s="56">
        <f>SUMIF('2015-16 12 Mnths'!$A:$A,'Detail 18-19'!$A88,'2015-16 12 Mnths'!C:C)-SUMIF('Budget 12 Mnths'!$A:$A,'Detail 18-19'!$A88,'Budget 12 Mnths'!D:D)</f>
        <v>0</v>
      </c>
      <c r="E88" s="56">
        <f>SUMIF('2015-16 12 Mnths'!$A:$A,'Detail 18-19'!$A88,'2015-16 12 Mnths'!D:D)-SUMIF('Budget 12 Mnths'!$A:$A,'Detail 18-19'!$A88,'Budget 12 Mnths'!E:E)</f>
        <v>0</v>
      </c>
      <c r="F88" s="56">
        <f>SUMIF('2015-16 12 Mnths'!$A:$A,'Detail 18-19'!$A88,'2015-16 12 Mnths'!E:E)-SUMIF('Budget 12 Mnths'!$A:$A,'Detail 18-19'!$A88,'Budget 12 Mnths'!F:F)</f>
        <v>0</v>
      </c>
      <c r="G88" s="56">
        <f>SUMIF('2015-16 12 Mnths'!$A:$A,'Detail 18-19'!$A88,'2015-16 12 Mnths'!F:F)-SUMIF('Budget 12 Mnths'!$A:$A,'Detail 18-19'!$A88,'Budget 12 Mnths'!G:G)</f>
        <v>0</v>
      </c>
      <c r="H88" s="56">
        <f>SUMIF('2015-16 12 Mnths'!$A:$A,'Detail 18-19'!$A88,'2015-16 12 Mnths'!G:G)-SUMIF('Budget 12 Mnths'!$A:$A,'Detail 18-19'!$A88,'Budget 12 Mnths'!H:H)</f>
        <v>0</v>
      </c>
      <c r="I88" s="56">
        <f>SUMIF('2015-16 12 Mnths'!$A:$A,'Detail 18-19'!$A88,'2015-16 12 Mnths'!H:H)-SUMIF('Budget 12 Mnths'!$A:$A,'Detail 18-19'!$A88,'Budget 12 Mnths'!I:I)</f>
        <v>0</v>
      </c>
      <c r="J88" s="56">
        <f>SUMIF('2015-16 12 Mnths'!$A:$A,'Detail 18-19'!$A88,'2015-16 12 Mnths'!I:I)-SUMIF('Budget 12 Mnths'!$A:$A,'Detail 18-19'!$A88,'Budget 12 Mnths'!J:J)</f>
        <v>0</v>
      </c>
      <c r="K88" s="56">
        <f>SUMIF('2015-16 12 Mnths'!$A:$A,'Detail 18-19'!$A88,'2015-16 12 Mnths'!J:J)-SUMIF('Budget 12 Mnths'!$A:$A,'Detail 18-19'!$A88,'Budget 12 Mnths'!K:K)</f>
        <v>0</v>
      </c>
      <c r="L88" s="56">
        <f>SUMIF('2015-16 12 Mnths'!$A:$A,'Detail 18-19'!$A88,'2015-16 12 Mnths'!K:K)-SUMIF('Budget 12 Mnths'!$A:$A,'Detail 18-19'!$A88,'Budget 12 Mnths'!L:L)</f>
        <v>0</v>
      </c>
      <c r="M88" s="56"/>
      <c r="N88" s="56"/>
      <c r="O88" s="56"/>
      <c r="P88" s="56">
        <f t="shared" si="1"/>
        <v>0</v>
      </c>
      <c r="Q88" s="14" t="str">
        <f>+VLOOKUP(A88,Mapping!$A$1:$E$443,5,FALSE)</f>
        <v>Cost of Goods Sold</v>
      </c>
      <c r="R88" s="26">
        <f>+SUMIF('Budget 12 Mnths'!$A:$A,'Detail 18-19'!$A88,'Budget 12 Mnths'!$P:$P)</f>
        <v>0</v>
      </c>
      <c r="S88" s="26">
        <f>+SUMIF('2015-16 12 Mnths'!$A:$A,'Detail 18-19'!$A88,'2015-16 12 Mnths'!$O:$O)</f>
        <v>0</v>
      </c>
      <c r="T88" s="57">
        <f t="shared" si="2"/>
        <v>0</v>
      </c>
      <c r="U88" s="57">
        <f t="shared" si="3"/>
        <v>0</v>
      </c>
      <c r="W88" s="27"/>
      <c r="X88" s="27" t="str">
        <f t="shared" si="32"/>
        <v/>
      </c>
      <c r="Z88" s="57">
        <f t="shared" si="33"/>
        <v>0</v>
      </c>
      <c r="AA88" s="57" t="str">
        <f>IFERROR(+VLOOKUP(A88,Key!$A$1:$C$219,2,FALSE),"NOT FOUND")</f>
        <v>NOT FOUND</v>
      </c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>
        <f t="shared" si="6"/>
        <v>0</v>
      </c>
    </row>
    <row r="89" ht="15.75" hidden="1" customHeight="1">
      <c r="A89" s="15" t="s">
        <v>315</v>
      </c>
      <c r="B89" s="15" t="s">
        <v>316</v>
      </c>
      <c r="C89" s="15" t="s">
        <v>283</v>
      </c>
      <c r="D89" s="56">
        <f>SUMIF('2015-16 12 Mnths'!$A:$A,'Detail 18-19'!$A89,'2015-16 12 Mnths'!C:C)-SUMIF('Budget 12 Mnths'!$A:$A,'Detail 18-19'!$A89,'Budget 12 Mnths'!D:D)</f>
        <v>0</v>
      </c>
      <c r="E89" s="56">
        <f>SUMIF('2015-16 12 Mnths'!$A:$A,'Detail 18-19'!$A89,'2015-16 12 Mnths'!D:D)-SUMIF('Budget 12 Mnths'!$A:$A,'Detail 18-19'!$A89,'Budget 12 Mnths'!E:E)</f>
        <v>0</v>
      </c>
      <c r="F89" s="56">
        <f>SUMIF('2015-16 12 Mnths'!$A:$A,'Detail 18-19'!$A89,'2015-16 12 Mnths'!E:E)-SUMIF('Budget 12 Mnths'!$A:$A,'Detail 18-19'!$A89,'Budget 12 Mnths'!F:F)</f>
        <v>0</v>
      </c>
      <c r="G89" s="56">
        <f>SUMIF('2015-16 12 Mnths'!$A:$A,'Detail 18-19'!$A89,'2015-16 12 Mnths'!F:F)-SUMIF('Budget 12 Mnths'!$A:$A,'Detail 18-19'!$A89,'Budget 12 Mnths'!G:G)</f>
        <v>0</v>
      </c>
      <c r="H89" s="56">
        <f>SUMIF('2015-16 12 Mnths'!$A:$A,'Detail 18-19'!$A89,'2015-16 12 Mnths'!G:G)-SUMIF('Budget 12 Mnths'!$A:$A,'Detail 18-19'!$A89,'Budget 12 Mnths'!H:H)</f>
        <v>0</v>
      </c>
      <c r="I89" s="56">
        <f>SUMIF('2015-16 12 Mnths'!$A:$A,'Detail 18-19'!$A89,'2015-16 12 Mnths'!H:H)-SUMIF('Budget 12 Mnths'!$A:$A,'Detail 18-19'!$A89,'Budget 12 Mnths'!I:I)</f>
        <v>0</v>
      </c>
      <c r="J89" s="56">
        <f>SUMIF('2015-16 12 Mnths'!$A:$A,'Detail 18-19'!$A89,'2015-16 12 Mnths'!I:I)-SUMIF('Budget 12 Mnths'!$A:$A,'Detail 18-19'!$A89,'Budget 12 Mnths'!J:J)</f>
        <v>0</v>
      </c>
      <c r="K89" s="56">
        <f>SUMIF('2015-16 12 Mnths'!$A:$A,'Detail 18-19'!$A89,'2015-16 12 Mnths'!J:J)-SUMIF('Budget 12 Mnths'!$A:$A,'Detail 18-19'!$A89,'Budget 12 Mnths'!K:K)</f>
        <v>0</v>
      </c>
      <c r="L89" s="56">
        <f>SUMIF('2015-16 12 Mnths'!$A:$A,'Detail 18-19'!$A89,'2015-16 12 Mnths'!K:K)-SUMIF('Budget 12 Mnths'!$A:$A,'Detail 18-19'!$A89,'Budget 12 Mnths'!L:L)</f>
        <v>0</v>
      </c>
      <c r="M89" s="56"/>
      <c r="N89" s="56"/>
      <c r="O89" s="56"/>
      <c r="P89" s="56">
        <f t="shared" si="1"/>
        <v>0</v>
      </c>
      <c r="Q89" s="14" t="str">
        <f>+VLOOKUP(A89,Mapping!$A$1:$E$443,5,FALSE)</f>
        <v>Cost of Goods Sold</v>
      </c>
      <c r="R89" s="26">
        <f>+SUMIF('Budget 12 Mnths'!$A:$A,'Detail 18-19'!$A89,'Budget 12 Mnths'!$P:$P)</f>
        <v>0</v>
      </c>
      <c r="S89" s="26">
        <f>+SUMIF('2015-16 12 Mnths'!$A:$A,'Detail 18-19'!$A89,'2015-16 12 Mnths'!$O:$O)</f>
        <v>0</v>
      </c>
      <c r="T89" s="57">
        <f t="shared" si="2"/>
        <v>0</v>
      </c>
      <c r="U89" s="57">
        <f t="shared" si="3"/>
        <v>0</v>
      </c>
      <c r="W89" s="27"/>
      <c r="X89" s="27" t="str">
        <f t="shared" si="32"/>
        <v/>
      </c>
      <c r="Z89" s="57">
        <f t="shared" si="33"/>
        <v>0</v>
      </c>
      <c r="AA89" s="57" t="str">
        <f>IFERROR(+VLOOKUP(A89,Key!$A$1:$C$219,2,FALSE),"NOT FOUND")</f>
        <v>NOT FOUND</v>
      </c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>
        <f t="shared" si="6"/>
        <v>0</v>
      </c>
    </row>
    <row r="90" ht="15.75" hidden="1" customHeight="1">
      <c r="A90" s="15" t="s">
        <v>317</v>
      </c>
      <c r="B90" s="15" t="s">
        <v>318</v>
      </c>
      <c r="C90" s="15" t="s">
        <v>283</v>
      </c>
      <c r="D90" s="56">
        <f>SUMIF('2015-16 12 Mnths'!$A:$A,'Detail 18-19'!$A90,'2015-16 12 Mnths'!C:C)-SUMIF('Budget 12 Mnths'!$A:$A,'Detail 18-19'!$A90,'Budget 12 Mnths'!D:D)</f>
        <v>0</v>
      </c>
      <c r="E90" s="56">
        <f>SUMIF('2015-16 12 Mnths'!$A:$A,'Detail 18-19'!$A90,'2015-16 12 Mnths'!D:D)-SUMIF('Budget 12 Mnths'!$A:$A,'Detail 18-19'!$A90,'Budget 12 Mnths'!E:E)</f>
        <v>0</v>
      </c>
      <c r="F90" s="56">
        <f>SUMIF('2015-16 12 Mnths'!$A:$A,'Detail 18-19'!$A90,'2015-16 12 Mnths'!E:E)-SUMIF('Budget 12 Mnths'!$A:$A,'Detail 18-19'!$A90,'Budget 12 Mnths'!F:F)</f>
        <v>0</v>
      </c>
      <c r="G90" s="56">
        <f>SUMIF('2015-16 12 Mnths'!$A:$A,'Detail 18-19'!$A90,'2015-16 12 Mnths'!F:F)-SUMIF('Budget 12 Mnths'!$A:$A,'Detail 18-19'!$A90,'Budget 12 Mnths'!G:G)</f>
        <v>0</v>
      </c>
      <c r="H90" s="56">
        <f>SUMIF('2015-16 12 Mnths'!$A:$A,'Detail 18-19'!$A90,'2015-16 12 Mnths'!G:G)-SUMIF('Budget 12 Mnths'!$A:$A,'Detail 18-19'!$A90,'Budget 12 Mnths'!H:H)</f>
        <v>0</v>
      </c>
      <c r="I90" s="56">
        <f>SUMIF('2015-16 12 Mnths'!$A:$A,'Detail 18-19'!$A90,'2015-16 12 Mnths'!H:H)-SUMIF('Budget 12 Mnths'!$A:$A,'Detail 18-19'!$A90,'Budget 12 Mnths'!I:I)</f>
        <v>0</v>
      </c>
      <c r="J90" s="56">
        <f>SUMIF('2015-16 12 Mnths'!$A:$A,'Detail 18-19'!$A90,'2015-16 12 Mnths'!I:I)-SUMIF('Budget 12 Mnths'!$A:$A,'Detail 18-19'!$A90,'Budget 12 Mnths'!J:J)</f>
        <v>0</v>
      </c>
      <c r="K90" s="56">
        <f>SUMIF('2015-16 12 Mnths'!$A:$A,'Detail 18-19'!$A90,'2015-16 12 Mnths'!J:J)-SUMIF('Budget 12 Mnths'!$A:$A,'Detail 18-19'!$A90,'Budget 12 Mnths'!K:K)</f>
        <v>0</v>
      </c>
      <c r="L90" s="56">
        <f>SUMIF('2015-16 12 Mnths'!$A:$A,'Detail 18-19'!$A90,'2015-16 12 Mnths'!K:K)-SUMIF('Budget 12 Mnths'!$A:$A,'Detail 18-19'!$A90,'Budget 12 Mnths'!L:L)</f>
        <v>0</v>
      </c>
      <c r="M90" s="56"/>
      <c r="N90" s="56"/>
      <c r="O90" s="56"/>
      <c r="P90" s="56">
        <f t="shared" si="1"/>
        <v>0</v>
      </c>
      <c r="Q90" s="14" t="str">
        <f>+VLOOKUP(A90,Mapping!$A$1:$E$443,5,FALSE)</f>
        <v>Cost of Goods Sold</v>
      </c>
      <c r="R90" s="26">
        <f>+SUMIF('Budget 12 Mnths'!$A:$A,'Detail 18-19'!$A90,'Budget 12 Mnths'!$P:$P)</f>
        <v>0</v>
      </c>
      <c r="S90" s="26">
        <f>+SUMIF('2015-16 12 Mnths'!$A:$A,'Detail 18-19'!$A90,'2015-16 12 Mnths'!$O:$O)</f>
        <v>0</v>
      </c>
      <c r="T90" s="57">
        <f t="shared" si="2"/>
        <v>0</v>
      </c>
      <c r="U90" s="57">
        <f t="shared" si="3"/>
        <v>0</v>
      </c>
      <c r="W90" s="27"/>
      <c r="X90" s="27" t="str">
        <f t="shared" si="32"/>
        <v/>
      </c>
      <c r="Z90" s="57">
        <f t="shared" si="33"/>
        <v>0</v>
      </c>
      <c r="AA90" s="57" t="str">
        <f>IFERROR(+VLOOKUP(A90,Key!$A$1:$C$219,2,FALSE),"NOT FOUND")</f>
        <v>NOT FOUND</v>
      </c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>
        <f t="shared" si="6"/>
        <v>0</v>
      </c>
    </row>
    <row r="91" ht="15.75" hidden="1" customHeight="1">
      <c r="A91" s="15" t="s">
        <v>320</v>
      </c>
      <c r="B91" s="15" t="s">
        <v>321</v>
      </c>
      <c r="C91" s="15" t="s">
        <v>283</v>
      </c>
      <c r="D91" s="56">
        <f>SUMIF('2015-16 12 Mnths'!$A:$A,'Detail 18-19'!$A91,'2015-16 12 Mnths'!C:C)-SUMIF('Budget 12 Mnths'!$A:$A,'Detail 18-19'!$A91,'Budget 12 Mnths'!D:D)</f>
        <v>0</v>
      </c>
      <c r="E91" s="56">
        <f>SUMIF('2015-16 12 Mnths'!$A:$A,'Detail 18-19'!$A91,'2015-16 12 Mnths'!D:D)-SUMIF('Budget 12 Mnths'!$A:$A,'Detail 18-19'!$A91,'Budget 12 Mnths'!E:E)</f>
        <v>0</v>
      </c>
      <c r="F91" s="56">
        <f>SUMIF('2015-16 12 Mnths'!$A:$A,'Detail 18-19'!$A91,'2015-16 12 Mnths'!E:E)-SUMIF('Budget 12 Mnths'!$A:$A,'Detail 18-19'!$A91,'Budget 12 Mnths'!F:F)</f>
        <v>0</v>
      </c>
      <c r="G91" s="56">
        <f>SUMIF('2015-16 12 Mnths'!$A:$A,'Detail 18-19'!$A91,'2015-16 12 Mnths'!F:F)-SUMIF('Budget 12 Mnths'!$A:$A,'Detail 18-19'!$A91,'Budget 12 Mnths'!G:G)</f>
        <v>0</v>
      </c>
      <c r="H91" s="56">
        <f>SUMIF('2015-16 12 Mnths'!$A:$A,'Detail 18-19'!$A91,'2015-16 12 Mnths'!G:G)-SUMIF('Budget 12 Mnths'!$A:$A,'Detail 18-19'!$A91,'Budget 12 Mnths'!H:H)</f>
        <v>0</v>
      </c>
      <c r="I91" s="56">
        <f>SUMIF('2015-16 12 Mnths'!$A:$A,'Detail 18-19'!$A91,'2015-16 12 Mnths'!H:H)-SUMIF('Budget 12 Mnths'!$A:$A,'Detail 18-19'!$A91,'Budget 12 Mnths'!I:I)</f>
        <v>0</v>
      </c>
      <c r="J91" s="56">
        <f>SUMIF('2015-16 12 Mnths'!$A:$A,'Detail 18-19'!$A91,'2015-16 12 Mnths'!I:I)-SUMIF('Budget 12 Mnths'!$A:$A,'Detail 18-19'!$A91,'Budget 12 Mnths'!J:J)</f>
        <v>0</v>
      </c>
      <c r="K91" s="56">
        <f>SUMIF('2015-16 12 Mnths'!$A:$A,'Detail 18-19'!$A91,'2015-16 12 Mnths'!J:J)-SUMIF('Budget 12 Mnths'!$A:$A,'Detail 18-19'!$A91,'Budget 12 Mnths'!K:K)</f>
        <v>0</v>
      </c>
      <c r="L91" s="56">
        <f>SUMIF('2015-16 12 Mnths'!$A:$A,'Detail 18-19'!$A91,'2015-16 12 Mnths'!K:K)-SUMIF('Budget 12 Mnths'!$A:$A,'Detail 18-19'!$A91,'Budget 12 Mnths'!L:L)</f>
        <v>0</v>
      </c>
      <c r="M91" s="56"/>
      <c r="N91" s="56"/>
      <c r="O91" s="56"/>
      <c r="P91" s="56">
        <f t="shared" si="1"/>
        <v>0</v>
      </c>
      <c r="Q91" s="14" t="str">
        <f>+VLOOKUP(A91,Mapping!$A$1:$E$443,5,FALSE)</f>
        <v>Cost of Goods Sold</v>
      </c>
      <c r="R91" s="26">
        <f>+SUMIF('Budget 12 Mnths'!$A:$A,'Detail 18-19'!$A91,'Budget 12 Mnths'!$P:$P)</f>
        <v>0</v>
      </c>
      <c r="S91" s="26">
        <f>+SUMIF('2015-16 12 Mnths'!$A:$A,'Detail 18-19'!$A91,'2015-16 12 Mnths'!$O:$O)</f>
        <v>0</v>
      </c>
      <c r="T91" s="57">
        <f t="shared" si="2"/>
        <v>0</v>
      </c>
      <c r="U91" s="57">
        <f t="shared" si="3"/>
        <v>0</v>
      </c>
      <c r="W91" s="27"/>
      <c r="X91" s="27" t="str">
        <f t="shared" si="32"/>
        <v/>
      </c>
      <c r="Z91" s="57">
        <f t="shared" si="33"/>
        <v>0</v>
      </c>
      <c r="AA91" s="57" t="str">
        <f>IFERROR(+VLOOKUP(A91,Key!$A$1:$C$219,2,FALSE),"NOT FOUND")</f>
        <v>NOT FOUND</v>
      </c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>
        <f t="shared" si="6"/>
        <v>0</v>
      </c>
    </row>
    <row r="92" ht="15.75" hidden="1" customHeight="1">
      <c r="A92" s="15" t="s">
        <v>323</v>
      </c>
      <c r="B92" s="15" t="s">
        <v>324</v>
      </c>
      <c r="C92" s="15" t="s">
        <v>283</v>
      </c>
      <c r="D92" s="56">
        <f>SUMIF('2015-16 12 Mnths'!$A:$A,'Detail 18-19'!$A92,'2015-16 12 Mnths'!C:C)-SUMIF('Budget 12 Mnths'!$A:$A,'Detail 18-19'!$A92,'Budget 12 Mnths'!D:D)</f>
        <v>0</v>
      </c>
      <c r="E92" s="56">
        <f>SUMIF('2015-16 12 Mnths'!$A:$A,'Detail 18-19'!$A92,'2015-16 12 Mnths'!D:D)-SUMIF('Budget 12 Mnths'!$A:$A,'Detail 18-19'!$A92,'Budget 12 Mnths'!E:E)</f>
        <v>0</v>
      </c>
      <c r="F92" s="56">
        <f>SUMIF('2015-16 12 Mnths'!$A:$A,'Detail 18-19'!$A92,'2015-16 12 Mnths'!E:E)-SUMIF('Budget 12 Mnths'!$A:$A,'Detail 18-19'!$A92,'Budget 12 Mnths'!F:F)</f>
        <v>0</v>
      </c>
      <c r="G92" s="56">
        <f>SUMIF('2015-16 12 Mnths'!$A:$A,'Detail 18-19'!$A92,'2015-16 12 Mnths'!F:F)-SUMIF('Budget 12 Mnths'!$A:$A,'Detail 18-19'!$A92,'Budget 12 Mnths'!G:G)</f>
        <v>0</v>
      </c>
      <c r="H92" s="56">
        <f>SUMIF('2015-16 12 Mnths'!$A:$A,'Detail 18-19'!$A92,'2015-16 12 Mnths'!G:G)-SUMIF('Budget 12 Mnths'!$A:$A,'Detail 18-19'!$A92,'Budget 12 Mnths'!H:H)</f>
        <v>0</v>
      </c>
      <c r="I92" s="56">
        <f>SUMIF('2015-16 12 Mnths'!$A:$A,'Detail 18-19'!$A92,'2015-16 12 Mnths'!H:H)-SUMIF('Budget 12 Mnths'!$A:$A,'Detail 18-19'!$A92,'Budget 12 Mnths'!I:I)</f>
        <v>0</v>
      </c>
      <c r="J92" s="56">
        <f>SUMIF('2015-16 12 Mnths'!$A:$A,'Detail 18-19'!$A92,'2015-16 12 Mnths'!I:I)-SUMIF('Budget 12 Mnths'!$A:$A,'Detail 18-19'!$A92,'Budget 12 Mnths'!J:J)</f>
        <v>0</v>
      </c>
      <c r="K92" s="56">
        <f>SUMIF('2015-16 12 Mnths'!$A:$A,'Detail 18-19'!$A92,'2015-16 12 Mnths'!J:J)-SUMIF('Budget 12 Mnths'!$A:$A,'Detail 18-19'!$A92,'Budget 12 Mnths'!K:K)</f>
        <v>0</v>
      </c>
      <c r="L92" s="56">
        <f>SUMIF('2015-16 12 Mnths'!$A:$A,'Detail 18-19'!$A92,'2015-16 12 Mnths'!K:K)-SUMIF('Budget 12 Mnths'!$A:$A,'Detail 18-19'!$A92,'Budget 12 Mnths'!L:L)</f>
        <v>0</v>
      </c>
      <c r="M92" s="56"/>
      <c r="N92" s="56"/>
      <c r="O92" s="56"/>
      <c r="P92" s="56">
        <f t="shared" si="1"/>
        <v>0</v>
      </c>
      <c r="Q92" s="14" t="str">
        <f>+VLOOKUP(A92,Mapping!$A$1:$E$443,5,FALSE)</f>
        <v>Cost of Goods Sold</v>
      </c>
      <c r="R92" s="26">
        <f>+SUMIF('Budget 12 Mnths'!$A:$A,'Detail 18-19'!$A92,'Budget 12 Mnths'!$P:$P)</f>
        <v>0</v>
      </c>
      <c r="S92" s="26">
        <f>+SUMIF('2015-16 12 Mnths'!$A:$A,'Detail 18-19'!$A92,'2015-16 12 Mnths'!$O:$O)</f>
        <v>0</v>
      </c>
      <c r="T92" s="57">
        <f t="shared" si="2"/>
        <v>0</v>
      </c>
      <c r="U92" s="57">
        <f t="shared" si="3"/>
        <v>0</v>
      </c>
      <c r="W92" s="27"/>
      <c r="X92" s="27" t="str">
        <f t="shared" si="32"/>
        <v/>
      </c>
      <c r="Z92" s="57">
        <f t="shared" si="33"/>
        <v>0</v>
      </c>
      <c r="AA92" s="57" t="str">
        <f>IFERROR(+VLOOKUP(A92,Key!$A$1:$C$219,2,FALSE),"NOT FOUND")</f>
        <v>NOT FOUND</v>
      </c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>
        <f t="shared" si="6"/>
        <v>0</v>
      </c>
    </row>
    <row r="93" ht="15.75" hidden="1" customHeight="1">
      <c r="A93" s="15" t="s">
        <v>325</v>
      </c>
      <c r="B93" s="15" t="s">
        <v>326</v>
      </c>
      <c r="C93" s="15" t="s">
        <v>283</v>
      </c>
      <c r="D93" s="56">
        <f>SUMIF('2015-16 12 Mnths'!$A:$A,'Detail 18-19'!$A93,'2015-16 12 Mnths'!C:C)-SUMIF('Budget 12 Mnths'!$A:$A,'Detail 18-19'!$A93,'Budget 12 Mnths'!D:D)</f>
        <v>0</v>
      </c>
      <c r="E93" s="56">
        <f>SUMIF('2015-16 12 Mnths'!$A:$A,'Detail 18-19'!$A93,'2015-16 12 Mnths'!D:D)-SUMIF('Budget 12 Mnths'!$A:$A,'Detail 18-19'!$A93,'Budget 12 Mnths'!E:E)</f>
        <v>0</v>
      </c>
      <c r="F93" s="56">
        <f>SUMIF('2015-16 12 Mnths'!$A:$A,'Detail 18-19'!$A93,'2015-16 12 Mnths'!E:E)-SUMIF('Budget 12 Mnths'!$A:$A,'Detail 18-19'!$A93,'Budget 12 Mnths'!F:F)</f>
        <v>0</v>
      </c>
      <c r="G93" s="56">
        <f>SUMIF('2015-16 12 Mnths'!$A:$A,'Detail 18-19'!$A93,'2015-16 12 Mnths'!F:F)-SUMIF('Budget 12 Mnths'!$A:$A,'Detail 18-19'!$A93,'Budget 12 Mnths'!G:G)</f>
        <v>0</v>
      </c>
      <c r="H93" s="56">
        <f>SUMIF('2015-16 12 Mnths'!$A:$A,'Detail 18-19'!$A93,'2015-16 12 Mnths'!G:G)-SUMIF('Budget 12 Mnths'!$A:$A,'Detail 18-19'!$A93,'Budget 12 Mnths'!H:H)</f>
        <v>0</v>
      </c>
      <c r="I93" s="56">
        <f>SUMIF('2015-16 12 Mnths'!$A:$A,'Detail 18-19'!$A93,'2015-16 12 Mnths'!H:H)-SUMIF('Budget 12 Mnths'!$A:$A,'Detail 18-19'!$A93,'Budget 12 Mnths'!I:I)</f>
        <v>0</v>
      </c>
      <c r="J93" s="56">
        <f>SUMIF('2015-16 12 Mnths'!$A:$A,'Detail 18-19'!$A93,'2015-16 12 Mnths'!I:I)-SUMIF('Budget 12 Mnths'!$A:$A,'Detail 18-19'!$A93,'Budget 12 Mnths'!J:J)</f>
        <v>0</v>
      </c>
      <c r="K93" s="56">
        <f>SUMIF('2015-16 12 Mnths'!$A:$A,'Detail 18-19'!$A93,'2015-16 12 Mnths'!J:J)-SUMIF('Budget 12 Mnths'!$A:$A,'Detail 18-19'!$A93,'Budget 12 Mnths'!K:K)</f>
        <v>0</v>
      </c>
      <c r="L93" s="56">
        <f>SUMIF('2015-16 12 Mnths'!$A:$A,'Detail 18-19'!$A93,'2015-16 12 Mnths'!K:K)-SUMIF('Budget 12 Mnths'!$A:$A,'Detail 18-19'!$A93,'Budget 12 Mnths'!L:L)</f>
        <v>0</v>
      </c>
      <c r="M93" s="56"/>
      <c r="N93" s="56"/>
      <c r="O93" s="56"/>
      <c r="P93" s="56">
        <f t="shared" si="1"/>
        <v>0</v>
      </c>
      <c r="Q93" s="14" t="str">
        <f>+VLOOKUP(A93,Mapping!$A$1:$E$443,5,FALSE)</f>
        <v>Cost of Goods Sold</v>
      </c>
      <c r="R93" s="26">
        <f>+SUMIF('Budget 12 Mnths'!$A:$A,'Detail 18-19'!$A93,'Budget 12 Mnths'!$P:$P)</f>
        <v>0</v>
      </c>
      <c r="S93" s="26">
        <f>+SUMIF('2015-16 12 Mnths'!$A:$A,'Detail 18-19'!$A93,'2015-16 12 Mnths'!$O:$O)</f>
        <v>0</v>
      </c>
      <c r="T93" s="57">
        <f t="shared" si="2"/>
        <v>0</v>
      </c>
      <c r="U93" s="57">
        <f t="shared" si="3"/>
        <v>0</v>
      </c>
      <c r="W93" s="27"/>
      <c r="X93" s="27" t="str">
        <f t="shared" si="32"/>
        <v/>
      </c>
      <c r="Z93" s="57">
        <f t="shared" si="33"/>
        <v>0</v>
      </c>
      <c r="AA93" s="57" t="str">
        <f>IFERROR(+VLOOKUP(A93,Key!$A$1:$C$219,2,FALSE),"NOT FOUND")</f>
        <v>NOT FOUND</v>
      </c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>
        <f t="shared" si="6"/>
        <v>0</v>
      </c>
    </row>
    <row r="94" ht="15.75" customHeight="1">
      <c r="A94" s="15" t="s">
        <v>327</v>
      </c>
      <c r="B94" s="15" t="s">
        <v>328</v>
      </c>
      <c r="C94" s="15" t="s">
        <v>283</v>
      </c>
      <c r="D94" s="56">
        <f>SUMIF('2015-16 12 Mnths'!$A:$A,'Detail 18-19'!$A94,'2015-16 12 Mnths'!C:C)-SUMIF('Budget 12 Mnths'!$A:$A,'Detail 18-19'!$A94,'Budget 12 Mnths'!D:D)</f>
        <v>0</v>
      </c>
      <c r="E94" s="56">
        <f>SUMIF('2015-16 12 Mnths'!$A:$A,'Detail 18-19'!$A94,'2015-16 12 Mnths'!D:D)-SUMIF('Budget 12 Mnths'!$A:$A,'Detail 18-19'!$A94,'Budget 12 Mnths'!E:E)</f>
        <v>-26.32</v>
      </c>
      <c r="F94" s="56">
        <f>SUMIF('2015-16 12 Mnths'!$A:$A,'Detail 18-19'!$A94,'2015-16 12 Mnths'!E:E)-SUMIF('Budget 12 Mnths'!$A:$A,'Detail 18-19'!$A94,'Budget 12 Mnths'!F:F)</f>
        <v>192.89</v>
      </c>
      <c r="G94" s="56">
        <f>SUMIF('2015-16 12 Mnths'!$A:$A,'Detail 18-19'!$A94,'2015-16 12 Mnths'!F:F)-SUMIF('Budget 12 Mnths'!$A:$A,'Detail 18-19'!$A94,'Budget 12 Mnths'!G:G)</f>
        <v>-32.63</v>
      </c>
      <c r="H94" s="56">
        <f>SUMIF('2015-16 12 Mnths'!$A:$A,'Detail 18-19'!$A94,'2015-16 12 Mnths'!G:G)-SUMIF('Budget 12 Mnths'!$A:$A,'Detail 18-19'!$A94,'Budget 12 Mnths'!H:H)</f>
        <v>-52.63</v>
      </c>
      <c r="I94" s="56">
        <f>SUMIF('2015-16 12 Mnths'!$A:$A,'Detail 18-19'!$A94,'2015-16 12 Mnths'!H:H)-SUMIF('Budget 12 Mnths'!$A:$A,'Detail 18-19'!$A94,'Budget 12 Mnths'!I:I)</f>
        <v>-52.63</v>
      </c>
      <c r="J94" s="56">
        <f>SUMIF('2015-16 12 Mnths'!$A:$A,'Detail 18-19'!$A94,'2015-16 12 Mnths'!I:I)-SUMIF('Budget 12 Mnths'!$A:$A,'Detail 18-19'!$A94,'Budget 12 Mnths'!J:J)</f>
        <v>-52.63</v>
      </c>
      <c r="K94" s="56">
        <f>SUMIF('2015-16 12 Mnths'!$A:$A,'Detail 18-19'!$A94,'2015-16 12 Mnths'!J:J)-SUMIF('Budget 12 Mnths'!$A:$A,'Detail 18-19'!$A94,'Budget 12 Mnths'!K:K)</f>
        <v>-52.63</v>
      </c>
      <c r="L94" s="56">
        <f>SUMIF('2015-16 12 Mnths'!$A:$A,'Detail 18-19'!$A94,'2015-16 12 Mnths'!K:K)-SUMIF('Budget 12 Mnths'!$A:$A,'Detail 18-19'!$A94,'Budget 12 Mnths'!L:L)</f>
        <v>-52.63</v>
      </c>
      <c r="M94" s="56"/>
      <c r="N94" s="56"/>
      <c r="O94" s="56"/>
      <c r="P94" s="56">
        <f t="shared" si="1"/>
        <v>-129.21</v>
      </c>
      <c r="Q94" s="14" t="str">
        <f>+VLOOKUP(A94,Mapping!$A$1:$E$443,5,FALSE)</f>
        <v>Cost of Goods Sold</v>
      </c>
      <c r="R94" s="26">
        <f>+SUMIF('Budget 12 Mnths'!$A:$A,'Detail 18-19'!$A94,'Budget 12 Mnths'!$P:$P)</f>
        <v>499.99</v>
      </c>
      <c r="S94" s="26">
        <f>+SUMIF('2015-16 12 Mnths'!$A:$A,'Detail 18-19'!$A94,'2015-16 12 Mnths'!$O:$O)</f>
        <v>265.52</v>
      </c>
      <c r="T94" s="57">
        <f t="shared" si="2"/>
        <v>-0.2584251685</v>
      </c>
      <c r="U94" s="57">
        <f t="shared" si="3"/>
        <v>-0.486630009</v>
      </c>
      <c r="V94" s="8" t="s">
        <v>641</v>
      </c>
      <c r="W94" s="27">
        <v>500.0</v>
      </c>
      <c r="X94" s="27">
        <v>0.0</v>
      </c>
      <c r="Z94" s="57">
        <f t="shared" si="33"/>
        <v>0</v>
      </c>
      <c r="AA94" s="57" t="str">
        <f>IFERROR(+VLOOKUP(A94,Key!$A$1:$C$219,2,FALSE),"NOT FOUND")</f>
        <v>5015-1U</v>
      </c>
      <c r="AB94" s="27">
        <v>500.0</v>
      </c>
      <c r="AC94" s="27"/>
      <c r="AD94" s="27">
        <v>250.0</v>
      </c>
      <c r="AE94" s="27"/>
      <c r="AF94" s="27"/>
      <c r="AG94" s="27"/>
      <c r="AH94" s="27"/>
      <c r="AI94" s="27">
        <v>250.0</v>
      </c>
      <c r="AJ94" s="27"/>
      <c r="AK94" s="27"/>
      <c r="AL94" s="27"/>
      <c r="AM94" s="27"/>
      <c r="AN94" s="27"/>
      <c r="AO94" s="27">
        <f t="shared" si="6"/>
        <v>0</v>
      </c>
    </row>
    <row r="95" ht="15.75" customHeight="1">
      <c r="A95" s="15" t="s">
        <v>330</v>
      </c>
      <c r="B95" s="15" t="s">
        <v>331</v>
      </c>
      <c r="C95" s="15" t="s">
        <v>283</v>
      </c>
      <c r="D95" s="56">
        <f>SUMIF('2015-16 12 Mnths'!$A:$A,'Detail 18-19'!$A95,'2015-16 12 Mnths'!C:C)-SUMIF('Budget 12 Mnths'!$A:$A,'Detail 18-19'!$A95,'Budget 12 Mnths'!D:D)</f>
        <v>0</v>
      </c>
      <c r="E95" s="56">
        <f>SUMIF('2015-16 12 Mnths'!$A:$A,'Detail 18-19'!$A95,'2015-16 12 Mnths'!D:D)-SUMIF('Budget 12 Mnths'!$A:$A,'Detail 18-19'!$A95,'Budget 12 Mnths'!E:E)</f>
        <v>-2.73</v>
      </c>
      <c r="F95" s="56">
        <f>SUMIF('2015-16 12 Mnths'!$A:$A,'Detail 18-19'!$A95,'2015-16 12 Mnths'!E:E)-SUMIF('Budget 12 Mnths'!$A:$A,'Detail 18-19'!$A95,'Budget 12 Mnths'!F:F)</f>
        <v>-105.27</v>
      </c>
      <c r="G95" s="56">
        <f>SUMIF('2015-16 12 Mnths'!$A:$A,'Detail 18-19'!$A95,'2015-16 12 Mnths'!F:F)-SUMIF('Budget 12 Mnths'!$A:$A,'Detail 18-19'!$A95,'Budget 12 Mnths'!G:G)</f>
        <v>-5.47</v>
      </c>
      <c r="H95" s="56">
        <f>SUMIF('2015-16 12 Mnths'!$A:$A,'Detail 18-19'!$A95,'2015-16 12 Mnths'!G:G)-SUMIF('Budget 12 Mnths'!$A:$A,'Detail 18-19'!$A95,'Budget 12 Mnths'!H:H)</f>
        <v>-55.37</v>
      </c>
      <c r="I95" s="56">
        <f>SUMIF('2015-16 12 Mnths'!$A:$A,'Detail 18-19'!$A95,'2015-16 12 Mnths'!H:H)-SUMIF('Budget 12 Mnths'!$A:$A,'Detail 18-19'!$A95,'Budget 12 Mnths'!I:I)</f>
        <v>-105.27</v>
      </c>
      <c r="J95" s="56">
        <f>SUMIF('2015-16 12 Mnths'!$A:$A,'Detail 18-19'!$A95,'2015-16 12 Mnths'!I:I)-SUMIF('Budget 12 Mnths'!$A:$A,'Detail 18-19'!$A95,'Budget 12 Mnths'!J:J)</f>
        <v>-105.27</v>
      </c>
      <c r="K95" s="56">
        <f>SUMIF('2015-16 12 Mnths'!$A:$A,'Detail 18-19'!$A95,'2015-16 12 Mnths'!J:J)-SUMIF('Budget 12 Mnths'!$A:$A,'Detail 18-19'!$A95,'Budget 12 Mnths'!K:K)</f>
        <v>-105.27</v>
      </c>
      <c r="L95" s="56">
        <f>SUMIF('2015-16 12 Mnths'!$A:$A,'Detail 18-19'!$A95,'2015-16 12 Mnths'!K:K)-SUMIF('Budget 12 Mnths'!$A:$A,'Detail 18-19'!$A95,'Budget 12 Mnths'!L:L)</f>
        <v>-105.27</v>
      </c>
      <c r="M95" s="56"/>
      <c r="N95" s="56"/>
      <c r="O95" s="56"/>
      <c r="P95" s="56">
        <f t="shared" si="1"/>
        <v>-589.92</v>
      </c>
      <c r="Q95" s="14" t="str">
        <f>+VLOOKUP(A95,Mapping!$A$1:$E$443,5,FALSE)</f>
        <v>Cost of Goods Sold</v>
      </c>
      <c r="R95" s="26">
        <f>+SUMIF('Budget 12 Mnths'!$A:$A,'Detail 18-19'!$A95,'Budget 12 Mnths'!$P:$P)</f>
        <v>1000.02</v>
      </c>
      <c r="S95" s="26">
        <f>+SUMIF('2015-16 12 Mnths'!$A:$A,'Detail 18-19'!$A95,'2015-16 12 Mnths'!$O:$O)</f>
        <v>199.6</v>
      </c>
      <c r="T95" s="57">
        <f t="shared" si="2"/>
        <v>-0.5899082018</v>
      </c>
      <c r="U95" s="57">
        <f t="shared" si="3"/>
        <v>-2.955511022</v>
      </c>
      <c r="V95" s="8" t="s">
        <v>641</v>
      </c>
      <c r="W95" s="27">
        <v>1000.0</v>
      </c>
      <c r="X95" s="27">
        <v>0.0</v>
      </c>
      <c r="Z95" s="57">
        <f t="shared" si="33"/>
        <v>0</v>
      </c>
      <c r="AA95" s="57" t="str">
        <f>IFERROR(+VLOOKUP(A95,Key!$A$1:$C$219,2,FALSE),"NOT FOUND")</f>
        <v>5015-1U</v>
      </c>
      <c r="AB95" s="27">
        <v>250.0</v>
      </c>
      <c r="AC95" s="27"/>
      <c r="AD95" s="27">
        <v>125.0</v>
      </c>
      <c r="AE95" s="27"/>
      <c r="AF95" s="27"/>
      <c r="AG95" s="27"/>
      <c r="AH95" s="27"/>
      <c r="AI95" s="27">
        <v>125.0</v>
      </c>
      <c r="AJ95" s="27"/>
      <c r="AK95" s="27"/>
      <c r="AL95" s="27"/>
      <c r="AM95" s="27"/>
      <c r="AN95" s="27"/>
      <c r="AO95" s="27">
        <f t="shared" si="6"/>
        <v>0</v>
      </c>
    </row>
    <row r="96" ht="15.75" hidden="1" customHeight="1">
      <c r="A96" s="15" t="s">
        <v>333</v>
      </c>
      <c r="B96" s="15" t="s">
        <v>334</v>
      </c>
      <c r="C96" s="15" t="s">
        <v>283</v>
      </c>
      <c r="D96" s="56">
        <f>SUMIF('2015-16 12 Mnths'!$A:$A,'Detail 18-19'!$A96,'2015-16 12 Mnths'!C:C)-SUMIF('Budget 12 Mnths'!$A:$A,'Detail 18-19'!$A96,'Budget 12 Mnths'!D:D)</f>
        <v>0</v>
      </c>
      <c r="E96" s="56">
        <f>SUMIF('2015-16 12 Mnths'!$A:$A,'Detail 18-19'!$A96,'2015-16 12 Mnths'!D:D)-SUMIF('Budget 12 Mnths'!$A:$A,'Detail 18-19'!$A96,'Budget 12 Mnths'!E:E)</f>
        <v>0</v>
      </c>
      <c r="F96" s="56">
        <f>SUMIF('2015-16 12 Mnths'!$A:$A,'Detail 18-19'!$A96,'2015-16 12 Mnths'!E:E)-SUMIF('Budget 12 Mnths'!$A:$A,'Detail 18-19'!$A96,'Budget 12 Mnths'!F:F)</f>
        <v>0</v>
      </c>
      <c r="G96" s="56">
        <f>SUMIF('2015-16 12 Mnths'!$A:$A,'Detail 18-19'!$A96,'2015-16 12 Mnths'!F:F)-SUMIF('Budget 12 Mnths'!$A:$A,'Detail 18-19'!$A96,'Budget 12 Mnths'!G:G)</f>
        <v>0</v>
      </c>
      <c r="H96" s="56">
        <f>SUMIF('2015-16 12 Mnths'!$A:$A,'Detail 18-19'!$A96,'2015-16 12 Mnths'!G:G)-SUMIF('Budget 12 Mnths'!$A:$A,'Detail 18-19'!$A96,'Budget 12 Mnths'!H:H)</f>
        <v>0</v>
      </c>
      <c r="I96" s="56">
        <f>SUMIF('2015-16 12 Mnths'!$A:$A,'Detail 18-19'!$A96,'2015-16 12 Mnths'!H:H)-SUMIF('Budget 12 Mnths'!$A:$A,'Detail 18-19'!$A96,'Budget 12 Mnths'!I:I)</f>
        <v>0</v>
      </c>
      <c r="J96" s="56">
        <f>SUMIF('2015-16 12 Mnths'!$A:$A,'Detail 18-19'!$A96,'2015-16 12 Mnths'!I:I)-SUMIF('Budget 12 Mnths'!$A:$A,'Detail 18-19'!$A96,'Budget 12 Mnths'!J:J)</f>
        <v>0</v>
      </c>
      <c r="K96" s="56">
        <f>SUMIF('2015-16 12 Mnths'!$A:$A,'Detail 18-19'!$A96,'2015-16 12 Mnths'!J:J)-SUMIF('Budget 12 Mnths'!$A:$A,'Detail 18-19'!$A96,'Budget 12 Mnths'!K:K)</f>
        <v>0</v>
      </c>
      <c r="L96" s="56">
        <f>SUMIF('2015-16 12 Mnths'!$A:$A,'Detail 18-19'!$A96,'2015-16 12 Mnths'!K:K)-SUMIF('Budget 12 Mnths'!$A:$A,'Detail 18-19'!$A96,'Budget 12 Mnths'!L:L)</f>
        <v>0</v>
      </c>
      <c r="M96" s="56"/>
      <c r="N96" s="56"/>
      <c r="O96" s="56"/>
      <c r="P96" s="56">
        <f t="shared" si="1"/>
        <v>0</v>
      </c>
      <c r="Q96" s="14" t="str">
        <f>+VLOOKUP(A96,Mapping!$A$1:$E$443,5,FALSE)</f>
        <v>Cost of Goods Sold</v>
      </c>
      <c r="R96" s="26">
        <f>+SUMIF('Budget 12 Mnths'!$A:$A,'Detail 18-19'!$A96,'Budget 12 Mnths'!$P:$P)</f>
        <v>0</v>
      </c>
      <c r="S96" s="26">
        <f>+SUMIF('2015-16 12 Mnths'!$A:$A,'Detail 18-19'!$A96,'2015-16 12 Mnths'!$O:$O)</f>
        <v>0</v>
      </c>
      <c r="T96" s="57">
        <f t="shared" si="2"/>
        <v>0</v>
      </c>
      <c r="U96" s="57">
        <f t="shared" si="3"/>
        <v>0</v>
      </c>
      <c r="W96" s="27"/>
      <c r="X96" s="27" t="str">
        <f>+W96</f>
        <v/>
      </c>
      <c r="Z96" s="57">
        <f t="shared" si="33"/>
        <v>0</v>
      </c>
      <c r="AA96" s="57" t="str">
        <f>IFERROR(+VLOOKUP(A96,Key!$A$1:$C$219,2,FALSE),"NOT FOUND")</f>
        <v>NOT FOUND</v>
      </c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>
        <f t="shared" si="6"/>
        <v>0</v>
      </c>
    </row>
    <row r="97" ht="15.75" customHeight="1">
      <c r="A97" s="15" t="s">
        <v>339</v>
      </c>
      <c r="B97" s="15" t="s">
        <v>340</v>
      </c>
      <c r="C97" s="15" t="s">
        <v>283</v>
      </c>
      <c r="D97" s="56">
        <f>SUMIF('2015-16 12 Mnths'!$A:$A,'Detail 18-19'!$A97,'2015-16 12 Mnths'!C:C)-SUMIF('Budget 12 Mnths'!$A:$A,'Detail 18-19'!$A97,'Budget 12 Mnths'!D:D)</f>
        <v>0</v>
      </c>
      <c r="E97" s="56">
        <f>SUMIF('2015-16 12 Mnths'!$A:$A,'Detail 18-19'!$A97,'2015-16 12 Mnths'!D:D)-SUMIF('Budget 12 Mnths'!$A:$A,'Detail 18-19'!$A97,'Budget 12 Mnths'!E:E)</f>
        <v>2056.99</v>
      </c>
      <c r="F97" s="56">
        <f>SUMIF('2015-16 12 Mnths'!$A:$A,'Detail 18-19'!$A97,'2015-16 12 Mnths'!E:E)-SUMIF('Budget 12 Mnths'!$A:$A,'Detail 18-19'!$A97,'Budget 12 Mnths'!F:F)</f>
        <v>2474</v>
      </c>
      <c r="G97" s="56">
        <f>SUMIF('2015-16 12 Mnths'!$A:$A,'Detail 18-19'!$A97,'2015-16 12 Mnths'!F:F)-SUMIF('Budget 12 Mnths'!$A:$A,'Detail 18-19'!$A97,'Budget 12 Mnths'!G:G)</f>
        <v>2222.08</v>
      </c>
      <c r="H97" s="56">
        <f>SUMIF('2015-16 12 Mnths'!$A:$A,'Detail 18-19'!$A97,'2015-16 12 Mnths'!G:G)-SUMIF('Budget 12 Mnths'!$A:$A,'Detail 18-19'!$A97,'Budget 12 Mnths'!H:H)</f>
        <v>1979.55</v>
      </c>
      <c r="I97" s="56">
        <f>SUMIF('2015-16 12 Mnths'!$A:$A,'Detail 18-19'!$A97,'2015-16 12 Mnths'!H:H)-SUMIF('Budget 12 Mnths'!$A:$A,'Detail 18-19'!$A97,'Budget 12 Mnths'!I:I)</f>
        <v>1278.53</v>
      </c>
      <c r="J97" s="56">
        <f>SUMIF('2015-16 12 Mnths'!$A:$A,'Detail 18-19'!$A97,'2015-16 12 Mnths'!I:I)-SUMIF('Budget 12 Mnths'!$A:$A,'Detail 18-19'!$A97,'Budget 12 Mnths'!J:J)</f>
        <v>1455.33</v>
      </c>
      <c r="K97" s="56">
        <f>SUMIF('2015-16 12 Mnths'!$A:$A,'Detail 18-19'!$A97,'2015-16 12 Mnths'!J:J)-SUMIF('Budget 12 Mnths'!$A:$A,'Detail 18-19'!$A97,'Budget 12 Mnths'!K:K)</f>
        <v>2181.82</v>
      </c>
      <c r="L97" s="56">
        <f>SUMIF('2015-16 12 Mnths'!$A:$A,'Detail 18-19'!$A97,'2015-16 12 Mnths'!K:K)-SUMIF('Budget 12 Mnths'!$A:$A,'Detail 18-19'!$A97,'Budget 12 Mnths'!L:L)</f>
        <v>2096.65</v>
      </c>
      <c r="M97" s="56"/>
      <c r="N97" s="56"/>
      <c r="O97" s="56"/>
      <c r="P97" s="56">
        <f t="shared" si="1"/>
        <v>15744.95</v>
      </c>
      <c r="Q97" s="14" t="str">
        <f>+VLOOKUP(A97,Mapping!$A$1:$E$443,5,FALSE)</f>
        <v>Cost of Goods Sold</v>
      </c>
      <c r="R97" s="26">
        <f>+SUMIF('Budget 12 Mnths'!$A:$A,'Detail 18-19'!$A97,'Budget 12 Mnths'!$P:$P)</f>
        <v>0</v>
      </c>
      <c r="S97" s="26">
        <f>+SUMIF('2015-16 12 Mnths'!$A:$A,'Detail 18-19'!$A97,'2015-16 12 Mnths'!$O:$O)</f>
        <v>15933.84</v>
      </c>
      <c r="T97" s="57">
        <f t="shared" si="2"/>
        <v>0</v>
      </c>
      <c r="U97" s="57">
        <f t="shared" si="3"/>
        <v>0.988145356</v>
      </c>
      <c r="V97" s="8" t="s">
        <v>451</v>
      </c>
      <c r="W97" s="27">
        <f>+S97/8*10</f>
        <v>19917.3</v>
      </c>
      <c r="X97" s="27">
        <v>23000.0</v>
      </c>
      <c r="Z97" s="57">
        <f>+X97/9.5*4.5</f>
        <v>10894.73684</v>
      </c>
      <c r="AA97" s="57" t="str">
        <f>IFERROR(+VLOOKUP(A97,Key!$A$1:$C$219,2,FALSE),"NOT FOUND")</f>
        <v>5020-1U</v>
      </c>
      <c r="AB97" s="27">
        <v>18500.0</v>
      </c>
      <c r="AC97" s="27">
        <v>0.0</v>
      </c>
      <c r="AD97" s="57">
        <f>+$AB97/9.5*0.5</f>
        <v>973.6842105</v>
      </c>
      <c r="AE97" s="57">
        <f t="shared" ref="AE97:AM97" si="34">+$AB97/9.5</f>
        <v>1947.368421</v>
      </c>
      <c r="AF97" s="57">
        <f t="shared" si="34"/>
        <v>1947.368421</v>
      </c>
      <c r="AG97" s="57">
        <f t="shared" si="34"/>
        <v>1947.368421</v>
      </c>
      <c r="AH97" s="57">
        <f t="shared" si="34"/>
        <v>1947.368421</v>
      </c>
      <c r="AI97" s="57">
        <f t="shared" si="34"/>
        <v>1947.368421</v>
      </c>
      <c r="AJ97" s="57">
        <f t="shared" si="34"/>
        <v>1947.368421</v>
      </c>
      <c r="AK97" s="57">
        <f t="shared" si="34"/>
        <v>1947.368421</v>
      </c>
      <c r="AL97" s="57">
        <f t="shared" si="34"/>
        <v>1947.368421</v>
      </c>
      <c r="AM97" s="57">
        <f t="shared" si="34"/>
        <v>1947.368421</v>
      </c>
      <c r="AN97" s="27">
        <v>0.0</v>
      </c>
      <c r="AO97" s="27">
        <f t="shared" si="6"/>
        <v>0</v>
      </c>
    </row>
    <row r="98" ht="15.75" hidden="1" customHeight="1">
      <c r="A98" s="15" t="s">
        <v>342</v>
      </c>
      <c r="B98" s="15" t="s">
        <v>343</v>
      </c>
      <c r="C98" s="15" t="s">
        <v>283</v>
      </c>
      <c r="D98" s="56">
        <f>SUMIF('2015-16 12 Mnths'!$A:$A,'Detail 18-19'!$A98,'2015-16 12 Mnths'!C:C)-SUMIF('Budget 12 Mnths'!$A:$A,'Detail 18-19'!$A98,'Budget 12 Mnths'!D:D)</f>
        <v>0</v>
      </c>
      <c r="E98" s="56">
        <f>SUMIF('2015-16 12 Mnths'!$A:$A,'Detail 18-19'!$A98,'2015-16 12 Mnths'!D:D)-SUMIF('Budget 12 Mnths'!$A:$A,'Detail 18-19'!$A98,'Budget 12 Mnths'!E:E)</f>
        <v>0</v>
      </c>
      <c r="F98" s="56">
        <f>SUMIF('2015-16 12 Mnths'!$A:$A,'Detail 18-19'!$A98,'2015-16 12 Mnths'!E:E)-SUMIF('Budget 12 Mnths'!$A:$A,'Detail 18-19'!$A98,'Budget 12 Mnths'!F:F)</f>
        <v>0</v>
      </c>
      <c r="G98" s="56">
        <f>SUMIF('2015-16 12 Mnths'!$A:$A,'Detail 18-19'!$A98,'2015-16 12 Mnths'!F:F)-SUMIF('Budget 12 Mnths'!$A:$A,'Detail 18-19'!$A98,'Budget 12 Mnths'!G:G)</f>
        <v>0</v>
      </c>
      <c r="H98" s="56">
        <f>SUMIF('2015-16 12 Mnths'!$A:$A,'Detail 18-19'!$A98,'2015-16 12 Mnths'!G:G)-SUMIF('Budget 12 Mnths'!$A:$A,'Detail 18-19'!$A98,'Budget 12 Mnths'!H:H)</f>
        <v>0</v>
      </c>
      <c r="I98" s="56">
        <f>SUMIF('2015-16 12 Mnths'!$A:$A,'Detail 18-19'!$A98,'2015-16 12 Mnths'!H:H)-SUMIF('Budget 12 Mnths'!$A:$A,'Detail 18-19'!$A98,'Budget 12 Mnths'!I:I)</f>
        <v>0</v>
      </c>
      <c r="J98" s="56">
        <f>SUMIF('2015-16 12 Mnths'!$A:$A,'Detail 18-19'!$A98,'2015-16 12 Mnths'!I:I)-SUMIF('Budget 12 Mnths'!$A:$A,'Detail 18-19'!$A98,'Budget 12 Mnths'!J:J)</f>
        <v>0</v>
      </c>
      <c r="K98" s="56">
        <f>SUMIF('2015-16 12 Mnths'!$A:$A,'Detail 18-19'!$A98,'2015-16 12 Mnths'!J:J)-SUMIF('Budget 12 Mnths'!$A:$A,'Detail 18-19'!$A98,'Budget 12 Mnths'!K:K)</f>
        <v>0</v>
      </c>
      <c r="L98" s="56">
        <f>SUMIF('2015-16 12 Mnths'!$A:$A,'Detail 18-19'!$A98,'2015-16 12 Mnths'!K:K)-SUMIF('Budget 12 Mnths'!$A:$A,'Detail 18-19'!$A98,'Budget 12 Mnths'!L:L)</f>
        <v>0</v>
      </c>
      <c r="M98" s="56"/>
      <c r="N98" s="56"/>
      <c r="O98" s="56"/>
      <c r="P98" s="56">
        <f t="shared" si="1"/>
        <v>0</v>
      </c>
      <c r="Q98" s="14" t="str">
        <f>+VLOOKUP(A98,Mapping!$A$1:$E$443,5,FALSE)</f>
        <v>Cost of Goods Sold</v>
      </c>
      <c r="R98" s="26">
        <f>+SUMIF('Budget 12 Mnths'!$A:$A,'Detail 18-19'!$A98,'Budget 12 Mnths'!$P:$P)</f>
        <v>0</v>
      </c>
      <c r="S98" s="26">
        <f>+SUMIF('2015-16 12 Mnths'!$A:$A,'Detail 18-19'!$A98,'2015-16 12 Mnths'!$O:$O)</f>
        <v>0</v>
      </c>
      <c r="T98" s="57">
        <f t="shared" si="2"/>
        <v>0</v>
      </c>
      <c r="U98" s="57">
        <f t="shared" si="3"/>
        <v>0</v>
      </c>
      <c r="W98" s="27"/>
      <c r="X98" s="27" t="str">
        <f t="shared" ref="X98:X100" si="35">+W98</f>
        <v/>
      </c>
      <c r="Z98" s="57">
        <f t="shared" ref="Z98:Z100" si="36">+X98/2</f>
        <v>0</v>
      </c>
      <c r="AA98" s="57" t="str">
        <f>IFERROR(+VLOOKUP(A98,Key!$A$1:$C$219,2,FALSE),"NOT FOUND")</f>
        <v>5025-1U</v>
      </c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>
        <f t="shared" si="6"/>
        <v>0</v>
      </c>
    </row>
    <row r="99" ht="15.75" hidden="1" customHeight="1">
      <c r="A99" s="15" t="s">
        <v>345</v>
      </c>
      <c r="B99" s="15" t="s">
        <v>346</v>
      </c>
      <c r="C99" s="15" t="s">
        <v>283</v>
      </c>
      <c r="D99" s="56">
        <f>SUMIF('2015-16 12 Mnths'!$A:$A,'Detail 18-19'!$A99,'2015-16 12 Mnths'!C:C)-SUMIF('Budget 12 Mnths'!$A:$A,'Detail 18-19'!$A99,'Budget 12 Mnths'!D:D)</f>
        <v>0</v>
      </c>
      <c r="E99" s="56">
        <f>SUMIF('2015-16 12 Mnths'!$A:$A,'Detail 18-19'!$A99,'2015-16 12 Mnths'!D:D)-SUMIF('Budget 12 Mnths'!$A:$A,'Detail 18-19'!$A99,'Budget 12 Mnths'!E:E)</f>
        <v>0</v>
      </c>
      <c r="F99" s="56">
        <f>SUMIF('2015-16 12 Mnths'!$A:$A,'Detail 18-19'!$A99,'2015-16 12 Mnths'!E:E)-SUMIF('Budget 12 Mnths'!$A:$A,'Detail 18-19'!$A99,'Budget 12 Mnths'!F:F)</f>
        <v>0</v>
      </c>
      <c r="G99" s="56">
        <f>SUMIF('2015-16 12 Mnths'!$A:$A,'Detail 18-19'!$A99,'2015-16 12 Mnths'!F:F)-SUMIF('Budget 12 Mnths'!$A:$A,'Detail 18-19'!$A99,'Budget 12 Mnths'!G:G)</f>
        <v>0</v>
      </c>
      <c r="H99" s="56">
        <f>SUMIF('2015-16 12 Mnths'!$A:$A,'Detail 18-19'!$A99,'2015-16 12 Mnths'!G:G)-SUMIF('Budget 12 Mnths'!$A:$A,'Detail 18-19'!$A99,'Budget 12 Mnths'!H:H)</f>
        <v>0</v>
      </c>
      <c r="I99" s="56">
        <f>SUMIF('2015-16 12 Mnths'!$A:$A,'Detail 18-19'!$A99,'2015-16 12 Mnths'!H:H)-SUMIF('Budget 12 Mnths'!$A:$A,'Detail 18-19'!$A99,'Budget 12 Mnths'!I:I)</f>
        <v>0</v>
      </c>
      <c r="J99" s="56">
        <f>SUMIF('2015-16 12 Mnths'!$A:$A,'Detail 18-19'!$A99,'2015-16 12 Mnths'!I:I)-SUMIF('Budget 12 Mnths'!$A:$A,'Detail 18-19'!$A99,'Budget 12 Mnths'!J:J)</f>
        <v>0</v>
      </c>
      <c r="K99" s="56">
        <f>SUMIF('2015-16 12 Mnths'!$A:$A,'Detail 18-19'!$A99,'2015-16 12 Mnths'!J:J)-SUMIF('Budget 12 Mnths'!$A:$A,'Detail 18-19'!$A99,'Budget 12 Mnths'!K:K)</f>
        <v>0</v>
      </c>
      <c r="L99" s="56">
        <f>SUMIF('2015-16 12 Mnths'!$A:$A,'Detail 18-19'!$A99,'2015-16 12 Mnths'!K:K)-SUMIF('Budget 12 Mnths'!$A:$A,'Detail 18-19'!$A99,'Budget 12 Mnths'!L:L)</f>
        <v>0</v>
      </c>
      <c r="M99" s="56"/>
      <c r="N99" s="56"/>
      <c r="O99" s="56"/>
      <c r="P99" s="56">
        <f t="shared" si="1"/>
        <v>0</v>
      </c>
      <c r="Q99" s="14" t="str">
        <f>+VLOOKUP(A99,Mapping!$A$1:$E$443,5,FALSE)</f>
        <v/>
      </c>
      <c r="R99" s="26">
        <f>+SUMIF('Budget 12 Mnths'!$A:$A,'Detail 18-19'!$A99,'Budget 12 Mnths'!$P:$P)</f>
        <v>0</v>
      </c>
      <c r="S99" s="26">
        <f>+SUMIF('2015-16 12 Mnths'!$A:$A,'Detail 18-19'!$A99,'2015-16 12 Mnths'!$O:$O)</f>
        <v>0</v>
      </c>
      <c r="T99" s="57">
        <f t="shared" si="2"/>
        <v>0</v>
      </c>
      <c r="U99" s="57">
        <f t="shared" si="3"/>
        <v>0</v>
      </c>
      <c r="W99" s="27"/>
      <c r="X99" s="27" t="str">
        <f t="shared" si="35"/>
        <v/>
      </c>
      <c r="Z99" s="57">
        <f t="shared" si="36"/>
        <v>0</v>
      </c>
      <c r="AA99" s="57" t="str">
        <f>IFERROR(+VLOOKUP(A99,Key!$A$1:$C$219,2,FALSE),"NOT FOUND")</f>
        <v>NOT FOUND</v>
      </c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>
        <f t="shared" si="6"/>
        <v>0</v>
      </c>
    </row>
    <row r="100" ht="15.75" hidden="1" customHeight="1">
      <c r="A100" s="15" t="s">
        <v>358</v>
      </c>
      <c r="B100" s="15" t="s">
        <v>359</v>
      </c>
      <c r="C100" s="15" t="s">
        <v>119</v>
      </c>
      <c r="D100" s="56">
        <f>SUMIF('2015-16 12 Mnths'!$A:$A,'Detail 18-19'!$A100,'2015-16 12 Mnths'!C:C)-SUMIF('Budget 12 Mnths'!$A:$A,'Detail 18-19'!$A100,'Budget 12 Mnths'!D:D)</f>
        <v>0</v>
      </c>
      <c r="E100" s="56">
        <f>SUMIF('2015-16 12 Mnths'!$A:$A,'Detail 18-19'!$A100,'2015-16 12 Mnths'!D:D)-SUMIF('Budget 12 Mnths'!$A:$A,'Detail 18-19'!$A100,'Budget 12 Mnths'!E:E)</f>
        <v>0</v>
      </c>
      <c r="F100" s="56">
        <f>SUMIF('2015-16 12 Mnths'!$A:$A,'Detail 18-19'!$A100,'2015-16 12 Mnths'!E:E)-SUMIF('Budget 12 Mnths'!$A:$A,'Detail 18-19'!$A100,'Budget 12 Mnths'!F:F)</f>
        <v>0</v>
      </c>
      <c r="G100" s="56">
        <f>SUMIF('2015-16 12 Mnths'!$A:$A,'Detail 18-19'!$A100,'2015-16 12 Mnths'!F:F)-SUMIF('Budget 12 Mnths'!$A:$A,'Detail 18-19'!$A100,'Budget 12 Mnths'!G:G)</f>
        <v>0</v>
      </c>
      <c r="H100" s="56">
        <f>SUMIF('2015-16 12 Mnths'!$A:$A,'Detail 18-19'!$A100,'2015-16 12 Mnths'!G:G)-SUMIF('Budget 12 Mnths'!$A:$A,'Detail 18-19'!$A100,'Budget 12 Mnths'!H:H)</f>
        <v>0</v>
      </c>
      <c r="I100" s="56">
        <f>SUMIF('2015-16 12 Mnths'!$A:$A,'Detail 18-19'!$A100,'2015-16 12 Mnths'!H:H)-SUMIF('Budget 12 Mnths'!$A:$A,'Detail 18-19'!$A100,'Budget 12 Mnths'!I:I)</f>
        <v>0</v>
      </c>
      <c r="J100" s="56">
        <f>SUMIF('2015-16 12 Mnths'!$A:$A,'Detail 18-19'!$A100,'2015-16 12 Mnths'!I:I)-SUMIF('Budget 12 Mnths'!$A:$A,'Detail 18-19'!$A100,'Budget 12 Mnths'!J:J)</f>
        <v>0</v>
      </c>
      <c r="K100" s="56">
        <f>SUMIF('2015-16 12 Mnths'!$A:$A,'Detail 18-19'!$A100,'2015-16 12 Mnths'!J:J)-SUMIF('Budget 12 Mnths'!$A:$A,'Detail 18-19'!$A100,'Budget 12 Mnths'!K:K)</f>
        <v>0</v>
      </c>
      <c r="L100" s="56">
        <f>SUMIF('2015-16 12 Mnths'!$A:$A,'Detail 18-19'!$A100,'2015-16 12 Mnths'!K:K)-SUMIF('Budget 12 Mnths'!$A:$A,'Detail 18-19'!$A100,'Budget 12 Mnths'!L:L)</f>
        <v>0</v>
      </c>
      <c r="M100" s="56"/>
      <c r="N100" s="56"/>
      <c r="O100" s="56"/>
      <c r="P100" s="56">
        <f t="shared" si="1"/>
        <v>0</v>
      </c>
      <c r="Q100" s="14" t="str">
        <f>+VLOOKUP(A100,Mapping!$A$1:$E$443,5,FALSE)</f>
        <v>Scholarships</v>
      </c>
      <c r="R100" s="26">
        <f>+SUMIF('Budget 12 Mnths'!$A:$A,'Detail 18-19'!$A100,'Budget 12 Mnths'!$P:$P)</f>
        <v>0</v>
      </c>
      <c r="S100" s="26">
        <f>+SUMIF('2015-16 12 Mnths'!$A:$A,'Detail 18-19'!$A100,'2015-16 12 Mnths'!$O:$O)</f>
        <v>0</v>
      </c>
      <c r="T100" s="57">
        <f t="shared" si="2"/>
        <v>0</v>
      </c>
      <c r="U100" s="57">
        <f t="shared" si="3"/>
        <v>0</v>
      </c>
      <c r="W100" s="27"/>
      <c r="X100" s="27" t="str">
        <f t="shared" si="35"/>
        <v/>
      </c>
      <c r="Z100" s="57">
        <f t="shared" si="36"/>
        <v>0</v>
      </c>
      <c r="AA100" s="57" t="str">
        <f>IFERROR(+VLOOKUP(A100,Key!$A$1:$C$219,2,FALSE),"NOT FOUND")</f>
        <v>NOT FOUND</v>
      </c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>
        <f t="shared" si="6"/>
        <v>0</v>
      </c>
    </row>
    <row r="101" ht="15.75" customHeight="1">
      <c r="A101" s="15" t="s">
        <v>362</v>
      </c>
      <c r="B101" s="15" t="s">
        <v>363</v>
      </c>
      <c r="C101" s="15" t="s">
        <v>119</v>
      </c>
      <c r="D101" s="56">
        <f>SUMIF('2015-16 12 Mnths'!$A:$A,'Detail 18-19'!$A101,'2015-16 12 Mnths'!C:C)-SUMIF('Budget 12 Mnths'!$A:$A,'Detail 18-19'!$A101,'Budget 12 Mnths'!D:D)</f>
        <v>0</v>
      </c>
      <c r="E101" s="56">
        <f>SUMIF('2015-16 12 Mnths'!$A:$A,'Detail 18-19'!$A101,'2015-16 12 Mnths'!D:D)-SUMIF('Budget 12 Mnths'!$A:$A,'Detail 18-19'!$A101,'Budget 12 Mnths'!E:E)</f>
        <v>-118.31</v>
      </c>
      <c r="F101" s="56">
        <f>SUMIF('2015-16 12 Mnths'!$A:$A,'Detail 18-19'!$A101,'2015-16 12 Mnths'!E:E)-SUMIF('Budget 12 Mnths'!$A:$A,'Detail 18-19'!$A101,'Budget 12 Mnths'!F:F)</f>
        <v>-14.4</v>
      </c>
      <c r="G101" s="56">
        <f>SUMIF('2015-16 12 Mnths'!$A:$A,'Detail 18-19'!$A101,'2015-16 12 Mnths'!F:F)-SUMIF('Budget 12 Mnths'!$A:$A,'Detail 18-19'!$A101,'Budget 12 Mnths'!G:G)</f>
        <v>110.6</v>
      </c>
      <c r="H101" s="56">
        <f>SUMIF('2015-16 12 Mnths'!$A:$A,'Detail 18-19'!$A101,'2015-16 12 Mnths'!G:G)-SUMIF('Budget 12 Mnths'!$A:$A,'Detail 18-19'!$A101,'Budget 12 Mnths'!H:H)</f>
        <v>110.6</v>
      </c>
      <c r="I101" s="56">
        <f>SUMIF('2015-16 12 Mnths'!$A:$A,'Detail 18-19'!$A101,'2015-16 12 Mnths'!H:H)-SUMIF('Budget 12 Mnths'!$A:$A,'Detail 18-19'!$A101,'Budget 12 Mnths'!I:I)</f>
        <v>110.6</v>
      </c>
      <c r="J101" s="56">
        <f>SUMIF('2015-16 12 Mnths'!$A:$A,'Detail 18-19'!$A101,'2015-16 12 Mnths'!I:I)-SUMIF('Budget 12 Mnths'!$A:$A,'Detail 18-19'!$A101,'Budget 12 Mnths'!J:J)</f>
        <v>310.6</v>
      </c>
      <c r="K101" s="56">
        <f>SUMIF('2015-16 12 Mnths'!$A:$A,'Detail 18-19'!$A101,'2015-16 12 Mnths'!J:J)-SUMIF('Budget 12 Mnths'!$A:$A,'Detail 18-19'!$A101,'Budget 12 Mnths'!K:K)</f>
        <v>310.6</v>
      </c>
      <c r="L101" s="56">
        <f>SUMIF('2015-16 12 Mnths'!$A:$A,'Detail 18-19'!$A101,'2015-16 12 Mnths'!K:K)-SUMIF('Budget 12 Mnths'!$A:$A,'Detail 18-19'!$A101,'Budget 12 Mnths'!L:L)</f>
        <v>310.6</v>
      </c>
      <c r="M101" s="56"/>
      <c r="N101" s="56"/>
      <c r="O101" s="56"/>
      <c r="P101" s="56">
        <f t="shared" si="1"/>
        <v>1130.89</v>
      </c>
      <c r="Q101" s="14" t="str">
        <f>+VLOOKUP(A101,Mapping!$A$1:$E$443,5,FALSE)</f>
        <v>Scholarships</v>
      </c>
      <c r="R101" s="26">
        <f>+SUMIF('Budget 12 Mnths'!$A:$A,'Detail 18-19'!$A101,'Budget 12 Mnths'!$P:$P)</f>
        <v>26500.03</v>
      </c>
      <c r="S101" s="26">
        <f>+SUMIF('2015-16 12 Mnths'!$A:$A,'Detail 18-19'!$A101,'2015-16 12 Mnths'!$O:$O)</f>
        <v>22052.66</v>
      </c>
      <c r="T101" s="57">
        <f t="shared" si="2"/>
        <v>0.04267504603</v>
      </c>
      <c r="U101" s="57">
        <f t="shared" si="3"/>
        <v>0.05128134202</v>
      </c>
      <c r="V101" s="8" t="s">
        <v>641</v>
      </c>
      <c r="W101" s="27">
        <v>26500.0</v>
      </c>
      <c r="X101" s="27">
        <v>35000.0</v>
      </c>
      <c r="Z101" s="57">
        <f t="shared" ref="Z101:Z102" si="38">+X101/9.5*4.5</f>
        <v>16578.94737</v>
      </c>
      <c r="AA101" s="57" t="str">
        <f>IFERROR(+VLOOKUP(A101,Key!$A$1:$C$219,2,FALSE),"NOT FOUND")</f>
        <v>4211-1U</v>
      </c>
      <c r="AB101" s="27">
        <v>36000.0</v>
      </c>
      <c r="AC101" s="27">
        <v>0.0</v>
      </c>
      <c r="AD101" s="57">
        <f t="shared" ref="AD101:AD102" si="39">+$AB101/9.5*0.5</f>
        <v>1894.736842</v>
      </c>
      <c r="AE101" s="57">
        <f t="shared" ref="AE101:AM101" si="37">+$AB101/9.5</f>
        <v>3789.473684</v>
      </c>
      <c r="AF101" s="57">
        <f t="shared" si="37"/>
        <v>3789.473684</v>
      </c>
      <c r="AG101" s="57">
        <f t="shared" si="37"/>
        <v>3789.473684</v>
      </c>
      <c r="AH101" s="57">
        <f t="shared" si="37"/>
        <v>3789.473684</v>
      </c>
      <c r="AI101" s="57">
        <f t="shared" si="37"/>
        <v>3789.473684</v>
      </c>
      <c r="AJ101" s="57">
        <f t="shared" si="37"/>
        <v>3789.473684</v>
      </c>
      <c r="AK101" s="57">
        <f t="shared" si="37"/>
        <v>3789.473684</v>
      </c>
      <c r="AL101" s="57">
        <f t="shared" si="37"/>
        <v>3789.473684</v>
      </c>
      <c r="AM101" s="57">
        <f t="shared" si="37"/>
        <v>3789.473684</v>
      </c>
      <c r="AN101" s="27">
        <v>0.0</v>
      </c>
      <c r="AO101" s="27">
        <f t="shared" si="6"/>
        <v>0</v>
      </c>
    </row>
    <row r="102" ht="15.75" customHeight="1">
      <c r="A102" s="15" t="s">
        <v>368</v>
      </c>
      <c r="B102" s="15" t="s">
        <v>369</v>
      </c>
      <c r="C102" s="15" t="s">
        <v>119</v>
      </c>
      <c r="D102" s="56">
        <f>SUMIF('2015-16 12 Mnths'!$A:$A,'Detail 18-19'!$A102,'2015-16 12 Mnths'!C:C)-SUMIF('Budget 12 Mnths'!$A:$A,'Detail 18-19'!$A102,'Budget 12 Mnths'!D:D)</f>
        <v>0</v>
      </c>
      <c r="E102" s="56">
        <f>SUMIF('2015-16 12 Mnths'!$A:$A,'Detail 18-19'!$A102,'2015-16 12 Mnths'!D:D)-SUMIF('Budget 12 Mnths'!$A:$A,'Detail 18-19'!$A102,'Budget 12 Mnths'!E:E)</f>
        <v>-172.23</v>
      </c>
      <c r="F102" s="56">
        <f>SUMIF('2015-16 12 Mnths'!$A:$A,'Detail 18-19'!$A102,'2015-16 12 Mnths'!E:E)-SUMIF('Budget 12 Mnths'!$A:$A,'Detail 18-19'!$A102,'Budget 12 Mnths'!F:F)</f>
        <v>-344.45</v>
      </c>
      <c r="G102" s="56">
        <f>SUMIF('2015-16 12 Mnths'!$A:$A,'Detail 18-19'!$A102,'2015-16 12 Mnths'!F:F)-SUMIF('Budget 12 Mnths'!$A:$A,'Detail 18-19'!$A102,'Budget 12 Mnths'!G:G)</f>
        <v>-344.45</v>
      </c>
      <c r="H102" s="56">
        <f>SUMIF('2015-16 12 Mnths'!$A:$A,'Detail 18-19'!$A102,'2015-16 12 Mnths'!G:G)-SUMIF('Budget 12 Mnths'!$A:$A,'Detail 18-19'!$A102,'Budget 12 Mnths'!H:H)</f>
        <v>-344.45</v>
      </c>
      <c r="I102" s="56">
        <f>SUMIF('2015-16 12 Mnths'!$A:$A,'Detail 18-19'!$A102,'2015-16 12 Mnths'!H:H)-SUMIF('Budget 12 Mnths'!$A:$A,'Detail 18-19'!$A102,'Budget 12 Mnths'!I:I)</f>
        <v>-344.45</v>
      </c>
      <c r="J102" s="56">
        <f>SUMIF('2015-16 12 Mnths'!$A:$A,'Detail 18-19'!$A102,'2015-16 12 Mnths'!I:I)-SUMIF('Budget 12 Mnths'!$A:$A,'Detail 18-19'!$A102,'Budget 12 Mnths'!J:J)</f>
        <v>-344.45</v>
      </c>
      <c r="K102" s="56">
        <f>SUMIF('2015-16 12 Mnths'!$A:$A,'Detail 18-19'!$A102,'2015-16 12 Mnths'!J:J)-SUMIF('Budget 12 Mnths'!$A:$A,'Detail 18-19'!$A102,'Budget 12 Mnths'!K:K)</f>
        <v>-344.45</v>
      </c>
      <c r="L102" s="56">
        <f>SUMIF('2015-16 12 Mnths'!$A:$A,'Detail 18-19'!$A102,'2015-16 12 Mnths'!K:K)-SUMIF('Budget 12 Mnths'!$A:$A,'Detail 18-19'!$A102,'Budget 12 Mnths'!L:L)</f>
        <v>-344.45</v>
      </c>
      <c r="M102" s="56"/>
      <c r="N102" s="56"/>
      <c r="O102" s="56"/>
      <c r="P102" s="56">
        <f t="shared" si="1"/>
        <v>-2583.38</v>
      </c>
      <c r="Q102" s="14" t="str">
        <f>+VLOOKUP(A102,Mapping!$A$1:$E$443,5,FALSE)</f>
        <v>Scholarships</v>
      </c>
      <c r="R102" s="26">
        <f>+SUMIF('Budget 12 Mnths'!$A:$A,'Detail 18-19'!$A102,'Budget 12 Mnths'!$P:$P)</f>
        <v>10000</v>
      </c>
      <c r="S102" s="26">
        <f>+SUMIF('2015-16 12 Mnths'!$A:$A,'Detail 18-19'!$A102,'2015-16 12 Mnths'!$O:$O)</f>
        <v>5311.35</v>
      </c>
      <c r="T102" s="57">
        <f t="shared" si="2"/>
        <v>-0.258338</v>
      </c>
      <c r="U102" s="57">
        <f t="shared" si="3"/>
        <v>-0.4863885829</v>
      </c>
      <c r="V102" s="8" t="s">
        <v>641</v>
      </c>
      <c r="W102" s="27">
        <v>10000.0</v>
      </c>
      <c r="X102" s="27">
        <v>10000.0</v>
      </c>
      <c r="Z102" s="57">
        <f t="shared" si="38"/>
        <v>4736.842105</v>
      </c>
      <c r="AA102" s="57" t="str">
        <f>IFERROR(+VLOOKUP(A102,Key!$A$1:$C$219,2,FALSE),"NOT FOUND")</f>
        <v>4212-1U</v>
      </c>
      <c r="AB102" s="27">
        <v>10000.0</v>
      </c>
      <c r="AC102" s="27">
        <v>0.0</v>
      </c>
      <c r="AD102" s="57">
        <f t="shared" si="39"/>
        <v>526.3157895</v>
      </c>
      <c r="AE102" s="57">
        <f t="shared" ref="AE102:AM102" si="40">+$AB102/9.5</f>
        <v>1052.631579</v>
      </c>
      <c r="AF102" s="57">
        <f t="shared" si="40"/>
        <v>1052.631579</v>
      </c>
      <c r="AG102" s="57">
        <f t="shared" si="40"/>
        <v>1052.631579</v>
      </c>
      <c r="AH102" s="57">
        <f t="shared" si="40"/>
        <v>1052.631579</v>
      </c>
      <c r="AI102" s="57">
        <f t="shared" si="40"/>
        <v>1052.631579</v>
      </c>
      <c r="AJ102" s="57">
        <f t="shared" si="40"/>
        <v>1052.631579</v>
      </c>
      <c r="AK102" s="57">
        <f t="shared" si="40"/>
        <v>1052.631579</v>
      </c>
      <c r="AL102" s="57">
        <f t="shared" si="40"/>
        <v>1052.631579</v>
      </c>
      <c r="AM102" s="57">
        <f t="shared" si="40"/>
        <v>1052.631579</v>
      </c>
      <c r="AN102" s="27">
        <v>0.0</v>
      </c>
      <c r="AO102" s="27">
        <f t="shared" si="6"/>
        <v>0</v>
      </c>
    </row>
    <row r="103" ht="15.75" hidden="1" customHeight="1">
      <c r="A103" s="15" t="s">
        <v>371</v>
      </c>
      <c r="B103" s="15" t="s">
        <v>187</v>
      </c>
      <c r="C103" s="15" t="s">
        <v>119</v>
      </c>
      <c r="D103" s="56">
        <f>SUMIF('2015-16 12 Mnths'!$A:$A,'Detail 18-19'!$A103,'2015-16 12 Mnths'!C:C)-SUMIF('Budget 12 Mnths'!$A:$A,'Detail 18-19'!$A103,'Budget 12 Mnths'!D:D)</f>
        <v>-375</v>
      </c>
      <c r="E103" s="56">
        <f>SUMIF('2015-16 12 Mnths'!$A:$A,'Detail 18-19'!$A103,'2015-16 12 Mnths'!D:D)-SUMIF('Budget 12 Mnths'!$A:$A,'Detail 18-19'!$A103,'Budget 12 Mnths'!E:E)</f>
        <v>-221.74</v>
      </c>
      <c r="F103" s="56">
        <f>SUMIF('2015-16 12 Mnths'!$A:$A,'Detail 18-19'!$A103,'2015-16 12 Mnths'!E:E)-SUMIF('Budget 12 Mnths'!$A:$A,'Detail 18-19'!$A103,'Budget 12 Mnths'!F:F)</f>
        <v>-221.74</v>
      </c>
      <c r="G103" s="56">
        <f>SUMIF('2015-16 12 Mnths'!$A:$A,'Detail 18-19'!$A103,'2015-16 12 Mnths'!F:F)-SUMIF('Budget 12 Mnths'!$A:$A,'Detail 18-19'!$A103,'Budget 12 Mnths'!G:G)</f>
        <v>-375</v>
      </c>
      <c r="H103" s="56">
        <f>SUMIF('2015-16 12 Mnths'!$A:$A,'Detail 18-19'!$A103,'2015-16 12 Mnths'!G:G)-SUMIF('Budget 12 Mnths'!$A:$A,'Detail 18-19'!$A103,'Budget 12 Mnths'!H:H)</f>
        <v>-375</v>
      </c>
      <c r="I103" s="56">
        <f>SUMIF('2015-16 12 Mnths'!$A:$A,'Detail 18-19'!$A103,'2015-16 12 Mnths'!H:H)-SUMIF('Budget 12 Mnths'!$A:$A,'Detail 18-19'!$A103,'Budget 12 Mnths'!I:I)</f>
        <v>-375</v>
      </c>
      <c r="J103" s="56">
        <f>SUMIF('2015-16 12 Mnths'!$A:$A,'Detail 18-19'!$A103,'2015-16 12 Mnths'!I:I)-SUMIF('Budget 12 Mnths'!$A:$A,'Detail 18-19'!$A103,'Budget 12 Mnths'!J:J)</f>
        <v>-375</v>
      </c>
      <c r="K103" s="56">
        <f>SUMIF('2015-16 12 Mnths'!$A:$A,'Detail 18-19'!$A103,'2015-16 12 Mnths'!J:J)-SUMIF('Budget 12 Mnths'!$A:$A,'Detail 18-19'!$A103,'Budget 12 Mnths'!K:K)</f>
        <v>-375</v>
      </c>
      <c r="L103" s="56">
        <f>SUMIF('2015-16 12 Mnths'!$A:$A,'Detail 18-19'!$A103,'2015-16 12 Mnths'!K:K)-SUMIF('Budget 12 Mnths'!$A:$A,'Detail 18-19'!$A103,'Budget 12 Mnths'!L:L)</f>
        <v>-375</v>
      </c>
      <c r="M103" s="56"/>
      <c r="N103" s="56"/>
      <c r="O103" s="56"/>
      <c r="P103" s="56">
        <f t="shared" si="1"/>
        <v>-3068.48</v>
      </c>
      <c r="Q103" s="14" t="str">
        <f>+VLOOKUP(A103,Mapping!$A$1:$E$443,5,FALSE)</f>
        <v>RenWeb</v>
      </c>
      <c r="R103" s="26">
        <f>+SUMIF('Budget 12 Mnths'!$A:$A,'Detail 18-19'!$A103,'Budget 12 Mnths'!$P:$P)</f>
        <v>4500</v>
      </c>
      <c r="S103" s="26">
        <f>+SUMIF('2015-16 12 Mnths'!$A:$A,'Detail 18-19'!$A103,'2015-16 12 Mnths'!$O:$O)</f>
        <v>306.52</v>
      </c>
      <c r="T103" s="57">
        <f t="shared" si="2"/>
        <v>-0.6818844444</v>
      </c>
      <c r="U103" s="57">
        <f t="shared" si="3"/>
        <v>-10.01070077</v>
      </c>
      <c r="W103" s="27">
        <v>0.0</v>
      </c>
      <c r="X103" s="27">
        <f t="shared" ref="X103:X104" si="41">+W103</f>
        <v>0</v>
      </c>
      <c r="Z103" s="57">
        <f t="shared" ref="Z103:Z107" si="42">+X103/2</f>
        <v>0</v>
      </c>
      <c r="AA103" s="57" t="str">
        <f>IFERROR(+VLOOKUP(A103,Key!$A$1:$C$219,2,FALSE),"NOT FOUND")</f>
        <v>NOT FOUND</v>
      </c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>
        <f t="shared" si="6"/>
        <v>0</v>
      </c>
    </row>
    <row r="104" ht="15.75" customHeight="1">
      <c r="A104" s="15" t="s">
        <v>373</v>
      </c>
      <c r="B104" s="15" t="s">
        <v>374</v>
      </c>
      <c r="C104" s="15" t="s">
        <v>119</v>
      </c>
      <c r="D104" s="56">
        <f>SUMIF('2015-16 12 Mnths'!$A:$A,'Detail 18-19'!$A104,'2015-16 12 Mnths'!C:C)-SUMIF('Budget 12 Mnths'!$A:$A,'Detail 18-19'!$A104,'Budget 12 Mnths'!D:D)</f>
        <v>1120</v>
      </c>
      <c r="E104" s="56">
        <f>SUMIF('2015-16 12 Mnths'!$A:$A,'Detail 18-19'!$A104,'2015-16 12 Mnths'!D:D)-SUMIF('Budget 12 Mnths'!$A:$A,'Detail 18-19'!$A104,'Budget 12 Mnths'!E:E)</f>
        <v>120</v>
      </c>
      <c r="F104" s="56">
        <f>SUMIF('2015-16 12 Mnths'!$A:$A,'Detail 18-19'!$A104,'2015-16 12 Mnths'!E:E)-SUMIF('Budget 12 Mnths'!$A:$A,'Detail 18-19'!$A104,'Budget 12 Mnths'!F:F)</f>
        <v>120</v>
      </c>
      <c r="G104" s="56">
        <f>SUMIF('2015-16 12 Mnths'!$A:$A,'Detail 18-19'!$A104,'2015-16 12 Mnths'!F:F)-SUMIF('Budget 12 Mnths'!$A:$A,'Detail 18-19'!$A104,'Budget 12 Mnths'!G:G)</f>
        <v>0</v>
      </c>
      <c r="H104" s="56">
        <f>SUMIF('2015-16 12 Mnths'!$A:$A,'Detail 18-19'!$A104,'2015-16 12 Mnths'!G:G)-SUMIF('Budget 12 Mnths'!$A:$A,'Detail 18-19'!$A104,'Budget 12 Mnths'!H:H)</f>
        <v>120</v>
      </c>
      <c r="I104" s="56">
        <f>SUMIF('2015-16 12 Mnths'!$A:$A,'Detail 18-19'!$A104,'2015-16 12 Mnths'!H:H)-SUMIF('Budget 12 Mnths'!$A:$A,'Detail 18-19'!$A104,'Budget 12 Mnths'!I:I)</f>
        <v>240</v>
      </c>
      <c r="J104" s="56">
        <f>SUMIF('2015-16 12 Mnths'!$A:$A,'Detail 18-19'!$A104,'2015-16 12 Mnths'!I:I)-SUMIF('Budget 12 Mnths'!$A:$A,'Detail 18-19'!$A104,'Budget 12 Mnths'!J:J)</f>
        <v>0</v>
      </c>
      <c r="K104" s="56">
        <f>SUMIF('2015-16 12 Mnths'!$A:$A,'Detail 18-19'!$A104,'2015-16 12 Mnths'!J:J)-SUMIF('Budget 12 Mnths'!$A:$A,'Detail 18-19'!$A104,'Budget 12 Mnths'!K:K)</f>
        <v>120</v>
      </c>
      <c r="L104" s="56">
        <f>SUMIF('2015-16 12 Mnths'!$A:$A,'Detail 18-19'!$A104,'2015-16 12 Mnths'!K:K)-SUMIF('Budget 12 Mnths'!$A:$A,'Detail 18-19'!$A104,'Budget 12 Mnths'!L:L)</f>
        <v>120</v>
      </c>
      <c r="M104" s="56"/>
      <c r="N104" s="56"/>
      <c r="O104" s="56"/>
      <c r="P104" s="56">
        <f t="shared" si="1"/>
        <v>1960</v>
      </c>
      <c r="Q104" s="14" t="str">
        <f>+VLOOKUP(A104,Mapping!$A$1:$E$443,5,FALSE)</f>
        <v>RenWeb</v>
      </c>
      <c r="R104" s="26">
        <f>+SUMIF('Budget 12 Mnths'!$A:$A,'Detail 18-19'!$A104,'Budget 12 Mnths'!$P:$P)</f>
        <v>0</v>
      </c>
      <c r="S104" s="26">
        <f>+SUMIF('2015-16 12 Mnths'!$A:$A,'Detail 18-19'!$A104,'2015-16 12 Mnths'!$O:$O)</f>
        <v>2200</v>
      </c>
      <c r="T104" s="57">
        <f t="shared" si="2"/>
        <v>0</v>
      </c>
      <c r="U104" s="57">
        <f t="shared" si="3"/>
        <v>0.8909090909</v>
      </c>
      <c r="V104" s="8" t="s">
        <v>451</v>
      </c>
      <c r="W104" s="27">
        <f>120*12</f>
        <v>1440</v>
      </c>
      <c r="X104" s="27">
        <f t="shared" si="41"/>
        <v>1440</v>
      </c>
      <c r="Z104" s="57">
        <f t="shared" si="42"/>
        <v>720</v>
      </c>
      <c r="AA104" s="57" t="str">
        <f>IFERROR(+VLOOKUP(A104,Key!$A$1:$C$219,2,FALSE),"NOT FOUND")</f>
        <v>6100-1U</v>
      </c>
      <c r="AB104" s="27">
        <v>1520.0</v>
      </c>
      <c r="AC104" s="57">
        <f t="shared" ref="AC104:AN104" si="43">+$AB104/12</f>
        <v>126.6666667</v>
      </c>
      <c r="AD104" s="57">
        <f t="shared" si="43"/>
        <v>126.6666667</v>
      </c>
      <c r="AE104" s="57">
        <f t="shared" si="43"/>
        <v>126.6666667</v>
      </c>
      <c r="AF104" s="57">
        <f t="shared" si="43"/>
        <v>126.6666667</v>
      </c>
      <c r="AG104" s="57">
        <f t="shared" si="43"/>
        <v>126.6666667</v>
      </c>
      <c r="AH104" s="57">
        <f t="shared" si="43"/>
        <v>126.6666667</v>
      </c>
      <c r="AI104" s="57">
        <f t="shared" si="43"/>
        <v>126.6666667</v>
      </c>
      <c r="AJ104" s="57">
        <f t="shared" si="43"/>
        <v>126.6666667</v>
      </c>
      <c r="AK104" s="57">
        <f t="shared" si="43"/>
        <v>126.6666667</v>
      </c>
      <c r="AL104" s="57">
        <f t="shared" si="43"/>
        <v>126.6666667</v>
      </c>
      <c r="AM104" s="57">
        <f t="shared" si="43"/>
        <v>126.6666667</v>
      </c>
      <c r="AN104" s="57">
        <f t="shared" si="43"/>
        <v>126.6666667</v>
      </c>
      <c r="AO104" s="27">
        <f t="shared" si="6"/>
        <v>0</v>
      </c>
    </row>
    <row r="105" ht="15.75" customHeight="1">
      <c r="A105" s="15" t="s">
        <v>375</v>
      </c>
      <c r="B105" s="15" t="s">
        <v>376</v>
      </c>
      <c r="C105" s="15" t="s">
        <v>119</v>
      </c>
      <c r="D105" s="56">
        <f>SUMIF('2015-16 12 Mnths'!$A:$A,'Detail 18-19'!$A105,'2015-16 12 Mnths'!C:C)-SUMIF('Budget 12 Mnths'!$A:$A,'Detail 18-19'!$A105,'Budget 12 Mnths'!D:D)</f>
        <v>0</v>
      </c>
      <c r="E105" s="56">
        <f>SUMIF('2015-16 12 Mnths'!$A:$A,'Detail 18-19'!$A105,'2015-16 12 Mnths'!D:D)-SUMIF('Budget 12 Mnths'!$A:$A,'Detail 18-19'!$A105,'Budget 12 Mnths'!E:E)</f>
        <v>-322.11</v>
      </c>
      <c r="F105" s="56">
        <f>SUMIF('2015-16 12 Mnths'!$A:$A,'Detail 18-19'!$A105,'2015-16 12 Mnths'!E:E)-SUMIF('Budget 12 Mnths'!$A:$A,'Detail 18-19'!$A105,'Budget 12 Mnths'!F:F)</f>
        <v>-119.21</v>
      </c>
      <c r="G105" s="56">
        <f>SUMIF('2015-16 12 Mnths'!$A:$A,'Detail 18-19'!$A105,'2015-16 12 Mnths'!F:F)-SUMIF('Budget 12 Mnths'!$A:$A,'Detail 18-19'!$A105,'Budget 12 Mnths'!G:G)</f>
        <v>-77.21</v>
      </c>
      <c r="H105" s="56">
        <f>SUMIF('2015-16 12 Mnths'!$A:$A,'Detail 18-19'!$A105,'2015-16 12 Mnths'!G:G)-SUMIF('Budget 12 Mnths'!$A:$A,'Detail 18-19'!$A105,'Budget 12 Mnths'!H:H)</f>
        <v>-434.21</v>
      </c>
      <c r="I105" s="56">
        <f>SUMIF('2015-16 12 Mnths'!$A:$A,'Detail 18-19'!$A105,'2015-16 12 Mnths'!H:H)-SUMIF('Budget 12 Mnths'!$A:$A,'Detail 18-19'!$A105,'Budget 12 Mnths'!I:I)</f>
        <v>-448.21</v>
      </c>
      <c r="J105" s="56">
        <f>SUMIF('2015-16 12 Mnths'!$A:$A,'Detail 18-19'!$A105,'2015-16 12 Mnths'!I:I)-SUMIF('Budget 12 Mnths'!$A:$A,'Detail 18-19'!$A105,'Budget 12 Mnths'!J:J)</f>
        <v>-171.71</v>
      </c>
      <c r="K105" s="56">
        <f>SUMIF('2015-16 12 Mnths'!$A:$A,'Detail 18-19'!$A105,'2015-16 12 Mnths'!J:J)-SUMIF('Budget 12 Mnths'!$A:$A,'Detail 18-19'!$A105,'Budget 12 Mnths'!K:K)</f>
        <v>271.79</v>
      </c>
      <c r="L105" s="56">
        <f>SUMIF('2015-16 12 Mnths'!$A:$A,'Detail 18-19'!$A105,'2015-16 12 Mnths'!K:K)-SUMIF('Budget 12 Mnths'!$A:$A,'Detail 18-19'!$A105,'Budget 12 Mnths'!L:L)</f>
        <v>-406.21</v>
      </c>
      <c r="M105" s="56"/>
      <c r="N105" s="56"/>
      <c r="O105" s="56"/>
      <c r="P105" s="56">
        <f t="shared" si="1"/>
        <v>-1707.08</v>
      </c>
      <c r="Q105" s="14" t="str">
        <f>+VLOOKUP(A105,Mapping!$A$1:$E$443,5,FALSE)</f>
        <v>Salaries</v>
      </c>
      <c r="R105" s="26">
        <f>+SUMIF('Budget 12 Mnths'!$A:$A,'Detail 18-19'!$A105,'Budget 12 Mnths'!$P:$P)</f>
        <v>6120</v>
      </c>
      <c r="S105" s="26">
        <f>+SUMIF('2015-16 12 Mnths'!$A:$A,'Detail 18-19'!$A105,'2015-16 12 Mnths'!$O:$O)</f>
        <v>3124.5</v>
      </c>
      <c r="T105" s="57">
        <f t="shared" si="2"/>
        <v>-0.2789346405</v>
      </c>
      <c r="U105" s="57">
        <f t="shared" si="3"/>
        <v>-0.5463530165</v>
      </c>
      <c r="V105" s="8" t="s">
        <v>451</v>
      </c>
      <c r="W105" s="57">
        <f>+SUMIF('Salaries 2019-20'!B$100:B$148,'Detail 18-19'!A105,'Salaries 2019-20'!V$100:V$148)</f>
        <v>8484</v>
      </c>
      <c r="X105" s="27">
        <v>8484.0</v>
      </c>
      <c r="Z105" s="57">
        <f t="shared" si="42"/>
        <v>4242</v>
      </c>
      <c r="AA105" s="57" t="str">
        <f>IFERROR(+VLOOKUP(A105,Key!$A$1:$C$219,2,FALSE),"NOT FOUND")</f>
        <v>6200-1U</v>
      </c>
      <c r="AB105" s="27">
        <v>4500.0</v>
      </c>
      <c r="AC105" s="27">
        <v>0.0</v>
      </c>
      <c r="AD105" s="57">
        <f t="shared" ref="AD105:AD106" si="45">+$AB105/9.5*0.5</f>
        <v>236.8421053</v>
      </c>
      <c r="AE105" s="57">
        <f t="shared" ref="AE105:AM105" si="44">+$AB105/9.5</f>
        <v>473.6842105</v>
      </c>
      <c r="AF105" s="57">
        <f t="shared" si="44"/>
        <v>473.6842105</v>
      </c>
      <c r="AG105" s="57">
        <f t="shared" si="44"/>
        <v>473.6842105</v>
      </c>
      <c r="AH105" s="57">
        <f t="shared" si="44"/>
        <v>473.6842105</v>
      </c>
      <c r="AI105" s="57">
        <f t="shared" si="44"/>
        <v>473.6842105</v>
      </c>
      <c r="AJ105" s="57">
        <f t="shared" si="44"/>
        <v>473.6842105</v>
      </c>
      <c r="AK105" s="57">
        <f t="shared" si="44"/>
        <v>473.6842105</v>
      </c>
      <c r="AL105" s="57">
        <f t="shared" si="44"/>
        <v>473.6842105</v>
      </c>
      <c r="AM105" s="57">
        <f t="shared" si="44"/>
        <v>473.6842105</v>
      </c>
      <c r="AN105" s="27">
        <v>0.0</v>
      </c>
      <c r="AO105" s="27">
        <f t="shared" si="6"/>
        <v>0</v>
      </c>
    </row>
    <row r="106" ht="15.75" customHeight="1">
      <c r="A106" s="15" t="s">
        <v>377</v>
      </c>
      <c r="B106" s="15" t="s">
        <v>378</v>
      </c>
      <c r="C106" s="15" t="s">
        <v>119</v>
      </c>
      <c r="D106" s="56">
        <f>SUMIF('2015-16 12 Mnths'!$A:$A,'Detail 18-19'!$A106,'2015-16 12 Mnths'!C:C)-SUMIF('Budget 12 Mnths'!$A:$A,'Detail 18-19'!$A106,'Budget 12 Mnths'!D:D)</f>
        <v>0</v>
      </c>
      <c r="E106" s="56">
        <f>SUMIF('2015-16 12 Mnths'!$A:$A,'Detail 18-19'!$A106,'2015-16 12 Mnths'!D:D)-SUMIF('Budget 12 Mnths'!$A:$A,'Detail 18-19'!$A106,'Budget 12 Mnths'!E:E)</f>
        <v>75.79</v>
      </c>
      <c r="F106" s="56">
        <f>SUMIF('2015-16 12 Mnths'!$A:$A,'Detail 18-19'!$A106,'2015-16 12 Mnths'!E:E)-SUMIF('Budget 12 Mnths'!$A:$A,'Detail 18-19'!$A106,'Budget 12 Mnths'!F:F)</f>
        <v>-568.42</v>
      </c>
      <c r="G106" s="56">
        <f>SUMIF('2015-16 12 Mnths'!$A:$A,'Detail 18-19'!$A106,'2015-16 12 Mnths'!F:F)-SUMIF('Budget 12 Mnths'!$A:$A,'Detail 18-19'!$A106,'Budget 12 Mnths'!G:G)</f>
        <v>871.58</v>
      </c>
      <c r="H106" s="56">
        <f>SUMIF('2015-16 12 Mnths'!$A:$A,'Detail 18-19'!$A106,'2015-16 12 Mnths'!G:G)-SUMIF('Budget 12 Mnths'!$A:$A,'Detail 18-19'!$A106,'Budget 12 Mnths'!H:H)</f>
        <v>-568.42</v>
      </c>
      <c r="I106" s="56">
        <f>SUMIF('2015-16 12 Mnths'!$A:$A,'Detail 18-19'!$A106,'2015-16 12 Mnths'!H:H)-SUMIF('Budget 12 Mnths'!$A:$A,'Detail 18-19'!$A106,'Budget 12 Mnths'!I:I)</f>
        <v>151.58</v>
      </c>
      <c r="J106" s="56">
        <f>SUMIF('2015-16 12 Mnths'!$A:$A,'Detail 18-19'!$A106,'2015-16 12 Mnths'!I:I)-SUMIF('Budget 12 Mnths'!$A:$A,'Detail 18-19'!$A106,'Budget 12 Mnths'!J:J)</f>
        <v>-568.42</v>
      </c>
      <c r="K106" s="56">
        <f>SUMIF('2015-16 12 Mnths'!$A:$A,'Detail 18-19'!$A106,'2015-16 12 Mnths'!J:J)-SUMIF('Budget 12 Mnths'!$A:$A,'Detail 18-19'!$A106,'Budget 12 Mnths'!K:K)</f>
        <v>151.58</v>
      </c>
      <c r="L106" s="56">
        <f>SUMIF('2015-16 12 Mnths'!$A:$A,'Detail 18-19'!$A106,'2015-16 12 Mnths'!K:K)-SUMIF('Budget 12 Mnths'!$A:$A,'Detail 18-19'!$A106,'Budget 12 Mnths'!L:L)</f>
        <v>151.58</v>
      </c>
      <c r="M106" s="56"/>
      <c r="N106" s="56"/>
      <c r="O106" s="56"/>
      <c r="P106" s="56">
        <f t="shared" si="1"/>
        <v>-303.15</v>
      </c>
      <c r="Q106" s="14" t="str">
        <f>+VLOOKUP(A106,Mapping!$A$1:$E$443,5,FALSE)</f>
        <v>Salaries</v>
      </c>
      <c r="R106" s="26">
        <f>+SUMIF('Budget 12 Mnths'!$A:$A,'Detail 18-19'!$A106,'Budget 12 Mnths'!$P:$P)</f>
        <v>12240</v>
      </c>
      <c r="S106" s="26">
        <f>+SUMIF('2015-16 12 Mnths'!$A:$A,'Detail 18-19'!$A106,'2015-16 12 Mnths'!$O:$O)</f>
        <v>9360</v>
      </c>
      <c r="T106" s="57">
        <f t="shared" si="2"/>
        <v>-0.02476715686</v>
      </c>
      <c r="U106" s="57">
        <f t="shared" si="3"/>
        <v>-0.03238782051</v>
      </c>
      <c r="V106" s="8" t="s">
        <v>641</v>
      </c>
      <c r="W106" s="57">
        <f>+SUMIF('Salaries 2019-20'!B$100:B$148,'Detail 18-19'!A106,'Salaries 2019-20'!V$100:V$148)</f>
        <v>12000</v>
      </c>
      <c r="X106" s="27">
        <v>12000.0</v>
      </c>
      <c r="Z106" s="57">
        <f t="shared" si="42"/>
        <v>6000</v>
      </c>
      <c r="AA106" s="57" t="str">
        <f>IFERROR(+VLOOKUP(A106,Key!$A$1:$C$219,2,FALSE),"NOT FOUND")</f>
        <v>6305-1U</v>
      </c>
      <c r="AB106" s="27">
        <v>16000.0</v>
      </c>
      <c r="AC106" s="27">
        <v>0.0</v>
      </c>
      <c r="AD106" s="57">
        <f t="shared" si="45"/>
        <v>842.1052632</v>
      </c>
      <c r="AE106" s="57">
        <f t="shared" ref="AE106:AM106" si="46">+$AB106/9.5</f>
        <v>1684.210526</v>
      </c>
      <c r="AF106" s="57">
        <f t="shared" si="46"/>
        <v>1684.210526</v>
      </c>
      <c r="AG106" s="57">
        <f t="shared" si="46"/>
        <v>1684.210526</v>
      </c>
      <c r="AH106" s="57">
        <f t="shared" si="46"/>
        <v>1684.210526</v>
      </c>
      <c r="AI106" s="57">
        <f t="shared" si="46"/>
        <v>1684.210526</v>
      </c>
      <c r="AJ106" s="57">
        <f t="shared" si="46"/>
        <v>1684.210526</v>
      </c>
      <c r="AK106" s="57">
        <f t="shared" si="46"/>
        <v>1684.210526</v>
      </c>
      <c r="AL106" s="57">
        <f t="shared" si="46"/>
        <v>1684.210526</v>
      </c>
      <c r="AM106" s="57">
        <f t="shared" si="46"/>
        <v>1684.210526</v>
      </c>
      <c r="AN106" s="27">
        <v>0.0</v>
      </c>
      <c r="AO106" s="27">
        <f t="shared" si="6"/>
        <v>0</v>
      </c>
    </row>
    <row r="107" ht="15.75" hidden="1" customHeight="1">
      <c r="A107" s="15" t="s">
        <v>379</v>
      </c>
      <c r="B107" s="15" t="s">
        <v>380</v>
      </c>
      <c r="C107" s="15" t="s">
        <v>119</v>
      </c>
      <c r="D107" s="56">
        <f>SUMIF('2015-16 12 Mnths'!$A:$A,'Detail 18-19'!$A107,'2015-16 12 Mnths'!C:C)-SUMIF('Budget 12 Mnths'!$A:$A,'Detail 18-19'!$A107,'Budget 12 Mnths'!D:D)</f>
        <v>0</v>
      </c>
      <c r="E107" s="56">
        <f>SUMIF('2015-16 12 Mnths'!$A:$A,'Detail 18-19'!$A107,'2015-16 12 Mnths'!D:D)-SUMIF('Budget 12 Mnths'!$A:$A,'Detail 18-19'!$A107,'Budget 12 Mnths'!E:E)</f>
        <v>0</v>
      </c>
      <c r="F107" s="56">
        <f>SUMIF('2015-16 12 Mnths'!$A:$A,'Detail 18-19'!$A107,'2015-16 12 Mnths'!E:E)-SUMIF('Budget 12 Mnths'!$A:$A,'Detail 18-19'!$A107,'Budget 12 Mnths'!F:F)</f>
        <v>0</v>
      </c>
      <c r="G107" s="56">
        <f>SUMIF('2015-16 12 Mnths'!$A:$A,'Detail 18-19'!$A107,'2015-16 12 Mnths'!F:F)-SUMIF('Budget 12 Mnths'!$A:$A,'Detail 18-19'!$A107,'Budget 12 Mnths'!G:G)</f>
        <v>0</v>
      </c>
      <c r="H107" s="56">
        <f>SUMIF('2015-16 12 Mnths'!$A:$A,'Detail 18-19'!$A107,'2015-16 12 Mnths'!G:G)-SUMIF('Budget 12 Mnths'!$A:$A,'Detail 18-19'!$A107,'Budget 12 Mnths'!H:H)</f>
        <v>0</v>
      </c>
      <c r="I107" s="56">
        <f>SUMIF('2015-16 12 Mnths'!$A:$A,'Detail 18-19'!$A107,'2015-16 12 Mnths'!H:H)-SUMIF('Budget 12 Mnths'!$A:$A,'Detail 18-19'!$A107,'Budget 12 Mnths'!I:I)</f>
        <v>0</v>
      </c>
      <c r="J107" s="56">
        <f>SUMIF('2015-16 12 Mnths'!$A:$A,'Detail 18-19'!$A107,'2015-16 12 Mnths'!I:I)-SUMIF('Budget 12 Mnths'!$A:$A,'Detail 18-19'!$A107,'Budget 12 Mnths'!J:J)</f>
        <v>450</v>
      </c>
      <c r="K107" s="56">
        <f>SUMIF('2015-16 12 Mnths'!$A:$A,'Detail 18-19'!$A107,'2015-16 12 Mnths'!J:J)-SUMIF('Budget 12 Mnths'!$A:$A,'Detail 18-19'!$A107,'Budget 12 Mnths'!K:K)</f>
        <v>0</v>
      </c>
      <c r="L107" s="56">
        <f>SUMIF('2015-16 12 Mnths'!$A:$A,'Detail 18-19'!$A107,'2015-16 12 Mnths'!K:K)-SUMIF('Budget 12 Mnths'!$A:$A,'Detail 18-19'!$A107,'Budget 12 Mnths'!L:L)</f>
        <v>0</v>
      </c>
      <c r="M107" s="56"/>
      <c r="N107" s="56"/>
      <c r="O107" s="56"/>
      <c r="P107" s="56">
        <f t="shared" si="1"/>
        <v>450</v>
      </c>
      <c r="Q107" s="14" t="str">
        <f>+VLOOKUP(A107,Mapping!$A$1:$E$443,5,FALSE)</f>
        <v>Salaries</v>
      </c>
      <c r="R107" s="26">
        <f>+SUMIF('Budget 12 Mnths'!$A:$A,'Detail 18-19'!$A107,'Budget 12 Mnths'!$P:$P)</f>
        <v>0</v>
      </c>
      <c r="S107" s="26">
        <f>+SUMIF('2015-16 12 Mnths'!$A:$A,'Detail 18-19'!$A107,'2015-16 12 Mnths'!$O:$O)</f>
        <v>450</v>
      </c>
      <c r="T107" s="57">
        <f t="shared" si="2"/>
        <v>0</v>
      </c>
      <c r="U107" s="57">
        <f t="shared" si="3"/>
        <v>1</v>
      </c>
      <c r="W107" s="57">
        <f>+SUMIF('Salaries 2019-20'!B$100:B$148,'Detail 18-19'!A107,'Salaries 2019-20'!V$100:V$148)</f>
        <v>0</v>
      </c>
      <c r="X107" s="27">
        <v>0.0</v>
      </c>
      <c r="Z107" s="57">
        <f t="shared" si="42"/>
        <v>0</v>
      </c>
      <c r="AA107" s="57" t="str">
        <f>IFERROR(+VLOOKUP(A107,Key!$A$1:$C$219,2,FALSE),"NOT FOUND")</f>
        <v>NOT FOUND</v>
      </c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>
        <f t="shared" si="6"/>
        <v>0</v>
      </c>
    </row>
    <row r="108" ht="15.75" customHeight="1">
      <c r="A108" s="15" t="s">
        <v>383</v>
      </c>
      <c r="B108" s="15" t="s">
        <v>384</v>
      </c>
      <c r="C108" s="15" t="s">
        <v>119</v>
      </c>
      <c r="D108" s="56">
        <f>SUMIF('2015-16 12 Mnths'!$A:$A,'Detail 18-19'!$A108,'2015-16 12 Mnths'!C:C)-SUMIF('Budget 12 Mnths'!$A:$A,'Detail 18-19'!$A108,'Budget 12 Mnths'!D:D)</f>
        <v>26368.76</v>
      </c>
      <c r="E108" s="56">
        <f>SUMIF('2015-16 12 Mnths'!$A:$A,'Detail 18-19'!$A108,'2015-16 12 Mnths'!D:D)-SUMIF('Budget 12 Mnths'!$A:$A,'Detail 18-19'!$A108,'Budget 12 Mnths'!E:E)</f>
        <v>10758.42</v>
      </c>
      <c r="F108" s="56">
        <f>SUMIF('2015-16 12 Mnths'!$A:$A,'Detail 18-19'!$A108,'2015-16 12 Mnths'!E:E)-SUMIF('Budget 12 Mnths'!$A:$A,'Detail 18-19'!$A108,'Budget 12 Mnths'!F:F)</f>
        <v>-6228.67</v>
      </c>
      <c r="G108" s="56">
        <f>SUMIF('2015-16 12 Mnths'!$A:$A,'Detail 18-19'!$A108,'2015-16 12 Mnths'!F:F)-SUMIF('Budget 12 Mnths'!$A:$A,'Detail 18-19'!$A108,'Budget 12 Mnths'!G:G)</f>
        <v>-6228.67</v>
      </c>
      <c r="H108" s="56">
        <f>SUMIF('2015-16 12 Mnths'!$A:$A,'Detail 18-19'!$A108,'2015-16 12 Mnths'!G:G)-SUMIF('Budget 12 Mnths'!$A:$A,'Detail 18-19'!$A108,'Budget 12 Mnths'!H:H)</f>
        <v>-6228.67</v>
      </c>
      <c r="I108" s="56">
        <f>SUMIF('2015-16 12 Mnths'!$A:$A,'Detail 18-19'!$A108,'2015-16 12 Mnths'!H:H)-SUMIF('Budget 12 Mnths'!$A:$A,'Detail 18-19'!$A108,'Budget 12 Mnths'!I:I)</f>
        <v>-6228.67</v>
      </c>
      <c r="J108" s="56">
        <f>SUMIF('2015-16 12 Mnths'!$A:$A,'Detail 18-19'!$A108,'2015-16 12 Mnths'!I:I)-SUMIF('Budget 12 Mnths'!$A:$A,'Detail 18-19'!$A108,'Budget 12 Mnths'!J:J)</f>
        <v>-6228.67</v>
      </c>
      <c r="K108" s="56">
        <f>SUMIF('2015-16 12 Mnths'!$A:$A,'Detail 18-19'!$A108,'2015-16 12 Mnths'!J:J)-SUMIF('Budget 12 Mnths'!$A:$A,'Detail 18-19'!$A108,'Budget 12 Mnths'!K:K)</f>
        <v>-8895.33</v>
      </c>
      <c r="L108" s="56">
        <f>SUMIF('2015-16 12 Mnths'!$A:$A,'Detail 18-19'!$A108,'2015-16 12 Mnths'!K:K)-SUMIF('Budget 12 Mnths'!$A:$A,'Detail 18-19'!$A108,'Budget 12 Mnths'!L:L)</f>
        <v>-8895.33</v>
      </c>
      <c r="M108" s="56"/>
      <c r="N108" s="56"/>
      <c r="O108" s="56"/>
      <c r="P108" s="56">
        <f t="shared" si="1"/>
        <v>-11806.83</v>
      </c>
      <c r="Q108" s="14" t="str">
        <f>+VLOOKUP(A108,Mapping!$A$1:$E$443,5,FALSE)</f>
        <v>Salaries</v>
      </c>
      <c r="R108" s="26">
        <f>+SUMIF('Budget 12 Mnths'!$A:$A,'Detail 18-19'!$A108,'Budget 12 Mnths'!$P:$P)</f>
        <v>322754.76</v>
      </c>
      <c r="S108" s="26">
        <f>+SUMIF('2015-16 12 Mnths'!$A:$A,'Detail 18-19'!$A108,'2015-16 12 Mnths'!$O:$O)</f>
        <v>255539.03</v>
      </c>
      <c r="T108" s="57">
        <f t="shared" si="2"/>
        <v>-0.03658142795</v>
      </c>
      <c r="U108" s="57">
        <f t="shared" si="3"/>
        <v>-0.0462036269</v>
      </c>
      <c r="V108" s="8" t="s">
        <v>594</v>
      </c>
      <c r="W108" s="57">
        <f>+SUMIF('Salaries 2019-20'!B$100:B$148,'Detail 18-19'!A108,'Salaries 2019-20'!V$100:V$148)</f>
        <v>611118.5944</v>
      </c>
      <c r="X108" s="27">
        <v>318023.63</v>
      </c>
      <c r="Y108" s="8" t="s">
        <v>601</v>
      </c>
      <c r="Z108" s="57">
        <f>+X108/9.5*4.5</f>
        <v>150642.7721</v>
      </c>
      <c r="AA108" s="57" t="str">
        <f>IFERROR(+VLOOKUP(A108,Key!$A$1:$C$219,2,FALSE),"NOT FOUND")</f>
        <v>6205-1U</v>
      </c>
      <c r="AB108" s="57">
        <f>+SUMIFS('Salaries 2019-20'!$V$174:$V$194,'Salaries 2019-20'!$B$174:$B$194,'Detail 18-19'!A108)</f>
        <v>327446.8056</v>
      </c>
      <c r="AC108" s="27">
        <v>0.0</v>
      </c>
      <c r="AD108" s="57">
        <f t="shared" ref="AD108:AD109" si="48">+$AB108/9.5*0.5</f>
        <v>17234.0424</v>
      </c>
      <c r="AE108" s="57">
        <f t="shared" ref="AE108:AM108" si="47">+$AB108/9.5</f>
        <v>34468.0848</v>
      </c>
      <c r="AF108" s="57">
        <f t="shared" si="47"/>
        <v>34468.0848</v>
      </c>
      <c r="AG108" s="57">
        <f t="shared" si="47"/>
        <v>34468.0848</v>
      </c>
      <c r="AH108" s="57">
        <f t="shared" si="47"/>
        <v>34468.0848</v>
      </c>
      <c r="AI108" s="57">
        <f t="shared" si="47"/>
        <v>34468.0848</v>
      </c>
      <c r="AJ108" s="57">
        <f t="shared" si="47"/>
        <v>34468.0848</v>
      </c>
      <c r="AK108" s="57">
        <f t="shared" si="47"/>
        <v>34468.0848</v>
      </c>
      <c r="AL108" s="57">
        <f t="shared" si="47"/>
        <v>34468.0848</v>
      </c>
      <c r="AM108" s="57">
        <f t="shared" si="47"/>
        <v>34468.0848</v>
      </c>
      <c r="AN108" s="27">
        <v>0.0</v>
      </c>
      <c r="AO108" s="27">
        <f t="shared" si="6"/>
        <v>0</v>
      </c>
    </row>
    <row r="109" ht="15.75" hidden="1" customHeight="1">
      <c r="A109" s="15" t="s">
        <v>385</v>
      </c>
      <c r="B109" s="15" t="s">
        <v>386</v>
      </c>
      <c r="C109" s="15" t="s">
        <v>119</v>
      </c>
      <c r="D109" s="56">
        <f>SUMIF('2015-16 12 Mnths'!$A:$A,'Detail 18-19'!$A109,'2015-16 12 Mnths'!C:C)-SUMIF('Budget 12 Mnths'!$A:$A,'Detail 18-19'!$A109,'Budget 12 Mnths'!D:D)</f>
        <v>0</v>
      </c>
      <c r="E109" s="56">
        <f>SUMIF('2015-16 12 Mnths'!$A:$A,'Detail 18-19'!$A109,'2015-16 12 Mnths'!D:D)-SUMIF('Budget 12 Mnths'!$A:$A,'Detail 18-19'!$A109,'Budget 12 Mnths'!E:E)</f>
        <v>338.38</v>
      </c>
      <c r="F109" s="56">
        <f>SUMIF('2015-16 12 Mnths'!$A:$A,'Detail 18-19'!$A109,'2015-16 12 Mnths'!E:E)-SUMIF('Budget 12 Mnths'!$A:$A,'Detail 18-19'!$A109,'Budget 12 Mnths'!F:F)</f>
        <v>-2002.14</v>
      </c>
      <c r="G109" s="56">
        <f>SUMIF('2015-16 12 Mnths'!$A:$A,'Detail 18-19'!$A109,'2015-16 12 Mnths'!F:F)-SUMIF('Budget 12 Mnths'!$A:$A,'Detail 18-19'!$A109,'Budget 12 Mnths'!G:G)</f>
        <v>-1599.64</v>
      </c>
      <c r="H109" s="56">
        <f>SUMIF('2015-16 12 Mnths'!$A:$A,'Detail 18-19'!$A109,'2015-16 12 Mnths'!G:G)-SUMIF('Budget 12 Mnths'!$A:$A,'Detail 18-19'!$A109,'Budget 12 Mnths'!H:H)</f>
        <v>-1581.44</v>
      </c>
      <c r="I109" s="56">
        <f>SUMIF('2015-16 12 Mnths'!$A:$A,'Detail 18-19'!$A109,'2015-16 12 Mnths'!H:H)-SUMIF('Budget 12 Mnths'!$A:$A,'Detail 18-19'!$A109,'Budget 12 Mnths'!I:I)</f>
        <v>-2511.04</v>
      </c>
      <c r="J109" s="56">
        <f>SUMIF('2015-16 12 Mnths'!$A:$A,'Detail 18-19'!$A109,'2015-16 12 Mnths'!I:I)-SUMIF('Budget 12 Mnths'!$A:$A,'Detail 18-19'!$A109,'Budget 12 Mnths'!J:J)</f>
        <v>-2076.34</v>
      </c>
      <c r="K109" s="56">
        <f>SUMIF('2015-16 12 Mnths'!$A:$A,'Detail 18-19'!$A109,'2015-16 12 Mnths'!J:J)-SUMIF('Budget 12 Mnths'!$A:$A,'Detail 18-19'!$A109,'Budget 12 Mnths'!K:K)</f>
        <v>-1636.04</v>
      </c>
      <c r="L109" s="56">
        <f>SUMIF('2015-16 12 Mnths'!$A:$A,'Detail 18-19'!$A109,'2015-16 12 Mnths'!K:K)-SUMIF('Budget 12 Mnths'!$A:$A,'Detail 18-19'!$A109,'Budget 12 Mnths'!L:L)</f>
        <v>-790.44</v>
      </c>
      <c r="M109" s="56"/>
      <c r="N109" s="56"/>
      <c r="O109" s="56"/>
      <c r="P109" s="56">
        <f t="shared" si="1"/>
        <v>-11858.7</v>
      </c>
      <c r="Q109" s="14" t="str">
        <f>+VLOOKUP(A109,Mapping!$A$1:$E$443,5,FALSE)</f>
        <v>Salaries</v>
      </c>
      <c r="R109" s="26">
        <f>+SUMIF('Budget 12 Mnths'!$A:$A,'Detail 18-19'!$A109,'Budget 12 Mnths'!$P:$P)</f>
        <v>28775.92</v>
      </c>
      <c r="S109" s="26">
        <f>+SUMIF('2015-16 12 Mnths'!$A:$A,'Detail 18-19'!$A109,'2015-16 12 Mnths'!$O:$O)</f>
        <v>11979.1</v>
      </c>
      <c r="T109" s="57">
        <f t="shared" si="2"/>
        <v>-0.4121049822</v>
      </c>
      <c r="U109" s="57">
        <f t="shared" si="3"/>
        <v>-0.9899491615</v>
      </c>
      <c r="V109" s="8" t="s">
        <v>594</v>
      </c>
      <c r="W109" s="57">
        <f>+SUMIF('Salaries 2019-20'!B$100:B$148,'Detail 18-19'!A109,'Salaries 2019-20'!V$100:V$148)</f>
        <v>0</v>
      </c>
      <c r="X109" s="27">
        <v>0.0</v>
      </c>
      <c r="Y109" s="8" t="s">
        <v>601</v>
      </c>
      <c r="Z109" s="57">
        <f t="shared" ref="Z109:Z114" si="50">+X109/2</f>
        <v>0</v>
      </c>
      <c r="AA109" s="57" t="str">
        <f>IFERROR(+VLOOKUP(A109,Key!$A$1:$C$219,2,FALSE),"NOT FOUND")</f>
        <v>NOT FOUND</v>
      </c>
      <c r="AB109" s="57">
        <f>+SUMIFS('Salaries 2019-20'!$V$174:$V$194,'Salaries 2019-20'!$B$174:$B$194,'Detail 18-19'!A109)</f>
        <v>0</v>
      </c>
      <c r="AC109" s="27">
        <v>0.0</v>
      </c>
      <c r="AD109" s="57">
        <f t="shared" si="48"/>
        <v>0</v>
      </c>
      <c r="AE109" s="57">
        <f t="shared" ref="AE109:AM109" si="49">+$AB109/9.5</f>
        <v>0</v>
      </c>
      <c r="AF109" s="57">
        <f t="shared" si="49"/>
        <v>0</v>
      </c>
      <c r="AG109" s="57">
        <f t="shared" si="49"/>
        <v>0</v>
      </c>
      <c r="AH109" s="57">
        <f t="shared" si="49"/>
        <v>0</v>
      </c>
      <c r="AI109" s="57">
        <f t="shared" si="49"/>
        <v>0</v>
      </c>
      <c r="AJ109" s="57">
        <f t="shared" si="49"/>
        <v>0</v>
      </c>
      <c r="AK109" s="57">
        <f t="shared" si="49"/>
        <v>0</v>
      </c>
      <c r="AL109" s="57">
        <f t="shared" si="49"/>
        <v>0</v>
      </c>
      <c r="AM109" s="57">
        <f t="shared" si="49"/>
        <v>0</v>
      </c>
      <c r="AN109" s="27">
        <v>0.0</v>
      </c>
      <c r="AO109" s="27">
        <f t="shared" si="6"/>
        <v>0</v>
      </c>
    </row>
    <row r="110" ht="15.75" hidden="1" customHeight="1">
      <c r="A110" s="15" t="s">
        <v>387</v>
      </c>
      <c r="B110" s="15" t="s">
        <v>388</v>
      </c>
      <c r="C110" s="15" t="s">
        <v>119</v>
      </c>
      <c r="D110" s="56">
        <f>SUMIF('2015-16 12 Mnths'!$A:$A,'Detail 18-19'!$A110,'2015-16 12 Mnths'!C:C)-SUMIF('Budget 12 Mnths'!$A:$A,'Detail 18-19'!$A110,'Budget 12 Mnths'!D:D)</f>
        <v>-2040</v>
      </c>
      <c r="E110" s="56">
        <f>SUMIF('2015-16 12 Mnths'!$A:$A,'Detail 18-19'!$A110,'2015-16 12 Mnths'!D:D)-SUMIF('Budget 12 Mnths'!$A:$A,'Detail 18-19'!$A110,'Budget 12 Mnths'!E:E)</f>
        <v>0</v>
      </c>
      <c r="F110" s="56">
        <f>SUMIF('2015-16 12 Mnths'!$A:$A,'Detail 18-19'!$A110,'2015-16 12 Mnths'!E:E)-SUMIF('Budget 12 Mnths'!$A:$A,'Detail 18-19'!$A110,'Budget 12 Mnths'!F:F)</f>
        <v>0</v>
      </c>
      <c r="G110" s="56">
        <f>SUMIF('2015-16 12 Mnths'!$A:$A,'Detail 18-19'!$A110,'2015-16 12 Mnths'!F:F)-SUMIF('Budget 12 Mnths'!$A:$A,'Detail 18-19'!$A110,'Budget 12 Mnths'!G:G)</f>
        <v>0</v>
      </c>
      <c r="H110" s="56">
        <f>SUMIF('2015-16 12 Mnths'!$A:$A,'Detail 18-19'!$A110,'2015-16 12 Mnths'!G:G)-SUMIF('Budget 12 Mnths'!$A:$A,'Detail 18-19'!$A110,'Budget 12 Mnths'!H:H)</f>
        <v>0</v>
      </c>
      <c r="I110" s="56">
        <f>SUMIF('2015-16 12 Mnths'!$A:$A,'Detail 18-19'!$A110,'2015-16 12 Mnths'!H:H)-SUMIF('Budget 12 Mnths'!$A:$A,'Detail 18-19'!$A110,'Budget 12 Mnths'!I:I)</f>
        <v>0</v>
      </c>
      <c r="J110" s="56">
        <f>SUMIF('2015-16 12 Mnths'!$A:$A,'Detail 18-19'!$A110,'2015-16 12 Mnths'!I:I)-SUMIF('Budget 12 Mnths'!$A:$A,'Detail 18-19'!$A110,'Budget 12 Mnths'!J:J)</f>
        <v>0</v>
      </c>
      <c r="K110" s="56">
        <f>SUMIF('2015-16 12 Mnths'!$A:$A,'Detail 18-19'!$A110,'2015-16 12 Mnths'!J:J)-SUMIF('Budget 12 Mnths'!$A:$A,'Detail 18-19'!$A110,'Budget 12 Mnths'!K:K)</f>
        <v>0</v>
      </c>
      <c r="L110" s="56">
        <f>SUMIF('2015-16 12 Mnths'!$A:$A,'Detail 18-19'!$A110,'2015-16 12 Mnths'!K:K)-SUMIF('Budget 12 Mnths'!$A:$A,'Detail 18-19'!$A110,'Budget 12 Mnths'!L:L)</f>
        <v>0</v>
      </c>
      <c r="M110" s="56"/>
      <c r="N110" s="56"/>
      <c r="O110" s="56"/>
      <c r="P110" s="56">
        <f t="shared" si="1"/>
        <v>-2040</v>
      </c>
      <c r="Q110" s="14" t="str">
        <f>+VLOOKUP(A110,Mapping!$A$1:$E$443,5,FALSE)</f>
        <v>Salaries</v>
      </c>
      <c r="R110" s="26">
        <f>+SUMIF('Budget 12 Mnths'!$A:$A,'Detail 18-19'!$A110,'Budget 12 Mnths'!$P:$P)</f>
        <v>4080</v>
      </c>
      <c r="S110" s="26">
        <f>+SUMIF('2015-16 12 Mnths'!$A:$A,'Detail 18-19'!$A110,'2015-16 12 Mnths'!$O:$O)</f>
        <v>0</v>
      </c>
      <c r="T110" s="57">
        <f t="shared" si="2"/>
        <v>-0.5</v>
      </c>
      <c r="U110" s="57">
        <f t="shared" si="3"/>
        <v>0</v>
      </c>
      <c r="V110" s="8" t="s">
        <v>641</v>
      </c>
      <c r="W110" s="27">
        <v>4080.0</v>
      </c>
      <c r="X110" s="27">
        <v>0.0</v>
      </c>
      <c r="Z110" s="57">
        <f t="shared" si="50"/>
        <v>0</v>
      </c>
      <c r="AA110" s="57" t="str">
        <f>IFERROR(+VLOOKUP(A110,Key!$A$1:$C$219,2,FALSE),"NOT FOUND")</f>
        <v>NOT FOUND</v>
      </c>
      <c r="AB110" s="57">
        <f>+SUMIFS('Salaries 2019-20'!$V$174:$V$194,'Salaries 2019-20'!$B$174:$B$194,'Detail 18-19'!A110)</f>
        <v>0</v>
      </c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>
        <f t="shared" si="6"/>
        <v>0</v>
      </c>
    </row>
    <row r="111" ht="15.75" customHeight="1">
      <c r="A111" s="15" t="s">
        <v>389</v>
      </c>
      <c r="B111" s="15" t="s">
        <v>390</v>
      </c>
      <c r="C111" s="15" t="s">
        <v>119</v>
      </c>
      <c r="D111" s="56">
        <f>SUMIF('2015-16 12 Mnths'!$A:$A,'Detail 18-19'!$A111,'2015-16 12 Mnths'!C:C)-SUMIF('Budget 12 Mnths'!$A:$A,'Detail 18-19'!$A111,'Budget 12 Mnths'!D:D)</f>
        <v>200.76</v>
      </c>
      <c r="E111" s="56">
        <f>SUMIF('2015-16 12 Mnths'!$A:$A,'Detail 18-19'!$A111,'2015-16 12 Mnths'!D:D)-SUMIF('Budget 12 Mnths'!$A:$A,'Detail 18-19'!$A111,'Budget 12 Mnths'!E:E)</f>
        <v>3494.97</v>
      </c>
      <c r="F111" s="56">
        <f>SUMIF('2015-16 12 Mnths'!$A:$A,'Detail 18-19'!$A111,'2015-16 12 Mnths'!E:E)-SUMIF('Budget 12 Mnths'!$A:$A,'Detail 18-19'!$A111,'Budget 12 Mnths'!F:F)</f>
        <v>3494.97</v>
      </c>
      <c r="G111" s="56">
        <f>SUMIF('2015-16 12 Mnths'!$A:$A,'Detail 18-19'!$A111,'2015-16 12 Mnths'!F:F)-SUMIF('Budget 12 Mnths'!$A:$A,'Detail 18-19'!$A111,'Budget 12 Mnths'!G:G)</f>
        <v>3494.97</v>
      </c>
      <c r="H111" s="56">
        <f>SUMIF('2015-16 12 Mnths'!$A:$A,'Detail 18-19'!$A111,'2015-16 12 Mnths'!G:G)-SUMIF('Budget 12 Mnths'!$A:$A,'Detail 18-19'!$A111,'Budget 12 Mnths'!H:H)</f>
        <v>3494.97</v>
      </c>
      <c r="I111" s="56">
        <f>SUMIF('2015-16 12 Mnths'!$A:$A,'Detail 18-19'!$A111,'2015-16 12 Mnths'!H:H)-SUMIF('Budget 12 Mnths'!$A:$A,'Detail 18-19'!$A111,'Budget 12 Mnths'!I:I)</f>
        <v>3494.97</v>
      </c>
      <c r="J111" s="56">
        <f>SUMIF('2015-16 12 Mnths'!$A:$A,'Detail 18-19'!$A111,'2015-16 12 Mnths'!I:I)-SUMIF('Budget 12 Mnths'!$A:$A,'Detail 18-19'!$A111,'Budget 12 Mnths'!J:J)</f>
        <v>3494.97</v>
      </c>
      <c r="K111" s="56">
        <f>SUMIF('2015-16 12 Mnths'!$A:$A,'Detail 18-19'!$A111,'2015-16 12 Mnths'!J:J)-SUMIF('Budget 12 Mnths'!$A:$A,'Detail 18-19'!$A111,'Budget 12 Mnths'!K:K)</f>
        <v>3494.97</v>
      </c>
      <c r="L111" s="56">
        <f>SUMIF('2015-16 12 Mnths'!$A:$A,'Detail 18-19'!$A111,'2015-16 12 Mnths'!K:K)-SUMIF('Budget 12 Mnths'!$A:$A,'Detail 18-19'!$A111,'Budget 12 Mnths'!L:L)</f>
        <v>3494.97</v>
      </c>
      <c r="M111" s="56"/>
      <c r="N111" s="56"/>
      <c r="O111" s="56"/>
      <c r="P111" s="56">
        <f t="shared" si="1"/>
        <v>28160.52</v>
      </c>
      <c r="Q111" s="14" t="str">
        <f>+VLOOKUP(A111,Mapping!$A$1:$E$443,5,FALSE)</f>
        <v>Salaries</v>
      </c>
      <c r="R111" s="26">
        <f>+SUMIF('Budget 12 Mnths'!$A:$A,'Detail 18-19'!$A111,'Budget 12 Mnths'!$P:$P)</f>
        <v>215882.28</v>
      </c>
      <c r="S111" s="26">
        <f>+SUMIF('2015-16 12 Mnths'!$A:$A,'Detail 18-19'!$A111,'2015-16 12 Mnths'!$O:$O)</f>
        <v>200814.81</v>
      </c>
      <c r="T111" s="57">
        <f t="shared" si="2"/>
        <v>0.1304438697</v>
      </c>
      <c r="U111" s="57">
        <f t="shared" si="3"/>
        <v>0.1402312907</v>
      </c>
      <c r="V111" s="8" t="s">
        <v>594</v>
      </c>
      <c r="W111" s="57">
        <f>+SUMIF('Salaries 2019-20'!B$100:B$148,'Detail 18-19'!A111,'Salaries 2019-20'!V$100:V$148)</f>
        <v>530934.32</v>
      </c>
      <c r="X111" s="27">
        <v>269390.32</v>
      </c>
      <c r="Y111" s="8" t="s">
        <v>601</v>
      </c>
      <c r="Z111" s="57">
        <f t="shared" si="50"/>
        <v>134695.16</v>
      </c>
      <c r="AA111" s="57" t="str">
        <f>IFERROR(+VLOOKUP(A111,Key!$A$1:$C$219,2,FALSE),"NOT FOUND")</f>
        <v>6220-2U</v>
      </c>
      <c r="AB111" s="57">
        <f>+SUMIFS('Salaries 2019-20'!$V$174:$V$194,'Salaries 2019-20'!$B$174:$B$194,'Detail 18-19'!A111)</f>
        <v>230804.46</v>
      </c>
      <c r="AC111" s="57">
        <f t="shared" ref="AC111:AN111" si="51">+$AB111/12</f>
        <v>19233.705</v>
      </c>
      <c r="AD111" s="57">
        <f t="shared" si="51"/>
        <v>19233.705</v>
      </c>
      <c r="AE111" s="57">
        <f t="shared" si="51"/>
        <v>19233.705</v>
      </c>
      <c r="AF111" s="57">
        <f t="shared" si="51"/>
        <v>19233.705</v>
      </c>
      <c r="AG111" s="57">
        <f t="shared" si="51"/>
        <v>19233.705</v>
      </c>
      <c r="AH111" s="57">
        <f t="shared" si="51"/>
        <v>19233.705</v>
      </c>
      <c r="AI111" s="57">
        <f t="shared" si="51"/>
        <v>19233.705</v>
      </c>
      <c r="AJ111" s="57">
        <f t="shared" si="51"/>
        <v>19233.705</v>
      </c>
      <c r="AK111" s="57">
        <f t="shared" si="51"/>
        <v>19233.705</v>
      </c>
      <c r="AL111" s="57">
        <f t="shared" si="51"/>
        <v>19233.705</v>
      </c>
      <c r="AM111" s="57">
        <f t="shared" si="51"/>
        <v>19233.705</v>
      </c>
      <c r="AN111" s="57">
        <f t="shared" si="51"/>
        <v>19233.705</v>
      </c>
      <c r="AO111" s="27">
        <f t="shared" si="6"/>
        <v>0</v>
      </c>
    </row>
    <row r="112" ht="15.75" hidden="1" customHeight="1">
      <c r="A112" s="15" t="s">
        <v>391</v>
      </c>
      <c r="B112" s="15" t="s">
        <v>392</v>
      </c>
      <c r="C112" s="15" t="s">
        <v>119</v>
      </c>
      <c r="D112" s="56">
        <f>SUMIF('2015-16 12 Mnths'!$A:$A,'Detail 18-19'!$A112,'2015-16 12 Mnths'!C:C)-SUMIF('Budget 12 Mnths'!$A:$A,'Detail 18-19'!$A112,'Budget 12 Mnths'!D:D)</f>
        <v>0</v>
      </c>
      <c r="E112" s="56">
        <f>SUMIF('2015-16 12 Mnths'!$A:$A,'Detail 18-19'!$A112,'2015-16 12 Mnths'!D:D)-SUMIF('Budget 12 Mnths'!$A:$A,'Detail 18-19'!$A112,'Budget 12 Mnths'!E:E)</f>
        <v>0</v>
      </c>
      <c r="F112" s="56">
        <f>SUMIF('2015-16 12 Mnths'!$A:$A,'Detail 18-19'!$A112,'2015-16 12 Mnths'!E:E)-SUMIF('Budget 12 Mnths'!$A:$A,'Detail 18-19'!$A112,'Budget 12 Mnths'!F:F)</f>
        <v>0</v>
      </c>
      <c r="G112" s="56">
        <f>SUMIF('2015-16 12 Mnths'!$A:$A,'Detail 18-19'!$A112,'2015-16 12 Mnths'!F:F)-SUMIF('Budget 12 Mnths'!$A:$A,'Detail 18-19'!$A112,'Budget 12 Mnths'!G:G)</f>
        <v>0</v>
      </c>
      <c r="H112" s="56">
        <f>SUMIF('2015-16 12 Mnths'!$A:$A,'Detail 18-19'!$A112,'2015-16 12 Mnths'!G:G)-SUMIF('Budget 12 Mnths'!$A:$A,'Detail 18-19'!$A112,'Budget 12 Mnths'!H:H)</f>
        <v>0</v>
      </c>
      <c r="I112" s="56">
        <f>SUMIF('2015-16 12 Mnths'!$A:$A,'Detail 18-19'!$A112,'2015-16 12 Mnths'!H:H)-SUMIF('Budget 12 Mnths'!$A:$A,'Detail 18-19'!$A112,'Budget 12 Mnths'!I:I)</f>
        <v>0</v>
      </c>
      <c r="J112" s="56">
        <f>SUMIF('2015-16 12 Mnths'!$A:$A,'Detail 18-19'!$A112,'2015-16 12 Mnths'!I:I)-SUMIF('Budget 12 Mnths'!$A:$A,'Detail 18-19'!$A112,'Budget 12 Mnths'!J:J)</f>
        <v>0</v>
      </c>
      <c r="K112" s="56">
        <f>SUMIF('2015-16 12 Mnths'!$A:$A,'Detail 18-19'!$A112,'2015-16 12 Mnths'!J:J)-SUMIF('Budget 12 Mnths'!$A:$A,'Detail 18-19'!$A112,'Budget 12 Mnths'!K:K)</f>
        <v>0</v>
      </c>
      <c r="L112" s="56">
        <f>SUMIF('2015-16 12 Mnths'!$A:$A,'Detail 18-19'!$A112,'2015-16 12 Mnths'!K:K)-SUMIF('Budget 12 Mnths'!$A:$A,'Detail 18-19'!$A112,'Budget 12 Mnths'!L:L)</f>
        <v>0</v>
      </c>
      <c r="M112" s="56"/>
      <c r="N112" s="56"/>
      <c r="O112" s="56"/>
      <c r="P112" s="56">
        <f t="shared" si="1"/>
        <v>0</v>
      </c>
      <c r="Q112" s="14" t="str">
        <f>+VLOOKUP(A112,Mapping!$A$1:$E$443,5,FALSE)</f>
        <v>Salaries</v>
      </c>
      <c r="R112" s="26">
        <f>+SUMIF('Budget 12 Mnths'!$A:$A,'Detail 18-19'!$A112,'Budget 12 Mnths'!$P:$P)</f>
        <v>0</v>
      </c>
      <c r="S112" s="26">
        <f>+SUMIF('2015-16 12 Mnths'!$A:$A,'Detail 18-19'!$A112,'2015-16 12 Mnths'!$O:$O)</f>
        <v>0</v>
      </c>
      <c r="T112" s="57">
        <f t="shared" si="2"/>
        <v>0</v>
      </c>
      <c r="U112" s="57">
        <f t="shared" si="3"/>
        <v>0</v>
      </c>
      <c r="W112" s="57">
        <f>+SUMIF('Salaries 2019-20'!B:B,'Detail 18-19'!A112,'Salaries 2019-20'!V:V)</f>
        <v>0</v>
      </c>
      <c r="X112" s="27">
        <v>0.0</v>
      </c>
      <c r="Z112" s="57">
        <f t="shared" si="50"/>
        <v>0</v>
      </c>
      <c r="AA112" s="57" t="str">
        <f>IFERROR(+VLOOKUP(A112,Key!$A$1:$C$219,2,FALSE),"NOT FOUND")</f>
        <v>6225-3U</v>
      </c>
      <c r="AB112" s="57">
        <f>+SUMIFS('Salaries 2019-20'!$V$174:$V$194,'Salaries 2019-20'!$B$174:$B$194,'Detail 18-19'!A112)</f>
        <v>0</v>
      </c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>
        <f t="shared" si="6"/>
        <v>0</v>
      </c>
    </row>
    <row r="113" ht="15.75" hidden="1" customHeight="1">
      <c r="A113" s="15" t="s">
        <v>393</v>
      </c>
      <c r="B113" s="15" t="s">
        <v>394</v>
      </c>
      <c r="C113" s="15" t="s">
        <v>119</v>
      </c>
      <c r="D113" s="56">
        <f>SUMIF('2015-16 12 Mnths'!$A:$A,'Detail 18-19'!$A113,'2015-16 12 Mnths'!C:C)-SUMIF('Budget 12 Mnths'!$A:$A,'Detail 18-19'!$A113,'Budget 12 Mnths'!D:D)</f>
        <v>0</v>
      </c>
      <c r="E113" s="56">
        <f>SUMIF('2015-16 12 Mnths'!$A:$A,'Detail 18-19'!$A113,'2015-16 12 Mnths'!D:D)-SUMIF('Budget 12 Mnths'!$A:$A,'Detail 18-19'!$A113,'Budget 12 Mnths'!E:E)</f>
        <v>0</v>
      </c>
      <c r="F113" s="56">
        <f>SUMIF('2015-16 12 Mnths'!$A:$A,'Detail 18-19'!$A113,'2015-16 12 Mnths'!E:E)-SUMIF('Budget 12 Mnths'!$A:$A,'Detail 18-19'!$A113,'Budget 12 Mnths'!F:F)</f>
        <v>0</v>
      </c>
      <c r="G113" s="56">
        <f>SUMIF('2015-16 12 Mnths'!$A:$A,'Detail 18-19'!$A113,'2015-16 12 Mnths'!F:F)-SUMIF('Budget 12 Mnths'!$A:$A,'Detail 18-19'!$A113,'Budget 12 Mnths'!G:G)</f>
        <v>0</v>
      </c>
      <c r="H113" s="56">
        <f>SUMIF('2015-16 12 Mnths'!$A:$A,'Detail 18-19'!$A113,'2015-16 12 Mnths'!G:G)-SUMIF('Budget 12 Mnths'!$A:$A,'Detail 18-19'!$A113,'Budget 12 Mnths'!H:H)</f>
        <v>0</v>
      </c>
      <c r="I113" s="56">
        <f>SUMIF('2015-16 12 Mnths'!$A:$A,'Detail 18-19'!$A113,'2015-16 12 Mnths'!H:H)-SUMIF('Budget 12 Mnths'!$A:$A,'Detail 18-19'!$A113,'Budget 12 Mnths'!I:I)</f>
        <v>0</v>
      </c>
      <c r="J113" s="56">
        <f>SUMIF('2015-16 12 Mnths'!$A:$A,'Detail 18-19'!$A113,'2015-16 12 Mnths'!I:I)-SUMIF('Budget 12 Mnths'!$A:$A,'Detail 18-19'!$A113,'Budget 12 Mnths'!J:J)</f>
        <v>0</v>
      </c>
      <c r="K113" s="56">
        <f>SUMIF('2015-16 12 Mnths'!$A:$A,'Detail 18-19'!$A113,'2015-16 12 Mnths'!J:J)-SUMIF('Budget 12 Mnths'!$A:$A,'Detail 18-19'!$A113,'Budget 12 Mnths'!K:K)</f>
        <v>0</v>
      </c>
      <c r="L113" s="56">
        <f>SUMIF('2015-16 12 Mnths'!$A:$A,'Detail 18-19'!$A113,'2015-16 12 Mnths'!K:K)-SUMIF('Budget 12 Mnths'!$A:$A,'Detail 18-19'!$A113,'Budget 12 Mnths'!L:L)</f>
        <v>0</v>
      </c>
      <c r="M113" s="56"/>
      <c r="N113" s="56"/>
      <c r="O113" s="56"/>
      <c r="P113" s="56">
        <f t="shared" si="1"/>
        <v>0</v>
      </c>
      <c r="Q113" s="14" t="str">
        <f>+VLOOKUP(A113,Mapping!$A$1:$E$443,5,FALSE)</f>
        <v>Salaries</v>
      </c>
      <c r="R113" s="26">
        <f>+SUMIF('Budget 12 Mnths'!$A:$A,'Detail 18-19'!$A113,'Budget 12 Mnths'!$P:$P)</f>
        <v>46818</v>
      </c>
      <c r="S113" s="26">
        <f>+SUMIF('2015-16 12 Mnths'!$A:$A,'Detail 18-19'!$A113,'2015-16 12 Mnths'!$O:$O)</f>
        <v>37064.25</v>
      </c>
      <c r="T113" s="57">
        <f t="shared" si="2"/>
        <v>0</v>
      </c>
      <c r="U113" s="57">
        <f t="shared" si="3"/>
        <v>0</v>
      </c>
      <c r="V113" s="8" t="s">
        <v>594</v>
      </c>
      <c r="W113" s="57">
        <f>+SUMIF('Salaries 2019-20'!B$100:B$148,'Detail 18-19'!A113,'Salaries 2019-20'!V$100:V$148)</f>
        <v>24780</v>
      </c>
      <c r="X113" s="27">
        <v>4000.0</v>
      </c>
      <c r="Y113" s="8" t="s">
        <v>601</v>
      </c>
      <c r="Z113" s="57">
        <f t="shared" si="50"/>
        <v>2000</v>
      </c>
      <c r="AA113" s="57" t="str">
        <f>IFERROR(+VLOOKUP(A113,Key!$A$1:$C$219,2,FALSE),"NOT FOUND")</f>
        <v>NOT FOUND</v>
      </c>
      <c r="AB113" s="57">
        <f>+SUMIFS('Salaries 2019-20'!$V$174:$V$194,'Salaries 2019-20'!$B$174:$B$194,'Detail 18-19'!A113)</f>
        <v>0</v>
      </c>
      <c r="AC113" s="57">
        <f t="shared" ref="AC113:AN113" si="52">+$AB113/12</f>
        <v>0</v>
      </c>
      <c r="AD113" s="57">
        <f t="shared" si="52"/>
        <v>0</v>
      </c>
      <c r="AE113" s="57">
        <f t="shared" si="52"/>
        <v>0</v>
      </c>
      <c r="AF113" s="57">
        <f t="shared" si="52"/>
        <v>0</v>
      </c>
      <c r="AG113" s="57">
        <f t="shared" si="52"/>
        <v>0</v>
      </c>
      <c r="AH113" s="57">
        <f t="shared" si="52"/>
        <v>0</v>
      </c>
      <c r="AI113" s="57">
        <f t="shared" si="52"/>
        <v>0</v>
      </c>
      <c r="AJ113" s="57">
        <f t="shared" si="52"/>
        <v>0</v>
      </c>
      <c r="AK113" s="57">
        <f t="shared" si="52"/>
        <v>0</v>
      </c>
      <c r="AL113" s="57">
        <f t="shared" si="52"/>
        <v>0</v>
      </c>
      <c r="AM113" s="57">
        <f t="shared" si="52"/>
        <v>0</v>
      </c>
      <c r="AN113" s="57">
        <f t="shared" si="52"/>
        <v>0</v>
      </c>
      <c r="AO113" s="27">
        <f t="shared" si="6"/>
        <v>0</v>
      </c>
    </row>
    <row r="114" ht="15.75" hidden="1" customHeight="1">
      <c r="A114" s="15" t="s">
        <v>395</v>
      </c>
      <c r="B114" s="15" t="s">
        <v>396</v>
      </c>
      <c r="C114" s="15" t="s">
        <v>119</v>
      </c>
      <c r="D114" s="56">
        <f>SUMIF('2015-16 12 Mnths'!$A:$A,'Detail 18-19'!$A114,'2015-16 12 Mnths'!C:C)-SUMIF('Budget 12 Mnths'!$A:$A,'Detail 18-19'!$A114,'Budget 12 Mnths'!D:D)</f>
        <v>-260</v>
      </c>
      <c r="E114" s="56">
        <f>SUMIF('2015-16 12 Mnths'!$A:$A,'Detail 18-19'!$A114,'2015-16 12 Mnths'!D:D)-SUMIF('Budget 12 Mnths'!$A:$A,'Detail 18-19'!$A114,'Budget 12 Mnths'!E:E)</f>
        <v>-260</v>
      </c>
      <c r="F114" s="56">
        <f>SUMIF('2015-16 12 Mnths'!$A:$A,'Detail 18-19'!$A114,'2015-16 12 Mnths'!E:E)-SUMIF('Budget 12 Mnths'!$A:$A,'Detail 18-19'!$A114,'Budget 12 Mnths'!F:F)</f>
        <v>1740</v>
      </c>
      <c r="G114" s="56">
        <f>SUMIF('2015-16 12 Mnths'!$A:$A,'Detail 18-19'!$A114,'2015-16 12 Mnths'!F:F)-SUMIF('Budget 12 Mnths'!$A:$A,'Detail 18-19'!$A114,'Budget 12 Mnths'!G:G)</f>
        <v>640</v>
      </c>
      <c r="H114" s="56">
        <f>SUMIF('2015-16 12 Mnths'!$A:$A,'Detail 18-19'!$A114,'2015-16 12 Mnths'!G:G)-SUMIF('Budget 12 Mnths'!$A:$A,'Detail 18-19'!$A114,'Budget 12 Mnths'!H:H)</f>
        <v>1240</v>
      </c>
      <c r="I114" s="56">
        <f>SUMIF('2015-16 12 Mnths'!$A:$A,'Detail 18-19'!$A114,'2015-16 12 Mnths'!H:H)-SUMIF('Budget 12 Mnths'!$A:$A,'Detail 18-19'!$A114,'Budget 12 Mnths'!I:I)</f>
        <v>-260</v>
      </c>
      <c r="J114" s="56">
        <f>SUMIF('2015-16 12 Mnths'!$A:$A,'Detail 18-19'!$A114,'2015-16 12 Mnths'!I:I)-SUMIF('Budget 12 Mnths'!$A:$A,'Detail 18-19'!$A114,'Budget 12 Mnths'!J:J)</f>
        <v>-260</v>
      </c>
      <c r="K114" s="56">
        <f>SUMIF('2015-16 12 Mnths'!$A:$A,'Detail 18-19'!$A114,'2015-16 12 Mnths'!J:J)-SUMIF('Budget 12 Mnths'!$A:$A,'Detail 18-19'!$A114,'Budget 12 Mnths'!K:K)</f>
        <v>-260</v>
      </c>
      <c r="L114" s="56">
        <f>SUMIF('2015-16 12 Mnths'!$A:$A,'Detail 18-19'!$A114,'2015-16 12 Mnths'!K:K)-SUMIF('Budget 12 Mnths'!$A:$A,'Detail 18-19'!$A114,'Budget 12 Mnths'!L:L)</f>
        <v>-385</v>
      </c>
      <c r="M114" s="56"/>
      <c r="N114" s="56"/>
      <c r="O114" s="56"/>
      <c r="P114" s="56">
        <f t="shared" si="1"/>
        <v>1935</v>
      </c>
      <c r="Q114" s="14" t="str">
        <f>+VLOOKUP(A114,Mapping!$A$1:$E$443,5,FALSE)</f>
        <v>Salaries</v>
      </c>
      <c r="R114" s="26">
        <f>+SUMIF('Budget 12 Mnths'!$A:$A,'Detail 18-19'!$A114,'Budget 12 Mnths'!$P:$P)</f>
        <v>6120</v>
      </c>
      <c r="S114" s="26">
        <f>+SUMIF('2015-16 12 Mnths'!$A:$A,'Detail 18-19'!$A114,'2015-16 12 Mnths'!$O:$O)</f>
        <v>7025</v>
      </c>
      <c r="T114" s="57">
        <f t="shared" si="2"/>
        <v>0.3161764706</v>
      </c>
      <c r="U114" s="57">
        <f t="shared" si="3"/>
        <v>0.2754448399</v>
      </c>
      <c r="V114" s="8" t="s">
        <v>594</v>
      </c>
      <c r="W114" s="57">
        <f>+SUMIF('Salaries 2019-20'!B$100:B$148,'Detail 18-19'!A114,'Salaries 2019-20'!V$100:V$148)</f>
        <v>17508</v>
      </c>
      <c r="X114" s="27">
        <v>10000.0</v>
      </c>
      <c r="Y114" s="8" t="s">
        <v>601</v>
      </c>
      <c r="Z114" s="57">
        <f t="shared" si="50"/>
        <v>5000</v>
      </c>
      <c r="AA114" s="57" t="str">
        <f>IFERROR(+VLOOKUP(A114,Key!$A$1:$C$219,2,FALSE),"NOT FOUND")</f>
        <v>6235-1U</v>
      </c>
      <c r="AB114" s="57">
        <f>+SUMIFS('Salaries 2019-20'!$V$174:$V$194,'Salaries 2019-20'!$B$174:$B$194,'Detail 18-19'!A114)</f>
        <v>0</v>
      </c>
      <c r="AC114" s="27">
        <v>0.0</v>
      </c>
      <c r="AD114" s="57">
        <f t="shared" ref="AD114:AD115" si="54">+$AB114/9.5*0.5</f>
        <v>0</v>
      </c>
      <c r="AE114" s="57">
        <f t="shared" ref="AE114:AM114" si="53">+$AB114/9.5</f>
        <v>0</v>
      </c>
      <c r="AF114" s="57">
        <f t="shared" si="53"/>
        <v>0</v>
      </c>
      <c r="AG114" s="57">
        <f t="shared" si="53"/>
        <v>0</v>
      </c>
      <c r="AH114" s="57">
        <f t="shared" si="53"/>
        <v>0</v>
      </c>
      <c r="AI114" s="57">
        <f t="shared" si="53"/>
        <v>0</v>
      </c>
      <c r="AJ114" s="57">
        <f t="shared" si="53"/>
        <v>0</v>
      </c>
      <c r="AK114" s="57">
        <f t="shared" si="53"/>
        <v>0</v>
      </c>
      <c r="AL114" s="57">
        <f t="shared" si="53"/>
        <v>0</v>
      </c>
      <c r="AM114" s="57">
        <f t="shared" si="53"/>
        <v>0</v>
      </c>
      <c r="AN114" s="27">
        <v>0.0</v>
      </c>
      <c r="AO114" s="27">
        <f t="shared" si="6"/>
        <v>0</v>
      </c>
    </row>
    <row r="115" ht="15.75" customHeight="1">
      <c r="A115" s="15" t="s">
        <v>397</v>
      </c>
      <c r="B115" s="15" t="s">
        <v>398</v>
      </c>
      <c r="C115" s="15" t="s">
        <v>119</v>
      </c>
      <c r="D115" s="56">
        <f>SUMIF('2015-16 12 Mnths'!$A:$A,'Detail 18-19'!$A115,'2015-16 12 Mnths'!C:C)-SUMIF('Budget 12 Mnths'!$A:$A,'Detail 18-19'!$A115,'Budget 12 Mnths'!D:D)</f>
        <v>0</v>
      </c>
      <c r="E115" s="56">
        <f>SUMIF('2015-16 12 Mnths'!$A:$A,'Detail 18-19'!$A115,'2015-16 12 Mnths'!D:D)-SUMIF('Budget 12 Mnths'!$A:$A,'Detail 18-19'!$A115,'Budget 12 Mnths'!E:E)</f>
        <v>-52.41</v>
      </c>
      <c r="F115" s="56">
        <f>SUMIF('2015-16 12 Mnths'!$A:$A,'Detail 18-19'!$A115,'2015-16 12 Mnths'!E:E)-SUMIF('Budget 12 Mnths'!$A:$A,'Detail 18-19'!$A115,'Budget 12 Mnths'!F:F)</f>
        <v>-63.15</v>
      </c>
      <c r="G115" s="56">
        <f>SUMIF('2015-16 12 Mnths'!$A:$A,'Detail 18-19'!$A115,'2015-16 12 Mnths'!F:F)-SUMIF('Budget 12 Mnths'!$A:$A,'Detail 18-19'!$A115,'Budget 12 Mnths'!G:G)</f>
        <v>-63.15</v>
      </c>
      <c r="H115" s="56">
        <f>SUMIF('2015-16 12 Mnths'!$A:$A,'Detail 18-19'!$A115,'2015-16 12 Mnths'!G:G)-SUMIF('Budget 12 Mnths'!$A:$A,'Detail 18-19'!$A115,'Budget 12 Mnths'!H:H)</f>
        <v>-63.15</v>
      </c>
      <c r="I115" s="56">
        <f>SUMIF('2015-16 12 Mnths'!$A:$A,'Detail 18-19'!$A115,'2015-16 12 Mnths'!H:H)-SUMIF('Budget 12 Mnths'!$A:$A,'Detail 18-19'!$A115,'Budget 12 Mnths'!I:I)</f>
        <v>-63.15</v>
      </c>
      <c r="J115" s="56">
        <f>SUMIF('2015-16 12 Mnths'!$A:$A,'Detail 18-19'!$A115,'2015-16 12 Mnths'!I:I)-SUMIF('Budget 12 Mnths'!$A:$A,'Detail 18-19'!$A115,'Budget 12 Mnths'!J:J)</f>
        <v>-63.15</v>
      </c>
      <c r="K115" s="56">
        <f>SUMIF('2015-16 12 Mnths'!$A:$A,'Detail 18-19'!$A115,'2015-16 12 Mnths'!J:J)-SUMIF('Budget 12 Mnths'!$A:$A,'Detail 18-19'!$A115,'Budget 12 Mnths'!K:K)</f>
        <v>-63.15</v>
      </c>
      <c r="L115" s="56">
        <f>SUMIF('2015-16 12 Mnths'!$A:$A,'Detail 18-19'!$A115,'2015-16 12 Mnths'!K:K)-SUMIF('Budget 12 Mnths'!$A:$A,'Detail 18-19'!$A115,'Budget 12 Mnths'!L:L)</f>
        <v>-63.15</v>
      </c>
      <c r="M115" s="56"/>
      <c r="N115" s="56"/>
      <c r="O115" s="56"/>
      <c r="P115" s="56">
        <f t="shared" si="1"/>
        <v>-494.46</v>
      </c>
      <c r="Q115" s="14" t="str">
        <f>+VLOOKUP(A115,Mapping!$A$1:$E$443,5,FALSE)</f>
        <v>Salaries</v>
      </c>
      <c r="R115" s="26">
        <f>+SUMIF('Budget 12 Mnths'!$A:$A,'Detail 18-19'!$A115,'Budget 12 Mnths'!$P:$P)</f>
        <v>5099.92</v>
      </c>
      <c r="S115" s="26">
        <f>+SUMIF('2015-16 12 Mnths'!$A:$A,'Detail 18-19'!$A115,'2015-16 12 Mnths'!$O:$O)</f>
        <v>3719.27</v>
      </c>
      <c r="T115" s="57">
        <f t="shared" si="2"/>
        <v>-0.09695446203</v>
      </c>
      <c r="U115" s="57">
        <f t="shared" si="3"/>
        <v>-0.1329454436</v>
      </c>
      <c r="V115" s="8" t="s">
        <v>594</v>
      </c>
      <c r="W115" s="57">
        <f>+SUMIF('Salaries 2019-20'!B$100:B$148,'Detail 18-19'!A115,'Salaries 2019-20'!V$100:V$148)</f>
        <v>9317.7</v>
      </c>
      <c r="X115" s="27">
        <v>4727.7</v>
      </c>
      <c r="Z115" s="57">
        <f>+X115/9.5*4.5</f>
        <v>2239.436842</v>
      </c>
      <c r="AA115" s="57" t="str">
        <f>IFERROR(+VLOOKUP(A115,Key!$A$1:$C$219,2,FALSE),"NOT FOUND")</f>
        <v>6240-1U</v>
      </c>
      <c r="AB115" s="57">
        <f>+SUMIFS('Salaries 2019-20'!$V$174:$V$194,'Salaries 2019-20'!$B$174:$B$194,'Detail 18-19'!A115)</f>
        <v>4635</v>
      </c>
      <c r="AC115" s="27">
        <v>0.0</v>
      </c>
      <c r="AD115" s="57">
        <f t="shared" si="54"/>
        <v>243.9473684</v>
      </c>
      <c r="AE115" s="57">
        <f t="shared" ref="AE115:AM115" si="55">+$AB115/9.5</f>
        <v>487.8947368</v>
      </c>
      <c r="AF115" s="57">
        <f t="shared" si="55"/>
        <v>487.8947368</v>
      </c>
      <c r="AG115" s="57">
        <f t="shared" si="55"/>
        <v>487.8947368</v>
      </c>
      <c r="AH115" s="57">
        <f t="shared" si="55"/>
        <v>487.8947368</v>
      </c>
      <c r="AI115" s="57">
        <f t="shared" si="55"/>
        <v>487.8947368</v>
      </c>
      <c r="AJ115" s="57">
        <f t="shared" si="55"/>
        <v>487.8947368</v>
      </c>
      <c r="AK115" s="57">
        <f t="shared" si="55"/>
        <v>487.8947368</v>
      </c>
      <c r="AL115" s="57">
        <f t="shared" si="55"/>
        <v>487.8947368</v>
      </c>
      <c r="AM115" s="57">
        <f t="shared" si="55"/>
        <v>487.8947368</v>
      </c>
      <c r="AN115" s="27">
        <v>0.0</v>
      </c>
      <c r="AO115" s="27">
        <f t="shared" si="6"/>
        <v>0</v>
      </c>
    </row>
    <row r="116" ht="15.75" hidden="1" customHeight="1">
      <c r="A116" s="15" t="s">
        <v>399</v>
      </c>
      <c r="B116" s="15" t="s">
        <v>400</v>
      </c>
      <c r="C116" s="15" t="s">
        <v>119</v>
      </c>
      <c r="D116" s="56">
        <f>SUMIF('2015-16 12 Mnths'!$A:$A,'Detail 18-19'!$A116,'2015-16 12 Mnths'!C:C)-SUMIF('Budget 12 Mnths'!$A:$A,'Detail 18-19'!$A116,'Budget 12 Mnths'!D:D)</f>
        <v>-26368.76</v>
      </c>
      <c r="E116" s="56">
        <f>SUMIF('2015-16 12 Mnths'!$A:$A,'Detail 18-19'!$A116,'2015-16 12 Mnths'!D:D)-SUMIF('Budget 12 Mnths'!$A:$A,'Detail 18-19'!$A116,'Budget 12 Mnths'!E:E)</f>
        <v>-9533.65</v>
      </c>
      <c r="F116" s="56">
        <f>SUMIF('2015-16 12 Mnths'!$A:$A,'Detail 18-19'!$A116,'2015-16 12 Mnths'!E:E)-SUMIF('Budget 12 Mnths'!$A:$A,'Detail 18-19'!$A116,'Budget 12 Mnths'!F:F)</f>
        <v>7301.45</v>
      </c>
      <c r="G116" s="56">
        <f>SUMIF('2015-16 12 Mnths'!$A:$A,'Detail 18-19'!$A116,'2015-16 12 Mnths'!F:F)-SUMIF('Budget 12 Mnths'!$A:$A,'Detail 18-19'!$A116,'Budget 12 Mnths'!G:G)</f>
        <v>7301.45</v>
      </c>
      <c r="H116" s="56">
        <f>SUMIF('2015-16 12 Mnths'!$A:$A,'Detail 18-19'!$A116,'2015-16 12 Mnths'!G:G)-SUMIF('Budget 12 Mnths'!$A:$A,'Detail 18-19'!$A116,'Budget 12 Mnths'!H:H)</f>
        <v>7301.45</v>
      </c>
      <c r="I116" s="56">
        <f>SUMIF('2015-16 12 Mnths'!$A:$A,'Detail 18-19'!$A116,'2015-16 12 Mnths'!H:H)-SUMIF('Budget 12 Mnths'!$A:$A,'Detail 18-19'!$A116,'Budget 12 Mnths'!I:I)</f>
        <v>7301.45</v>
      </c>
      <c r="J116" s="56">
        <f>SUMIF('2015-16 12 Mnths'!$A:$A,'Detail 18-19'!$A116,'2015-16 12 Mnths'!I:I)-SUMIF('Budget 12 Mnths'!$A:$A,'Detail 18-19'!$A116,'Budget 12 Mnths'!J:J)</f>
        <v>7301.45</v>
      </c>
      <c r="K116" s="56">
        <f>SUMIF('2015-16 12 Mnths'!$A:$A,'Detail 18-19'!$A116,'2015-16 12 Mnths'!J:J)-SUMIF('Budget 12 Mnths'!$A:$A,'Detail 18-19'!$A116,'Budget 12 Mnths'!K:K)</f>
        <v>7301.45</v>
      </c>
      <c r="L116" s="56">
        <f>SUMIF('2015-16 12 Mnths'!$A:$A,'Detail 18-19'!$A116,'2015-16 12 Mnths'!K:K)-SUMIF('Budget 12 Mnths'!$A:$A,'Detail 18-19'!$A116,'Budget 12 Mnths'!L:L)</f>
        <v>7301.45</v>
      </c>
      <c r="M116" s="56"/>
      <c r="N116" s="56"/>
      <c r="O116" s="56"/>
      <c r="P116" s="56">
        <f t="shared" si="1"/>
        <v>15207.74</v>
      </c>
      <c r="Q116" s="14" t="str">
        <f>+VLOOKUP(A116,Mapping!$A$1:$E$443,5,FALSE)</f>
        <v>Salaries</v>
      </c>
      <c r="R116" s="26">
        <f>+SUMIF('Budget 12 Mnths'!$A:$A,'Detail 18-19'!$A116,'Budget 12 Mnths'!$P:$P)</f>
        <v>0</v>
      </c>
      <c r="S116" s="26">
        <f>+SUMIF('2015-16 12 Mnths'!$A:$A,'Detail 18-19'!$A116,'2015-16 12 Mnths'!$O:$O)</f>
        <v>15207.74</v>
      </c>
      <c r="T116" s="57">
        <f t="shared" si="2"/>
        <v>0</v>
      </c>
      <c r="U116" s="57">
        <f t="shared" si="3"/>
        <v>1</v>
      </c>
      <c r="W116" s="57">
        <f>+SUMIF('Salaries 2019-20'!B:B,'Detail 18-19'!A116,'Salaries 2019-20'!V:V)</f>
        <v>0</v>
      </c>
      <c r="X116" s="27">
        <v>0.0</v>
      </c>
      <c r="Z116" s="57">
        <f>+X116/2</f>
        <v>0</v>
      </c>
      <c r="AA116" s="57" t="str">
        <f>IFERROR(+VLOOKUP(A116,Key!$A$1:$C$219,2,FALSE),"NOT FOUND")</f>
        <v>NOT FOUND</v>
      </c>
      <c r="AB116" s="57">
        <f>+SUMIFS('Salaries 2019-20'!$V$174:$V$194,'Salaries 2019-20'!$B$174:$B$194,'Detail 18-19'!A116)</f>
        <v>0</v>
      </c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>
        <f t="shared" si="6"/>
        <v>0</v>
      </c>
    </row>
    <row r="117" ht="15.75" customHeight="1">
      <c r="A117" s="15" t="s">
        <v>401</v>
      </c>
      <c r="B117" s="15" t="s">
        <v>402</v>
      </c>
      <c r="C117" s="15" t="s">
        <v>119</v>
      </c>
      <c r="D117" s="56">
        <f>SUMIF('2015-16 12 Mnths'!$A:$A,'Detail 18-19'!$A117,'2015-16 12 Mnths'!C:C)-SUMIF('Budget 12 Mnths'!$A:$A,'Detail 18-19'!$A117,'Budget 12 Mnths'!D:D)</f>
        <v>0</v>
      </c>
      <c r="E117" s="56">
        <f>SUMIF('2015-16 12 Mnths'!$A:$A,'Detail 18-19'!$A117,'2015-16 12 Mnths'!D:D)-SUMIF('Budget 12 Mnths'!$A:$A,'Detail 18-19'!$A117,'Budget 12 Mnths'!E:E)</f>
        <v>410.49</v>
      </c>
      <c r="F117" s="56">
        <f>SUMIF('2015-16 12 Mnths'!$A:$A,'Detail 18-19'!$A117,'2015-16 12 Mnths'!E:E)-SUMIF('Budget 12 Mnths'!$A:$A,'Detail 18-19'!$A117,'Budget 12 Mnths'!F:F)</f>
        <v>190.98</v>
      </c>
      <c r="G117" s="56">
        <f>SUMIF('2015-16 12 Mnths'!$A:$A,'Detail 18-19'!$A117,'2015-16 12 Mnths'!F:F)-SUMIF('Budget 12 Mnths'!$A:$A,'Detail 18-19'!$A117,'Budget 12 Mnths'!G:G)</f>
        <v>138.48</v>
      </c>
      <c r="H117" s="56">
        <f>SUMIF('2015-16 12 Mnths'!$A:$A,'Detail 18-19'!$A117,'2015-16 12 Mnths'!G:G)-SUMIF('Budget 12 Mnths'!$A:$A,'Detail 18-19'!$A117,'Budget 12 Mnths'!H:H)</f>
        <v>-124.02</v>
      </c>
      <c r="I117" s="56">
        <f>SUMIF('2015-16 12 Mnths'!$A:$A,'Detail 18-19'!$A117,'2015-16 12 Mnths'!H:H)-SUMIF('Budget 12 Mnths'!$A:$A,'Detail 18-19'!$A117,'Budget 12 Mnths'!I:I)</f>
        <v>-176.52</v>
      </c>
      <c r="J117" s="56">
        <f>SUMIF('2015-16 12 Mnths'!$A:$A,'Detail 18-19'!$A117,'2015-16 12 Mnths'!I:I)-SUMIF('Budget 12 Mnths'!$A:$A,'Detail 18-19'!$A117,'Budget 12 Mnths'!J:J)</f>
        <v>-19.02</v>
      </c>
      <c r="K117" s="56">
        <f>SUMIF('2015-16 12 Mnths'!$A:$A,'Detail 18-19'!$A117,'2015-16 12 Mnths'!J:J)-SUMIF('Budget 12 Mnths'!$A:$A,'Detail 18-19'!$A117,'Budget 12 Mnths'!K:K)</f>
        <v>85.98</v>
      </c>
      <c r="L117" s="56">
        <f>SUMIF('2015-16 12 Mnths'!$A:$A,'Detail 18-19'!$A117,'2015-16 12 Mnths'!K:K)-SUMIF('Budget 12 Mnths'!$A:$A,'Detail 18-19'!$A117,'Budget 12 Mnths'!L:L)</f>
        <v>85.98</v>
      </c>
      <c r="M117" s="56"/>
      <c r="N117" s="56"/>
      <c r="O117" s="56"/>
      <c r="P117" s="56">
        <f t="shared" si="1"/>
        <v>592.35</v>
      </c>
      <c r="Q117" s="14" t="str">
        <f>+VLOOKUP(A117,Mapping!$A$1:$E$443,5,FALSE)</f>
        <v>Salaries</v>
      </c>
      <c r="R117" s="26">
        <f>+SUMIF('Budget 12 Mnths'!$A:$A,'Detail 18-19'!$A117,'Budget 12 Mnths'!$P:$P)</f>
        <v>8160.68</v>
      </c>
      <c r="S117" s="26">
        <f>+SUMIF('2015-16 12 Mnths'!$A:$A,'Detail 18-19'!$A117,'2015-16 12 Mnths'!$O:$O)</f>
        <v>7612.5</v>
      </c>
      <c r="T117" s="57">
        <f t="shared" si="2"/>
        <v>0.07258586294</v>
      </c>
      <c r="U117" s="57">
        <f t="shared" si="3"/>
        <v>0.07781280788</v>
      </c>
      <c r="V117" s="8" t="s">
        <v>594</v>
      </c>
      <c r="W117" s="57">
        <f>+SUMIF('Salaries 2019-20'!B$100:B$148,'Detail 18-19'!A117,'Salaries 2019-20'!V$100:V$148)</f>
        <v>18089.8375</v>
      </c>
      <c r="X117" s="27">
        <v>9178.59</v>
      </c>
      <c r="Z117" s="57">
        <f>+X117/9.5*4.5</f>
        <v>4347.753158</v>
      </c>
      <c r="AA117" s="57" t="str">
        <f>IFERROR(+VLOOKUP(A117,Key!$A$1:$C$219,2,FALSE),"NOT FOUND")</f>
        <v>6250-1U</v>
      </c>
      <c r="AB117" s="57">
        <f>+SUMIFS('Salaries 2019-20'!$V$174:$V$194,'Salaries 2019-20'!$B$174:$B$194,'Detail 18-19'!A117)</f>
        <v>9187.5</v>
      </c>
      <c r="AC117" s="27">
        <v>0.0</v>
      </c>
      <c r="AD117" s="57">
        <f>+$AB117/9.5*0.5</f>
        <v>483.5526316</v>
      </c>
      <c r="AE117" s="57">
        <f t="shared" ref="AE117:AM117" si="56">+$AB117/9.5</f>
        <v>967.1052632</v>
      </c>
      <c r="AF117" s="57">
        <f t="shared" si="56"/>
        <v>967.1052632</v>
      </c>
      <c r="AG117" s="57">
        <f t="shared" si="56"/>
        <v>967.1052632</v>
      </c>
      <c r="AH117" s="57">
        <f t="shared" si="56"/>
        <v>967.1052632</v>
      </c>
      <c r="AI117" s="57">
        <f t="shared" si="56"/>
        <v>967.1052632</v>
      </c>
      <c r="AJ117" s="57">
        <f t="shared" si="56"/>
        <v>967.1052632</v>
      </c>
      <c r="AK117" s="57">
        <f t="shared" si="56"/>
        <v>967.1052632</v>
      </c>
      <c r="AL117" s="57">
        <f t="shared" si="56"/>
        <v>967.1052632</v>
      </c>
      <c r="AM117" s="57">
        <f t="shared" si="56"/>
        <v>967.1052632</v>
      </c>
      <c r="AN117" s="27">
        <v>0.0</v>
      </c>
      <c r="AO117" s="27">
        <f t="shared" si="6"/>
        <v>0</v>
      </c>
    </row>
    <row r="118" ht="15.75" hidden="1" customHeight="1">
      <c r="A118" s="15" t="s">
        <v>404</v>
      </c>
      <c r="B118" s="15" t="s">
        <v>405</v>
      </c>
      <c r="C118" s="15" t="s">
        <v>119</v>
      </c>
      <c r="D118" s="56">
        <f>SUMIF('2015-16 12 Mnths'!$A:$A,'Detail 18-19'!$A118,'2015-16 12 Mnths'!C:C)-SUMIF('Budget 12 Mnths'!$A:$A,'Detail 18-19'!$A118,'Budget 12 Mnths'!D:D)</f>
        <v>0</v>
      </c>
      <c r="E118" s="56">
        <f>SUMIF('2015-16 12 Mnths'!$A:$A,'Detail 18-19'!$A118,'2015-16 12 Mnths'!D:D)-SUMIF('Budget 12 Mnths'!$A:$A,'Detail 18-19'!$A118,'Budget 12 Mnths'!E:E)</f>
        <v>0</v>
      </c>
      <c r="F118" s="56">
        <f>SUMIF('2015-16 12 Mnths'!$A:$A,'Detail 18-19'!$A118,'2015-16 12 Mnths'!E:E)-SUMIF('Budget 12 Mnths'!$A:$A,'Detail 18-19'!$A118,'Budget 12 Mnths'!F:F)</f>
        <v>0</v>
      </c>
      <c r="G118" s="56">
        <f>SUMIF('2015-16 12 Mnths'!$A:$A,'Detail 18-19'!$A118,'2015-16 12 Mnths'!F:F)-SUMIF('Budget 12 Mnths'!$A:$A,'Detail 18-19'!$A118,'Budget 12 Mnths'!G:G)</f>
        <v>0</v>
      </c>
      <c r="H118" s="56">
        <f>SUMIF('2015-16 12 Mnths'!$A:$A,'Detail 18-19'!$A118,'2015-16 12 Mnths'!G:G)-SUMIF('Budget 12 Mnths'!$A:$A,'Detail 18-19'!$A118,'Budget 12 Mnths'!H:H)</f>
        <v>0</v>
      </c>
      <c r="I118" s="56">
        <f>SUMIF('2015-16 12 Mnths'!$A:$A,'Detail 18-19'!$A118,'2015-16 12 Mnths'!H:H)-SUMIF('Budget 12 Mnths'!$A:$A,'Detail 18-19'!$A118,'Budget 12 Mnths'!I:I)</f>
        <v>0</v>
      </c>
      <c r="J118" s="56">
        <f>SUMIF('2015-16 12 Mnths'!$A:$A,'Detail 18-19'!$A118,'2015-16 12 Mnths'!I:I)-SUMIF('Budget 12 Mnths'!$A:$A,'Detail 18-19'!$A118,'Budget 12 Mnths'!J:J)</f>
        <v>0</v>
      </c>
      <c r="K118" s="56">
        <f>SUMIF('2015-16 12 Mnths'!$A:$A,'Detail 18-19'!$A118,'2015-16 12 Mnths'!J:J)-SUMIF('Budget 12 Mnths'!$A:$A,'Detail 18-19'!$A118,'Budget 12 Mnths'!K:K)</f>
        <v>0</v>
      </c>
      <c r="L118" s="56">
        <f>SUMIF('2015-16 12 Mnths'!$A:$A,'Detail 18-19'!$A118,'2015-16 12 Mnths'!K:K)-SUMIF('Budget 12 Mnths'!$A:$A,'Detail 18-19'!$A118,'Budget 12 Mnths'!L:L)</f>
        <v>0</v>
      </c>
      <c r="M118" s="56"/>
      <c r="N118" s="56"/>
      <c r="O118" s="56"/>
      <c r="P118" s="56">
        <f t="shared" si="1"/>
        <v>0</v>
      </c>
      <c r="Q118" s="14" t="str">
        <f>+VLOOKUP(A118,Mapping!$A$1:$E$443,5,FALSE)</f>
        <v>Salaries</v>
      </c>
      <c r="R118" s="26">
        <f>+SUMIF('Budget 12 Mnths'!$A:$A,'Detail 18-19'!$A118,'Budget 12 Mnths'!$P:$P)</f>
        <v>0</v>
      </c>
      <c r="S118" s="26">
        <f>+SUMIF('2015-16 12 Mnths'!$A:$A,'Detail 18-19'!$A118,'2015-16 12 Mnths'!$O:$O)</f>
        <v>0</v>
      </c>
      <c r="T118" s="57">
        <f t="shared" si="2"/>
        <v>0</v>
      </c>
      <c r="U118" s="57">
        <f t="shared" si="3"/>
        <v>0</v>
      </c>
      <c r="W118" s="57">
        <f>+SUMIF('Salaries 2019-20'!B$100:B$148,'Detail 18-19'!A118,'Salaries 2019-20'!V$100:V$148)</f>
        <v>0</v>
      </c>
      <c r="X118" s="27">
        <v>0.0</v>
      </c>
      <c r="Z118" s="57">
        <f t="shared" ref="Z118:Z120" si="57">+X118/2</f>
        <v>0</v>
      </c>
      <c r="AA118" s="57" t="str">
        <f>IFERROR(+VLOOKUP(A118,Key!$A$1:$C$219,2,FALSE),"NOT FOUND")</f>
        <v>NOT FOUND</v>
      </c>
      <c r="AB118" s="57">
        <f>+SUMIFS('Salaries 2019-20'!$V$174:$V$194,'Salaries 2019-20'!$B$174:$B$194,'Detail 18-19'!A118)</f>
        <v>0</v>
      </c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>
        <f t="shared" si="6"/>
        <v>0</v>
      </c>
    </row>
    <row r="119" ht="15.75" hidden="1" customHeight="1">
      <c r="A119" s="15" t="s">
        <v>407</v>
      </c>
      <c r="B119" s="15" t="s">
        <v>408</v>
      </c>
      <c r="C119" s="15" t="s">
        <v>119</v>
      </c>
      <c r="D119" s="56">
        <f>SUMIF('2015-16 12 Mnths'!$A:$A,'Detail 18-19'!$A119,'2015-16 12 Mnths'!C:C)-SUMIF('Budget 12 Mnths'!$A:$A,'Detail 18-19'!$A119,'Budget 12 Mnths'!D:D)</f>
        <v>0</v>
      </c>
      <c r="E119" s="56">
        <f>SUMIF('2015-16 12 Mnths'!$A:$A,'Detail 18-19'!$A119,'2015-16 12 Mnths'!D:D)-SUMIF('Budget 12 Mnths'!$A:$A,'Detail 18-19'!$A119,'Budget 12 Mnths'!E:E)</f>
        <v>0</v>
      </c>
      <c r="F119" s="56">
        <f>SUMIF('2015-16 12 Mnths'!$A:$A,'Detail 18-19'!$A119,'2015-16 12 Mnths'!E:E)-SUMIF('Budget 12 Mnths'!$A:$A,'Detail 18-19'!$A119,'Budget 12 Mnths'!F:F)</f>
        <v>0</v>
      </c>
      <c r="G119" s="56">
        <f>SUMIF('2015-16 12 Mnths'!$A:$A,'Detail 18-19'!$A119,'2015-16 12 Mnths'!F:F)-SUMIF('Budget 12 Mnths'!$A:$A,'Detail 18-19'!$A119,'Budget 12 Mnths'!G:G)</f>
        <v>0</v>
      </c>
      <c r="H119" s="56">
        <f>SUMIF('2015-16 12 Mnths'!$A:$A,'Detail 18-19'!$A119,'2015-16 12 Mnths'!G:G)-SUMIF('Budget 12 Mnths'!$A:$A,'Detail 18-19'!$A119,'Budget 12 Mnths'!H:H)</f>
        <v>0</v>
      </c>
      <c r="I119" s="56">
        <f>SUMIF('2015-16 12 Mnths'!$A:$A,'Detail 18-19'!$A119,'2015-16 12 Mnths'!H:H)-SUMIF('Budget 12 Mnths'!$A:$A,'Detail 18-19'!$A119,'Budget 12 Mnths'!I:I)</f>
        <v>0</v>
      </c>
      <c r="J119" s="56">
        <f>SUMIF('2015-16 12 Mnths'!$A:$A,'Detail 18-19'!$A119,'2015-16 12 Mnths'!I:I)-SUMIF('Budget 12 Mnths'!$A:$A,'Detail 18-19'!$A119,'Budget 12 Mnths'!J:J)</f>
        <v>0</v>
      </c>
      <c r="K119" s="56">
        <f>SUMIF('2015-16 12 Mnths'!$A:$A,'Detail 18-19'!$A119,'2015-16 12 Mnths'!J:J)-SUMIF('Budget 12 Mnths'!$A:$A,'Detail 18-19'!$A119,'Budget 12 Mnths'!K:K)</f>
        <v>0</v>
      </c>
      <c r="L119" s="56">
        <f>SUMIF('2015-16 12 Mnths'!$A:$A,'Detail 18-19'!$A119,'2015-16 12 Mnths'!K:K)-SUMIF('Budget 12 Mnths'!$A:$A,'Detail 18-19'!$A119,'Budget 12 Mnths'!L:L)</f>
        <v>0</v>
      </c>
      <c r="M119" s="56"/>
      <c r="N119" s="56"/>
      <c r="O119" s="56"/>
      <c r="P119" s="56">
        <f t="shared" si="1"/>
        <v>0</v>
      </c>
      <c r="Q119" s="14" t="str">
        <f>+VLOOKUP(A119,Mapping!$A$1:$E$443,5,FALSE)</f>
        <v>Salaries</v>
      </c>
      <c r="R119" s="26">
        <f>+SUMIF('Budget 12 Mnths'!$A:$A,'Detail 18-19'!$A119,'Budget 12 Mnths'!$P:$P)</f>
        <v>0</v>
      </c>
      <c r="S119" s="26">
        <f>+SUMIF('2015-16 12 Mnths'!$A:$A,'Detail 18-19'!$A119,'2015-16 12 Mnths'!$O:$O)</f>
        <v>0</v>
      </c>
      <c r="T119" s="57">
        <f t="shared" si="2"/>
        <v>0</v>
      </c>
      <c r="U119" s="57">
        <f t="shared" si="3"/>
        <v>0</v>
      </c>
      <c r="W119" s="57">
        <f>+SUMIF('Salaries 2019-20'!B$100:B$148,'Detail 18-19'!A119,'Salaries 2019-20'!V$100:V$148)</f>
        <v>0</v>
      </c>
      <c r="X119" s="27">
        <v>0.0</v>
      </c>
      <c r="Z119" s="57">
        <f t="shared" si="57"/>
        <v>0</v>
      </c>
      <c r="AA119" s="57" t="str">
        <f>IFERROR(+VLOOKUP(A119,Key!$A$1:$C$219,2,FALSE),"NOT FOUND")</f>
        <v>NOT FOUND</v>
      </c>
      <c r="AB119" s="57">
        <f>+SUMIFS('Salaries 2019-20'!$V$174:$V$194,'Salaries 2019-20'!$B$174:$B$194,'Detail 18-19'!A119)</f>
        <v>0</v>
      </c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>
        <f t="shared" si="6"/>
        <v>0</v>
      </c>
    </row>
    <row r="120" ht="15.75" hidden="1" customHeight="1">
      <c r="A120" s="15" t="s">
        <v>410</v>
      </c>
      <c r="B120" s="15" t="s">
        <v>412</v>
      </c>
      <c r="C120" s="15" t="s">
        <v>119</v>
      </c>
      <c r="D120" s="56">
        <f>SUMIF('2015-16 12 Mnths'!$A:$A,'Detail 18-19'!$A120,'2015-16 12 Mnths'!C:C)-SUMIF('Budget 12 Mnths'!$A:$A,'Detail 18-19'!$A120,'Budget 12 Mnths'!D:D)</f>
        <v>0</v>
      </c>
      <c r="E120" s="56">
        <f>SUMIF('2015-16 12 Mnths'!$A:$A,'Detail 18-19'!$A120,'2015-16 12 Mnths'!D:D)-SUMIF('Budget 12 Mnths'!$A:$A,'Detail 18-19'!$A120,'Budget 12 Mnths'!E:E)</f>
        <v>-446.62</v>
      </c>
      <c r="F120" s="56">
        <f>SUMIF('2015-16 12 Mnths'!$A:$A,'Detail 18-19'!$A120,'2015-16 12 Mnths'!E:E)-SUMIF('Budget 12 Mnths'!$A:$A,'Detail 18-19'!$A120,'Budget 12 Mnths'!F:F)</f>
        <v>-446.62</v>
      </c>
      <c r="G120" s="56">
        <f>SUMIF('2015-16 12 Mnths'!$A:$A,'Detail 18-19'!$A120,'2015-16 12 Mnths'!F:F)-SUMIF('Budget 12 Mnths'!$A:$A,'Detail 18-19'!$A120,'Budget 12 Mnths'!G:G)</f>
        <v>-743.24</v>
      </c>
      <c r="H120" s="56">
        <f>SUMIF('2015-16 12 Mnths'!$A:$A,'Detail 18-19'!$A120,'2015-16 12 Mnths'!G:G)-SUMIF('Budget 12 Mnths'!$A:$A,'Detail 18-19'!$A120,'Budget 12 Mnths'!H:H)</f>
        <v>-693.24</v>
      </c>
      <c r="I120" s="56">
        <f>SUMIF('2015-16 12 Mnths'!$A:$A,'Detail 18-19'!$A120,'2015-16 12 Mnths'!H:H)-SUMIF('Budget 12 Mnths'!$A:$A,'Detail 18-19'!$A120,'Budget 12 Mnths'!I:I)</f>
        <v>-693.24</v>
      </c>
      <c r="J120" s="56">
        <f>SUMIF('2015-16 12 Mnths'!$A:$A,'Detail 18-19'!$A120,'2015-16 12 Mnths'!I:I)-SUMIF('Budget 12 Mnths'!$A:$A,'Detail 18-19'!$A120,'Budget 12 Mnths'!J:J)</f>
        <v>-743.24</v>
      </c>
      <c r="K120" s="56">
        <f>SUMIF('2015-16 12 Mnths'!$A:$A,'Detail 18-19'!$A120,'2015-16 12 Mnths'!J:J)-SUMIF('Budget 12 Mnths'!$A:$A,'Detail 18-19'!$A120,'Budget 12 Mnths'!K:K)</f>
        <v>-693.24</v>
      </c>
      <c r="L120" s="56">
        <f>SUMIF('2015-16 12 Mnths'!$A:$A,'Detail 18-19'!$A120,'2015-16 12 Mnths'!K:K)-SUMIF('Budget 12 Mnths'!$A:$A,'Detail 18-19'!$A120,'Budget 12 Mnths'!L:L)</f>
        <v>-693.24</v>
      </c>
      <c r="M120" s="56"/>
      <c r="N120" s="56"/>
      <c r="O120" s="56"/>
      <c r="P120" s="56">
        <f t="shared" si="1"/>
        <v>-5152.68</v>
      </c>
      <c r="Q120" s="14" t="str">
        <f>+VLOOKUP(A120,Mapping!$A$1:$E$443,5,FALSE)</f>
        <v>Salaries</v>
      </c>
      <c r="R120" s="26">
        <f>+SUMIF('Budget 12 Mnths'!$A:$A,'Detail 18-19'!$A120,'Budget 12 Mnths'!$P:$P)</f>
        <v>6584.92</v>
      </c>
      <c r="S120" s="26">
        <f>+SUMIF('2015-16 12 Mnths'!$A:$A,'Detail 18-19'!$A120,'2015-16 12 Mnths'!$O:$O)</f>
        <v>0</v>
      </c>
      <c r="T120" s="57">
        <f t="shared" si="2"/>
        <v>-0.7824969779</v>
      </c>
      <c r="U120" s="57">
        <f t="shared" si="3"/>
        <v>0</v>
      </c>
      <c r="W120" s="57">
        <f>+SUMIF('Salaries 2019-20'!B$100:B$148,'Detail 18-19'!A120,'Salaries 2019-20'!V$100:V$148)</f>
        <v>0</v>
      </c>
      <c r="X120" s="27">
        <v>0.0</v>
      </c>
      <c r="Z120" s="57">
        <f t="shared" si="57"/>
        <v>0</v>
      </c>
      <c r="AA120" s="57" t="str">
        <f>IFERROR(+VLOOKUP(A120,Key!$A$1:$C$219,2,FALSE),"NOT FOUND")</f>
        <v>NOT FOUND</v>
      </c>
      <c r="AB120" s="57">
        <f>+SUMIFS('Salaries 2019-20'!$V$174:$V$194,'Salaries 2019-20'!$B$174:$B$194,'Detail 18-19'!A120)</f>
        <v>0</v>
      </c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>
        <f t="shared" si="6"/>
        <v>0</v>
      </c>
    </row>
    <row r="121" ht="15.75" customHeight="1">
      <c r="A121" s="15" t="s">
        <v>420</v>
      </c>
      <c r="B121" s="15" t="s">
        <v>421</v>
      </c>
      <c r="C121" s="15" t="s">
        <v>119</v>
      </c>
      <c r="D121" s="56">
        <f>SUMIF('2015-16 12 Mnths'!$A:$A,'Detail 18-19'!$A121,'2015-16 12 Mnths'!C:C)-SUMIF('Budget 12 Mnths'!$A:$A,'Detail 18-19'!$A121,'Budget 12 Mnths'!D:D)</f>
        <v>0</v>
      </c>
      <c r="E121" s="56">
        <f>SUMIF('2015-16 12 Mnths'!$A:$A,'Detail 18-19'!$A121,'2015-16 12 Mnths'!D:D)-SUMIF('Budget 12 Mnths'!$A:$A,'Detail 18-19'!$A121,'Budget 12 Mnths'!E:E)</f>
        <v>400</v>
      </c>
      <c r="F121" s="56">
        <f>SUMIF('2015-16 12 Mnths'!$A:$A,'Detail 18-19'!$A121,'2015-16 12 Mnths'!E:E)-SUMIF('Budget 12 Mnths'!$A:$A,'Detail 18-19'!$A121,'Budget 12 Mnths'!F:F)</f>
        <v>400</v>
      </c>
      <c r="G121" s="56">
        <f>SUMIF('2015-16 12 Mnths'!$A:$A,'Detail 18-19'!$A121,'2015-16 12 Mnths'!F:F)-SUMIF('Budget 12 Mnths'!$A:$A,'Detail 18-19'!$A121,'Budget 12 Mnths'!G:G)</f>
        <v>400</v>
      </c>
      <c r="H121" s="56">
        <f>SUMIF('2015-16 12 Mnths'!$A:$A,'Detail 18-19'!$A121,'2015-16 12 Mnths'!G:G)-SUMIF('Budget 12 Mnths'!$A:$A,'Detail 18-19'!$A121,'Budget 12 Mnths'!H:H)</f>
        <v>400</v>
      </c>
      <c r="I121" s="56">
        <f>SUMIF('2015-16 12 Mnths'!$A:$A,'Detail 18-19'!$A121,'2015-16 12 Mnths'!H:H)-SUMIF('Budget 12 Mnths'!$A:$A,'Detail 18-19'!$A121,'Budget 12 Mnths'!I:I)</f>
        <v>400</v>
      </c>
      <c r="J121" s="56">
        <f>SUMIF('2015-16 12 Mnths'!$A:$A,'Detail 18-19'!$A121,'2015-16 12 Mnths'!I:I)-SUMIF('Budget 12 Mnths'!$A:$A,'Detail 18-19'!$A121,'Budget 12 Mnths'!J:J)</f>
        <v>400</v>
      </c>
      <c r="K121" s="56">
        <f>SUMIF('2015-16 12 Mnths'!$A:$A,'Detail 18-19'!$A121,'2015-16 12 Mnths'!J:J)-SUMIF('Budget 12 Mnths'!$A:$A,'Detail 18-19'!$A121,'Budget 12 Mnths'!K:K)</f>
        <v>400</v>
      </c>
      <c r="L121" s="56">
        <f>SUMIF('2015-16 12 Mnths'!$A:$A,'Detail 18-19'!$A121,'2015-16 12 Mnths'!K:K)-SUMIF('Budget 12 Mnths'!$A:$A,'Detail 18-19'!$A121,'Budget 12 Mnths'!L:L)</f>
        <v>400</v>
      </c>
      <c r="M121" s="56"/>
      <c r="N121" s="56"/>
      <c r="O121" s="56"/>
      <c r="P121" s="56">
        <f t="shared" si="1"/>
        <v>3200</v>
      </c>
      <c r="Q121" s="14" t="str">
        <f>+VLOOKUP(A121,Mapping!$A$1:$E$443,5,FALSE)</f>
        <v>Salaries</v>
      </c>
      <c r="R121" s="26">
        <f>+SUMIF('Budget 12 Mnths'!$A:$A,'Detail 18-19'!$A121,'Budget 12 Mnths'!$P:$P)</f>
        <v>0</v>
      </c>
      <c r="S121" s="26">
        <f>+SUMIF('2015-16 12 Mnths'!$A:$A,'Detail 18-19'!$A121,'2015-16 12 Mnths'!$O:$O)</f>
        <v>3400</v>
      </c>
      <c r="T121" s="57">
        <f t="shared" si="2"/>
        <v>0</v>
      </c>
      <c r="U121" s="57">
        <f t="shared" si="3"/>
        <v>0.9411764706</v>
      </c>
      <c r="V121" s="8" t="s">
        <v>594</v>
      </c>
      <c r="W121" s="57">
        <f>+SUMIF('Salaries 2019-20'!B$100:B$148,'Detail 18-19'!A121,'Salaries 2019-20'!V$100:V$148)</f>
        <v>4800</v>
      </c>
      <c r="X121" s="27">
        <v>4944.0</v>
      </c>
      <c r="Z121" s="57">
        <f>+X121/9.5*4.5</f>
        <v>2341.894737</v>
      </c>
      <c r="AA121" s="57" t="str">
        <f>IFERROR(+VLOOKUP(A121,Key!$A$1:$C$219,2,FALSE),"NOT FOUND")</f>
        <v>6265-1U</v>
      </c>
      <c r="AB121" s="57">
        <f>+SUMIFS('Salaries 2019-20'!$V$174:$V$194,'Salaries 2019-20'!$B$174:$B$194,'Detail 18-19'!A121)</f>
        <v>6000</v>
      </c>
      <c r="AC121" s="27">
        <v>0.0</v>
      </c>
      <c r="AD121" s="57">
        <f>+$AB121/9.5*0.5</f>
        <v>315.7894737</v>
      </c>
      <c r="AE121" s="57">
        <f t="shared" ref="AE121:AM121" si="58">+$AB121/9.5</f>
        <v>631.5789474</v>
      </c>
      <c r="AF121" s="57">
        <f t="shared" si="58"/>
        <v>631.5789474</v>
      </c>
      <c r="AG121" s="57">
        <f t="shared" si="58"/>
        <v>631.5789474</v>
      </c>
      <c r="AH121" s="57">
        <f t="shared" si="58"/>
        <v>631.5789474</v>
      </c>
      <c r="AI121" s="57">
        <f t="shared" si="58"/>
        <v>631.5789474</v>
      </c>
      <c r="AJ121" s="57">
        <f t="shared" si="58"/>
        <v>631.5789474</v>
      </c>
      <c r="AK121" s="57">
        <f t="shared" si="58"/>
        <v>631.5789474</v>
      </c>
      <c r="AL121" s="57">
        <f t="shared" si="58"/>
        <v>631.5789474</v>
      </c>
      <c r="AM121" s="57">
        <f t="shared" si="58"/>
        <v>631.5789474</v>
      </c>
      <c r="AN121" s="27">
        <v>0.0</v>
      </c>
      <c r="AO121" s="27">
        <f t="shared" si="6"/>
        <v>0</v>
      </c>
    </row>
    <row r="122" ht="15.75" customHeight="1">
      <c r="A122" s="15" t="s">
        <v>433</v>
      </c>
      <c r="B122" s="15" t="s">
        <v>434</v>
      </c>
      <c r="C122" s="15" t="s">
        <v>119</v>
      </c>
      <c r="D122" s="56">
        <f>SUMIF('2015-16 12 Mnths'!$A:$A,'Detail 18-19'!$A122,'2015-16 12 Mnths'!C:C)-SUMIF('Budget 12 Mnths'!$A:$A,'Detail 18-19'!$A122,'Budget 12 Mnths'!D:D)</f>
        <v>0</v>
      </c>
      <c r="E122" s="56">
        <f>SUMIF('2015-16 12 Mnths'!$A:$A,'Detail 18-19'!$A122,'2015-16 12 Mnths'!D:D)-SUMIF('Budget 12 Mnths'!$A:$A,'Detail 18-19'!$A122,'Budget 12 Mnths'!E:E)</f>
        <v>0</v>
      </c>
      <c r="F122" s="56">
        <f>SUMIF('2015-16 12 Mnths'!$A:$A,'Detail 18-19'!$A122,'2015-16 12 Mnths'!E:E)-SUMIF('Budget 12 Mnths'!$A:$A,'Detail 18-19'!$A122,'Budget 12 Mnths'!F:F)</f>
        <v>0</v>
      </c>
      <c r="G122" s="56">
        <f>SUMIF('2015-16 12 Mnths'!$A:$A,'Detail 18-19'!$A122,'2015-16 12 Mnths'!F:F)-SUMIF('Budget 12 Mnths'!$A:$A,'Detail 18-19'!$A122,'Budget 12 Mnths'!G:G)</f>
        <v>0</v>
      </c>
      <c r="H122" s="56">
        <f>SUMIF('2015-16 12 Mnths'!$A:$A,'Detail 18-19'!$A122,'2015-16 12 Mnths'!G:G)-SUMIF('Budget 12 Mnths'!$A:$A,'Detail 18-19'!$A122,'Budget 12 Mnths'!H:H)</f>
        <v>0</v>
      </c>
      <c r="I122" s="56">
        <f>SUMIF('2015-16 12 Mnths'!$A:$A,'Detail 18-19'!$A122,'2015-16 12 Mnths'!H:H)-SUMIF('Budget 12 Mnths'!$A:$A,'Detail 18-19'!$A122,'Budget 12 Mnths'!I:I)</f>
        <v>1516.57</v>
      </c>
      <c r="J122" s="56">
        <f>SUMIF('2015-16 12 Mnths'!$A:$A,'Detail 18-19'!$A122,'2015-16 12 Mnths'!I:I)-SUMIF('Budget 12 Mnths'!$A:$A,'Detail 18-19'!$A122,'Budget 12 Mnths'!J:J)</f>
        <v>0</v>
      </c>
      <c r="K122" s="56">
        <f>SUMIF('2015-16 12 Mnths'!$A:$A,'Detail 18-19'!$A122,'2015-16 12 Mnths'!J:J)-SUMIF('Budget 12 Mnths'!$A:$A,'Detail 18-19'!$A122,'Budget 12 Mnths'!K:K)</f>
        <v>0</v>
      </c>
      <c r="L122" s="56">
        <f>SUMIF('2015-16 12 Mnths'!$A:$A,'Detail 18-19'!$A122,'2015-16 12 Mnths'!K:K)-SUMIF('Budget 12 Mnths'!$A:$A,'Detail 18-19'!$A122,'Budget 12 Mnths'!L:L)</f>
        <v>-270.71</v>
      </c>
      <c r="M122" s="56"/>
      <c r="N122" s="56"/>
      <c r="O122" s="56"/>
      <c r="P122" s="56">
        <f t="shared" si="1"/>
        <v>1245.86</v>
      </c>
      <c r="Q122" s="14" t="str">
        <f>+VLOOKUP(A122,Mapping!$A$1:$E$443,5,FALSE)</f>
        <v>Salaries</v>
      </c>
      <c r="R122" s="26">
        <f>+SUMIF('Budget 12 Mnths'!$A:$A,'Detail 18-19'!$A122,'Budget 12 Mnths'!$P:$P)</f>
        <v>3085.5</v>
      </c>
      <c r="S122" s="26">
        <f>+SUMIF('2015-16 12 Mnths'!$A:$A,'Detail 18-19'!$A122,'2015-16 12 Mnths'!$O:$O)</f>
        <v>4631.36</v>
      </c>
      <c r="T122" s="57">
        <f t="shared" si="2"/>
        <v>0.4037789661</v>
      </c>
      <c r="U122" s="57">
        <f t="shared" si="3"/>
        <v>0.2690052166</v>
      </c>
      <c r="V122" s="8" t="s">
        <v>594</v>
      </c>
      <c r="W122" s="57">
        <f>+SUMIF('Salaries 2019-20'!B$100:B$148,'Detail 18-19'!A122,'Salaries 2019-20'!V$100:V$148)</f>
        <v>2436.39</v>
      </c>
      <c r="X122" s="27">
        <v>2509.48</v>
      </c>
      <c r="Y122" s="8" t="s">
        <v>601</v>
      </c>
      <c r="Z122" s="57">
        <v>3789.94</v>
      </c>
      <c r="AA122" s="57" t="str">
        <f>IFERROR(+VLOOKUP(A122,Key!$A$1:$C$219,2,FALSE),"NOT FOUND")</f>
        <v>6270-1U</v>
      </c>
      <c r="AB122" s="57">
        <f>+SUMIFS('Salaries 2019-20'!$V$174:$V$194,'Salaries 2019-20'!$B$174:$B$194,'Detail 18-19'!A122)</f>
        <v>2584.766151</v>
      </c>
      <c r="AC122" s="27"/>
      <c r="AD122" s="27"/>
      <c r="AE122" s="27"/>
      <c r="AF122" s="27"/>
      <c r="AG122" s="27"/>
      <c r="AH122" s="57">
        <v>2584.771</v>
      </c>
      <c r="AI122" s="27"/>
      <c r="AJ122" s="27"/>
      <c r="AK122" s="27"/>
      <c r="AL122" s="27"/>
      <c r="AM122" s="27"/>
      <c r="AN122" s="27"/>
      <c r="AO122" s="27">
        <f t="shared" si="6"/>
        <v>0.004849000001</v>
      </c>
    </row>
    <row r="123" ht="15.75" customHeight="1">
      <c r="A123" s="15" t="s">
        <v>435</v>
      </c>
      <c r="B123" s="15" t="s">
        <v>434</v>
      </c>
      <c r="C123" s="15" t="s">
        <v>119</v>
      </c>
      <c r="D123" s="56">
        <f>SUMIF('2015-16 12 Mnths'!$A:$A,'Detail 18-19'!$A123,'2015-16 12 Mnths'!C:C)-SUMIF('Budget 12 Mnths'!$A:$A,'Detail 18-19'!$A123,'Budget 12 Mnths'!D:D)</f>
        <v>0</v>
      </c>
      <c r="E123" s="56">
        <f>SUMIF('2015-16 12 Mnths'!$A:$A,'Detail 18-19'!$A123,'2015-16 12 Mnths'!D:D)-SUMIF('Budget 12 Mnths'!$A:$A,'Detail 18-19'!$A123,'Budget 12 Mnths'!E:E)</f>
        <v>0</v>
      </c>
      <c r="F123" s="56">
        <f>SUMIF('2015-16 12 Mnths'!$A:$A,'Detail 18-19'!$A123,'2015-16 12 Mnths'!E:E)-SUMIF('Budget 12 Mnths'!$A:$A,'Detail 18-19'!$A123,'Budget 12 Mnths'!F:F)</f>
        <v>0</v>
      </c>
      <c r="G123" s="56">
        <f>SUMIF('2015-16 12 Mnths'!$A:$A,'Detail 18-19'!$A123,'2015-16 12 Mnths'!F:F)-SUMIF('Budget 12 Mnths'!$A:$A,'Detail 18-19'!$A123,'Budget 12 Mnths'!G:G)</f>
        <v>0</v>
      </c>
      <c r="H123" s="56">
        <f>SUMIF('2015-16 12 Mnths'!$A:$A,'Detail 18-19'!$A123,'2015-16 12 Mnths'!G:G)-SUMIF('Budget 12 Mnths'!$A:$A,'Detail 18-19'!$A123,'Budget 12 Mnths'!H:H)</f>
        <v>0</v>
      </c>
      <c r="I123" s="56">
        <f>SUMIF('2015-16 12 Mnths'!$A:$A,'Detail 18-19'!$A123,'2015-16 12 Mnths'!H:H)-SUMIF('Budget 12 Mnths'!$A:$A,'Detail 18-19'!$A123,'Budget 12 Mnths'!I:I)</f>
        <v>-1122</v>
      </c>
      <c r="J123" s="56">
        <f>SUMIF('2015-16 12 Mnths'!$A:$A,'Detail 18-19'!$A123,'2015-16 12 Mnths'!I:I)-SUMIF('Budget 12 Mnths'!$A:$A,'Detail 18-19'!$A123,'Budget 12 Mnths'!J:J)</f>
        <v>0</v>
      </c>
      <c r="K123" s="56">
        <f>SUMIF('2015-16 12 Mnths'!$A:$A,'Detail 18-19'!$A123,'2015-16 12 Mnths'!J:J)-SUMIF('Budget 12 Mnths'!$A:$A,'Detail 18-19'!$A123,'Budget 12 Mnths'!K:K)</f>
        <v>0</v>
      </c>
      <c r="L123" s="56">
        <f>SUMIF('2015-16 12 Mnths'!$A:$A,'Detail 18-19'!$A123,'2015-16 12 Mnths'!K:K)-SUMIF('Budget 12 Mnths'!$A:$A,'Detail 18-19'!$A123,'Budget 12 Mnths'!L:L)</f>
        <v>0</v>
      </c>
      <c r="M123" s="56"/>
      <c r="N123" s="56"/>
      <c r="O123" s="56"/>
      <c r="P123" s="56">
        <f t="shared" si="1"/>
        <v>-1122</v>
      </c>
      <c r="Q123" s="14" t="str">
        <f>+VLOOKUP(A123,Mapping!$A$1:$E$443,5,FALSE)</f>
        <v>Salaries</v>
      </c>
      <c r="R123" s="26">
        <f>+SUMIF('Budget 12 Mnths'!$A:$A,'Detail 18-19'!$A123,'Budget 12 Mnths'!$P:$P)</f>
        <v>1122</v>
      </c>
      <c r="S123" s="26">
        <f>+SUMIF('2015-16 12 Mnths'!$A:$A,'Detail 18-19'!$A123,'2015-16 12 Mnths'!$O:$O)</f>
        <v>0</v>
      </c>
      <c r="T123" s="57">
        <f t="shared" si="2"/>
        <v>-1</v>
      </c>
      <c r="U123" s="57">
        <f t="shared" si="3"/>
        <v>0</v>
      </c>
      <c r="V123" s="8" t="s">
        <v>594</v>
      </c>
      <c r="W123" s="57">
        <f>+SUMIF('Salaries 2019-20'!B$100:B$148,'Detail 18-19'!A123,'Salaries 2019-20'!V$100:V$148)</f>
        <v>1355</v>
      </c>
      <c r="X123" s="27">
        <v>1395.65</v>
      </c>
      <c r="Z123" s="57">
        <f t="shared" ref="Z123:Z136" si="59">+X123/2</f>
        <v>697.825</v>
      </c>
      <c r="AA123" s="57" t="str">
        <f>IFERROR(+VLOOKUP(A123,Key!$A$1:$C$219,2,FALSE),"NOT FOUND")</f>
        <v>6270-1U</v>
      </c>
      <c r="AB123" s="57">
        <f>+SUMIFS('Salaries 2019-20'!$V$174:$V$194,'Salaries 2019-20'!$B$174:$B$194,'Detail 18-19'!A123)</f>
        <v>11150.0156</v>
      </c>
      <c r="AC123" s="27"/>
      <c r="AD123" s="27"/>
      <c r="AE123" s="27"/>
      <c r="AF123" s="27"/>
      <c r="AG123" s="27"/>
      <c r="AH123" s="57">
        <f>+AB123-10000</f>
        <v>1150.0156</v>
      </c>
      <c r="AI123" s="27"/>
      <c r="AJ123" s="27"/>
      <c r="AK123" s="27"/>
      <c r="AL123" s="27"/>
      <c r="AM123" s="27"/>
      <c r="AN123" s="27">
        <v>10000.0</v>
      </c>
      <c r="AO123" s="27">
        <f t="shared" si="6"/>
        <v>0</v>
      </c>
    </row>
    <row r="124" ht="15.75" hidden="1" customHeight="1">
      <c r="A124" s="15" t="s">
        <v>436</v>
      </c>
      <c r="B124" s="15" t="s">
        <v>434</v>
      </c>
      <c r="C124" s="15" t="s">
        <v>119</v>
      </c>
      <c r="D124" s="56">
        <f>SUMIF('2015-16 12 Mnths'!$A:$A,'Detail 18-19'!$A124,'2015-16 12 Mnths'!C:C)-SUMIF('Budget 12 Mnths'!$A:$A,'Detail 18-19'!$A124,'Budget 12 Mnths'!D:D)</f>
        <v>0</v>
      </c>
      <c r="E124" s="56">
        <f>SUMIF('2015-16 12 Mnths'!$A:$A,'Detail 18-19'!$A124,'2015-16 12 Mnths'!D:D)-SUMIF('Budget 12 Mnths'!$A:$A,'Detail 18-19'!$A124,'Budget 12 Mnths'!E:E)</f>
        <v>0</v>
      </c>
      <c r="F124" s="56">
        <f>SUMIF('2015-16 12 Mnths'!$A:$A,'Detail 18-19'!$A124,'2015-16 12 Mnths'!E:E)-SUMIF('Budget 12 Mnths'!$A:$A,'Detail 18-19'!$A124,'Budget 12 Mnths'!F:F)</f>
        <v>0</v>
      </c>
      <c r="G124" s="56">
        <f>SUMIF('2015-16 12 Mnths'!$A:$A,'Detail 18-19'!$A124,'2015-16 12 Mnths'!F:F)-SUMIF('Budget 12 Mnths'!$A:$A,'Detail 18-19'!$A124,'Budget 12 Mnths'!G:G)</f>
        <v>0</v>
      </c>
      <c r="H124" s="56">
        <f>SUMIF('2015-16 12 Mnths'!$A:$A,'Detail 18-19'!$A124,'2015-16 12 Mnths'!G:G)-SUMIF('Budget 12 Mnths'!$A:$A,'Detail 18-19'!$A124,'Budget 12 Mnths'!H:H)</f>
        <v>0</v>
      </c>
      <c r="I124" s="56">
        <f>SUMIF('2015-16 12 Mnths'!$A:$A,'Detail 18-19'!$A124,'2015-16 12 Mnths'!H:H)-SUMIF('Budget 12 Mnths'!$A:$A,'Detail 18-19'!$A124,'Budget 12 Mnths'!I:I)</f>
        <v>0</v>
      </c>
      <c r="J124" s="56">
        <f>SUMIF('2015-16 12 Mnths'!$A:$A,'Detail 18-19'!$A124,'2015-16 12 Mnths'!I:I)-SUMIF('Budget 12 Mnths'!$A:$A,'Detail 18-19'!$A124,'Budget 12 Mnths'!J:J)</f>
        <v>0</v>
      </c>
      <c r="K124" s="56">
        <f>SUMIF('2015-16 12 Mnths'!$A:$A,'Detail 18-19'!$A124,'2015-16 12 Mnths'!J:J)-SUMIF('Budget 12 Mnths'!$A:$A,'Detail 18-19'!$A124,'Budget 12 Mnths'!K:K)</f>
        <v>0</v>
      </c>
      <c r="L124" s="56">
        <f>SUMIF('2015-16 12 Mnths'!$A:$A,'Detail 18-19'!$A124,'2015-16 12 Mnths'!K:K)-SUMIF('Budget 12 Mnths'!$A:$A,'Detail 18-19'!$A124,'Budget 12 Mnths'!L:L)</f>
        <v>0</v>
      </c>
      <c r="M124" s="56"/>
      <c r="N124" s="56"/>
      <c r="O124" s="56"/>
      <c r="P124" s="56">
        <f t="shared" si="1"/>
        <v>0</v>
      </c>
      <c r="Q124" s="14" t="str">
        <f>+VLOOKUP(A124,Mapping!$A$1:$E$443,5,FALSE)</f>
        <v>Salaries</v>
      </c>
      <c r="R124" s="26">
        <f>+SUMIF('Budget 12 Mnths'!$A:$A,'Detail 18-19'!$A124,'Budget 12 Mnths'!$P:$P)</f>
        <v>0</v>
      </c>
      <c r="S124" s="26">
        <f>+SUMIF('2015-16 12 Mnths'!$A:$A,'Detail 18-19'!$A124,'2015-16 12 Mnths'!$O:$O)</f>
        <v>0</v>
      </c>
      <c r="T124" s="57">
        <f t="shared" si="2"/>
        <v>0</v>
      </c>
      <c r="U124" s="57">
        <f t="shared" si="3"/>
        <v>0</v>
      </c>
      <c r="W124" s="57">
        <f>+SUMIF('Salaries 2019-20'!B$100:B$148,'Detail 18-19'!A124,'Salaries 2019-20'!V$100:V$148)</f>
        <v>0</v>
      </c>
      <c r="X124" s="27">
        <v>0.0</v>
      </c>
      <c r="Z124" s="57">
        <f t="shared" si="59"/>
        <v>0</v>
      </c>
      <c r="AA124" s="57" t="str">
        <f>IFERROR(+VLOOKUP(A124,Key!$A$1:$C$219,2,FALSE),"NOT FOUND")</f>
        <v>NOT FOUND</v>
      </c>
      <c r="AB124" s="57">
        <f>+SUMIFS('Salaries 2019-20'!$V$174:$V$194,'Salaries 2019-20'!$B$174:$B$194,'Detail 18-19'!A124)</f>
        <v>0</v>
      </c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>
        <f t="shared" si="6"/>
        <v>0</v>
      </c>
    </row>
    <row r="125" ht="15.75" customHeight="1">
      <c r="A125" s="15" t="s">
        <v>439</v>
      </c>
      <c r="B125" s="15" t="s">
        <v>440</v>
      </c>
      <c r="C125" s="15" t="s">
        <v>119</v>
      </c>
      <c r="D125" s="56">
        <f>SUMIF('2015-16 12 Mnths'!$A:$A,'Detail 18-19'!$A125,'2015-16 12 Mnths'!C:C)-SUMIF('Budget 12 Mnths'!$A:$A,'Detail 18-19'!$A125,'Budget 12 Mnths'!D:D)</f>
        <v>112.43</v>
      </c>
      <c r="E125" s="56">
        <f>SUMIF('2015-16 12 Mnths'!$A:$A,'Detail 18-19'!$A125,'2015-16 12 Mnths'!D:D)-SUMIF('Budget 12 Mnths'!$A:$A,'Detail 18-19'!$A125,'Budget 12 Mnths'!E:E)</f>
        <v>313.51</v>
      </c>
      <c r="F125" s="56">
        <f>SUMIF('2015-16 12 Mnths'!$A:$A,'Detail 18-19'!$A125,'2015-16 12 Mnths'!E:E)-SUMIF('Budget 12 Mnths'!$A:$A,'Detail 18-19'!$A125,'Budget 12 Mnths'!F:F)</f>
        <v>614.57</v>
      </c>
      <c r="G125" s="56">
        <f>SUMIF('2015-16 12 Mnths'!$A:$A,'Detail 18-19'!$A125,'2015-16 12 Mnths'!F:F)-SUMIF('Budget 12 Mnths'!$A:$A,'Detail 18-19'!$A125,'Budget 12 Mnths'!G:G)</f>
        <v>552.99</v>
      </c>
      <c r="H125" s="56">
        <f>SUMIF('2015-16 12 Mnths'!$A:$A,'Detail 18-19'!$A125,'2015-16 12 Mnths'!G:G)-SUMIF('Budget 12 Mnths'!$A:$A,'Detail 18-19'!$A125,'Budget 12 Mnths'!H:H)</f>
        <v>545.12</v>
      </c>
      <c r="I125" s="56">
        <f>SUMIF('2015-16 12 Mnths'!$A:$A,'Detail 18-19'!$A125,'2015-16 12 Mnths'!H:H)-SUMIF('Budget 12 Mnths'!$A:$A,'Detail 18-19'!$A125,'Budget 12 Mnths'!I:I)</f>
        <v>500.42</v>
      </c>
      <c r="J125" s="56">
        <f>SUMIF('2015-16 12 Mnths'!$A:$A,'Detail 18-19'!$A125,'2015-16 12 Mnths'!I:I)-SUMIF('Budget 12 Mnths'!$A:$A,'Detail 18-19'!$A125,'Budget 12 Mnths'!J:J)</f>
        <v>462.01</v>
      </c>
      <c r="K125" s="56">
        <f>SUMIF('2015-16 12 Mnths'!$A:$A,'Detail 18-19'!$A125,'2015-16 12 Mnths'!J:J)-SUMIF('Budget 12 Mnths'!$A:$A,'Detail 18-19'!$A125,'Budget 12 Mnths'!K:K)</f>
        <v>465.16</v>
      </c>
      <c r="L125" s="56">
        <f>SUMIF('2015-16 12 Mnths'!$A:$A,'Detail 18-19'!$A125,'2015-16 12 Mnths'!K:K)-SUMIF('Budget 12 Mnths'!$A:$A,'Detail 18-19'!$A125,'Budget 12 Mnths'!L:L)</f>
        <v>465.17</v>
      </c>
      <c r="M125" s="56"/>
      <c r="N125" s="56"/>
      <c r="O125" s="56"/>
      <c r="P125" s="56">
        <f t="shared" si="1"/>
        <v>4031.38</v>
      </c>
      <c r="Q125" s="14" t="str">
        <f>+VLOOKUP(A125,Mapping!$A$1:$E$443,5,FALSE)</f>
        <v>Benefits</v>
      </c>
      <c r="R125" s="26">
        <f>+SUMIF('Budget 12 Mnths'!$A:$A,'Detail 18-19'!$A125,'Budget 12 Mnths'!$P:$P)</f>
        <v>6622.45</v>
      </c>
      <c r="S125" s="26">
        <f>+SUMIF('2015-16 12 Mnths'!$A:$A,'Detail 18-19'!$A125,'2015-16 12 Mnths'!$O:$O)</f>
        <v>9765.92</v>
      </c>
      <c r="T125" s="57">
        <f t="shared" si="2"/>
        <v>0.6087444979</v>
      </c>
      <c r="U125" s="57">
        <f t="shared" si="3"/>
        <v>0.4128008421</v>
      </c>
      <c r="V125" s="8" t="s">
        <v>594</v>
      </c>
      <c r="W125" s="57">
        <f>+SUMIF('Salaries 2019-20'!B$100:B$148,'Detail 18-19'!A125,'Salaries 2019-20'!V$100:V$148)</f>
        <v>0</v>
      </c>
      <c r="X125" s="27">
        <v>0.0</v>
      </c>
      <c r="Y125" s="8" t="s">
        <v>601</v>
      </c>
      <c r="Z125" s="57">
        <f t="shared" si="59"/>
        <v>0</v>
      </c>
      <c r="AA125" s="57" t="str">
        <f>IFERROR(+VLOOKUP(A125,Key!$A$1:$C$219,2,FALSE),"NOT FOUND")</f>
        <v>6275-1U</v>
      </c>
      <c r="AB125" s="57">
        <f>+'Salaries 2019-20'!W199</f>
        <v>10495.62215</v>
      </c>
      <c r="AC125" s="27">
        <v>0.0</v>
      </c>
      <c r="AD125" s="57">
        <f>+$AB125/9.5*0.5</f>
        <v>552.4011659</v>
      </c>
      <c r="AE125" s="57">
        <f t="shared" ref="AE125:AM125" si="60">+$AB125/9.5</f>
        <v>1104.802332</v>
      </c>
      <c r="AF125" s="57">
        <f t="shared" si="60"/>
        <v>1104.802332</v>
      </c>
      <c r="AG125" s="57">
        <f t="shared" si="60"/>
        <v>1104.802332</v>
      </c>
      <c r="AH125" s="57">
        <f t="shared" si="60"/>
        <v>1104.802332</v>
      </c>
      <c r="AI125" s="57">
        <f t="shared" si="60"/>
        <v>1104.802332</v>
      </c>
      <c r="AJ125" s="57">
        <f t="shared" si="60"/>
        <v>1104.802332</v>
      </c>
      <c r="AK125" s="57">
        <f t="shared" si="60"/>
        <v>1104.802332</v>
      </c>
      <c r="AL125" s="57">
        <f t="shared" si="60"/>
        <v>1104.802332</v>
      </c>
      <c r="AM125" s="57">
        <f t="shared" si="60"/>
        <v>1104.802332</v>
      </c>
      <c r="AN125" s="27">
        <v>0.0</v>
      </c>
      <c r="AO125" s="27">
        <f t="shared" si="6"/>
        <v>0</v>
      </c>
    </row>
    <row r="126" ht="15.75" customHeight="1">
      <c r="A126" s="15" t="s">
        <v>441</v>
      </c>
      <c r="B126" s="15" t="s">
        <v>440</v>
      </c>
      <c r="C126" s="15" t="s">
        <v>119</v>
      </c>
      <c r="D126" s="56">
        <f>SUMIF('2015-16 12 Mnths'!$A:$A,'Detail 18-19'!$A126,'2015-16 12 Mnths'!C:C)-SUMIF('Budget 12 Mnths'!$A:$A,'Detail 18-19'!$A126,'Budget 12 Mnths'!D:D)</f>
        <v>-20.11</v>
      </c>
      <c r="E126" s="56">
        <f>SUMIF('2015-16 12 Mnths'!$A:$A,'Detail 18-19'!$A126,'2015-16 12 Mnths'!D:D)-SUMIF('Budget 12 Mnths'!$A:$A,'Detail 18-19'!$A126,'Budget 12 Mnths'!E:E)</f>
        <v>-20.11</v>
      </c>
      <c r="F126" s="56">
        <f>SUMIF('2015-16 12 Mnths'!$A:$A,'Detail 18-19'!$A126,'2015-16 12 Mnths'!E:E)-SUMIF('Budget 12 Mnths'!$A:$A,'Detail 18-19'!$A126,'Budget 12 Mnths'!F:F)</f>
        <v>-20.11</v>
      </c>
      <c r="G126" s="56">
        <f>SUMIF('2015-16 12 Mnths'!$A:$A,'Detail 18-19'!$A126,'2015-16 12 Mnths'!F:F)-SUMIF('Budget 12 Mnths'!$A:$A,'Detail 18-19'!$A126,'Budget 12 Mnths'!G:G)</f>
        <v>-20.11</v>
      </c>
      <c r="H126" s="56">
        <f>SUMIF('2015-16 12 Mnths'!$A:$A,'Detail 18-19'!$A126,'2015-16 12 Mnths'!G:G)-SUMIF('Budget 12 Mnths'!$A:$A,'Detail 18-19'!$A126,'Budget 12 Mnths'!H:H)</f>
        <v>-20.11</v>
      </c>
      <c r="I126" s="56">
        <f>SUMIF('2015-16 12 Mnths'!$A:$A,'Detail 18-19'!$A126,'2015-16 12 Mnths'!H:H)-SUMIF('Budget 12 Mnths'!$A:$A,'Detail 18-19'!$A126,'Budget 12 Mnths'!I:I)</f>
        <v>-56.21</v>
      </c>
      <c r="J126" s="56">
        <f>SUMIF('2015-16 12 Mnths'!$A:$A,'Detail 18-19'!$A126,'2015-16 12 Mnths'!I:I)-SUMIF('Budget 12 Mnths'!$A:$A,'Detail 18-19'!$A126,'Budget 12 Mnths'!J:J)</f>
        <v>-108.55</v>
      </c>
      <c r="K126" s="56">
        <f>SUMIF('2015-16 12 Mnths'!$A:$A,'Detail 18-19'!$A126,'2015-16 12 Mnths'!J:J)-SUMIF('Budget 12 Mnths'!$A:$A,'Detail 18-19'!$A126,'Budget 12 Mnths'!K:K)</f>
        <v>-108.55</v>
      </c>
      <c r="L126" s="56">
        <f>SUMIF('2015-16 12 Mnths'!$A:$A,'Detail 18-19'!$A126,'2015-16 12 Mnths'!K:K)-SUMIF('Budget 12 Mnths'!$A:$A,'Detail 18-19'!$A126,'Budget 12 Mnths'!L:L)</f>
        <v>-112.3</v>
      </c>
      <c r="M126" s="56"/>
      <c r="N126" s="56"/>
      <c r="O126" s="56"/>
      <c r="P126" s="56">
        <f t="shared" si="1"/>
        <v>-486.16</v>
      </c>
      <c r="Q126" s="14" t="str">
        <f>+VLOOKUP(A126,Mapping!$A$1:$E$443,5,FALSE)</f>
        <v>Benefits</v>
      </c>
      <c r="R126" s="26">
        <f>+SUMIF('Budget 12 Mnths'!$A:$A,'Detail 18-19'!$A126,'Budget 12 Mnths'!$P:$P)</f>
        <v>4976.04</v>
      </c>
      <c r="S126" s="26">
        <f>+SUMIF('2015-16 12 Mnths'!$A:$A,'Detail 18-19'!$A126,'2015-16 12 Mnths'!$O:$O)</f>
        <v>3395.18</v>
      </c>
      <c r="T126" s="57">
        <f t="shared" si="2"/>
        <v>-0.09770017926</v>
      </c>
      <c r="U126" s="57">
        <f t="shared" si="3"/>
        <v>-0.1431912299</v>
      </c>
      <c r="V126" s="8" t="s">
        <v>594</v>
      </c>
      <c r="W126" s="57">
        <f>+SUMIF('Salaries 2019-20'!B$100:B$148,'Detail 18-19'!A126,'Salaries 2019-20'!V$100:V$148)</f>
        <v>0</v>
      </c>
      <c r="X126" s="27">
        <v>0.0</v>
      </c>
      <c r="Z126" s="57">
        <f t="shared" si="59"/>
        <v>0</v>
      </c>
      <c r="AA126" s="57" t="str">
        <f>IFERROR(+VLOOKUP(A126,Key!$A$1:$C$219,2,FALSE),"NOT FOUND")</f>
        <v>6276-2U</v>
      </c>
      <c r="AB126" s="57">
        <f>+'Salaries 2019-20'!X199</f>
        <v>7258.634268</v>
      </c>
      <c r="AC126" s="57">
        <f t="shared" ref="AC126:AN126" si="61">+$AB126/12</f>
        <v>604.886189</v>
      </c>
      <c r="AD126" s="57">
        <f t="shared" si="61"/>
        <v>604.886189</v>
      </c>
      <c r="AE126" s="57">
        <f t="shared" si="61"/>
        <v>604.886189</v>
      </c>
      <c r="AF126" s="57">
        <f t="shared" si="61"/>
        <v>604.886189</v>
      </c>
      <c r="AG126" s="57">
        <f t="shared" si="61"/>
        <v>604.886189</v>
      </c>
      <c r="AH126" s="57">
        <f t="shared" si="61"/>
        <v>604.886189</v>
      </c>
      <c r="AI126" s="57">
        <f t="shared" si="61"/>
        <v>604.886189</v>
      </c>
      <c r="AJ126" s="57">
        <f t="shared" si="61"/>
        <v>604.886189</v>
      </c>
      <c r="AK126" s="57">
        <f t="shared" si="61"/>
        <v>604.886189</v>
      </c>
      <c r="AL126" s="57">
        <f t="shared" si="61"/>
        <v>604.886189</v>
      </c>
      <c r="AM126" s="57">
        <f t="shared" si="61"/>
        <v>604.886189</v>
      </c>
      <c r="AN126" s="57">
        <f t="shared" si="61"/>
        <v>604.886189</v>
      </c>
      <c r="AO126" s="27">
        <f t="shared" si="6"/>
        <v>0</v>
      </c>
    </row>
    <row r="127" ht="15.75" hidden="1" customHeight="1">
      <c r="A127" s="15" t="s">
        <v>442</v>
      </c>
      <c r="B127" s="15" t="s">
        <v>440</v>
      </c>
      <c r="C127" s="15" t="s">
        <v>119</v>
      </c>
      <c r="D127" s="56">
        <f>SUMIF('2015-16 12 Mnths'!$A:$A,'Detail 18-19'!$A127,'2015-16 12 Mnths'!C:C)-SUMIF('Budget 12 Mnths'!$A:$A,'Detail 18-19'!$A127,'Budget 12 Mnths'!D:D)</f>
        <v>0</v>
      </c>
      <c r="E127" s="56">
        <f>SUMIF('2015-16 12 Mnths'!$A:$A,'Detail 18-19'!$A127,'2015-16 12 Mnths'!D:D)-SUMIF('Budget 12 Mnths'!$A:$A,'Detail 18-19'!$A127,'Budget 12 Mnths'!E:E)</f>
        <v>0</v>
      </c>
      <c r="F127" s="56">
        <f>SUMIF('2015-16 12 Mnths'!$A:$A,'Detail 18-19'!$A127,'2015-16 12 Mnths'!E:E)-SUMIF('Budget 12 Mnths'!$A:$A,'Detail 18-19'!$A127,'Budget 12 Mnths'!F:F)</f>
        <v>0</v>
      </c>
      <c r="G127" s="56">
        <f>SUMIF('2015-16 12 Mnths'!$A:$A,'Detail 18-19'!$A127,'2015-16 12 Mnths'!F:F)-SUMIF('Budget 12 Mnths'!$A:$A,'Detail 18-19'!$A127,'Budget 12 Mnths'!G:G)</f>
        <v>0</v>
      </c>
      <c r="H127" s="56">
        <f>SUMIF('2015-16 12 Mnths'!$A:$A,'Detail 18-19'!$A127,'2015-16 12 Mnths'!G:G)-SUMIF('Budget 12 Mnths'!$A:$A,'Detail 18-19'!$A127,'Budget 12 Mnths'!H:H)</f>
        <v>0</v>
      </c>
      <c r="I127" s="56">
        <f>SUMIF('2015-16 12 Mnths'!$A:$A,'Detail 18-19'!$A127,'2015-16 12 Mnths'!H:H)-SUMIF('Budget 12 Mnths'!$A:$A,'Detail 18-19'!$A127,'Budget 12 Mnths'!I:I)</f>
        <v>0</v>
      </c>
      <c r="J127" s="56">
        <f>SUMIF('2015-16 12 Mnths'!$A:$A,'Detail 18-19'!$A127,'2015-16 12 Mnths'!I:I)-SUMIF('Budget 12 Mnths'!$A:$A,'Detail 18-19'!$A127,'Budget 12 Mnths'!J:J)</f>
        <v>0</v>
      </c>
      <c r="K127" s="56">
        <f>SUMIF('2015-16 12 Mnths'!$A:$A,'Detail 18-19'!$A127,'2015-16 12 Mnths'!J:J)-SUMIF('Budget 12 Mnths'!$A:$A,'Detail 18-19'!$A127,'Budget 12 Mnths'!K:K)</f>
        <v>0</v>
      </c>
      <c r="L127" s="56">
        <f>SUMIF('2015-16 12 Mnths'!$A:$A,'Detail 18-19'!$A127,'2015-16 12 Mnths'!K:K)-SUMIF('Budget 12 Mnths'!$A:$A,'Detail 18-19'!$A127,'Budget 12 Mnths'!L:L)</f>
        <v>0</v>
      </c>
      <c r="M127" s="56"/>
      <c r="N127" s="56"/>
      <c r="O127" s="56"/>
      <c r="P127" s="56">
        <f t="shared" si="1"/>
        <v>0</v>
      </c>
      <c r="Q127" s="14" t="str">
        <f>+VLOOKUP(A127,Mapping!$A$1:$E$443,5,FALSE)</f>
        <v>Benefits</v>
      </c>
      <c r="R127" s="26">
        <f>+SUMIF('Budget 12 Mnths'!$A:$A,'Detail 18-19'!$A127,'Budget 12 Mnths'!$P:$P)</f>
        <v>0</v>
      </c>
      <c r="S127" s="26">
        <f>+SUMIF('2015-16 12 Mnths'!$A:$A,'Detail 18-19'!$A127,'2015-16 12 Mnths'!$O:$O)</f>
        <v>0</v>
      </c>
      <c r="T127" s="57">
        <f t="shared" si="2"/>
        <v>0</v>
      </c>
      <c r="U127" s="57">
        <f t="shared" si="3"/>
        <v>0</v>
      </c>
      <c r="W127" s="57">
        <f>+SUMIF('Salaries 2019-20'!B$100:B$148,'Detail 18-19'!A127,'Salaries 2019-20'!V$100:V$148)</f>
        <v>0</v>
      </c>
      <c r="X127" s="27">
        <v>0.0</v>
      </c>
      <c r="Z127" s="57">
        <f t="shared" si="59"/>
        <v>0</v>
      </c>
      <c r="AA127" s="57" t="str">
        <f>IFERROR(+VLOOKUP(A127,Key!$A$1:$C$219,2,FALSE),"NOT FOUND")</f>
        <v>NOT FOUND</v>
      </c>
      <c r="AB127" s="27">
        <v>0.0</v>
      </c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>
        <f t="shared" si="6"/>
        <v>0</v>
      </c>
    </row>
    <row r="128" ht="15.75" customHeight="1">
      <c r="A128" s="15" t="s">
        <v>443</v>
      </c>
      <c r="B128" s="15" t="s">
        <v>444</v>
      </c>
      <c r="C128" s="15" t="s">
        <v>119</v>
      </c>
      <c r="D128" s="56">
        <f>SUMIF('2015-16 12 Mnths'!$A:$A,'Detail 18-19'!$A128,'2015-16 12 Mnths'!C:C)-SUMIF('Budget 12 Mnths'!$A:$A,'Detail 18-19'!$A128,'Budget 12 Mnths'!D:D)</f>
        <v>0</v>
      </c>
      <c r="E128" s="56">
        <f>SUMIF('2015-16 12 Mnths'!$A:$A,'Detail 18-19'!$A128,'2015-16 12 Mnths'!D:D)-SUMIF('Budget 12 Mnths'!$A:$A,'Detail 18-19'!$A128,'Budget 12 Mnths'!E:E)</f>
        <v>406.81</v>
      </c>
      <c r="F128" s="56">
        <f>SUMIF('2015-16 12 Mnths'!$A:$A,'Detail 18-19'!$A128,'2015-16 12 Mnths'!E:E)-SUMIF('Budget 12 Mnths'!$A:$A,'Detail 18-19'!$A128,'Budget 12 Mnths'!F:F)</f>
        <v>-592.58</v>
      </c>
      <c r="G128" s="56">
        <f>SUMIF('2015-16 12 Mnths'!$A:$A,'Detail 18-19'!$A128,'2015-16 12 Mnths'!F:F)-SUMIF('Budget 12 Mnths'!$A:$A,'Detail 18-19'!$A128,'Budget 12 Mnths'!G:G)</f>
        <v>-592.58</v>
      </c>
      <c r="H128" s="56">
        <f>SUMIF('2015-16 12 Mnths'!$A:$A,'Detail 18-19'!$A128,'2015-16 12 Mnths'!G:G)-SUMIF('Budget 12 Mnths'!$A:$A,'Detail 18-19'!$A128,'Budget 12 Mnths'!H:H)</f>
        <v>-592.58</v>
      </c>
      <c r="I128" s="56">
        <f>SUMIF('2015-16 12 Mnths'!$A:$A,'Detail 18-19'!$A128,'2015-16 12 Mnths'!H:H)-SUMIF('Budget 12 Mnths'!$A:$A,'Detail 18-19'!$A128,'Budget 12 Mnths'!I:I)</f>
        <v>2089.82</v>
      </c>
      <c r="J128" s="56">
        <f>SUMIF('2015-16 12 Mnths'!$A:$A,'Detail 18-19'!$A128,'2015-16 12 Mnths'!I:I)-SUMIF('Budget 12 Mnths'!$A:$A,'Detail 18-19'!$A128,'Budget 12 Mnths'!J:J)</f>
        <v>-735.32</v>
      </c>
      <c r="K128" s="56">
        <f>SUMIF('2015-16 12 Mnths'!$A:$A,'Detail 18-19'!$A128,'2015-16 12 Mnths'!J:J)-SUMIF('Budget 12 Mnths'!$A:$A,'Detail 18-19'!$A128,'Budget 12 Mnths'!K:K)</f>
        <v>-600.18</v>
      </c>
      <c r="L128" s="56">
        <f>SUMIF('2015-16 12 Mnths'!$A:$A,'Detail 18-19'!$A128,'2015-16 12 Mnths'!K:K)-SUMIF('Budget 12 Mnths'!$A:$A,'Detail 18-19'!$A128,'Budget 12 Mnths'!L:L)</f>
        <v>1893.75</v>
      </c>
      <c r="M128" s="56"/>
      <c r="N128" s="56"/>
      <c r="O128" s="56"/>
      <c r="P128" s="56">
        <f t="shared" si="1"/>
        <v>1277.14</v>
      </c>
      <c r="Q128" s="14" t="str">
        <f>+VLOOKUP(A128,Mapping!$A$1:$E$443,5,FALSE)</f>
        <v>Benefits</v>
      </c>
      <c r="R128" s="26">
        <f>+SUMIF('Budget 12 Mnths'!$A:$A,'Detail 18-19'!$A128,'Budget 12 Mnths'!$P:$P)</f>
        <v>60000</v>
      </c>
      <c r="S128" s="26">
        <f>+SUMIF('2015-16 12 Mnths'!$A:$A,'Detail 18-19'!$A128,'2015-16 12 Mnths'!$O:$O)</f>
        <v>55910.3</v>
      </c>
      <c r="T128" s="57">
        <f t="shared" si="2"/>
        <v>0.02128566667</v>
      </c>
      <c r="U128" s="57">
        <f t="shared" si="3"/>
        <v>0.02284266048</v>
      </c>
      <c r="V128" s="8" t="s">
        <v>594</v>
      </c>
      <c r="W128" s="57">
        <f>+SUMIF('Salaries 2019-20'!B$100:B$148,'Detail 18-19'!A128,'Salaries 2019-20'!V$100:V$148)</f>
        <v>48192</v>
      </c>
      <c r="X128" s="27">
        <v>65000.0</v>
      </c>
      <c r="Y128" s="8" t="s">
        <v>601</v>
      </c>
      <c r="Z128" s="57">
        <f t="shared" si="59"/>
        <v>32500</v>
      </c>
      <c r="AA128" s="57" t="str">
        <f>IFERROR(+VLOOKUP(A128,Key!$A$1:$C$219,2,FALSE),"NOT FOUND")</f>
        <v>6280-1U</v>
      </c>
      <c r="AB128" s="57">
        <f>+'Salaries 2019-20'!W197</f>
        <v>42768</v>
      </c>
      <c r="AC128" s="27">
        <v>0.0</v>
      </c>
      <c r="AD128" s="57">
        <f>+$AB128/9.5*0.5</f>
        <v>2250.947368</v>
      </c>
      <c r="AE128" s="57">
        <f t="shared" ref="AE128:AM128" si="62">+$AB128/9.5</f>
        <v>4501.894737</v>
      </c>
      <c r="AF128" s="57">
        <f t="shared" si="62"/>
        <v>4501.894737</v>
      </c>
      <c r="AG128" s="57">
        <f t="shared" si="62"/>
        <v>4501.894737</v>
      </c>
      <c r="AH128" s="57">
        <f t="shared" si="62"/>
        <v>4501.894737</v>
      </c>
      <c r="AI128" s="57">
        <f t="shared" si="62"/>
        <v>4501.894737</v>
      </c>
      <c r="AJ128" s="57">
        <f t="shared" si="62"/>
        <v>4501.894737</v>
      </c>
      <c r="AK128" s="57">
        <f t="shared" si="62"/>
        <v>4501.894737</v>
      </c>
      <c r="AL128" s="57">
        <f t="shared" si="62"/>
        <v>4501.894737</v>
      </c>
      <c r="AM128" s="57">
        <f t="shared" si="62"/>
        <v>4501.894737</v>
      </c>
      <c r="AN128" s="27">
        <v>0.0</v>
      </c>
      <c r="AO128" s="27">
        <f t="shared" si="6"/>
        <v>0</v>
      </c>
    </row>
    <row r="129" ht="15.75" customHeight="1">
      <c r="A129" s="15" t="s">
        <v>445</v>
      </c>
      <c r="B129" s="15" t="s">
        <v>444</v>
      </c>
      <c r="C129" s="15" t="s">
        <v>119</v>
      </c>
      <c r="D129" s="56">
        <f>SUMIF('2015-16 12 Mnths'!$A:$A,'Detail 18-19'!$A129,'2015-16 12 Mnths'!C:C)-SUMIF('Budget 12 Mnths'!$A:$A,'Detail 18-19'!$A129,'Budget 12 Mnths'!D:D)</f>
        <v>2155.88</v>
      </c>
      <c r="E129" s="56">
        <f>SUMIF('2015-16 12 Mnths'!$A:$A,'Detail 18-19'!$A129,'2015-16 12 Mnths'!D:D)-SUMIF('Budget 12 Mnths'!$A:$A,'Detail 18-19'!$A129,'Budget 12 Mnths'!E:E)</f>
        <v>1616.91</v>
      </c>
      <c r="F129" s="56">
        <f>SUMIF('2015-16 12 Mnths'!$A:$A,'Detail 18-19'!$A129,'2015-16 12 Mnths'!E:E)-SUMIF('Budget 12 Mnths'!$A:$A,'Detail 18-19'!$A129,'Budget 12 Mnths'!F:F)</f>
        <v>2694.75</v>
      </c>
      <c r="G129" s="56">
        <f>SUMIF('2015-16 12 Mnths'!$A:$A,'Detail 18-19'!$A129,'2015-16 12 Mnths'!F:F)-SUMIF('Budget 12 Mnths'!$A:$A,'Detail 18-19'!$A129,'Budget 12 Mnths'!G:G)</f>
        <v>2694.75</v>
      </c>
      <c r="H129" s="56">
        <f>SUMIF('2015-16 12 Mnths'!$A:$A,'Detail 18-19'!$A129,'2015-16 12 Mnths'!G:G)-SUMIF('Budget 12 Mnths'!$A:$A,'Detail 18-19'!$A129,'Budget 12 Mnths'!H:H)</f>
        <v>2694.75</v>
      </c>
      <c r="I129" s="56">
        <f>SUMIF('2015-16 12 Mnths'!$A:$A,'Detail 18-19'!$A129,'2015-16 12 Mnths'!H:H)-SUMIF('Budget 12 Mnths'!$A:$A,'Detail 18-19'!$A129,'Budget 12 Mnths'!I:I)</f>
        <v>0</v>
      </c>
      <c r="J129" s="56">
        <f>SUMIF('2015-16 12 Mnths'!$A:$A,'Detail 18-19'!$A129,'2015-16 12 Mnths'!I:I)-SUMIF('Budget 12 Mnths'!$A:$A,'Detail 18-19'!$A129,'Budget 12 Mnths'!J:J)</f>
        <v>2690</v>
      </c>
      <c r="K129" s="56">
        <f>SUMIF('2015-16 12 Mnths'!$A:$A,'Detail 18-19'!$A129,'2015-16 12 Mnths'!J:J)-SUMIF('Budget 12 Mnths'!$A:$A,'Detail 18-19'!$A129,'Budget 12 Mnths'!K:K)</f>
        <v>2690</v>
      </c>
      <c r="L129" s="56">
        <f>SUMIF('2015-16 12 Mnths'!$A:$A,'Detail 18-19'!$A129,'2015-16 12 Mnths'!K:K)-SUMIF('Budget 12 Mnths'!$A:$A,'Detail 18-19'!$A129,'Budget 12 Mnths'!L:L)</f>
        <v>0</v>
      </c>
      <c r="M129" s="56"/>
      <c r="N129" s="56"/>
      <c r="O129" s="56"/>
      <c r="P129" s="56">
        <f t="shared" si="1"/>
        <v>17237.04</v>
      </c>
      <c r="Q129" s="14" t="str">
        <f>+VLOOKUP(A129,Mapping!$A$1:$E$443,5,FALSE)</f>
        <v>Benefits</v>
      </c>
      <c r="R129" s="26">
        <f>+SUMIF('Budget 12 Mnths'!$A:$A,'Detail 18-19'!$A129,'Budget 12 Mnths'!$P:$P)</f>
        <v>0</v>
      </c>
      <c r="S129" s="26">
        <f>+SUMIF('2015-16 12 Mnths'!$A:$A,'Detail 18-19'!$A129,'2015-16 12 Mnths'!$O:$O)</f>
        <v>17237.04</v>
      </c>
      <c r="T129" s="57">
        <f t="shared" si="2"/>
        <v>0</v>
      </c>
      <c r="U129" s="57">
        <f t="shared" si="3"/>
        <v>1</v>
      </c>
      <c r="V129" s="8" t="s">
        <v>594</v>
      </c>
      <c r="W129" s="57">
        <f>+SUMIF('Salaries 2019-20'!B$100:B$148,'Detail 18-19'!A129,'Salaries 2019-20'!V$100:V$148)</f>
        <v>0</v>
      </c>
      <c r="X129" s="27">
        <v>0.0</v>
      </c>
      <c r="Z129" s="57">
        <f t="shared" si="59"/>
        <v>0</v>
      </c>
      <c r="AA129" s="57" t="str">
        <f>IFERROR(+VLOOKUP(A129,Key!$A$1:$C$219,2,FALSE),"NOT FOUND")</f>
        <v>6281-2U</v>
      </c>
      <c r="AB129" s="57">
        <f>+'Salaries 2019-20'!X197</f>
        <v>19008</v>
      </c>
      <c r="AC129" s="57">
        <f t="shared" ref="AC129:AN129" si="63">+$AB129/12</f>
        <v>1584</v>
      </c>
      <c r="AD129" s="57">
        <f t="shared" si="63"/>
        <v>1584</v>
      </c>
      <c r="AE129" s="57">
        <f t="shared" si="63"/>
        <v>1584</v>
      </c>
      <c r="AF129" s="57">
        <f t="shared" si="63"/>
        <v>1584</v>
      </c>
      <c r="AG129" s="57">
        <f t="shared" si="63"/>
        <v>1584</v>
      </c>
      <c r="AH129" s="57">
        <f t="shared" si="63"/>
        <v>1584</v>
      </c>
      <c r="AI129" s="57">
        <f t="shared" si="63"/>
        <v>1584</v>
      </c>
      <c r="AJ129" s="57">
        <f t="shared" si="63"/>
        <v>1584</v>
      </c>
      <c r="AK129" s="57">
        <f t="shared" si="63"/>
        <v>1584</v>
      </c>
      <c r="AL129" s="57">
        <f t="shared" si="63"/>
        <v>1584</v>
      </c>
      <c r="AM129" s="57">
        <f t="shared" si="63"/>
        <v>1584</v>
      </c>
      <c r="AN129" s="57">
        <f t="shared" si="63"/>
        <v>1584</v>
      </c>
      <c r="AO129" s="27">
        <f t="shared" si="6"/>
        <v>0</v>
      </c>
    </row>
    <row r="130" ht="15.75" hidden="1" customHeight="1">
      <c r="A130" s="15" t="s">
        <v>446</v>
      </c>
      <c r="B130" s="15" t="s">
        <v>444</v>
      </c>
      <c r="C130" s="15" t="s">
        <v>119</v>
      </c>
      <c r="D130" s="56">
        <f>SUMIF('2015-16 12 Mnths'!$A:$A,'Detail 18-19'!$A130,'2015-16 12 Mnths'!C:C)-SUMIF('Budget 12 Mnths'!$A:$A,'Detail 18-19'!$A130,'Budget 12 Mnths'!D:D)</f>
        <v>0</v>
      </c>
      <c r="E130" s="56">
        <f>SUMIF('2015-16 12 Mnths'!$A:$A,'Detail 18-19'!$A130,'2015-16 12 Mnths'!D:D)-SUMIF('Budget 12 Mnths'!$A:$A,'Detail 18-19'!$A130,'Budget 12 Mnths'!E:E)</f>
        <v>0</v>
      </c>
      <c r="F130" s="56">
        <f>SUMIF('2015-16 12 Mnths'!$A:$A,'Detail 18-19'!$A130,'2015-16 12 Mnths'!E:E)-SUMIF('Budget 12 Mnths'!$A:$A,'Detail 18-19'!$A130,'Budget 12 Mnths'!F:F)</f>
        <v>0</v>
      </c>
      <c r="G130" s="56">
        <f>SUMIF('2015-16 12 Mnths'!$A:$A,'Detail 18-19'!$A130,'2015-16 12 Mnths'!F:F)-SUMIF('Budget 12 Mnths'!$A:$A,'Detail 18-19'!$A130,'Budget 12 Mnths'!G:G)</f>
        <v>0</v>
      </c>
      <c r="H130" s="56">
        <f>SUMIF('2015-16 12 Mnths'!$A:$A,'Detail 18-19'!$A130,'2015-16 12 Mnths'!G:G)-SUMIF('Budget 12 Mnths'!$A:$A,'Detail 18-19'!$A130,'Budget 12 Mnths'!H:H)</f>
        <v>0</v>
      </c>
      <c r="I130" s="56">
        <f>SUMIF('2015-16 12 Mnths'!$A:$A,'Detail 18-19'!$A130,'2015-16 12 Mnths'!H:H)-SUMIF('Budget 12 Mnths'!$A:$A,'Detail 18-19'!$A130,'Budget 12 Mnths'!I:I)</f>
        <v>0</v>
      </c>
      <c r="J130" s="56">
        <f>SUMIF('2015-16 12 Mnths'!$A:$A,'Detail 18-19'!$A130,'2015-16 12 Mnths'!I:I)-SUMIF('Budget 12 Mnths'!$A:$A,'Detail 18-19'!$A130,'Budget 12 Mnths'!J:J)</f>
        <v>0</v>
      </c>
      <c r="K130" s="56">
        <f>SUMIF('2015-16 12 Mnths'!$A:$A,'Detail 18-19'!$A130,'2015-16 12 Mnths'!J:J)-SUMIF('Budget 12 Mnths'!$A:$A,'Detail 18-19'!$A130,'Budget 12 Mnths'!K:K)</f>
        <v>0</v>
      </c>
      <c r="L130" s="56">
        <f>SUMIF('2015-16 12 Mnths'!$A:$A,'Detail 18-19'!$A130,'2015-16 12 Mnths'!K:K)-SUMIF('Budget 12 Mnths'!$A:$A,'Detail 18-19'!$A130,'Budget 12 Mnths'!L:L)</f>
        <v>0</v>
      </c>
      <c r="M130" s="56"/>
      <c r="N130" s="56"/>
      <c r="O130" s="56"/>
      <c r="P130" s="56">
        <f t="shared" si="1"/>
        <v>0</v>
      </c>
      <c r="Q130" s="14" t="str">
        <f>+VLOOKUP(A130,Mapping!$A$1:$E$443,5,FALSE)</f>
        <v>Benefits</v>
      </c>
      <c r="R130" s="26">
        <f>+SUMIF('Budget 12 Mnths'!$A:$A,'Detail 18-19'!$A130,'Budget 12 Mnths'!$P:$P)</f>
        <v>0</v>
      </c>
      <c r="S130" s="26">
        <f>+SUMIF('2015-16 12 Mnths'!$A:$A,'Detail 18-19'!$A130,'2015-16 12 Mnths'!$O:$O)</f>
        <v>0</v>
      </c>
      <c r="T130" s="57">
        <f t="shared" si="2"/>
        <v>0</v>
      </c>
      <c r="U130" s="57">
        <f t="shared" si="3"/>
        <v>0</v>
      </c>
      <c r="W130" s="57">
        <f>+SUMIF('Salaries 2019-20'!B$100:B$148,'Detail 18-19'!A130,'Salaries 2019-20'!V$100:V$148)</f>
        <v>0</v>
      </c>
      <c r="X130" s="27">
        <v>0.0</v>
      </c>
      <c r="Z130" s="57">
        <f t="shared" si="59"/>
        <v>0</v>
      </c>
      <c r="AA130" s="57" t="str">
        <f>IFERROR(+VLOOKUP(A130,Key!$A$1:$C$219,2,FALSE),"NOT FOUND")</f>
        <v>NOT FOUND</v>
      </c>
      <c r="AB130" s="27">
        <v>0.0</v>
      </c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>
        <f t="shared" si="6"/>
        <v>0</v>
      </c>
    </row>
    <row r="131" ht="15.75" hidden="1" customHeight="1">
      <c r="A131" s="15" t="s">
        <v>447</v>
      </c>
      <c r="B131" s="15" t="s">
        <v>448</v>
      </c>
      <c r="C131" s="15" t="s">
        <v>119</v>
      </c>
      <c r="D131" s="56">
        <f>SUMIF('2015-16 12 Mnths'!$A:$A,'Detail 18-19'!$A131,'2015-16 12 Mnths'!C:C)-SUMIF('Budget 12 Mnths'!$A:$A,'Detail 18-19'!$A131,'Budget 12 Mnths'!D:D)</f>
        <v>0</v>
      </c>
      <c r="E131" s="56">
        <f>SUMIF('2015-16 12 Mnths'!$A:$A,'Detail 18-19'!$A131,'2015-16 12 Mnths'!D:D)-SUMIF('Budget 12 Mnths'!$A:$A,'Detail 18-19'!$A131,'Budget 12 Mnths'!E:E)</f>
        <v>0</v>
      </c>
      <c r="F131" s="56">
        <f>SUMIF('2015-16 12 Mnths'!$A:$A,'Detail 18-19'!$A131,'2015-16 12 Mnths'!E:E)-SUMIF('Budget 12 Mnths'!$A:$A,'Detail 18-19'!$A131,'Budget 12 Mnths'!F:F)</f>
        <v>0</v>
      </c>
      <c r="G131" s="56">
        <f>SUMIF('2015-16 12 Mnths'!$A:$A,'Detail 18-19'!$A131,'2015-16 12 Mnths'!F:F)-SUMIF('Budget 12 Mnths'!$A:$A,'Detail 18-19'!$A131,'Budget 12 Mnths'!G:G)</f>
        <v>0</v>
      </c>
      <c r="H131" s="56">
        <f>SUMIF('2015-16 12 Mnths'!$A:$A,'Detail 18-19'!$A131,'2015-16 12 Mnths'!G:G)-SUMIF('Budget 12 Mnths'!$A:$A,'Detail 18-19'!$A131,'Budget 12 Mnths'!H:H)</f>
        <v>0</v>
      </c>
      <c r="I131" s="56">
        <f>SUMIF('2015-16 12 Mnths'!$A:$A,'Detail 18-19'!$A131,'2015-16 12 Mnths'!H:H)-SUMIF('Budget 12 Mnths'!$A:$A,'Detail 18-19'!$A131,'Budget 12 Mnths'!I:I)</f>
        <v>0</v>
      </c>
      <c r="J131" s="56">
        <f>SUMIF('2015-16 12 Mnths'!$A:$A,'Detail 18-19'!$A131,'2015-16 12 Mnths'!I:I)-SUMIF('Budget 12 Mnths'!$A:$A,'Detail 18-19'!$A131,'Budget 12 Mnths'!J:J)</f>
        <v>0</v>
      </c>
      <c r="K131" s="56">
        <f>SUMIF('2015-16 12 Mnths'!$A:$A,'Detail 18-19'!$A131,'2015-16 12 Mnths'!J:J)-SUMIF('Budget 12 Mnths'!$A:$A,'Detail 18-19'!$A131,'Budget 12 Mnths'!K:K)</f>
        <v>0</v>
      </c>
      <c r="L131" s="56">
        <f>SUMIF('2015-16 12 Mnths'!$A:$A,'Detail 18-19'!$A131,'2015-16 12 Mnths'!K:K)-SUMIF('Budget 12 Mnths'!$A:$A,'Detail 18-19'!$A131,'Budget 12 Mnths'!L:L)</f>
        <v>0</v>
      </c>
      <c r="M131" s="56"/>
      <c r="N131" s="56"/>
      <c r="O131" s="56"/>
      <c r="P131" s="56">
        <f t="shared" si="1"/>
        <v>0</v>
      </c>
      <c r="Q131" s="14" t="str">
        <f>+VLOOKUP(A131,Mapping!$A$1:$E$443,5,FALSE)</f>
        <v>Benefits</v>
      </c>
      <c r="R131" s="26">
        <f>+SUMIF('Budget 12 Mnths'!$A:$A,'Detail 18-19'!$A131,'Budget 12 Mnths'!$P:$P)</f>
        <v>0</v>
      </c>
      <c r="S131" s="26">
        <f>+SUMIF('2015-16 12 Mnths'!$A:$A,'Detail 18-19'!$A131,'2015-16 12 Mnths'!$O:$O)</f>
        <v>0</v>
      </c>
      <c r="T131" s="57">
        <f t="shared" si="2"/>
        <v>0</v>
      </c>
      <c r="U131" s="57">
        <f t="shared" si="3"/>
        <v>0</v>
      </c>
      <c r="W131" s="57">
        <f>+SUMIF('Salaries 2019-20'!B$100:B$148,'Detail 18-19'!A131,'Salaries 2019-20'!V$100:V$148)</f>
        <v>0</v>
      </c>
      <c r="X131" s="27">
        <v>0.0</v>
      </c>
      <c r="Z131" s="57">
        <f t="shared" si="59"/>
        <v>0</v>
      </c>
      <c r="AA131" s="57" t="str">
        <f>IFERROR(+VLOOKUP(A131,Key!$A$1:$C$219,2,FALSE),"NOT FOUND")</f>
        <v>NOT FOUND</v>
      </c>
      <c r="AB131" s="27">
        <v>0.0</v>
      </c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>
        <f t="shared" si="6"/>
        <v>0</v>
      </c>
    </row>
    <row r="132" ht="15.75" hidden="1" customHeight="1">
      <c r="A132" s="15" t="s">
        <v>449</v>
      </c>
      <c r="B132" s="15" t="s">
        <v>448</v>
      </c>
      <c r="C132" s="15" t="s">
        <v>119</v>
      </c>
      <c r="D132" s="56">
        <f>SUMIF('2015-16 12 Mnths'!$A:$A,'Detail 18-19'!$A132,'2015-16 12 Mnths'!C:C)-SUMIF('Budget 12 Mnths'!$A:$A,'Detail 18-19'!$A132,'Budget 12 Mnths'!D:D)</f>
        <v>0</v>
      </c>
      <c r="E132" s="56">
        <f>SUMIF('2015-16 12 Mnths'!$A:$A,'Detail 18-19'!$A132,'2015-16 12 Mnths'!D:D)-SUMIF('Budget 12 Mnths'!$A:$A,'Detail 18-19'!$A132,'Budget 12 Mnths'!E:E)</f>
        <v>0</v>
      </c>
      <c r="F132" s="56">
        <f>SUMIF('2015-16 12 Mnths'!$A:$A,'Detail 18-19'!$A132,'2015-16 12 Mnths'!E:E)-SUMIF('Budget 12 Mnths'!$A:$A,'Detail 18-19'!$A132,'Budget 12 Mnths'!F:F)</f>
        <v>0</v>
      </c>
      <c r="G132" s="56">
        <f>SUMIF('2015-16 12 Mnths'!$A:$A,'Detail 18-19'!$A132,'2015-16 12 Mnths'!F:F)-SUMIF('Budget 12 Mnths'!$A:$A,'Detail 18-19'!$A132,'Budget 12 Mnths'!G:G)</f>
        <v>0</v>
      </c>
      <c r="H132" s="56">
        <f>SUMIF('2015-16 12 Mnths'!$A:$A,'Detail 18-19'!$A132,'2015-16 12 Mnths'!G:G)-SUMIF('Budget 12 Mnths'!$A:$A,'Detail 18-19'!$A132,'Budget 12 Mnths'!H:H)</f>
        <v>0</v>
      </c>
      <c r="I132" s="56">
        <f>SUMIF('2015-16 12 Mnths'!$A:$A,'Detail 18-19'!$A132,'2015-16 12 Mnths'!H:H)-SUMIF('Budget 12 Mnths'!$A:$A,'Detail 18-19'!$A132,'Budget 12 Mnths'!I:I)</f>
        <v>0</v>
      </c>
      <c r="J132" s="56">
        <f>SUMIF('2015-16 12 Mnths'!$A:$A,'Detail 18-19'!$A132,'2015-16 12 Mnths'!I:I)-SUMIF('Budget 12 Mnths'!$A:$A,'Detail 18-19'!$A132,'Budget 12 Mnths'!J:J)</f>
        <v>0</v>
      </c>
      <c r="K132" s="56">
        <f>SUMIF('2015-16 12 Mnths'!$A:$A,'Detail 18-19'!$A132,'2015-16 12 Mnths'!J:J)-SUMIF('Budget 12 Mnths'!$A:$A,'Detail 18-19'!$A132,'Budget 12 Mnths'!K:K)</f>
        <v>0</v>
      </c>
      <c r="L132" s="56">
        <f>SUMIF('2015-16 12 Mnths'!$A:$A,'Detail 18-19'!$A132,'2015-16 12 Mnths'!K:K)-SUMIF('Budget 12 Mnths'!$A:$A,'Detail 18-19'!$A132,'Budget 12 Mnths'!L:L)</f>
        <v>0</v>
      </c>
      <c r="M132" s="56"/>
      <c r="N132" s="56"/>
      <c r="O132" s="56"/>
      <c r="P132" s="56">
        <f t="shared" si="1"/>
        <v>0</v>
      </c>
      <c r="Q132" s="14" t="str">
        <f>+VLOOKUP(A132,Mapping!$A$1:$E$443,5,FALSE)</f>
        <v>Benefits</v>
      </c>
      <c r="R132" s="26">
        <f>+SUMIF('Budget 12 Mnths'!$A:$A,'Detail 18-19'!$A132,'Budget 12 Mnths'!$P:$P)</f>
        <v>0</v>
      </c>
      <c r="S132" s="26">
        <f>+SUMIF('2015-16 12 Mnths'!$A:$A,'Detail 18-19'!$A132,'2015-16 12 Mnths'!$O:$O)</f>
        <v>0</v>
      </c>
      <c r="T132" s="57">
        <f t="shared" si="2"/>
        <v>0</v>
      </c>
      <c r="U132" s="57">
        <f t="shared" si="3"/>
        <v>0</v>
      </c>
      <c r="W132" s="57">
        <f>+SUMIF('Salaries 2019-20'!B$100:B$148,'Detail 18-19'!A132,'Salaries 2019-20'!V$100:V$148)</f>
        <v>0</v>
      </c>
      <c r="X132" s="27">
        <v>0.0</v>
      </c>
      <c r="Z132" s="57">
        <f t="shared" si="59"/>
        <v>0</v>
      </c>
      <c r="AA132" s="57" t="str">
        <f>IFERROR(+VLOOKUP(A132,Key!$A$1:$C$219,2,FALSE),"NOT FOUND")</f>
        <v>NOT FOUND</v>
      </c>
      <c r="AB132" s="27">
        <v>0.0</v>
      </c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>
        <f t="shared" si="6"/>
        <v>0</v>
      </c>
    </row>
    <row r="133" ht="15.75" hidden="1" customHeight="1">
      <c r="A133" s="15" t="s">
        <v>450</v>
      </c>
      <c r="B133" s="15" t="s">
        <v>452</v>
      </c>
      <c r="C133" s="15" t="s">
        <v>119</v>
      </c>
      <c r="D133" s="56">
        <f>SUMIF('2015-16 12 Mnths'!$A:$A,'Detail 18-19'!$A133,'2015-16 12 Mnths'!C:C)-SUMIF('Budget 12 Mnths'!$A:$A,'Detail 18-19'!$A133,'Budget 12 Mnths'!D:D)</f>
        <v>0</v>
      </c>
      <c r="E133" s="56">
        <f>SUMIF('2015-16 12 Mnths'!$A:$A,'Detail 18-19'!$A133,'2015-16 12 Mnths'!D:D)-SUMIF('Budget 12 Mnths'!$A:$A,'Detail 18-19'!$A133,'Budget 12 Mnths'!E:E)</f>
        <v>0</v>
      </c>
      <c r="F133" s="56">
        <f>SUMIF('2015-16 12 Mnths'!$A:$A,'Detail 18-19'!$A133,'2015-16 12 Mnths'!E:E)-SUMIF('Budget 12 Mnths'!$A:$A,'Detail 18-19'!$A133,'Budget 12 Mnths'!F:F)</f>
        <v>0</v>
      </c>
      <c r="G133" s="56">
        <f>SUMIF('2015-16 12 Mnths'!$A:$A,'Detail 18-19'!$A133,'2015-16 12 Mnths'!F:F)-SUMIF('Budget 12 Mnths'!$A:$A,'Detail 18-19'!$A133,'Budget 12 Mnths'!G:G)</f>
        <v>0</v>
      </c>
      <c r="H133" s="56">
        <f>SUMIF('2015-16 12 Mnths'!$A:$A,'Detail 18-19'!$A133,'2015-16 12 Mnths'!G:G)-SUMIF('Budget 12 Mnths'!$A:$A,'Detail 18-19'!$A133,'Budget 12 Mnths'!H:H)</f>
        <v>0</v>
      </c>
      <c r="I133" s="56">
        <f>SUMIF('2015-16 12 Mnths'!$A:$A,'Detail 18-19'!$A133,'2015-16 12 Mnths'!H:H)-SUMIF('Budget 12 Mnths'!$A:$A,'Detail 18-19'!$A133,'Budget 12 Mnths'!I:I)</f>
        <v>0</v>
      </c>
      <c r="J133" s="56">
        <f>SUMIF('2015-16 12 Mnths'!$A:$A,'Detail 18-19'!$A133,'2015-16 12 Mnths'!I:I)-SUMIF('Budget 12 Mnths'!$A:$A,'Detail 18-19'!$A133,'Budget 12 Mnths'!J:J)</f>
        <v>0</v>
      </c>
      <c r="K133" s="56">
        <f>SUMIF('2015-16 12 Mnths'!$A:$A,'Detail 18-19'!$A133,'2015-16 12 Mnths'!J:J)-SUMIF('Budget 12 Mnths'!$A:$A,'Detail 18-19'!$A133,'Budget 12 Mnths'!K:K)</f>
        <v>0</v>
      </c>
      <c r="L133" s="56">
        <f>SUMIF('2015-16 12 Mnths'!$A:$A,'Detail 18-19'!$A133,'2015-16 12 Mnths'!K:K)-SUMIF('Budget 12 Mnths'!$A:$A,'Detail 18-19'!$A133,'Budget 12 Mnths'!L:L)</f>
        <v>0</v>
      </c>
      <c r="M133" s="56"/>
      <c r="N133" s="56"/>
      <c r="O133" s="56"/>
      <c r="P133" s="56">
        <f t="shared" si="1"/>
        <v>0</v>
      </c>
      <c r="Q133" s="14" t="str">
        <f>+VLOOKUP(A133,Mapping!$A$1:$E$443,5,FALSE)</f>
        <v>Benefits</v>
      </c>
      <c r="R133" s="26">
        <f>+SUMIF('Budget 12 Mnths'!$A:$A,'Detail 18-19'!$A133,'Budget 12 Mnths'!$P:$P)</f>
        <v>0</v>
      </c>
      <c r="S133" s="26">
        <f>+SUMIF('2015-16 12 Mnths'!$A:$A,'Detail 18-19'!$A133,'2015-16 12 Mnths'!$O:$O)</f>
        <v>0</v>
      </c>
      <c r="T133" s="57">
        <f t="shared" si="2"/>
        <v>0</v>
      </c>
      <c r="U133" s="57">
        <f t="shared" si="3"/>
        <v>0</v>
      </c>
      <c r="W133" s="57">
        <f>+SUMIF('Salaries 2019-20'!B$100:B$148,'Detail 18-19'!A133,'Salaries 2019-20'!V$100:V$148)</f>
        <v>0</v>
      </c>
      <c r="X133" s="27">
        <v>0.0</v>
      </c>
      <c r="Z133" s="57">
        <f t="shared" si="59"/>
        <v>0</v>
      </c>
      <c r="AA133" s="57" t="str">
        <f>IFERROR(+VLOOKUP(A133,Key!$A$1:$C$219,2,FALSE),"NOT FOUND")</f>
        <v>NOT FOUND</v>
      </c>
      <c r="AB133" s="27">
        <v>0.0</v>
      </c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>
        <f t="shared" si="6"/>
        <v>0</v>
      </c>
    </row>
    <row r="134" ht="15.75" customHeight="1">
      <c r="A134" s="15" t="s">
        <v>453</v>
      </c>
      <c r="B134" s="15" t="s">
        <v>454</v>
      </c>
      <c r="C134" s="15" t="s">
        <v>119</v>
      </c>
      <c r="D134" s="56">
        <f>SUMIF('2015-16 12 Mnths'!$A:$A,'Detail 18-19'!$A134,'2015-16 12 Mnths'!C:C)-SUMIF('Budget 12 Mnths'!$A:$A,'Detail 18-19'!$A134,'Budget 12 Mnths'!D:D)</f>
        <v>4</v>
      </c>
      <c r="E134" s="56">
        <f>SUMIF('2015-16 12 Mnths'!$A:$A,'Detail 18-19'!$A134,'2015-16 12 Mnths'!D:D)-SUMIF('Budget 12 Mnths'!$A:$A,'Detail 18-19'!$A134,'Budget 12 Mnths'!E:E)</f>
        <v>4</v>
      </c>
      <c r="F134" s="56">
        <f>SUMIF('2015-16 12 Mnths'!$A:$A,'Detail 18-19'!$A134,'2015-16 12 Mnths'!E:E)-SUMIF('Budget 12 Mnths'!$A:$A,'Detail 18-19'!$A134,'Budget 12 Mnths'!F:F)</f>
        <v>23.95</v>
      </c>
      <c r="G134" s="56">
        <f>SUMIF('2015-16 12 Mnths'!$A:$A,'Detail 18-19'!$A134,'2015-16 12 Mnths'!F:F)-SUMIF('Budget 12 Mnths'!$A:$A,'Detail 18-19'!$A134,'Budget 12 Mnths'!G:G)</f>
        <v>-2.65</v>
      </c>
      <c r="H134" s="56">
        <f>SUMIF('2015-16 12 Mnths'!$A:$A,'Detail 18-19'!$A134,'2015-16 12 Mnths'!G:G)-SUMIF('Budget 12 Mnths'!$A:$A,'Detail 18-19'!$A134,'Budget 12 Mnths'!H:H)</f>
        <v>-62.5</v>
      </c>
      <c r="I134" s="56">
        <f>SUMIF('2015-16 12 Mnths'!$A:$A,'Detail 18-19'!$A134,'2015-16 12 Mnths'!H:H)-SUMIF('Budget 12 Mnths'!$A:$A,'Detail 18-19'!$A134,'Budget 12 Mnths'!I:I)</f>
        <v>37.25</v>
      </c>
      <c r="J134" s="56">
        <f>SUMIF('2015-16 12 Mnths'!$A:$A,'Detail 18-19'!$A134,'2015-16 12 Mnths'!I:I)-SUMIF('Budget 12 Mnths'!$A:$A,'Detail 18-19'!$A134,'Budget 12 Mnths'!J:J)</f>
        <v>-2.65</v>
      </c>
      <c r="K134" s="56">
        <f>SUMIF('2015-16 12 Mnths'!$A:$A,'Detail 18-19'!$A134,'2015-16 12 Mnths'!J:J)-SUMIF('Budget 12 Mnths'!$A:$A,'Detail 18-19'!$A134,'Budget 12 Mnths'!K:K)</f>
        <v>-2.65</v>
      </c>
      <c r="L134" s="56">
        <f>SUMIF('2015-16 12 Mnths'!$A:$A,'Detail 18-19'!$A134,'2015-16 12 Mnths'!K:K)-SUMIF('Budget 12 Mnths'!$A:$A,'Detail 18-19'!$A134,'Budget 12 Mnths'!L:L)</f>
        <v>37.25</v>
      </c>
      <c r="M134" s="56"/>
      <c r="N134" s="56"/>
      <c r="O134" s="56"/>
      <c r="P134" s="56">
        <f t="shared" si="1"/>
        <v>36</v>
      </c>
      <c r="Q134" s="14" t="str">
        <f>+VLOOKUP(A134,Mapping!$A$1:$E$443,5,FALSE)</f>
        <v>Benefits</v>
      </c>
      <c r="R134" s="26">
        <f>+SUMIF('Budget 12 Mnths'!$A:$A,'Detail 18-19'!$A134,'Budget 12 Mnths'!$P:$P)</f>
        <v>750</v>
      </c>
      <c r="S134" s="26">
        <f>+SUMIF('2015-16 12 Mnths'!$A:$A,'Detail 18-19'!$A134,'2015-16 12 Mnths'!$O:$O)</f>
        <v>698.25</v>
      </c>
      <c r="T134" s="57">
        <f t="shared" si="2"/>
        <v>0.048</v>
      </c>
      <c r="U134" s="57">
        <f t="shared" si="3"/>
        <v>0.05155746509</v>
      </c>
      <c r="V134" s="8" t="s">
        <v>594</v>
      </c>
      <c r="W134" s="57">
        <f>+SUMIF('Salaries 2019-20'!B$100:B$148,'Detail 18-19'!A134,'Salaries 2019-20'!V$100:V$148)</f>
        <v>1220.94</v>
      </c>
      <c r="X134" s="27">
        <v>1079.31</v>
      </c>
      <c r="Y134" s="8" t="s">
        <v>601</v>
      </c>
      <c r="Z134" s="57">
        <f t="shared" si="59"/>
        <v>539.655</v>
      </c>
      <c r="AA134" s="57" t="str">
        <f>IFERROR(+VLOOKUP(A134,Key!$A$1:$C$219,2,FALSE),"NOT FOUND")</f>
        <v>6285-1U</v>
      </c>
      <c r="AB134" s="57">
        <f>+'Salaries 2019-20'!W202</f>
        <v>859.297572</v>
      </c>
      <c r="AC134" s="57">
        <f t="shared" ref="AC134:AN134" si="64">+$AB134/12</f>
        <v>71.608131</v>
      </c>
      <c r="AD134" s="57">
        <f t="shared" si="64"/>
        <v>71.608131</v>
      </c>
      <c r="AE134" s="57">
        <f t="shared" si="64"/>
        <v>71.608131</v>
      </c>
      <c r="AF134" s="57">
        <f t="shared" si="64"/>
        <v>71.608131</v>
      </c>
      <c r="AG134" s="57">
        <f t="shared" si="64"/>
        <v>71.608131</v>
      </c>
      <c r="AH134" s="57">
        <f t="shared" si="64"/>
        <v>71.608131</v>
      </c>
      <c r="AI134" s="57">
        <f t="shared" si="64"/>
        <v>71.608131</v>
      </c>
      <c r="AJ134" s="57">
        <f t="shared" si="64"/>
        <v>71.608131</v>
      </c>
      <c r="AK134" s="57">
        <f t="shared" si="64"/>
        <v>71.608131</v>
      </c>
      <c r="AL134" s="57">
        <f t="shared" si="64"/>
        <v>71.608131</v>
      </c>
      <c r="AM134" s="57">
        <f t="shared" si="64"/>
        <v>71.608131</v>
      </c>
      <c r="AN134" s="57">
        <f t="shared" si="64"/>
        <v>71.608131</v>
      </c>
      <c r="AO134" s="27">
        <f t="shared" si="6"/>
        <v>0</v>
      </c>
    </row>
    <row r="135" ht="15.75" customHeight="1">
      <c r="A135" s="15" t="s">
        <v>455</v>
      </c>
      <c r="B135" s="15" t="s">
        <v>454</v>
      </c>
      <c r="C135" s="15" t="s">
        <v>119</v>
      </c>
      <c r="D135" s="56">
        <f>SUMIF('2015-16 12 Mnths'!$A:$A,'Detail 18-19'!$A135,'2015-16 12 Mnths'!C:C)-SUMIF('Budget 12 Mnths'!$A:$A,'Detail 18-19'!$A135,'Budget 12 Mnths'!D:D)</f>
        <v>24.28</v>
      </c>
      <c r="E135" s="56">
        <f>SUMIF('2015-16 12 Mnths'!$A:$A,'Detail 18-19'!$A135,'2015-16 12 Mnths'!D:D)-SUMIF('Budget 12 Mnths'!$A:$A,'Detail 18-19'!$A135,'Budget 12 Mnths'!E:E)</f>
        <v>0</v>
      </c>
      <c r="F135" s="56">
        <f>SUMIF('2015-16 12 Mnths'!$A:$A,'Detail 18-19'!$A135,'2015-16 12 Mnths'!E:E)-SUMIF('Budget 12 Mnths'!$A:$A,'Detail 18-19'!$A135,'Budget 12 Mnths'!F:F)</f>
        <v>33.25</v>
      </c>
      <c r="G135" s="56">
        <f>SUMIF('2015-16 12 Mnths'!$A:$A,'Detail 18-19'!$A135,'2015-16 12 Mnths'!F:F)-SUMIF('Budget 12 Mnths'!$A:$A,'Detail 18-19'!$A135,'Budget 12 Mnths'!G:G)</f>
        <v>33.25</v>
      </c>
      <c r="H135" s="56">
        <f>SUMIF('2015-16 12 Mnths'!$A:$A,'Detail 18-19'!$A135,'2015-16 12 Mnths'!G:G)-SUMIF('Budget 12 Mnths'!$A:$A,'Detail 18-19'!$A135,'Budget 12 Mnths'!H:H)</f>
        <v>106.4</v>
      </c>
      <c r="I135" s="56">
        <f>SUMIF('2015-16 12 Mnths'!$A:$A,'Detail 18-19'!$A135,'2015-16 12 Mnths'!H:H)-SUMIF('Budget 12 Mnths'!$A:$A,'Detail 18-19'!$A135,'Budget 12 Mnths'!I:I)</f>
        <v>0</v>
      </c>
      <c r="J135" s="56">
        <f>SUMIF('2015-16 12 Mnths'!$A:$A,'Detail 18-19'!$A135,'2015-16 12 Mnths'!I:I)-SUMIF('Budget 12 Mnths'!$A:$A,'Detail 18-19'!$A135,'Budget 12 Mnths'!J:J)</f>
        <v>39.9</v>
      </c>
      <c r="K135" s="56">
        <f>SUMIF('2015-16 12 Mnths'!$A:$A,'Detail 18-19'!$A135,'2015-16 12 Mnths'!J:J)-SUMIF('Budget 12 Mnths'!$A:$A,'Detail 18-19'!$A135,'Budget 12 Mnths'!K:K)</f>
        <v>39.9</v>
      </c>
      <c r="L135" s="56">
        <f>SUMIF('2015-16 12 Mnths'!$A:$A,'Detail 18-19'!$A135,'2015-16 12 Mnths'!K:K)-SUMIF('Budget 12 Mnths'!$A:$A,'Detail 18-19'!$A135,'Budget 12 Mnths'!L:L)</f>
        <v>0</v>
      </c>
      <c r="M135" s="56"/>
      <c r="N135" s="56"/>
      <c r="O135" s="56"/>
      <c r="P135" s="56">
        <f t="shared" si="1"/>
        <v>276.98</v>
      </c>
      <c r="Q135" s="14" t="str">
        <f>+VLOOKUP(A135,Mapping!$A$1:$E$443,5,FALSE)</f>
        <v>Benefits</v>
      </c>
      <c r="R135" s="26">
        <f>+SUMIF('Budget 12 Mnths'!$A:$A,'Detail 18-19'!$A135,'Budget 12 Mnths'!$P:$P)</f>
        <v>0</v>
      </c>
      <c r="S135" s="26">
        <f>+SUMIF('2015-16 12 Mnths'!$A:$A,'Detail 18-19'!$A135,'2015-16 12 Mnths'!$O:$O)</f>
        <v>276.98</v>
      </c>
      <c r="T135" s="57">
        <f t="shared" si="2"/>
        <v>0</v>
      </c>
      <c r="U135" s="57">
        <f t="shared" si="3"/>
        <v>1</v>
      </c>
      <c r="W135" s="57">
        <f>+SUMIF('Salaries 2019-20'!B$100:B$148,'Detail 18-19'!A135,'Salaries 2019-20'!V$100:V$148)</f>
        <v>0</v>
      </c>
      <c r="X135" s="27">
        <v>0.0</v>
      </c>
      <c r="Z135" s="57">
        <f t="shared" si="59"/>
        <v>0</v>
      </c>
      <c r="AA135" s="57" t="str">
        <f>IFERROR(+VLOOKUP(A135,Key!$A$1:$C$219,2,FALSE),"NOT FOUND")</f>
        <v>6285-2U</v>
      </c>
      <c r="AB135" s="57">
        <f>+'Salaries 2019-20'!X202</f>
        <v>286.432524</v>
      </c>
      <c r="AC135" s="57">
        <f t="shared" ref="AC135:AN135" si="65">+$AB135/12</f>
        <v>23.869377</v>
      </c>
      <c r="AD135" s="57">
        <f t="shared" si="65"/>
        <v>23.869377</v>
      </c>
      <c r="AE135" s="57">
        <f t="shared" si="65"/>
        <v>23.869377</v>
      </c>
      <c r="AF135" s="57">
        <f t="shared" si="65"/>
        <v>23.869377</v>
      </c>
      <c r="AG135" s="57">
        <f t="shared" si="65"/>
        <v>23.869377</v>
      </c>
      <c r="AH135" s="57">
        <f t="shared" si="65"/>
        <v>23.869377</v>
      </c>
      <c r="AI135" s="57">
        <f t="shared" si="65"/>
        <v>23.869377</v>
      </c>
      <c r="AJ135" s="57">
        <f t="shared" si="65"/>
        <v>23.869377</v>
      </c>
      <c r="AK135" s="57">
        <f t="shared" si="65"/>
        <v>23.869377</v>
      </c>
      <c r="AL135" s="57">
        <f t="shared" si="65"/>
        <v>23.869377</v>
      </c>
      <c r="AM135" s="57">
        <f t="shared" si="65"/>
        <v>23.869377</v>
      </c>
      <c r="AN135" s="57">
        <f t="shared" si="65"/>
        <v>23.869377</v>
      </c>
      <c r="AO135" s="27">
        <f t="shared" si="6"/>
        <v>0</v>
      </c>
    </row>
    <row r="136" ht="15.75" hidden="1" customHeight="1">
      <c r="A136" s="15" t="s">
        <v>456</v>
      </c>
      <c r="B136" s="15" t="s">
        <v>454</v>
      </c>
      <c r="C136" s="15" t="s">
        <v>119</v>
      </c>
      <c r="D136" s="56">
        <f>SUMIF('2015-16 12 Mnths'!$A:$A,'Detail 18-19'!$A136,'2015-16 12 Mnths'!C:C)-SUMIF('Budget 12 Mnths'!$A:$A,'Detail 18-19'!$A136,'Budget 12 Mnths'!D:D)</f>
        <v>0</v>
      </c>
      <c r="E136" s="56">
        <f>SUMIF('2015-16 12 Mnths'!$A:$A,'Detail 18-19'!$A136,'2015-16 12 Mnths'!D:D)-SUMIF('Budget 12 Mnths'!$A:$A,'Detail 18-19'!$A136,'Budget 12 Mnths'!E:E)</f>
        <v>0</v>
      </c>
      <c r="F136" s="56">
        <f>SUMIF('2015-16 12 Mnths'!$A:$A,'Detail 18-19'!$A136,'2015-16 12 Mnths'!E:E)-SUMIF('Budget 12 Mnths'!$A:$A,'Detail 18-19'!$A136,'Budget 12 Mnths'!F:F)</f>
        <v>0</v>
      </c>
      <c r="G136" s="56">
        <f>SUMIF('2015-16 12 Mnths'!$A:$A,'Detail 18-19'!$A136,'2015-16 12 Mnths'!F:F)-SUMIF('Budget 12 Mnths'!$A:$A,'Detail 18-19'!$A136,'Budget 12 Mnths'!G:G)</f>
        <v>0</v>
      </c>
      <c r="H136" s="56">
        <f>SUMIF('2015-16 12 Mnths'!$A:$A,'Detail 18-19'!$A136,'2015-16 12 Mnths'!G:G)-SUMIF('Budget 12 Mnths'!$A:$A,'Detail 18-19'!$A136,'Budget 12 Mnths'!H:H)</f>
        <v>0</v>
      </c>
      <c r="I136" s="56">
        <f>SUMIF('2015-16 12 Mnths'!$A:$A,'Detail 18-19'!$A136,'2015-16 12 Mnths'!H:H)-SUMIF('Budget 12 Mnths'!$A:$A,'Detail 18-19'!$A136,'Budget 12 Mnths'!I:I)</f>
        <v>0</v>
      </c>
      <c r="J136" s="56">
        <f>SUMIF('2015-16 12 Mnths'!$A:$A,'Detail 18-19'!$A136,'2015-16 12 Mnths'!I:I)-SUMIF('Budget 12 Mnths'!$A:$A,'Detail 18-19'!$A136,'Budget 12 Mnths'!J:J)</f>
        <v>0</v>
      </c>
      <c r="K136" s="56">
        <f>SUMIF('2015-16 12 Mnths'!$A:$A,'Detail 18-19'!$A136,'2015-16 12 Mnths'!J:J)-SUMIF('Budget 12 Mnths'!$A:$A,'Detail 18-19'!$A136,'Budget 12 Mnths'!K:K)</f>
        <v>0</v>
      </c>
      <c r="L136" s="56">
        <f>SUMIF('2015-16 12 Mnths'!$A:$A,'Detail 18-19'!$A136,'2015-16 12 Mnths'!K:K)-SUMIF('Budget 12 Mnths'!$A:$A,'Detail 18-19'!$A136,'Budget 12 Mnths'!L:L)</f>
        <v>0</v>
      </c>
      <c r="M136" s="56"/>
      <c r="N136" s="56"/>
      <c r="O136" s="56"/>
      <c r="P136" s="56">
        <f t="shared" si="1"/>
        <v>0</v>
      </c>
      <c r="Q136" s="14" t="str">
        <f>+VLOOKUP(A136,Mapping!$A$1:$E$443,5,FALSE)</f>
        <v>Benefits</v>
      </c>
      <c r="R136" s="26">
        <f>+SUMIF('Budget 12 Mnths'!$A:$A,'Detail 18-19'!$A136,'Budget 12 Mnths'!$P:$P)</f>
        <v>0</v>
      </c>
      <c r="S136" s="26">
        <f>+SUMIF('2015-16 12 Mnths'!$A:$A,'Detail 18-19'!$A136,'2015-16 12 Mnths'!$O:$O)</f>
        <v>0</v>
      </c>
      <c r="T136" s="57">
        <f t="shared" si="2"/>
        <v>0</v>
      </c>
      <c r="U136" s="57">
        <f t="shared" si="3"/>
        <v>0</v>
      </c>
      <c r="W136" s="57">
        <f>+SUMIF('Salaries 2019-20'!B$100:B$148,'Detail 18-19'!A136,'Salaries 2019-20'!V$100:V$148)</f>
        <v>0</v>
      </c>
      <c r="X136" s="27">
        <v>0.0</v>
      </c>
      <c r="Z136" s="57">
        <f t="shared" si="59"/>
        <v>0</v>
      </c>
      <c r="AA136" s="57" t="str">
        <f>IFERROR(+VLOOKUP(A136,Key!$A$1:$C$219,2,FALSE),"NOT FOUND")</f>
        <v>NOT FOUND</v>
      </c>
      <c r="AB136" s="27">
        <v>0.0</v>
      </c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>
        <f t="shared" si="6"/>
        <v>0</v>
      </c>
    </row>
    <row r="137" ht="15.75" customHeight="1">
      <c r="A137" s="15" t="s">
        <v>459</v>
      </c>
      <c r="B137" s="15" t="s">
        <v>460</v>
      </c>
      <c r="C137" s="15" t="s">
        <v>119</v>
      </c>
      <c r="D137" s="56">
        <f>SUMIF('2015-16 12 Mnths'!$A:$A,'Detail 18-19'!$A137,'2015-16 12 Mnths'!C:C)-SUMIF('Budget 12 Mnths'!$A:$A,'Detail 18-19'!$A137,'Budget 12 Mnths'!D:D)</f>
        <v>1350.88</v>
      </c>
      <c r="E137" s="56">
        <f>SUMIF('2015-16 12 Mnths'!$A:$A,'Detail 18-19'!$A137,'2015-16 12 Mnths'!D:D)-SUMIF('Budget 12 Mnths'!$A:$A,'Detail 18-19'!$A137,'Budget 12 Mnths'!E:E)</f>
        <v>1441</v>
      </c>
      <c r="F137" s="56">
        <f>SUMIF('2015-16 12 Mnths'!$A:$A,'Detail 18-19'!$A137,'2015-16 12 Mnths'!E:E)-SUMIF('Budget 12 Mnths'!$A:$A,'Detail 18-19'!$A137,'Budget 12 Mnths'!F:F)</f>
        <v>1148.76</v>
      </c>
      <c r="G137" s="56">
        <f>SUMIF('2015-16 12 Mnths'!$A:$A,'Detail 18-19'!$A137,'2015-16 12 Mnths'!F:F)-SUMIF('Budget 12 Mnths'!$A:$A,'Detail 18-19'!$A137,'Budget 12 Mnths'!G:G)</f>
        <v>1128.17</v>
      </c>
      <c r="H137" s="56">
        <f>SUMIF('2015-16 12 Mnths'!$A:$A,'Detail 18-19'!$A137,'2015-16 12 Mnths'!G:G)-SUMIF('Budget 12 Mnths'!$A:$A,'Detail 18-19'!$A137,'Budget 12 Mnths'!H:H)</f>
        <v>1031.31</v>
      </c>
      <c r="I137" s="56">
        <f>SUMIF('2015-16 12 Mnths'!$A:$A,'Detail 18-19'!$A137,'2015-16 12 Mnths'!H:H)-SUMIF('Budget 12 Mnths'!$A:$A,'Detail 18-19'!$A137,'Budget 12 Mnths'!I:I)</f>
        <v>1271.79</v>
      </c>
      <c r="J137" s="56">
        <f>SUMIF('2015-16 12 Mnths'!$A:$A,'Detail 18-19'!$A137,'2015-16 12 Mnths'!I:I)-SUMIF('Budget 12 Mnths'!$A:$A,'Detail 18-19'!$A137,'Budget 12 Mnths'!J:J)</f>
        <v>992.29</v>
      </c>
      <c r="K137" s="56">
        <f>SUMIF('2015-16 12 Mnths'!$A:$A,'Detail 18-19'!$A137,'2015-16 12 Mnths'!J:J)-SUMIF('Budget 12 Mnths'!$A:$A,'Detail 18-19'!$A137,'Budget 12 Mnths'!K:K)</f>
        <v>863.22</v>
      </c>
      <c r="L137" s="56">
        <f>SUMIF('2015-16 12 Mnths'!$A:$A,'Detail 18-19'!$A137,'2015-16 12 Mnths'!K:K)-SUMIF('Budget 12 Mnths'!$A:$A,'Detail 18-19'!$A137,'Budget 12 Mnths'!L:L)</f>
        <v>878.73</v>
      </c>
      <c r="M137" s="56"/>
      <c r="N137" s="56"/>
      <c r="O137" s="56"/>
      <c r="P137" s="56">
        <f t="shared" si="1"/>
        <v>10106.15</v>
      </c>
      <c r="Q137" s="14" t="str">
        <f>+VLOOKUP(A137,Mapping!$A$1:$E$443,5,FALSE)</f>
        <v>Payroll Taxes</v>
      </c>
      <c r="R137" s="26">
        <f>+SUMIF('Budget 12 Mnths'!$A:$A,'Detail 18-19'!$A137,'Budget 12 Mnths'!$P:$P)</f>
        <v>26895.35</v>
      </c>
      <c r="S137" s="26">
        <f>+SUMIF('2015-16 12 Mnths'!$A:$A,'Detail 18-19'!$A137,'2015-16 12 Mnths'!$O:$O)</f>
        <v>33017.66</v>
      </c>
      <c r="T137" s="57">
        <f t="shared" si="2"/>
        <v>0.375758263</v>
      </c>
      <c r="U137" s="57">
        <f t="shared" si="3"/>
        <v>0.3060831688</v>
      </c>
      <c r="V137" s="8" t="s">
        <v>594</v>
      </c>
      <c r="W137" s="57">
        <v>24042.0</v>
      </c>
      <c r="X137" s="27">
        <v>24042.42</v>
      </c>
      <c r="Y137" s="8" t="s">
        <v>601</v>
      </c>
      <c r="Z137" s="57">
        <f>+X137/9.5*4.5</f>
        <v>11388.51474</v>
      </c>
      <c r="AA137" s="57" t="str">
        <f>IFERROR(+VLOOKUP(A137,Key!$A$1:$C$219,2,FALSE),"NOT FOUND")</f>
        <v>6290-1U</v>
      </c>
      <c r="AB137" s="57">
        <f>+'Salaries 2019-20'!V204</f>
        <v>22945.52245</v>
      </c>
      <c r="AC137" s="27">
        <v>0.0</v>
      </c>
      <c r="AD137" s="57">
        <f>+$AB137/9.5*0.5</f>
        <v>1207.659076</v>
      </c>
      <c r="AE137" s="57">
        <f t="shared" ref="AE137:AM137" si="66">+$AB137/9.5</f>
        <v>2415.318152</v>
      </c>
      <c r="AF137" s="57">
        <f t="shared" si="66"/>
        <v>2415.318152</v>
      </c>
      <c r="AG137" s="57">
        <f t="shared" si="66"/>
        <v>2415.318152</v>
      </c>
      <c r="AH137" s="57">
        <f t="shared" si="66"/>
        <v>2415.318152</v>
      </c>
      <c r="AI137" s="57">
        <f t="shared" si="66"/>
        <v>2415.318152</v>
      </c>
      <c r="AJ137" s="57">
        <f t="shared" si="66"/>
        <v>2415.318152</v>
      </c>
      <c r="AK137" s="57">
        <f t="shared" si="66"/>
        <v>2415.318152</v>
      </c>
      <c r="AL137" s="57">
        <f t="shared" si="66"/>
        <v>2415.318152</v>
      </c>
      <c r="AM137" s="57">
        <f t="shared" si="66"/>
        <v>2415.318152</v>
      </c>
      <c r="AN137" s="27">
        <v>0.0</v>
      </c>
      <c r="AO137" s="27">
        <f t="shared" si="6"/>
        <v>0</v>
      </c>
    </row>
    <row r="138" ht="15.75" customHeight="1">
      <c r="A138" s="15" t="s">
        <v>461</v>
      </c>
      <c r="B138" s="15" t="s">
        <v>460</v>
      </c>
      <c r="C138" s="15" t="s">
        <v>119</v>
      </c>
      <c r="D138" s="56">
        <f>SUMIF('2015-16 12 Mnths'!$A:$A,'Detail 18-19'!$A138,'2015-16 12 Mnths'!C:C)-SUMIF('Budget 12 Mnths'!$A:$A,'Detail 18-19'!$A138,'Budget 12 Mnths'!D:D)</f>
        <v>-1130.23</v>
      </c>
      <c r="E138" s="56">
        <f>SUMIF('2015-16 12 Mnths'!$A:$A,'Detail 18-19'!$A138,'2015-16 12 Mnths'!D:D)-SUMIF('Budget 12 Mnths'!$A:$A,'Detail 18-19'!$A138,'Budget 12 Mnths'!E:E)</f>
        <v>-1130.23</v>
      </c>
      <c r="F138" s="56">
        <f>SUMIF('2015-16 12 Mnths'!$A:$A,'Detail 18-19'!$A138,'2015-16 12 Mnths'!E:E)-SUMIF('Budget 12 Mnths'!$A:$A,'Detail 18-19'!$A138,'Budget 12 Mnths'!F:F)</f>
        <v>-1130.23</v>
      </c>
      <c r="G138" s="56">
        <f>SUMIF('2015-16 12 Mnths'!$A:$A,'Detail 18-19'!$A138,'2015-16 12 Mnths'!F:F)-SUMIF('Budget 12 Mnths'!$A:$A,'Detail 18-19'!$A138,'Budget 12 Mnths'!G:G)</f>
        <v>-1130.23</v>
      </c>
      <c r="H138" s="56">
        <f>SUMIF('2015-16 12 Mnths'!$A:$A,'Detail 18-19'!$A138,'2015-16 12 Mnths'!G:G)-SUMIF('Budget 12 Mnths'!$A:$A,'Detail 18-19'!$A138,'Budget 12 Mnths'!H:H)</f>
        <v>-1130.23</v>
      </c>
      <c r="I138" s="56">
        <f>SUMIF('2015-16 12 Mnths'!$A:$A,'Detail 18-19'!$A138,'2015-16 12 Mnths'!H:H)-SUMIF('Budget 12 Mnths'!$A:$A,'Detail 18-19'!$A138,'Budget 12 Mnths'!I:I)</f>
        <v>-1130.23</v>
      </c>
      <c r="J138" s="56">
        <f>SUMIF('2015-16 12 Mnths'!$A:$A,'Detail 18-19'!$A138,'2015-16 12 Mnths'!I:I)-SUMIF('Budget 12 Mnths'!$A:$A,'Detail 18-19'!$A138,'Budget 12 Mnths'!J:J)</f>
        <v>-1130.23</v>
      </c>
      <c r="K138" s="56">
        <f>SUMIF('2015-16 12 Mnths'!$A:$A,'Detail 18-19'!$A138,'2015-16 12 Mnths'!J:J)-SUMIF('Budget 12 Mnths'!$A:$A,'Detail 18-19'!$A138,'Budget 12 Mnths'!K:K)</f>
        <v>-1130.23</v>
      </c>
      <c r="L138" s="56">
        <f>SUMIF('2015-16 12 Mnths'!$A:$A,'Detail 18-19'!$A138,'2015-16 12 Mnths'!K:K)-SUMIF('Budget 12 Mnths'!$A:$A,'Detail 18-19'!$A138,'Budget 12 Mnths'!L:L)</f>
        <v>-1130.23</v>
      </c>
      <c r="M138" s="56"/>
      <c r="N138" s="56"/>
      <c r="O138" s="56"/>
      <c r="P138" s="56">
        <f t="shared" si="1"/>
        <v>-10172.07</v>
      </c>
      <c r="Q138" s="14" t="str">
        <f>+VLOOKUP(A138,Mapping!$A$1:$E$443,5,FALSE)</f>
        <v>Payroll Taxes</v>
      </c>
      <c r="R138" s="26">
        <f>+SUMIF('Budget 12 Mnths'!$A:$A,'Detail 18-19'!$A138,'Budget 12 Mnths'!$P:$P)</f>
        <v>13562.76</v>
      </c>
      <c r="S138" s="26">
        <f>+SUMIF('2015-16 12 Mnths'!$A:$A,'Detail 18-19'!$A138,'2015-16 12 Mnths'!$O:$O)</f>
        <v>0</v>
      </c>
      <c r="T138" s="57">
        <f t="shared" si="2"/>
        <v>-0.75</v>
      </c>
      <c r="U138" s="57">
        <f t="shared" si="3"/>
        <v>0</v>
      </c>
      <c r="V138" s="8" t="s">
        <v>594</v>
      </c>
      <c r="W138" s="57">
        <v>17601.0</v>
      </c>
      <c r="X138" s="27">
        <v>17601.0</v>
      </c>
      <c r="Z138" s="57">
        <f t="shared" ref="Z138:Z139" si="68">+X138/2</f>
        <v>8800.5</v>
      </c>
      <c r="AA138" s="57" t="str">
        <f>IFERROR(+VLOOKUP(A138,Key!$A$1:$C$219,2,FALSE),"NOT FOUND")</f>
        <v>6290-2U</v>
      </c>
      <c r="AB138" s="57">
        <f>+'Salaries 2019-20'!V206</f>
        <v>15001.17749</v>
      </c>
      <c r="AC138" s="57">
        <f t="shared" ref="AC138:AN138" si="67">+$AB138/12</f>
        <v>1250.098124</v>
      </c>
      <c r="AD138" s="57">
        <f t="shared" si="67"/>
        <v>1250.098124</v>
      </c>
      <c r="AE138" s="57">
        <f t="shared" si="67"/>
        <v>1250.098124</v>
      </c>
      <c r="AF138" s="57">
        <f t="shared" si="67"/>
        <v>1250.098124</v>
      </c>
      <c r="AG138" s="57">
        <f t="shared" si="67"/>
        <v>1250.098124</v>
      </c>
      <c r="AH138" s="57">
        <f t="shared" si="67"/>
        <v>1250.098124</v>
      </c>
      <c r="AI138" s="57">
        <f t="shared" si="67"/>
        <v>1250.098124</v>
      </c>
      <c r="AJ138" s="57">
        <f t="shared" si="67"/>
        <v>1250.098124</v>
      </c>
      <c r="AK138" s="57">
        <f t="shared" si="67"/>
        <v>1250.098124</v>
      </c>
      <c r="AL138" s="57">
        <f t="shared" si="67"/>
        <v>1250.098124</v>
      </c>
      <c r="AM138" s="57">
        <f t="shared" si="67"/>
        <v>1250.098124</v>
      </c>
      <c r="AN138" s="57">
        <f t="shared" si="67"/>
        <v>1250.098124</v>
      </c>
      <c r="AO138" s="27">
        <f t="shared" si="6"/>
        <v>0</v>
      </c>
    </row>
    <row r="139" ht="15.75" hidden="1" customHeight="1">
      <c r="A139" s="15" t="s">
        <v>462</v>
      </c>
      <c r="B139" s="15" t="s">
        <v>460</v>
      </c>
      <c r="C139" s="15" t="s">
        <v>119</v>
      </c>
      <c r="D139" s="56">
        <f>SUMIF('2015-16 12 Mnths'!$A:$A,'Detail 18-19'!$A139,'2015-16 12 Mnths'!C:C)-SUMIF('Budget 12 Mnths'!$A:$A,'Detail 18-19'!$A139,'Budget 12 Mnths'!D:D)</f>
        <v>0</v>
      </c>
      <c r="E139" s="56">
        <f>SUMIF('2015-16 12 Mnths'!$A:$A,'Detail 18-19'!$A139,'2015-16 12 Mnths'!D:D)-SUMIF('Budget 12 Mnths'!$A:$A,'Detail 18-19'!$A139,'Budget 12 Mnths'!E:E)</f>
        <v>0</v>
      </c>
      <c r="F139" s="56">
        <f>SUMIF('2015-16 12 Mnths'!$A:$A,'Detail 18-19'!$A139,'2015-16 12 Mnths'!E:E)-SUMIF('Budget 12 Mnths'!$A:$A,'Detail 18-19'!$A139,'Budget 12 Mnths'!F:F)</f>
        <v>0</v>
      </c>
      <c r="G139" s="56">
        <f>SUMIF('2015-16 12 Mnths'!$A:$A,'Detail 18-19'!$A139,'2015-16 12 Mnths'!F:F)-SUMIF('Budget 12 Mnths'!$A:$A,'Detail 18-19'!$A139,'Budget 12 Mnths'!G:G)</f>
        <v>0</v>
      </c>
      <c r="H139" s="56">
        <f>SUMIF('2015-16 12 Mnths'!$A:$A,'Detail 18-19'!$A139,'2015-16 12 Mnths'!G:G)-SUMIF('Budget 12 Mnths'!$A:$A,'Detail 18-19'!$A139,'Budget 12 Mnths'!H:H)</f>
        <v>0</v>
      </c>
      <c r="I139" s="56">
        <f>SUMIF('2015-16 12 Mnths'!$A:$A,'Detail 18-19'!$A139,'2015-16 12 Mnths'!H:H)-SUMIF('Budget 12 Mnths'!$A:$A,'Detail 18-19'!$A139,'Budget 12 Mnths'!I:I)</f>
        <v>0</v>
      </c>
      <c r="J139" s="56">
        <f>SUMIF('2015-16 12 Mnths'!$A:$A,'Detail 18-19'!$A139,'2015-16 12 Mnths'!I:I)-SUMIF('Budget 12 Mnths'!$A:$A,'Detail 18-19'!$A139,'Budget 12 Mnths'!J:J)</f>
        <v>0</v>
      </c>
      <c r="K139" s="56">
        <f>SUMIF('2015-16 12 Mnths'!$A:$A,'Detail 18-19'!$A139,'2015-16 12 Mnths'!J:J)-SUMIF('Budget 12 Mnths'!$A:$A,'Detail 18-19'!$A139,'Budget 12 Mnths'!K:K)</f>
        <v>0</v>
      </c>
      <c r="L139" s="56">
        <f>SUMIF('2015-16 12 Mnths'!$A:$A,'Detail 18-19'!$A139,'2015-16 12 Mnths'!K:K)-SUMIF('Budget 12 Mnths'!$A:$A,'Detail 18-19'!$A139,'Budget 12 Mnths'!L:L)</f>
        <v>0</v>
      </c>
      <c r="M139" s="56"/>
      <c r="N139" s="56"/>
      <c r="O139" s="56"/>
      <c r="P139" s="56">
        <f t="shared" si="1"/>
        <v>0</v>
      </c>
      <c r="Q139" s="14" t="str">
        <f>+VLOOKUP(A139,Mapping!$A$1:$E$443,5,FALSE)</f>
        <v>Payroll Taxes</v>
      </c>
      <c r="R139" s="26">
        <f>+SUMIF('Budget 12 Mnths'!$A:$A,'Detail 18-19'!$A139,'Budget 12 Mnths'!$P:$P)</f>
        <v>0</v>
      </c>
      <c r="S139" s="26">
        <f>+SUMIF('2015-16 12 Mnths'!$A:$A,'Detail 18-19'!$A139,'2015-16 12 Mnths'!$O:$O)</f>
        <v>0</v>
      </c>
      <c r="T139" s="57">
        <f t="shared" si="2"/>
        <v>0</v>
      </c>
      <c r="U139" s="57">
        <f t="shared" si="3"/>
        <v>0</v>
      </c>
      <c r="W139" s="57">
        <f>+SUMIF('Salaries 2019-20'!B$100:B$148,'Detail 18-19'!A139,'Salaries 2019-20'!V$100:V$148)</f>
        <v>0</v>
      </c>
      <c r="X139" s="27">
        <v>0.0</v>
      </c>
      <c r="Z139" s="57">
        <f t="shared" si="68"/>
        <v>0</v>
      </c>
      <c r="AA139" s="57" t="str">
        <f>IFERROR(+VLOOKUP(A139,Key!$A$1:$C$219,2,FALSE),"NOT FOUND")</f>
        <v>NOT FOUND</v>
      </c>
      <c r="AB139" s="57">
        <f>+'Salaries 2019-20'!V208</f>
        <v>0</v>
      </c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>
        <f t="shared" si="6"/>
        <v>0</v>
      </c>
    </row>
    <row r="140" ht="15.75" customHeight="1">
      <c r="A140" s="15" t="s">
        <v>463</v>
      </c>
      <c r="B140" s="15" t="s">
        <v>464</v>
      </c>
      <c r="C140" s="15" t="s">
        <v>119</v>
      </c>
      <c r="D140" s="56">
        <f>SUMIF('2015-16 12 Mnths'!$A:$A,'Detail 18-19'!$A140,'2015-16 12 Mnths'!C:C)-SUMIF('Budget 12 Mnths'!$A:$A,'Detail 18-19'!$A140,'Budget 12 Mnths'!D:D)</f>
        <v>315.94</v>
      </c>
      <c r="E140" s="56">
        <f>SUMIF('2015-16 12 Mnths'!$A:$A,'Detail 18-19'!$A140,'2015-16 12 Mnths'!D:D)-SUMIF('Budget 12 Mnths'!$A:$A,'Detail 18-19'!$A140,'Budget 12 Mnths'!E:E)</f>
        <v>339.98</v>
      </c>
      <c r="F140" s="56">
        <f>SUMIF('2015-16 12 Mnths'!$A:$A,'Detail 18-19'!$A140,'2015-16 12 Mnths'!E:E)-SUMIF('Budget 12 Mnths'!$A:$A,'Detail 18-19'!$A140,'Budget 12 Mnths'!F:F)</f>
        <v>272.89</v>
      </c>
      <c r="G140" s="56">
        <f>SUMIF('2015-16 12 Mnths'!$A:$A,'Detail 18-19'!$A140,'2015-16 12 Mnths'!F:F)-SUMIF('Budget 12 Mnths'!$A:$A,'Detail 18-19'!$A140,'Budget 12 Mnths'!G:G)</f>
        <v>345.45</v>
      </c>
      <c r="H140" s="56">
        <f>SUMIF('2015-16 12 Mnths'!$A:$A,'Detail 18-19'!$A140,'2015-16 12 Mnths'!G:G)-SUMIF('Budget 12 Mnths'!$A:$A,'Detail 18-19'!$A140,'Budget 12 Mnths'!H:H)</f>
        <v>245.43</v>
      </c>
      <c r="I140" s="56">
        <f>SUMIF('2015-16 12 Mnths'!$A:$A,'Detail 18-19'!$A140,'2015-16 12 Mnths'!H:H)-SUMIF('Budget 12 Mnths'!$A:$A,'Detail 18-19'!$A140,'Budget 12 Mnths'!I:I)</f>
        <v>300.69</v>
      </c>
      <c r="J140" s="56">
        <f>SUMIF('2015-16 12 Mnths'!$A:$A,'Detail 18-19'!$A140,'2015-16 12 Mnths'!I:I)-SUMIF('Budget 12 Mnths'!$A:$A,'Detail 18-19'!$A140,'Budget 12 Mnths'!J:J)</f>
        <v>236.34</v>
      </c>
      <c r="K140" s="56">
        <f>SUMIF('2015-16 12 Mnths'!$A:$A,'Detail 18-19'!$A140,'2015-16 12 Mnths'!J:J)-SUMIF('Budget 12 Mnths'!$A:$A,'Detail 18-19'!$A140,'Budget 12 Mnths'!K:K)</f>
        <v>206.1</v>
      </c>
      <c r="L140" s="56">
        <f>SUMIF('2015-16 12 Mnths'!$A:$A,'Detail 18-19'!$A140,'2015-16 12 Mnths'!K:K)-SUMIF('Budget 12 Mnths'!$A:$A,'Detail 18-19'!$A140,'Budget 12 Mnths'!L:L)</f>
        <v>209.75</v>
      </c>
      <c r="M140" s="56"/>
      <c r="N140" s="56"/>
      <c r="O140" s="56"/>
      <c r="P140" s="56">
        <f t="shared" si="1"/>
        <v>2472.57</v>
      </c>
      <c r="Q140" s="14" t="str">
        <f>+VLOOKUP(A140,Mapping!$A$1:$E$443,5,FALSE)</f>
        <v>Payroll Taxes</v>
      </c>
      <c r="R140" s="26">
        <f>+SUMIF('Budget 12 Mnths'!$A:$A,'Detail 18-19'!$A140,'Budget 12 Mnths'!$P:$P)</f>
        <v>6249.67</v>
      </c>
      <c r="S140" s="26">
        <f>+SUMIF('2015-16 12 Mnths'!$A:$A,'Detail 18-19'!$A140,'2015-16 12 Mnths'!$O:$O)</f>
        <v>7799.03</v>
      </c>
      <c r="T140" s="57">
        <f t="shared" si="2"/>
        <v>0.3956320894</v>
      </c>
      <c r="U140" s="57">
        <f t="shared" si="3"/>
        <v>0.3170355801</v>
      </c>
      <c r="V140" s="8" t="s">
        <v>594</v>
      </c>
      <c r="W140" s="57">
        <v>5363.0</v>
      </c>
      <c r="X140" s="27">
        <v>5363.31</v>
      </c>
      <c r="Y140" s="8" t="s">
        <v>601</v>
      </c>
      <c r="Z140" s="57">
        <f>+X140/9.5*4.5</f>
        <v>2540.515263</v>
      </c>
      <c r="AA140" s="57" t="str">
        <f>IFERROR(+VLOOKUP(A140,Key!$A$1:$C$219,2,FALSE),"NOT FOUND")</f>
        <v>6295-1U</v>
      </c>
      <c r="AB140" s="57">
        <f>+'Salaries 2019-20'!V205</f>
        <v>5366.29154</v>
      </c>
      <c r="AC140" s="27">
        <v>0.0</v>
      </c>
      <c r="AD140" s="57">
        <f>+$AB140/9.5*0.5</f>
        <v>282.4363969</v>
      </c>
      <c r="AE140" s="57">
        <f t="shared" ref="AE140:AM140" si="69">+$AB140/9.5</f>
        <v>564.8727937</v>
      </c>
      <c r="AF140" s="57">
        <f t="shared" si="69"/>
        <v>564.8727937</v>
      </c>
      <c r="AG140" s="57">
        <f t="shared" si="69"/>
        <v>564.8727937</v>
      </c>
      <c r="AH140" s="57">
        <f t="shared" si="69"/>
        <v>564.8727937</v>
      </c>
      <c r="AI140" s="57">
        <f t="shared" si="69"/>
        <v>564.8727937</v>
      </c>
      <c r="AJ140" s="57">
        <f t="shared" si="69"/>
        <v>564.8727937</v>
      </c>
      <c r="AK140" s="57">
        <f t="shared" si="69"/>
        <v>564.8727937</v>
      </c>
      <c r="AL140" s="57">
        <f t="shared" si="69"/>
        <v>564.8727937</v>
      </c>
      <c r="AM140" s="57">
        <f t="shared" si="69"/>
        <v>564.8727937</v>
      </c>
      <c r="AN140" s="27">
        <v>0.0</v>
      </c>
      <c r="AO140" s="27">
        <f t="shared" si="6"/>
        <v>0</v>
      </c>
    </row>
    <row r="141" ht="15.75" customHeight="1">
      <c r="A141" s="15" t="s">
        <v>465</v>
      </c>
      <c r="B141" s="15" t="s">
        <v>464</v>
      </c>
      <c r="C141" s="15" t="s">
        <v>119</v>
      </c>
      <c r="D141" s="56">
        <f>SUMIF('2015-16 12 Mnths'!$A:$A,'Detail 18-19'!$A141,'2015-16 12 Mnths'!C:C)-SUMIF('Budget 12 Mnths'!$A:$A,'Detail 18-19'!$A141,'Budget 12 Mnths'!D:D)</f>
        <v>-262.21</v>
      </c>
      <c r="E141" s="56">
        <f>SUMIF('2015-16 12 Mnths'!$A:$A,'Detail 18-19'!$A141,'2015-16 12 Mnths'!D:D)-SUMIF('Budget 12 Mnths'!$A:$A,'Detail 18-19'!$A141,'Budget 12 Mnths'!E:E)</f>
        <v>-262.21</v>
      </c>
      <c r="F141" s="56">
        <f>SUMIF('2015-16 12 Mnths'!$A:$A,'Detail 18-19'!$A141,'2015-16 12 Mnths'!E:E)-SUMIF('Budget 12 Mnths'!$A:$A,'Detail 18-19'!$A141,'Budget 12 Mnths'!F:F)</f>
        <v>-262.21</v>
      </c>
      <c r="G141" s="56">
        <f>SUMIF('2015-16 12 Mnths'!$A:$A,'Detail 18-19'!$A141,'2015-16 12 Mnths'!F:F)-SUMIF('Budget 12 Mnths'!$A:$A,'Detail 18-19'!$A141,'Budget 12 Mnths'!G:G)</f>
        <v>-262.21</v>
      </c>
      <c r="H141" s="56">
        <f>SUMIF('2015-16 12 Mnths'!$A:$A,'Detail 18-19'!$A141,'2015-16 12 Mnths'!G:G)-SUMIF('Budget 12 Mnths'!$A:$A,'Detail 18-19'!$A141,'Budget 12 Mnths'!H:H)</f>
        <v>-262.21</v>
      </c>
      <c r="I141" s="56">
        <f>SUMIF('2015-16 12 Mnths'!$A:$A,'Detail 18-19'!$A141,'2015-16 12 Mnths'!H:H)-SUMIF('Budget 12 Mnths'!$A:$A,'Detail 18-19'!$A141,'Budget 12 Mnths'!I:I)</f>
        <v>-262.21</v>
      </c>
      <c r="J141" s="56">
        <f>SUMIF('2015-16 12 Mnths'!$A:$A,'Detail 18-19'!$A141,'2015-16 12 Mnths'!I:I)-SUMIF('Budget 12 Mnths'!$A:$A,'Detail 18-19'!$A141,'Budget 12 Mnths'!J:J)</f>
        <v>-262.21</v>
      </c>
      <c r="K141" s="56">
        <f>SUMIF('2015-16 12 Mnths'!$A:$A,'Detail 18-19'!$A141,'2015-16 12 Mnths'!J:J)-SUMIF('Budget 12 Mnths'!$A:$A,'Detail 18-19'!$A141,'Budget 12 Mnths'!K:K)</f>
        <v>-262.21</v>
      </c>
      <c r="L141" s="56">
        <f>SUMIF('2015-16 12 Mnths'!$A:$A,'Detail 18-19'!$A141,'2015-16 12 Mnths'!K:K)-SUMIF('Budget 12 Mnths'!$A:$A,'Detail 18-19'!$A141,'Budget 12 Mnths'!L:L)</f>
        <v>-262.21</v>
      </c>
      <c r="M141" s="56"/>
      <c r="N141" s="56"/>
      <c r="O141" s="56"/>
      <c r="P141" s="56">
        <f t="shared" si="1"/>
        <v>-2359.89</v>
      </c>
      <c r="Q141" s="14" t="str">
        <f>+VLOOKUP(A141,Mapping!$A$1:$E$443,5,FALSE)</f>
        <v>Payroll Taxes</v>
      </c>
      <c r="R141" s="26">
        <f>+SUMIF('Budget 12 Mnths'!$A:$A,'Detail 18-19'!$A141,'Budget 12 Mnths'!$P:$P)</f>
        <v>3146.52</v>
      </c>
      <c r="S141" s="26">
        <f>+SUMIF('2015-16 12 Mnths'!$A:$A,'Detail 18-19'!$A141,'2015-16 12 Mnths'!$O:$O)</f>
        <v>0</v>
      </c>
      <c r="T141" s="57">
        <f t="shared" si="2"/>
        <v>-0.75</v>
      </c>
      <c r="U141" s="57">
        <f t="shared" si="3"/>
        <v>0</v>
      </c>
      <c r="V141" s="8" t="s">
        <v>594</v>
      </c>
      <c r="W141" s="57">
        <v>3926.0</v>
      </c>
      <c r="X141" s="27">
        <v>3926.0</v>
      </c>
      <c r="Z141" s="57">
        <f t="shared" ref="Z141:Z144" si="71">+X141/2</f>
        <v>1963</v>
      </c>
      <c r="AA141" s="57" t="str">
        <f>IFERROR(+VLOOKUP(A141,Key!$A$1:$C$219,2,FALSE),"NOT FOUND")</f>
        <v>6295-2U</v>
      </c>
      <c r="AB141" s="57">
        <f>+'Salaries 2019-20'!V207</f>
        <v>3508.339896</v>
      </c>
      <c r="AC141" s="57">
        <f t="shared" ref="AC141:AN141" si="70">+$AB141/12</f>
        <v>292.361658</v>
      </c>
      <c r="AD141" s="57">
        <f t="shared" si="70"/>
        <v>292.361658</v>
      </c>
      <c r="AE141" s="57">
        <f t="shared" si="70"/>
        <v>292.361658</v>
      </c>
      <c r="AF141" s="57">
        <f t="shared" si="70"/>
        <v>292.361658</v>
      </c>
      <c r="AG141" s="57">
        <f t="shared" si="70"/>
        <v>292.361658</v>
      </c>
      <c r="AH141" s="57">
        <f t="shared" si="70"/>
        <v>292.361658</v>
      </c>
      <c r="AI141" s="57">
        <f t="shared" si="70"/>
        <v>292.361658</v>
      </c>
      <c r="AJ141" s="57">
        <f t="shared" si="70"/>
        <v>292.361658</v>
      </c>
      <c r="AK141" s="57">
        <f t="shared" si="70"/>
        <v>292.361658</v>
      </c>
      <c r="AL141" s="57">
        <f t="shared" si="70"/>
        <v>292.361658</v>
      </c>
      <c r="AM141" s="57">
        <f t="shared" si="70"/>
        <v>292.361658</v>
      </c>
      <c r="AN141" s="57">
        <f t="shared" si="70"/>
        <v>292.361658</v>
      </c>
      <c r="AO141" s="27">
        <f t="shared" si="6"/>
        <v>0</v>
      </c>
    </row>
    <row r="142" ht="15.75" hidden="1" customHeight="1">
      <c r="A142" s="15" t="s">
        <v>466</v>
      </c>
      <c r="B142" s="15" t="s">
        <v>464</v>
      </c>
      <c r="C142" s="15" t="s">
        <v>119</v>
      </c>
      <c r="D142" s="56">
        <f>SUMIF('2015-16 12 Mnths'!$A:$A,'Detail 18-19'!$A142,'2015-16 12 Mnths'!C:C)-SUMIF('Budget 12 Mnths'!$A:$A,'Detail 18-19'!$A142,'Budget 12 Mnths'!D:D)</f>
        <v>0</v>
      </c>
      <c r="E142" s="56">
        <f>SUMIF('2015-16 12 Mnths'!$A:$A,'Detail 18-19'!$A142,'2015-16 12 Mnths'!D:D)-SUMIF('Budget 12 Mnths'!$A:$A,'Detail 18-19'!$A142,'Budget 12 Mnths'!E:E)</f>
        <v>0</v>
      </c>
      <c r="F142" s="56">
        <f>SUMIF('2015-16 12 Mnths'!$A:$A,'Detail 18-19'!$A142,'2015-16 12 Mnths'!E:E)-SUMIF('Budget 12 Mnths'!$A:$A,'Detail 18-19'!$A142,'Budget 12 Mnths'!F:F)</f>
        <v>0</v>
      </c>
      <c r="G142" s="56">
        <f>SUMIF('2015-16 12 Mnths'!$A:$A,'Detail 18-19'!$A142,'2015-16 12 Mnths'!F:F)-SUMIF('Budget 12 Mnths'!$A:$A,'Detail 18-19'!$A142,'Budget 12 Mnths'!G:G)</f>
        <v>0</v>
      </c>
      <c r="H142" s="56">
        <f>SUMIF('2015-16 12 Mnths'!$A:$A,'Detail 18-19'!$A142,'2015-16 12 Mnths'!G:G)-SUMIF('Budget 12 Mnths'!$A:$A,'Detail 18-19'!$A142,'Budget 12 Mnths'!H:H)</f>
        <v>0</v>
      </c>
      <c r="I142" s="56">
        <f>SUMIF('2015-16 12 Mnths'!$A:$A,'Detail 18-19'!$A142,'2015-16 12 Mnths'!H:H)-SUMIF('Budget 12 Mnths'!$A:$A,'Detail 18-19'!$A142,'Budget 12 Mnths'!I:I)</f>
        <v>0</v>
      </c>
      <c r="J142" s="56">
        <f>SUMIF('2015-16 12 Mnths'!$A:$A,'Detail 18-19'!$A142,'2015-16 12 Mnths'!I:I)-SUMIF('Budget 12 Mnths'!$A:$A,'Detail 18-19'!$A142,'Budget 12 Mnths'!J:J)</f>
        <v>0</v>
      </c>
      <c r="K142" s="56">
        <f>SUMIF('2015-16 12 Mnths'!$A:$A,'Detail 18-19'!$A142,'2015-16 12 Mnths'!J:J)-SUMIF('Budget 12 Mnths'!$A:$A,'Detail 18-19'!$A142,'Budget 12 Mnths'!K:K)</f>
        <v>0</v>
      </c>
      <c r="L142" s="56">
        <f>SUMIF('2015-16 12 Mnths'!$A:$A,'Detail 18-19'!$A142,'2015-16 12 Mnths'!K:K)-SUMIF('Budget 12 Mnths'!$A:$A,'Detail 18-19'!$A142,'Budget 12 Mnths'!L:L)</f>
        <v>0</v>
      </c>
      <c r="M142" s="56"/>
      <c r="N142" s="56"/>
      <c r="O142" s="56"/>
      <c r="P142" s="56">
        <f t="shared" si="1"/>
        <v>0</v>
      </c>
      <c r="Q142" s="14" t="str">
        <f>+VLOOKUP(A142,Mapping!$A$1:$E$443,5,FALSE)</f>
        <v>Payroll Taxes</v>
      </c>
      <c r="R142" s="26">
        <f>+SUMIF('Budget 12 Mnths'!$A:$A,'Detail 18-19'!$A142,'Budget 12 Mnths'!$P:$P)</f>
        <v>0</v>
      </c>
      <c r="S142" s="26">
        <f>+SUMIF('2015-16 12 Mnths'!$A:$A,'Detail 18-19'!$A142,'2015-16 12 Mnths'!$O:$O)</f>
        <v>0</v>
      </c>
      <c r="T142" s="57">
        <f t="shared" si="2"/>
        <v>0</v>
      </c>
      <c r="U142" s="57">
        <f t="shared" si="3"/>
        <v>0</v>
      </c>
      <c r="W142" s="57">
        <f>+SUMIF('Salaries 2019-20'!B$100:B$148,'Detail 18-19'!A142,'Salaries 2019-20'!V$100:V$148)</f>
        <v>0</v>
      </c>
      <c r="X142" s="27">
        <f t="shared" ref="X142:X145" si="72">+W142</f>
        <v>0</v>
      </c>
      <c r="Z142" s="57">
        <f t="shared" si="71"/>
        <v>0</v>
      </c>
      <c r="AA142" s="57" t="str">
        <f>IFERROR(+VLOOKUP(A142,Key!$A$1:$C$219,2,FALSE),"NOT FOUND")</f>
        <v>NOT FOUND</v>
      </c>
      <c r="AB142" s="57">
        <f>+'Salaries 2019-20'!V209</f>
        <v>0</v>
      </c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>
        <f t="shared" si="6"/>
        <v>0</v>
      </c>
    </row>
    <row r="143" ht="15.75" hidden="1" customHeight="1">
      <c r="A143" s="15" t="s">
        <v>467</v>
      </c>
      <c r="B143" s="15" t="s">
        <v>468</v>
      </c>
      <c r="C143" s="15" t="s">
        <v>119</v>
      </c>
      <c r="D143" s="56">
        <f>SUMIF('2015-16 12 Mnths'!$A:$A,'Detail 18-19'!$A143,'2015-16 12 Mnths'!C:C)-SUMIF('Budget 12 Mnths'!$A:$A,'Detail 18-19'!$A143,'Budget 12 Mnths'!D:D)</f>
        <v>0</v>
      </c>
      <c r="E143" s="56">
        <f>SUMIF('2015-16 12 Mnths'!$A:$A,'Detail 18-19'!$A143,'2015-16 12 Mnths'!D:D)-SUMIF('Budget 12 Mnths'!$A:$A,'Detail 18-19'!$A143,'Budget 12 Mnths'!E:E)</f>
        <v>0</v>
      </c>
      <c r="F143" s="56">
        <f>SUMIF('2015-16 12 Mnths'!$A:$A,'Detail 18-19'!$A143,'2015-16 12 Mnths'!E:E)-SUMIF('Budget 12 Mnths'!$A:$A,'Detail 18-19'!$A143,'Budget 12 Mnths'!F:F)</f>
        <v>0</v>
      </c>
      <c r="G143" s="56">
        <f>SUMIF('2015-16 12 Mnths'!$A:$A,'Detail 18-19'!$A143,'2015-16 12 Mnths'!F:F)-SUMIF('Budget 12 Mnths'!$A:$A,'Detail 18-19'!$A143,'Budget 12 Mnths'!G:G)</f>
        <v>0</v>
      </c>
      <c r="H143" s="56">
        <f>SUMIF('2015-16 12 Mnths'!$A:$A,'Detail 18-19'!$A143,'2015-16 12 Mnths'!G:G)-SUMIF('Budget 12 Mnths'!$A:$A,'Detail 18-19'!$A143,'Budget 12 Mnths'!H:H)</f>
        <v>0</v>
      </c>
      <c r="I143" s="56">
        <f>SUMIF('2015-16 12 Mnths'!$A:$A,'Detail 18-19'!$A143,'2015-16 12 Mnths'!H:H)-SUMIF('Budget 12 Mnths'!$A:$A,'Detail 18-19'!$A143,'Budget 12 Mnths'!I:I)</f>
        <v>0</v>
      </c>
      <c r="J143" s="56">
        <f>SUMIF('2015-16 12 Mnths'!$A:$A,'Detail 18-19'!$A143,'2015-16 12 Mnths'!I:I)-SUMIF('Budget 12 Mnths'!$A:$A,'Detail 18-19'!$A143,'Budget 12 Mnths'!J:J)</f>
        <v>0</v>
      </c>
      <c r="K143" s="56">
        <f>SUMIF('2015-16 12 Mnths'!$A:$A,'Detail 18-19'!$A143,'2015-16 12 Mnths'!J:J)-SUMIF('Budget 12 Mnths'!$A:$A,'Detail 18-19'!$A143,'Budget 12 Mnths'!K:K)</f>
        <v>0</v>
      </c>
      <c r="L143" s="56">
        <f>SUMIF('2015-16 12 Mnths'!$A:$A,'Detail 18-19'!$A143,'2015-16 12 Mnths'!K:K)-SUMIF('Budget 12 Mnths'!$A:$A,'Detail 18-19'!$A143,'Budget 12 Mnths'!L:L)</f>
        <v>0</v>
      </c>
      <c r="M143" s="56"/>
      <c r="N143" s="56"/>
      <c r="O143" s="56"/>
      <c r="P143" s="56">
        <f t="shared" si="1"/>
        <v>0</v>
      </c>
      <c r="Q143" s="14" t="str">
        <f>+VLOOKUP(A143,Mapping!$A$1:$E$443,5,FALSE)</f>
        <v>Payroll Taxes</v>
      </c>
      <c r="R143" s="26">
        <f>+SUMIF('Budget 12 Mnths'!$A:$A,'Detail 18-19'!$A143,'Budget 12 Mnths'!$P:$P)</f>
        <v>0</v>
      </c>
      <c r="S143" s="26">
        <f>+SUMIF('2015-16 12 Mnths'!$A:$A,'Detail 18-19'!$A143,'2015-16 12 Mnths'!$O:$O)</f>
        <v>0</v>
      </c>
      <c r="T143" s="57">
        <f t="shared" si="2"/>
        <v>0</v>
      </c>
      <c r="U143" s="57">
        <f t="shared" si="3"/>
        <v>0</v>
      </c>
      <c r="W143" s="27"/>
      <c r="X143" s="27" t="str">
        <f t="shared" si="72"/>
        <v/>
      </c>
      <c r="Z143" s="57">
        <f t="shared" si="71"/>
        <v>0</v>
      </c>
      <c r="AA143" s="57" t="str">
        <f>IFERROR(+VLOOKUP(A143,Key!$A$1:$C$219,2,FALSE),"NOT FOUND")</f>
        <v>NOT FOUND</v>
      </c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>
        <f t="shared" si="6"/>
        <v>0</v>
      </c>
    </row>
    <row r="144" ht="15.75" hidden="1" customHeight="1">
      <c r="A144" s="15" t="s">
        <v>469</v>
      </c>
      <c r="B144" s="15" t="s">
        <v>470</v>
      </c>
      <c r="C144" s="15" t="s">
        <v>119</v>
      </c>
      <c r="D144" s="56">
        <f>SUMIF('2015-16 12 Mnths'!$A:$A,'Detail 18-19'!$A144,'2015-16 12 Mnths'!C:C)-SUMIF('Budget 12 Mnths'!$A:$A,'Detail 18-19'!$A144,'Budget 12 Mnths'!D:D)</f>
        <v>0</v>
      </c>
      <c r="E144" s="56">
        <f>SUMIF('2015-16 12 Mnths'!$A:$A,'Detail 18-19'!$A144,'2015-16 12 Mnths'!D:D)-SUMIF('Budget 12 Mnths'!$A:$A,'Detail 18-19'!$A144,'Budget 12 Mnths'!E:E)</f>
        <v>0</v>
      </c>
      <c r="F144" s="56">
        <f>SUMIF('2015-16 12 Mnths'!$A:$A,'Detail 18-19'!$A144,'2015-16 12 Mnths'!E:E)-SUMIF('Budget 12 Mnths'!$A:$A,'Detail 18-19'!$A144,'Budget 12 Mnths'!F:F)</f>
        <v>0</v>
      </c>
      <c r="G144" s="56">
        <f>SUMIF('2015-16 12 Mnths'!$A:$A,'Detail 18-19'!$A144,'2015-16 12 Mnths'!F:F)-SUMIF('Budget 12 Mnths'!$A:$A,'Detail 18-19'!$A144,'Budget 12 Mnths'!G:G)</f>
        <v>0</v>
      </c>
      <c r="H144" s="56">
        <f>SUMIF('2015-16 12 Mnths'!$A:$A,'Detail 18-19'!$A144,'2015-16 12 Mnths'!G:G)-SUMIF('Budget 12 Mnths'!$A:$A,'Detail 18-19'!$A144,'Budget 12 Mnths'!H:H)</f>
        <v>0</v>
      </c>
      <c r="I144" s="56">
        <f>SUMIF('2015-16 12 Mnths'!$A:$A,'Detail 18-19'!$A144,'2015-16 12 Mnths'!H:H)-SUMIF('Budget 12 Mnths'!$A:$A,'Detail 18-19'!$A144,'Budget 12 Mnths'!I:I)</f>
        <v>0</v>
      </c>
      <c r="J144" s="56">
        <f>SUMIF('2015-16 12 Mnths'!$A:$A,'Detail 18-19'!$A144,'2015-16 12 Mnths'!I:I)-SUMIF('Budget 12 Mnths'!$A:$A,'Detail 18-19'!$A144,'Budget 12 Mnths'!J:J)</f>
        <v>0</v>
      </c>
      <c r="K144" s="56">
        <f>SUMIF('2015-16 12 Mnths'!$A:$A,'Detail 18-19'!$A144,'2015-16 12 Mnths'!J:J)-SUMIF('Budget 12 Mnths'!$A:$A,'Detail 18-19'!$A144,'Budget 12 Mnths'!K:K)</f>
        <v>0</v>
      </c>
      <c r="L144" s="56">
        <f>SUMIF('2015-16 12 Mnths'!$A:$A,'Detail 18-19'!$A144,'2015-16 12 Mnths'!K:K)-SUMIF('Budget 12 Mnths'!$A:$A,'Detail 18-19'!$A144,'Budget 12 Mnths'!L:L)</f>
        <v>0</v>
      </c>
      <c r="M144" s="56"/>
      <c r="N144" s="56"/>
      <c r="O144" s="56"/>
      <c r="P144" s="56">
        <f t="shared" si="1"/>
        <v>0</v>
      </c>
      <c r="Q144" s="14" t="str">
        <f>+VLOOKUP(A144,Mapping!$A$1:$E$443,5,FALSE)</f>
        <v>Legal &amp; Actg</v>
      </c>
      <c r="R144" s="26">
        <f>+SUMIF('Budget 12 Mnths'!$A:$A,'Detail 18-19'!$A144,'Budget 12 Mnths'!$P:$P)</f>
        <v>0</v>
      </c>
      <c r="S144" s="26">
        <f>+SUMIF('2015-16 12 Mnths'!$A:$A,'Detail 18-19'!$A144,'2015-16 12 Mnths'!$O:$O)</f>
        <v>0</v>
      </c>
      <c r="T144" s="57">
        <f t="shared" si="2"/>
        <v>0</v>
      </c>
      <c r="U144" s="57">
        <f t="shared" si="3"/>
        <v>0</v>
      </c>
      <c r="W144" s="27"/>
      <c r="X144" s="27" t="str">
        <f t="shared" si="72"/>
        <v/>
      </c>
      <c r="Z144" s="57">
        <f t="shared" si="71"/>
        <v>0</v>
      </c>
      <c r="AA144" s="57" t="str">
        <f>IFERROR(+VLOOKUP(A144,Key!$A$1:$C$219,2,FALSE),"NOT FOUND")</f>
        <v>NOT FOUND</v>
      </c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>
        <f t="shared" si="6"/>
        <v>0</v>
      </c>
    </row>
    <row r="145" ht="15.75" customHeight="1">
      <c r="A145" s="15" t="s">
        <v>471</v>
      </c>
      <c r="B145" s="15" t="s">
        <v>472</v>
      </c>
      <c r="C145" s="15" t="s">
        <v>119</v>
      </c>
      <c r="D145" s="56">
        <f>SUMIF('2015-16 12 Mnths'!$A:$A,'Detail 18-19'!$A145,'2015-16 12 Mnths'!C:C)-SUMIF('Budget 12 Mnths'!$A:$A,'Detail 18-19'!$A145,'Budget 12 Mnths'!D:D)</f>
        <v>0</v>
      </c>
      <c r="E145" s="56">
        <f>SUMIF('2015-16 12 Mnths'!$A:$A,'Detail 18-19'!$A145,'2015-16 12 Mnths'!D:D)-SUMIF('Budget 12 Mnths'!$A:$A,'Detail 18-19'!$A145,'Budget 12 Mnths'!E:E)</f>
        <v>-1000</v>
      </c>
      <c r="F145" s="56">
        <f>SUMIF('2015-16 12 Mnths'!$A:$A,'Detail 18-19'!$A145,'2015-16 12 Mnths'!E:E)-SUMIF('Budget 12 Mnths'!$A:$A,'Detail 18-19'!$A145,'Budget 12 Mnths'!F:F)</f>
        <v>-1000</v>
      </c>
      <c r="G145" s="56">
        <f>SUMIF('2015-16 12 Mnths'!$A:$A,'Detail 18-19'!$A145,'2015-16 12 Mnths'!F:F)-SUMIF('Budget 12 Mnths'!$A:$A,'Detail 18-19'!$A145,'Budget 12 Mnths'!G:G)</f>
        <v>0</v>
      </c>
      <c r="H145" s="56">
        <f>SUMIF('2015-16 12 Mnths'!$A:$A,'Detail 18-19'!$A145,'2015-16 12 Mnths'!G:G)-SUMIF('Budget 12 Mnths'!$A:$A,'Detail 18-19'!$A145,'Budget 12 Mnths'!H:H)</f>
        <v>0</v>
      </c>
      <c r="I145" s="56">
        <f>SUMIF('2015-16 12 Mnths'!$A:$A,'Detail 18-19'!$A145,'2015-16 12 Mnths'!H:H)-SUMIF('Budget 12 Mnths'!$A:$A,'Detail 18-19'!$A145,'Budget 12 Mnths'!I:I)</f>
        <v>0</v>
      </c>
      <c r="J145" s="56">
        <f>SUMIF('2015-16 12 Mnths'!$A:$A,'Detail 18-19'!$A145,'2015-16 12 Mnths'!I:I)-SUMIF('Budget 12 Mnths'!$A:$A,'Detail 18-19'!$A145,'Budget 12 Mnths'!J:J)</f>
        <v>0</v>
      </c>
      <c r="K145" s="56">
        <f>SUMIF('2015-16 12 Mnths'!$A:$A,'Detail 18-19'!$A145,'2015-16 12 Mnths'!J:J)-SUMIF('Budget 12 Mnths'!$A:$A,'Detail 18-19'!$A145,'Budget 12 Mnths'!K:K)</f>
        <v>0</v>
      </c>
      <c r="L145" s="56">
        <f>SUMIF('2015-16 12 Mnths'!$A:$A,'Detail 18-19'!$A145,'2015-16 12 Mnths'!K:K)-SUMIF('Budget 12 Mnths'!$A:$A,'Detail 18-19'!$A145,'Budget 12 Mnths'!L:L)</f>
        <v>0</v>
      </c>
      <c r="M145" s="56"/>
      <c r="N145" s="56"/>
      <c r="O145" s="56"/>
      <c r="P145" s="56">
        <f t="shared" si="1"/>
        <v>-2000</v>
      </c>
      <c r="Q145" s="14" t="str">
        <f>+VLOOKUP(A145,Mapping!$A$1:$E$443,5,FALSE)</f>
        <v>Legal &amp; Actg</v>
      </c>
      <c r="R145" s="26">
        <f>+SUMIF('Budget 12 Mnths'!$A:$A,'Detail 18-19'!$A145,'Budget 12 Mnths'!$P:$P)</f>
        <v>8000</v>
      </c>
      <c r="S145" s="26">
        <f>+SUMIF('2015-16 12 Mnths'!$A:$A,'Detail 18-19'!$A145,'2015-16 12 Mnths'!$O:$O)</f>
        <v>6000</v>
      </c>
      <c r="T145" s="57">
        <f t="shared" si="2"/>
        <v>-0.25</v>
      </c>
      <c r="U145" s="57">
        <f t="shared" si="3"/>
        <v>-0.3333333333</v>
      </c>
      <c r="V145" s="8" t="s">
        <v>641</v>
      </c>
      <c r="W145" s="27">
        <v>8000.0</v>
      </c>
      <c r="X145" s="27">
        <f t="shared" si="72"/>
        <v>8000</v>
      </c>
      <c r="Z145" s="57">
        <v>8000.0</v>
      </c>
      <c r="AA145" s="57" t="str">
        <f>IFERROR(+VLOOKUP(A145,Key!$A$1:$C$219,2,FALSE),"NOT FOUND")</f>
        <v>6310-2U</v>
      </c>
      <c r="AB145" s="27">
        <v>8000.0</v>
      </c>
      <c r="AC145" s="27">
        <v>6000.0</v>
      </c>
      <c r="AD145" s="27">
        <v>2000.0</v>
      </c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>
        <f t="shared" si="6"/>
        <v>0</v>
      </c>
    </row>
    <row r="146" ht="15.75" customHeight="1">
      <c r="A146" s="15" t="s">
        <v>473</v>
      </c>
      <c r="B146" s="15" t="s">
        <v>474</v>
      </c>
      <c r="C146" s="15" t="s">
        <v>119</v>
      </c>
      <c r="D146" s="56">
        <f>SUMIF('2015-16 12 Mnths'!$A:$A,'Detail 18-19'!$A146,'2015-16 12 Mnths'!C:C)-SUMIF('Budget 12 Mnths'!$A:$A,'Detail 18-19'!$A146,'Budget 12 Mnths'!D:D)</f>
        <v>0</v>
      </c>
      <c r="E146" s="56">
        <f>SUMIF('2015-16 12 Mnths'!$A:$A,'Detail 18-19'!$A146,'2015-16 12 Mnths'!D:D)-SUMIF('Budget 12 Mnths'!$A:$A,'Detail 18-19'!$A146,'Budget 12 Mnths'!E:E)</f>
        <v>0</v>
      </c>
      <c r="F146" s="56">
        <f>SUMIF('2015-16 12 Mnths'!$A:$A,'Detail 18-19'!$A146,'2015-16 12 Mnths'!E:E)-SUMIF('Budget 12 Mnths'!$A:$A,'Detail 18-19'!$A146,'Budget 12 Mnths'!F:F)</f>
        <v>0</v>
      </c>
      <c r="G146" s="56">
        <f>SUMIF('2015-16 12 Mnths'!$A:$A,'Detail 18-19'!$A146,'2015-16 12 Mnths'!F:F)-SUMIF('Budget 12 Mnths'!$A:$A,'Detail 18-19'!$A146,'Budget 12 Mnths'!G:G)</f>
        <v>0</v>
      </c>
      <c r="H146" s="56">
        <f>SUMIF('2015-16 12 Mnths'!$A:$A,'Detail 18-19'!$A146,'2015-16 12 Mnths'!G:G)-SUMIF('Budget 12 Mnths'!$A:$A,'Detail 18-19'!$A146,'Budget 12 Mnths'!H:H)</f>
        <v>0</v>
      </c>
      <c r="I146" s="56">
        <f>SUMIF('2015-16 12 Mnths'!$A:$A,'Detail 18-19'!$A146,'2015-16 12 Mnths'!H:H)-SUMIF('Budget 12 Mnths'!$A:$A,'Detail 18-19'!$A146,'Budget 12 Mnths'!I:I)</f>
        <v>0</v>
      </c>
      <c r="J146" s="56">
        <f>SUMIF('2015-16 12 Mnths'!$A:$A,'Detail 18-19'!$A146,'2015-16 12 Mnths'!I:I)-SUMIF('Budget 12 Mnths'!$A:$A,'Detail 18-19'!$A146,'Budget 12 Mnths'!J:J)</f>
        <v>0</v>
      </c>
      <c r="K146" s="56">
        <f>SUMIF('2015-16 12 Mnths'!$A:$A,'Detail 18-19'!$A146,'2015-16 12 Mnths'!J:J)-SUMIF('Budget 12 Mnths'!$A:$A,'Detail 18-19'!$A146,'Budget 12 Mnths'!K:K)</f>
        <v>0</v>
      </c>
      <c r="L146" s="56">
        <f>SUMIF('2015-16 12 Mnths'!$A:$A,'Detail 18-19'!$A146,'2015-16 12 Mnths'!K:K)-SUMIF('Budget 12 Mnths'!$A:$A,'Detail 18-19'!$A146,'Budget 12 Mnths'!L:L)</f>
        <v>0</v>
      </c>
      <c r="M146" s="56"/>
      <c r="N146" s="56"/>
      <c r="O146" s="56"/>
      <c r="P146" s="56">
        <f t="shared" si="1"/>
        <v>0</v>
      </c>
      <c r="Q146" s="14" t="str">
        <f>+VLOOKUP(A146,Mapping!$A$1:$E$443,5,FALSE)</f>
        <v>Legal &amp; Actg</v>
      </c>
      <c r="R146" s="26">
        <f>+SUMIF('Budget 12 Mnths'!$A:$A,'Detail 18-19'!$A146,'Budget 12 Mnths'!$P:$P)</f>
        <v>2000</v>
      </c>
      <c r="S146" s="26">
        <f>+SUMIF('2015-16 12 Mnths'!$A:$A,'Detail 18-19'!$A146,'2015-16 12 Mnths'!$O:$O)</f>
        <v>2000</v>
      </c>
      <c r="T146" s="57">
        <f t="shared" si="2"/>
        <v>0</v>
      </c>
      <c r="U146" s="57">
        <f t="shared" si="3"/>
        <v>0</v>
      </c>
      <c r="V146" s="8" t="s">
        <v>641</v>
      </c>
      <c r="W146" s="27">
        <v>2000.0</v>
      </c>
      <c r="X146" s="27">
        <v>3000.0</v>
      </c>
      <c r="Z146" s="57">
        <v>2000.0</v>
      </c>
      <c r="AA146" s="57" t="str">
        <f>IFERROR(+VLOOKUP(A146,Key!$A$1:$C$219,2,FALSE),"NOT FOUND")</f>
        <v>6320-2U</v>
      </c>
      <c r="AB146" s="27">
        <v>2000.0</v>
      </c>
      <c r="AC146" s="27"/>
      <c r="AD146" s="27"/>
      <c r="AE146" s="27"/>
      <c r="AF146" s="27"/>
      <c r="AG146" s="27">
        <v>2000.0</v>
      </c>
      <c r="AH146" s="27"/>
      <c r="AI146" s="27"/>
      <c r="AJ146" s="27"/>
      <c r="AK146" s="27"/>
      <c r="AL146" s="27"/>
      <c r="AM146" s="27"/>
      <c r="AN146" s="27"/>
      <c r="AO146" s="27">
        <f t="shared" si="6"/>
        <v>0</v>
      </c>
    </row>
    <row r="147" ht="15.75" customHeight="1">
      <c r="A147" s="15" t="s">
        <v>479</v>
      </c>
      <c r="B147" s="15" t="s">
        <v>480</v>
      </c>
      <c r="C147" s="15" t="s">
        <v>119</v>
      </c>
      <c r="D147" s="56">
        <f>SUMIF('2015-16 12 Mnths'!$A:$A,'Detail 18-19'!$A147,'2015-16 12 Mnths'!C:C)-SUMIF('Budget 12 Mnths'!$A:$A,'Detail 18-19'!$A147,'Budget 12 Mnths'!D:D)</f>
        <v>-36.05</v>
      </c>
      <c r="E147" s="56">
        <f>SUMIF('2015-16 12 Mnths'!$A:$A,'Detail 18-19'!$A147,'2015-16 12 Mnths'!D:D)-SUMIF('Budget 12 Mnths'!$A:$A,'Detail 18-19'!$A147,'Budget 12 Mnths'!E:E)</f>
        <v>-27.17</v>
      </c>
      <c r="F147" s="56">
        <f>SUMIF('2015-16 12 Mnths'!$A:$A,'Detail 18-19'!$A147,'2015-16 12 Mnths'!E:E)-SUMIF('Budget 12 Mnths'!$A:$A,'Detail 18-19'!$A147,'Budget 12 Mnths'!F:F)</f>
        <v>-17.67</v>
      </c>
      <c r="G147" s="56">
        <f>SUMIF('2015-16 12 Mnths'!$A:$A,'Detail 18-19'!$A147,'2015-16 12 Mnths'!F:F)-SUMIF('Budget 12 Mnths'!$A:$A,'Detail 18-19'!$A147,'Budget 12 Mnths'!G:G)</f>
        <v>-61.47</v>
      </c>
      <c r="H147" s="56">
        <f>SUMIF('2015-16 12 Mnths'!$A:$A,'Detail 18-19'!$A147,'2015-16 12 Mnths'!G:G)-SUMIF('Budget 12 Mnths'!$A:$A,'Detail 18-19'!$A147,'Budget 12 Mnths'!H:H)</f>
        <v>-43.71</v>
      </c>
      <c r="I147" s="56">
        <f>SUMIF('2015-16 12 Mnths'!$A:$A,'Detail 18-19'!$A147,'2015-16 12 Mnths'!H:H)-SUMIF('Budget 12 Mnths'!$A:$A,'Detail 18-19'!$A147,'Budget 12 Mnths'!I:I)</f>
        <v>176.07</v>
      </c>
      <c r="J147" s="56">
        <f>SUMIF('2015-16 12 Mnths'!$A:$A,'Detail 18-19'!$A147,'2015-16 12 Mnths'!I:I)-SUMIF('Budget 12 Mnths'!$A:$A,'Detail 18-19'!$A147,'Budget 12 Mnths'!J:J)</f>
        <v>-43.71</v>
      </c>
      <c r="K147" s="56">
        <f>SUMIF('2015-16 12 Mnths'!$A:$A,'Detail 18-19'!$A147,'2015-16 12 Mnths'!J:J)-SUMIF('Budget 12 Mnths'!$A:$A,'Detail 18-19'!$A147,'Budget 12 Mnths'!K:K)</f>
        <v>-48.39</v>
      </c>
      <c r="L147" s="56">
        <f>SUMIF('2015-16 12 Mnths'!$A:$A,'Detail 18-19'!$A147,'2015-16 12 Mnths'!K:K)-SUMIF('Budget 12 Mnths'!$A:$A,'Detail 18-19'!$A147,'Budget 12 Mnths'!L:L)</f>
        <v>-33.04</v>
      </c>
      <c r="M147" s="56"/>
      <c r="N147" s="56"/>
      <c r="O147" s="56"/>
      <c r="P147" s="56">
        <f t="shared" si="1"/>
        <v>-135.14</v>
      </c>
      <c r="Q147" s="14" t="str">
        <f>+VLOOKUP(A147,Mapping!$A$1:$E$443,5,FALSE)</f>
        <v>Legal &amp; Actg</v>
      </c>
      <c r="R147" s="26">
        <f>+SUMIF('Budget 12 Mnths'!$A:$A,'Detail 18-19'!$A147,'Budget 12 Mnths'!$P:$P)</f>
        <v>2300.04</v>
      </c>
      <c r="S147" s="26">
        <f>+SUMIF('2015-16 12 Mnths'!$A:$A,'Detail 18-19'!$A147,'2015-16 12 Mnths'!$O:$O)</f>
        <v>1664.28</v>
      </c>
      <c r="T147" s="57">
        <f t="shared" si="2"/>
        <v>-0.0587554999</v>
      </c>
      <c r="U147" s="57">
        <f t="shared" si="3"/>
        <v>-0.0812002788</v>
      </c>
      <c r="V147" s="8" t="s">
        <v>641</v>
      </c>
      <c r="W147" s="27">
        <v>2300.0</v>
      </c>
      <c r="X147" s="27">
        <f t="shared" ref="X147:X152" si="74">+W147</f>
        <v>2300</v>
      </c>
      <c r="Z147" s="57">
        <f t="shared" ref="Z147:Z150" si="75">+X147/2</f>
        <v>1150</v>
      </c>
      <c r="AA147" s="57" t="str">
        <f>IFERROR(+VLOOKUP(A147,Key!$A$1:$C$219,2,FALSE),"NOT FOUND")</f>
        <v>6315-2U</v>
      </c>
      <c r="AB147" s="27">
        <v>2300.0</v>
      </c>
      <c r="AC147" s="57">
        <f t="shared" ref="AC147:AN147" si="73">+$AB147/12</f>
        <v>191.6666667</v>
      </c>
      <c r="AD147" s="57">
        <f t="shared" si="73"/>
        <v>191.6666667</v>
      </c>
      <c r="AE147" s="57">
        <f t="shared" si="73"/>
        <v>191.6666667</v>
      </c>
      <c r="AF147" s="57">
        <f t="shared" si="73"/>
        <v>191.6666667</v>
      </c>
      <c r="AG147" s="57">
        <f t="shared" si="73"/>
        <v>191.6666667</v>
      </c>
      <c r="AH147" s="57">
        <f t="shared" si="73"/>
        <v>191.6666667</v>
      </c>
      <c r="AI147" s="57">
        <f t="shared" si="73"/>
        <v>191.6666667</v>
      </c>
      <c r="AJ147" s="57">
        <f t="shared" si="73"/>
        <v>191.6666667</v>
      </c>
      <c r="AK147" s="57">
        <f t="shared" si="73"/>
        <v>191.6666667</v>
      </c>
      <c r="AL147" s="57">
        <f t="shared" si="73"/>
        <v>191.6666667</v>
      </c>
      <c r="AM147" s="57">
        <f t="shared" si="73"/>
        <v>191.6666667</v>
      </c>
      <c r="AN147" s="57">
        <f t="shared" si="73"/>
        <v>191.6666667</v>
      </c>
      <c r="AO147" s="27">
        <f t="shared" si="6"/>
        <v>0</v>
      </c>
    </row>
    <row r="148" ht="15.75" customHeight="1">
      <c r="A148" s="15" t="s">
        <v>481</v>
      </c>
      <c r="B148" s="15" t="s">
        <v>482</v>
      </c>
      <c r="C148" s="15" t="s">
        <v>119</v>
      </c>
      <c r="D148" s="56">
        <f>SUMIF('2015-16 12 Mnths'!$A:$A,'Detail 18-19'!$A148,'2015-16 12 Mnths'!C:C)-SUMIF('Budget 12 Mnths'!$A:$A,'Detail 18-19'!$A148,'Budget 12 Mnths'!D:D)</f>
        <v>0</v>
      </c>
      <c r="E148" s="56">
        <f>SUMIF('2015-16 12 Mnths'!$A:$A,'Detail 18-19'!$A148,'2015-16 12 Mnths'!D:D)-SUMIF('Budget 12 Mnths'!$A:$A,'Detail 18-19'!$A148,'Budget 12 Mnths'!E:E)</f>
        <v>0</v>
      </c>
      <c r="F148" s="56">
        <f>SUMIF('2015-16 12 Mnths'!$A:$A,'Detail 18-19'!$A148,'2015-16 12 Mnths'!E:E)-SUMIF('Budget 12 Mnths'!$A:$A,'Detail 18-19'!$A148,'Budget 12 Mnths'!F:F)</f>
        <v>0</v>
      </c>
      <c r="G148" s="56">
        <f>SUMIF('2015-16 12 Mnths'!$A:$A,'Detail 18-19'!$A148,'2015-16 12 Mnths'!F:F)-SUMIF('Budget 12 Mnths'!$A:$A,'Detail 18-19'!$A148,'Budget 12 Mnths'!G:G)</f>
        <v>0</v>
      </c>
      <c r="H148" s="56">
        <f>SUMIF('2015-16 12 Mnths'!$A:$A,'Detail 18-19'!$A148,'2015-16 12 Mnths'!G:G)-SUMIF('Budget 12 Mnths'!$A:$A,'Detail 18-19'!$A148,'Budget 12 Mnths'!H:H)</f>
        <v>0</v>
      </c>
      <c r="I148" s="56">
        <f>SUMIF('2015-16 12 Mnths'!$A:$A,'Detail 18-19'!$A148,'2015-16 12 Mnths'!H:H)-SUMIF('Budget 12 Mnths'!$A:$A,'Detail 18-19'!$A148,'Budget 12 Mnths'!I:I)</f>
        <v>0</v>
      </c>
      <c r="J148" s="56">
        <f>SUMIF('2015-16 12 Mnths'!$A:$A,'Detail 18-19'!$A148,'2015-16 12 Mnths'!I:I)-SUMIF('Budget 12 Mnths'!$A:$A,'Detail 18-19'!$A148,'Budget 12 Mnths'!J:J)</f>
        <v>0</v>
      </c>
      <c r="K148" s="56">
        <f>SUMIF('2015-16 12 Mnths'!$A:$A,'Detail 18-19'!$A148,'2015-16 12 Mnths'!J:J)-SUMIF('Budget 12 Mnths'!$A:$A,'Detail 18-19'!$A148,'Budget 12 Mnths'!K:K)</f>
        <v>0</v>
      </c>
      <c r="L148" s="56">
        <f>SUMIF('2015-16 12 Mnths'!$A:$A,'Detail 18-19'!$A148,'2015-16 12 Mnths'!K:K)-SUMIF('Budget 12 Mnths'!$A:$A,'Detail 18-19'!$A148,'Budget 12 Mnths'!L:L)</f>
        <v>0</v>
      </c>
      <c r="M148" s="56"/>
      <c r="N148" s="56"/>
      <c r="O148" s="56"/>
      <c r="P148" s="56">
        <f t="shared" si="1"/>
        <v>0</v>
      </c>
      <c r="Q148" s="14" t="str">
        <f>+VLOOKUP(A148,Mapping!$A$1:$E$443,5,FALSE)</f>
        <v>Legal &amp; Actg</v>
      </c>
      <c r="R148" s="26">
        <f>+SUMIF('Budget 12 Mnths'!$A:$A,'Detail 18-19'!$A148,'Budget 12 Mnths'!$P:$P)</f>
        <v>12000</v>
      </c>
      <c r="S148" s="26">
        <f>+SUMIF('2015-16 12 Mnths'!$A:$A,'Detail 18-19'!$A148,'2015-16 12 Mnths'!$O:$O)</f>
        <v>10000</v>
      </c>
      <c r="T148" s="57">
        <f t="shared" si="2"/>
        <v>0</v>
      </c>
      <c r="U148" s="57">
        <f t="shared" si="3"/>
        <v>0</v>
      </c>
      <c r="V148" s="8" t="s">
        <v>641</v>
      </c>
      <c r="W148" s="27">
        <v>12000.0</v>
      </c>
      <c r="X148" s="27">
        <f t="shared" si="74"/>
        <v>12000</v>
      </c>
      <c r="Z148" s="57">
        <f t="shared" si="75"/>
        <v>6000</v>
      </c>
      <c r="AA148" s="57" t="str">
        <f>IFERROR(+VLOOKUP(A148,Key!$A$1:$C$219,2,FALSE),"NOT FOUND")</f>
        <v>6320-2U</v>
      </c>
      <c r="AB148" s="51">
        <v>25000.0</v>
      </c>
      <c r="AC148" s="57">
        <f t="shared" ref="AC148:AN148" si="76">+$AB148/12</f>
        <v>2083.333333</v>
      </c>
      <c r="AD148" s="57">
        <f t="shared" si="76"/>
        <v>2083.333333</v>
      </c>
      <c r="AE148" s="57">
        <f t="shared" si="76"/>
        <v>2083.333333</v>
      </c>
      <c r="AF148" s="57">
        <f t="shared" si="76"/>
        <v>2083.333333</v>
      </c>
      <c r="AG148" s="57">
        <f t="shared" si="76"/>
        <v>2083.333333</v>
      </c>
      <c r="AH148" s="57">
        <f t="shared" si="76"/>
        <v>2083.333333</v>
      </c>
      <c r="AI148" s="57">
        <f t="shared" si="76"/>
        <v>2083.333333</v>
      </c>
      <c r="AJ148" s="57">
        <f t="shared" si="76"/>
        <v>2083.333333</v>
      </c>
      <c r="AK148" s="57">
        <f t="shared" si="76"/>
        <v>2083.333333</v>
      </c>
      <c r="AL148" s="57">
        <f t="shared" si="76"/>
        <v>2083.333333</v>
      </c>
      <c r="AM148" s="57">
        <f t="shared" si="76"/>
        <v>2083.333333</v>
      </c>
      <c r="AN148" s="57">
        <f t="shared" si="76"/>
        <v>2083.333333</v>
      </c>
      <c r="AO148" s="27">
        <f t="shared" si="6"/>
        <v>0</v>
      </c>
    </row>
    <row r="149" ht="15.75" customHeight="1">
      <c r="A149" s="15" t="s">
        <v>483</v>
      </c>
      <c r="B149" s="15" t="s">
        <v>484</v>
      </c>
      <c r="C149" s="15" t="s">
        <v>119</v>
      </c>
      <c r="D149" s="56">
        <f>SUMIF('2015-16 12 Mnths'!$A:$A,'Detail 18-19'!$A149,'2015-16 12 Mnths'!C:C)-SUMIF('Budget 12 Mnths'!$A:$A,'Detail 18-19'!$A149,'Budget 12 Mnths'!D:D)</f>
        <v>-291.67</v>
      </c>
      <c r="E149" s="56">
        <f>SUMIF('2015-16 12 Mnths'!$A:$A,'Detail 18-19'!$A149,'2015-16 12 Mnths'!D:D)-SUMIF('Budget 12 Mnths'!$A:$A,'Detail 18-19'!$A149,'Budget 12 Mnths'!E:E)</f>
        <v>2305.83</v>
      </c>
      <c r="F149" s="56">
        <f>SUMIF('2015-16 12 Mnths'!$A:$A,'Detail 18-19'!$A149,'2015-16 12 Mnths'!E:E)-SUMIF('Budget 12 Mnths'!$A:$A,'Detail 18-19'!$A149,'Budget 12 Mnths'!F:F)</f>
        <v>-291.67</v>
      </c>
      <c r="G149" s="56">
        <f>SUMIF('2015-16 12 Mnths'!$A:$A,'Detail 18-19'!$A149,'2015-16 12 Mnths'!F:F)-SUMIF('Budget 12 Mnths'!$A:$A,'Detail 18-19'!$A149,'Budget 12 Mnths'!G:G)</f>
        <v>69.58</v>
      </c>
      <c r="H149" s="56">
        <f>SUMIF('2015-16 12 Mnths'!$A:$A,'Detail 18-19'!$A149,'2015-16 12 Mnths'!G:G)-SUMIF('Budget 12 Mnths'!$A:$A,'Detail 18-19'!$A149,'Budget 12 Mnths'!H:H)</f>
        <v>-291.67</v>
      </c>
      <c r="I149" s="56">
        <f>SUMIF('2015-16 12 Mnths'!$A:$A,'Detail 18-19'!$A149,'2015-16 12 Mnths'!H:H)-SUMIF('Budget 12 Mnths'!$A:$A,'Detail 18-19'!$A149,'Budget 12 Mnths'!I:I)</f>
        <v>-15.42</v>
      </c>
      <c r="J149" s="56">
        <f>SUMIF('2015-16 12 Mnths'!$A:$A,'Detail 18-19'!$A149,'2015-16 12 Mnths'!I:I)-SUMIF('Budget 12 Mnths'!$A:$A,'Detail 18-19'!$A149,'Budget 12 Mnths'!J:J)</f>
        <v>-291.67</v>
      </c>
      <c r="K149" s="56">
        <f>SUMIF('2015-16 12 Mnths'!$A:$A,'Detail 18-19'!$A149,'2015-16 12 Mnths'!J:J)-SUMIF('Budget 12 Mnths'!$A:$A,'Detail 18-19'!$A149,'Budget 12 Mnths'!K:K)</f>
        <v>237.08</v>
      </c>
      <c r="L149" s="56">
        <f>SUMIF('2015-16 12 Mnths'!$A:$A,'Detail 18-19'!$A149,'2015-16 12 Mnths'!K:K)-SUMIF('Budget 12 Mnths'!$A:$A,'Detail 18-19'!$A149,'Budget 12 Mnths'!L:L)</f>
        <v>-291.67</v>
      </c>
      <c r="M149" s="56"/>
      <c r="N149" s="56"/>
      <c r="O149" s="56"/>
      <c r="P149" s="56">
        <f t="shared" si="1"/>
        <v>1138.72</v>
      </c>
      <c r="Q149" s="14" t="str">
        <f>+VLOOKUP(A149,Mapping!$A$1:$E$443,5,FALSE)</f>
        <v>Legal &amp; Actg</v>
      </c>
      <c r="R149" s="26">
        <f>+SUMIF('Budget 12 Mnths'!$A:$A,'Detail 18-19'!$A149,'Budget 12 Mnths'!$P:$P)</f>
        <v>3500.04</v>
      </c>
      <c r="S149" s="26">
        <f>+SUMIF('2015-16 12 Mnths'!$A:$A,'Detail 18-19'!$A149,'2015-16 12 Mnths'!$O:$O)</f>
        <v>3763.75</v>
      </c>
      <c r="T149" s="57">
        <f t="shared" si="2"/>
        <v>0.3253448532</v>
      </c>
      <c r="U149" s="57">
        <f t="shared" si="3"/>
        <v>0.3025493192</v>
      </c>
      <c r="V149" s="8" t="s">
        <v>641</v>
      </c>
      <c r="W149" s="27">
        <v>3500.0</v>
      </c>
      <c r="X149" s="27">
        <f t="shared" si="74"/>
        <v>3500</v>
      </c>
      <c r="Z149" s="57">
        <f t="shared" si="75"/>
        <v>1750</v>
      </c>
      <c r="AA149" s="57" t="str">
        <f>IFERROR(+VLOOKUP(A149,Key!$A$1:$C$219,2,FALSE),"NOT FOUND")</f>
        <v>6325-2U</v>
      </c>
      <c r="AB149" s="27">
        <v>3500.0</v>
      </c>
      <c r="AC149" s="57">
        <f t="shared" ref="AC149:AN149" si="77">+$AB149/12</f>
        <v>291.6666667</v>
      </c>
      <c r="AD149" s="57">
        <f t="shared" si="77"/>
        <v>291.6666667</v>
      </c>
      <c r="AE149" s="57">
        <f t="shared" si="77"/>
        <v>291.6666667</v>
      </c>
      <c r="AF149" s="57">
        <f t="shared" si="77"/>
        <v>291.6666667</v>
      </c>
      <c r="AG149" s="57">
        <f t="shared" si="77"/>
        <v>291.6666667</v>
      </c>
      <c r="AH149" s="57">
        <f t="shared" si="77"/>
        <v>291.6666667</v>
      </c>
      <c r="AI149" s="57">
        <f t="shared" si="77"/>
        <v>291.6666667</v>
      </c>
      <c r="AJ149" s="57">
        <f t="shared" si="77"/>
        <v>291.6666667</v>
      </c>
      <c r="AK149" s="57">
        <f t="shared" si="77"/>
        <v>291.6666667</v>
      </c>
      <c r="AL149" s="57">
        <f t="shared" si="77"/>
        <v>291.6666667</v>
      </c>
      <c r="AM149" s="57">
        <f t="shared" si="77"/>
        <v>291.6666667</v>
      </c>
      <c r="AN149" s="57">
        <f t="shared" si="77"/>
        <v>291.6666667</v>
      </c>
      <c r="AO149" s="27">
        <f t="shared" si="6"/>
        <v>0</v>
      </c>
    </row>
    <row r="150" ht="15.75" customHeight="1">
      <c r="A150" s="15" t="s">
        <v>485</v>
      </c>
      <c r="B150" s="15" t="s">
        <v>486</v>
      </c>
      <c r="C150" s="15" t="s">
        <v>119</v>
      </c>
      <c r="D150" s="56">
        <f>SUMIF('2015-16 12 Mnths'!$A:$A,'Detail 18-19'!$A150,'2015-16 12 Mnths'!C:C)-SUMIF('Budget 12 Mnths'!$A:$A,'Detail 18-19'!$A150,'Budget 12 Mnths'!D:D)</f>
        <v>-291.67</v>
      </c>
      <c r="E150" s="56">
        <f>SUMIF('2015-16 12 Mnths'!$A:$A,'Detail 18-19'!$A150,'2015-16 12 Mnths'!D:D)-SUMIF('Budget 12 Mnths'!$A:$A,'Detail 18-19'!$A150,'Budget 12 Mnths'!E:E)</f>
        <v>-291.67</v>
      </c>
      <c r="F150" s="56">
        <f>SUMIF('2015-16 12 Mnths'!$A:$A,'Detail 18-19'!$A150,'2015-16 12 Mnths'!E:E)-SUMIF('Budget 12 Mnths'!$A:$A,'Detail 18-19'!$A150,'Budget 12 Mnths'!F:F)</f>
        <v>-291.67</v>
      </c>
      <c r="G150" s="56">
        <f>SUMIF('2015-16 12 Mnths'!$A:$A,'Detail 18-19'!$A150,'2015-16 12 Mnths'!F:F)-SUMIF('Budget 12 Mnths'!$A:$A,'Detail 18-19'!$A150,'Budget 12 Mnths'!G:G)</f>
        <v>-291.67</v>
      </c>
      <c r="H150" s="56">
        <f>SUMIF('2015-16 12 Mnths'!$A:$A,'Detail 18-19'!$A150,'2015-16 12 Mnths'!G:G)-SUMIF('Budget 12 Mnths'!$A:$A,'Detail 18-19'!$A150,'Budget 12 Mnths'!H:H)</f>
        <v>308.33</v>
      </c>
      <c r="I150" s="56">
        <f>SUMIF('2015-16 12 Mnths'!$A:$A,'Detail 18-19'!$A150,'2015-16 12 Mnths'!H:H)-SUMIF('Budget 12 Mnths'!$A:$A,'Detail 18-19'!$A150,'Budget 12 Mnths'!I:I)</f>
        <v>-291.67</v>
      </c>
      <c r="J150" s="56">
        <f>SUMIF('2015-16 12 Mnths'!$A:$A,'Detail 18-19'!$A150,'2015-16 12 Mnths'!I:I)-SUMIF('Budget 12 Mnths'!$A:$A,'Detail 18-19'!$A150,'Budget 12 Mnths'!J:J)</f>
        <v>-291.67</v>
      </c>
      <c r="K150" s="56">
        <f>SUMIF('2015-16 12 Mnths'!$A:$A,'Detail 18-19'!$A150,'2015-16 12 Mnths'!J:J)-SUMIF('Budget 12 Mnths'!$A:$A,'Detail 18-19'!$A150,'Budget 12 Mnths'!K:K)</f>
        <v>-291.67</v>
      </c>
      <c r="L150" s="56">
        <f>SUMIF('2015-16 12 Mnths'!$A:$A,'Detail 18-19'!$A150,'2015-16 12 Mnths'!K:K)-SUMIF('Budget 12 Mnths'!$A:$A,'Detail 18-19'!$A150,'Budget 12 Mnths'!L:L)</f>
        <v>-291.67</v>
      </c>
      <c r="M150" s="56"/>
      <c r="N150" s="56"/>
      <c r="O150" s="56"/>
      <c r="P150" s="56">
        <f t="shared" si="1"/>
        <v>-2025.03</v>
      </c>
      <c r="Q150" s="14" t="str">
        <f>+VLOOKUP(A150,Mapping!$A$1:$E$443,5,FALSE)</f>
        <v>Legal &amp; Actg</v>
      </c>
      <c r="R150" s="26">
        <f>+SUMIF('Budget 12 Mnths'!$A:$A,'Detail 18-19'!$A150,'Budget 12 Mnths'!$P:$P)</f>
        <v>3500.04</v>
      </c>
      <c r="S150" s="26">
        <f>+SUMIF('2015-16 12 Mnths'!$A:$A,'Detail 18-19'!$A150,'2015-16 12 Mnths'!$O:$O)</f>
        <v>600</v>
      </c>
      <c r="T150" s="57">
        <f t="shared" si="2"/>
        <v>-0.5785733877</v>
      </c>
      <c r="U150" s="57">
        <f t="shared" si="3"/>
        <v>-3.37505</v>
      </c>
      <c r="V150" s="8" t="s">
        <v>641</v>
      </c>
      <c r="W150" s="27">
        <v>8500.0</v>
      </c>
      <c r="X150" s="27">
        <f t="shared" si="74"/>
        <v>8500</v>
      </c>
      <c r="Z150" s="57">
        <f t="shared" si="75"/>
        <v>4250</v>
      </c>
      <c r="AA150" s="57" t="str">
        <f>IFERROR(+VLOOKUP(A150,Key!$A$1:$C$219,2,FALSE),"NOT FOUND")</f>
        <v>6330-2U</v>
      </c>
      <c r="AB150" s="27">
        <v>8500.0</v>
      </c>
      <c r="AC150" s="57">
        <f t="shared" ref="AC150:AN150" si="78">+$AB150/12</f>
        <v>708.3333333</v>
      </c>
      <c r="AD150" s="57">
        <f t="shared" si="78"/>
        <v>708.3333333</v>
      </c>
      <c r="AE150" s="57">
        <f t="shared" si="78"/>
        <v>708.3333333</v>
      </c>
      <c r="AF150" s="57">
        <f t="shared" si="78"/>
        <v>708.3333333</v>
      </c>
      <c r="AG150" s="57">
        <f t="shared" si="78"/>
        <v>708.3333333</v>
      </c>
      <c r="AH150" s="57">
        <f t="shared" si="78"/>
        <v>708.3333333</v>
      </c>
      <c r="AI150" s="57">
        <f t="shared" si="78"/>
        <v>708.3333333</v>
      </c>
      <c r="AJ150" s="57">
        <f t="shared" si="78"/>
        <v>708.3333333</v>
      </c>
      <c r="AK150" s="57">
        <f t="shared" si="78"/>
        <v>708.3333333</v>
      </c>
      <c r="AL150" s="57">
        <f t="shared" si="78"/>
        <v>708.3333333</v>
      </c>
      <c r="AM150" s="57">
        <f t="shared" si="78"/>
        <v>708.3333333</v>
      </c>
      <c r="AN150" s="57">
        <f t="shared" si="78"/>
        <v>708.3333333</v>
      </c>
      <c r="AO150" s="27">
        <f t="shared" si="6"/>
        <v>0</v>
      </c>
    </row>
    <row r="151" ht="15.75" customHeight="1">
      <c r="A151" s="15" t="s">
        <v>489</v>
      </c>
      <c r="B151" s="15" t="s">
        <v>177</v>
      </c>
      <c r="C151" s="15" t="s">
        <v>119</v>
      </c>
      <c r="D151" s="56">
        <f>SUMIF('2015-16 12 Mnths'!$A:$A,'Detail 18-19'!$A151,'2015-16 12 Mnths'!C:C)-SUMIF('Budget 12 Mnths'!$A:$A,'Detail 18-19'!$A151,'Budget 12 Mnths'!D:D)</f>
        <v>-38.59</v>
      </c>
      <c r="E151" s="56">
        <f>SUMIF('2015-16 12 Mnths'!$A:$A,'Detail 18-19'!$A151,'2015-16 12 Mnths'!D:D)-SUMIF('Budget 12 Mnths'!$A:$A,'Detail 18-19'!$A151,'Budget 12 Mnths'!E:E)</f>
        <v>-123.88</v>
      </c>
      <c r="F151" s="56">
        <f>SUMIF('2015-16 12 Mnths'!$A:$A,'Detail 18-19'!$A151,'2015-16 12 Mnths'!E:E)-SUMIF('Budget 12 Mnths'!$A:$A,'Detail 18-19'!$A151,'Budget 12 Mnths'!F:F)</f>
        <v>-111.9</v>
      </c>
      <c r="G151" s="56">
        <f>SUMIF('2015-16 12 Mnths'!$A:$A,'Detail 18-19'!$A151,'2015-16 12 Mnths'!F:F)-SUMIF('Budget 12 Mnths'!$A:$A,'Detail 18-19'!$A151,'Budget 12 Mnths'!G:G)</f>
        <v>-13.43</v>
      </c>
      <c r="H151" s="56">
        <f>SUMIF('2015-16 12 Mnths'!$A:$A,'Detail 18-19'!$A151,'2015-16 12 Mnths'!G:G)-SUMIF('Budget 12 Mnths'!$A:$A,'Detail 18-19'!$A151,'Budget 12 Mnths'!H:H)</f>
        <v>-83.33</v>
      </c>
      <c r="I151" s="56">
        <f>SUMIF('2015-16 12 Mnths'!$A:$A,'Detail 18-19'!$A151,'2015-16 12 Mnths'!H:H)-SUMIF('Budget 12 Mnths'!$A:$A,'Detail 18-19'!$A151,'Budget 12 Mnths'!I:I)</f>
        <v>-54.05</v>
      </c>
      <c r="J151" s="56">
        <f>SUMIF('2015-16 12 Mnths'!$A:$A,'Detail 18-19'!$A151,'2015-16 12 Mnths'!I:I)-SUMIF('Budget 12 Mnths'!$A:$A,'Detail 18-19'!$A151,'Budget 12 Mnths'!J:J)</f>
        <v>-162.17</v>
      </c>
      <c r="K151" s="56">
        <f>SUMIF('2015-16 12 Mnths'!$A:$A,'Detail 18-19'!$A151,'2015-16 12 Mnths'!J:J)-SUMIF('Budget 12 Mnths'!$A:$A,'Detail 18-19'!$A151,'Budget 12 Mnths'!K:K)</f>
        <v>-150.72</v>
      </c>
      <c r="L151" s="56">
        <f>SUMIF('2015-16 12 Mnths'!$A:$A,'Detail 18-19'!$A151,'2015-16 12 Mnths'!K:K)-SUMIF('Budget 12 Mnths'!$A:$A,'Detail 18-19'!$A151,'Budget 12 Mnths'!L:L)</f>
        <v>-166.67</v>
      </c>
      <c r="M151" s="56"/>
      <c r="N151" s="56"/>
      <c r="O151" s="56"/>
      <c r="P151" s="56">
        <f t="shared" si="1"/>
        <v>-904.74</v>
      </c>
      <c r="Q151" s="14" t="str">
        <f>+VLOOKUP(A151,Mapping!$A$1:$E$443,5,FALSE)</f>
        <v>School Supplies</v>
      </c>
      <c r="R151" s="26">
        <f>+SUMIF('Budget 12 Mnths'!$A:$A,'Detail 18-19'!$A151,'Budget 12 Mnths'!$P:$P)</f>
        <v>1999.98</v>
      </c>
      <c r="S151" s="26">
        <f>+SUMIF('2015-16 12 Mnths'!$A:$A,'Detail 18-19'!$A151,'2015-16 12 Mnths'!$O:$O)</f>
        <v>845.25</v>
      </c>
      <c r="T151" s="57">
        <f t="shared" si="2"/>
        <v>-0.4523745237</v>
      </c>
      <c r="U151" s="57">
        <f t="shared" si="3"/>
        <v>-1.070381544</v>
      </c>
      <c r="V151" s="8" t="s">
        <v>641</v>
      </c>
      <c r="W151" s="27">
        <v>2000.0</v>
      </c>
      <c r="X151" s="27">
        <f t="shared" si="74"/>
        <v>2000</v>
      </c>
      <c r="Z151" s="57">
        <v>1500.0</v>
      </c>
      <c r="AA151" s="57" t="str">
        <f>IFERROR(+VLOOKUP(A151,Key!$A$1:$C$219,2,FALSE),"NOT FOUND")</f>
        <v>6400-1U</v>
      </c>
      <c r="AB151" s="27">
        <v>2000.0</v>
      </c>
      <c r="AC151" s="27">
        <v>1000.0</v>
      </c>
      <c r="AD151" s="27">
        <v>500.0</v>
      </c>
      <c r="AE151" s="27"/>
      <c r="AF151" s="27"/>
      <c r="AG151" s="27"/>
      <c r="AH151" s="27"/>
      <c r="AI151" s="27">
        <v>500.0</v>
      </c>
      <c r="AJ151" s="27"/>
      <c r="AK151" s="27"/>
      <c r="AL151" s="27"/>
      <c r="AM151" s="27"/>
      <c r="AN151" s="27"/>
      <c r="AO151" s="27">
        <f t="shared" si="6"/>
        <v>0</v>
      </c>
    </row>
    <row r="152" ht="15.75" hidden="1" customHeight="1">
      <c r="A152" s="15" t="s">
        <v>490</v>
      </c>
      <c r="B152" s="15" t="s">
        <v>491</v>
      </c>
      <c r="C152" s="15" t="s">
        <v>119</v>
      </c>
      <c r="D152" s="56">
        <f>SUMIF('2015-16 12 Mnths'!$A:$A,'Detail 18-19'!$A152,'2015-16 12 Mnths'!C:C)-SUMIF('Budget 12 Mnths'!$A:$A,'Detail 18-19'!$A152,'Budget 12 Mnths'!D:D)</f>
        <v>0</v>
      </c>
      <c r="E152" s="56">
        <f>SUMIF('2015-16 12 Mnths'!$A:$A,'Detail 18-19'!$A152,'2015-16 12 Mnths'!D:D)-SUMIF('Budget 12 Mnths'!$A:$A,'Detail 18-19'!$A152,'Budget 12 Mnths'!E:E)</f>
        <v>0</v>
      </c>
      <c r="F152" s="56">
        <f>SUMIF('2015-16 12 Mnths'!$A:$A,'Detail 18-19'!$A152,'2015-16 12 Mnths'!E:E)-SUMIF('Budget 12 Mnths'!$A:$A,'Detail 18-19'!$A152,'Budget 12 Mnths'!F:F)</f>
        <v>0</v>
      </c>
      <c r="G152" s="56">
        <f>SUMIF('2015-16 12 Mnths'!$A:$A,'Detail 18-19'!$A152,'2015-16 12 Mnths'!F:F)-SUMIF('Budget 12 Mnths'!$A:$A,'Detail 18-19'!$A152,'Budget 12 Mnths'!G:G)</f>
        <v>0</v>
      </c>
      <c r="H152" s="56">
        <f>SUMIF('2015-16 12 Mnths'!$A:$A,'Detail 18-19'!$A152,'2015-16 12 Mnths'!G:G)-SUMIF('Budget 12 Mnths'!$A:$A,'Detail 18-19'!$A152,'Budget 12 Mnths'!H:H)</f>
        <v>0</v>
      </c>
      <c r="I152" s="56">
        <f>SUMIF('2015-16 12 Mnths'!$A:$A,'Detail 18-19'!$A152,'2015-16 12 Mnths'!H:H)-SUMIF('Budget 12 Mnths'!$A:$A,'Detail 18-19'!$A152,'Budget 12 Mnths'!I:I)</f>
        <v>0</v>
      </c>
      <c r="J152" s="56">
        <f>SUMIF('2015-16 12 Mnths'!$A:$A,'Detail 18-19'!$A152,'2015-16 12 Mnths'!I:I)-SUMIF('Budget 12 Mnths'!$A:$A,'Detail 18-19'!$A152,'Budget 12 Mnths'!J:J)</f>
        <v>0</v>
      </c>
      <c r="K152" s="56">
        <f>SUMIF('2015-16 12 Mnths'!$A:$A,'Detail 18-19'!$A152,'2015-16 12 Mnths'!J:J)-SUMIF('Budget 12 Mnths'!$A:$A,'Detail 18-19'!$A152,'Budget 12 Mnths'!K:K)</f>
        <v>0</v>
      </c>
      <c r="L152" s="56">
        <f>SUMIF('2015-16 12 Mnths'!$A:$A,'Detail 18-19'!$A152,'2015-16 12 Mnths'!K:K)-SUMIF('Budget 12 Mnths'!$A:$A,'Detail 18-19'!$A152,'Budget 12 Mnths'!L:L)</f>
        <v>0</v>
      </c>
      <c r="M152" s="56"/>
      <c r="N152" s="56"/>
      <c r="O152" s="56"/>
      <c r="P152" s="56">
        <f t="shared" si="1"/>
        <v>0</v>
      </c>
      <c r="Q152" s="14" t="str">
        <f>+VLOOKUP(A152,Mapping!$A$1:$E$443,5,FALSE)</f>
        <v>School Supplies</v>
      </c>
      <c r="R152" s="26">
        <f>+SUMIF('Budget 12 Mnths'!$A:$A,'Detail 18-19'!$A152,'Budget 12 Mnths'!$P:$P)</f>
        <v>0</v>
      </c>
      <c r="S152" s="26">
        <f>+SUMIF('2015-16 12 Mnths'!$A:$A,'Detail 18-19'!$A152,'2015-16 12 Mnths'!$O:$O)</f>
        <v>0</v>
      </c>
      <c r="T152" s="57">
        <f t="shared" si="2"/>
        <v>0</v>
      </c>
      <c r="U152" s="57">
        <f t="shared" si="3"/>
        <v>0</v>
      </c>
      <c r="W152" s="27"/>
      <c r="X152" s="27" t="str">
        <f t="shared" si="74"/>
        <v/>
      </c>
      <c r="Z152" s="57">
        <f>+X152/2</f>
        <v>0</v>
      </c>
      <c r="AA152" s="57" t="str">
        <f>IFERROR(+VLOOKUP(A152,Key!$A$1:$C$219,2,FALSE),"NOT FOUND")</f>
        <v>NOT FOUND</v>
      </c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>
        <f t="shared" si="6"/>
        <v>0</v>
      </c>
    </row>
    <row r="153" ht="15.75" customHeight="1">
      <c r="A153" s="15" t="s">
        <v>492</v>
      </c>
      <c r="B153" s="15" t="s">
        <v>146</v>
      </c>
      <c r="C153" s="15" t="s">
        <v>119</v>
      </c>
      <c r="D153" s="56">
        <f>SUMIF('2015-16 12 Mnths'!$A:$A,'Detail 18-19'!$A153,'2015-16 12 Mnths'!C:C)-SUMIF('Budget 12 Mnths'!$A:$A,'Detail 18-19'!$A153,'Budget 12 Mnths'!D:D)</f>
        <v>835.54</v>
      </c>
      <c r="E153" s="56">
        <f>SUMIF('2015-16 12 Mnths'!$A:$A,'Detail 18-19'!$A153,'2015-16 12 Mnths'!D:D)-SUMIF('Budget 12 Mnths'!$A:$A,'Detail 18-19'!$A153,'Budget 12 Mnths'!E:E)</f>
        <v>584.03</v>
      </c>
      <c r="F153" s="56">
        <f>SUMIF('2015-16 12 Mnths'!$A:$A,'Detail 18-19'!$A153,'2015-16 12 Mnths'!E:E)-SUMIF('Budget 12 Mnths'!$A:$A,'Detail 18-19'!$A153,'Budget 12 Mnths'!F:F)</f>
        <v>-71.63</v>
      </c>
      <c r="G153" s="56">
        <f>SUMIF('2015-16 12 Mnths'!$A:$A,'Detail 18-19'!$A153,'2015-16 12 Mnths'!F:F)-SUMIF('Budget 12 Mnths'!$A:$A,'Detail 18-19'!$A153,'Budget 12 Mnths'!G:G)</f>
        <v>10.95</v>
      </c>
      <c r="H153" s="56">
        <f>SUMIF('2015-16 12 Mnths'!$A:$A,'Detail 18-19'!$A153,'2015-16 12 Mnths'!G:G)-SUMIF('Budget 12 Mnths'!$A:$A,'Detail 18-19'!$A153,'Budget 12 Mnths'!H:H)</f>
        <v>-166.84</v>
      </c>
      <c r="I153" s="56">
        <f>SUMIF('2015-16 12 Mnths'!$A:$A,'Detail 18-19'!$A153,'2015-16 12 Mnths'!H:H)-SUMIF('Budget 12 Mnths'!$A:$A,'Detail 18-19'!$A153,'Budget 12 Mnths'!I:I)</f>
        <v>-97.93</v>
      </c>
      <c r="J153" s="56">
        <f>SUMIF('2015-16 12 Mnths'!$A:$A,'Detail 18-19'!$A153,'2015-16 12 Mnths'!I:I)-SUMIF('Budget 12 Mnths'!$A:$A,'Detail 18-19'!$A153,'Budget 12 Mnths'!J:J)</f>
        <v>218.18</v>
      </c>
      <c r="K153" s="56">
        <f>SUMIF('2015-16 12 Mnths'!$A:$A,'Detail 18-19'!$A153,'2015-16 12 Mnths'!J:J)-SUMIF('Budget 12 Mnths'!$A:$A,'Detail 18-19'!$A153,'Budget 12 Mnths'!K:K)</f>
        <v>323.25</v>
      </c>
      <c r="L153" s="56">
        <f>SUMIF('2015-16 12 Mnths'!$A:$A,'Detail 18-19'!$A153,'2015-16 12 Mnths'!K:K)-SUMIF('Budget 12 Mnths'!$A:$A,'Detail 18-19'!$A153,'Budget 12 Mnths'!L:L)</f>
        <v>-232.2</v>
      </c>
      <c r="M153" s="56"/>
      <c r="N153" s="56"/>
      <c r="O153" s="56"/>
      <c r="P153" s="56">
        <f t="shared" si="1"/>
        <v>1403.35</v>
      </c>
      <c r="Q153" s="14" t="str">
        <f>+VLOOKUP(A153,Mapping!$A$1:$E$443,5,FALSE)</f>
        <v>Office Supplies</v>
      </c>
      <c r="R153" s="26">
        <f>+SUMIF('Budget 12 Mnths'!$A:$A,'Detail 18-19'!$A153,'Budget 12 Mnths'!$P:$P)</f>
        <v>2500.03</v>
      </c>
      <c r="S153" s="26">
        <f>+SUMIF('2015-16 12 Mnths'!$A:$A,'Detail 18-19'!$A153,'2015-16 12 Mnths'!$O:$O)</f>
        <v>3722.69</v>
      </c>
      <c r="T153" s="57">
        <f t="shared" si="2"/>
        <v>0.561333264</v>
      </c>
      <c r="U153" s="57">
        <f t="shared" si="3"/>
        <v>0.3769720283</v>
      </c>
      <c r="V153" s="8" t="s">
        <v>451</v>
      </c>
      <c r="W153" s="27">
        <f t="shared" ref="W153:W154" si="79">+S153/9*12</f>
        <v>4963.586667</v>
      </c>
      <c r="X153" s="27">
        <v>2500.0</v>
      </c>
      <c r="Y153" s="8" t="s">
        <v>601</v>
      </c>
      <c r="Z153" s="57">
        <f t="shared" ref="Z153:Z154" si="80">+X153/0.75</f>
        <v>3333.333333</v>
      </c>
      <c r="AA153" s="57" t="str">
        <f>IFERROR(+VLOOKUP(A153,Key!$A$1:$C$219,2,FALSE),"NOT FOUND")</f>
        <v>6410-1U</v>
      </c>
      <c r="AB153" s="27">
        <v>2500.0</v>
      </c>
      <c r="AC153" s="57">
        <f t="shared" ref="AC153:AC154" si="81">+$AB153*0.67*0.5</f>
        <v>837.5</v>
      </c>
      <c r="AD153" s="57">
        <f t="shared" ref="AD153:AD154" si="82">+$AB153*0.33*0.5</f>
        <v>412.5</v>
      </c>
      <c r="AE153" s="27"/>
      <c r="AF153" s="27"/>
      <c r="AG153" s="27"/>
      <c r="AH153" s="27"/>
      <c r="AI153" s="57">
        <f t="shared" ref="AI153:AI154" si="83">+$AB153*0.67*0.5</f>
        <v>837.5</v>
      </c>
      <c r="AJ153" s="57">
        <f t="shared" ref="AJ153:AJ154" si="84">+$AB153*0.33*0.5</f>
        <v>412.5</v>
      </c>
      <c r="AK153" s="27"/>
      <c r="AL153" s="27"/>
      <c r="AM153" s="27"/>
      <c r="AN153" s="27"/>
      <c r="AO153" s="27">
        <f t="shared" si="6"/>
        <v>0</v>
      </c>
    </row>
    <row r="154" ht="15.75" customHeight="1">
      <c r="A154" s="15" t="s">
        <v>493</v>
      </c>
      <c r="B154" s="15" t="s">
        <v>146</v>
      </c>
      <c r="C154" s="15" t="s">
        <v>119</v>
      </c>
      <c r="D154" s="56">
        <f>SUMIF('2015-16 12 Mnths'!$A:$A,'Detail 18-19'!$A154,'2015-16 12 Mnths'!C:C)-SUMIF('Budget 12 Mnths'!$A:$A,'Detail 18-19'!$A154,'Budget 12 Mnths'!D:D)</f>
        <v>43</v>
      </c>
      <c r="E154" s="56">
        <f>SUMIF('2015-16 12 Mnths'!$A:$A,'Detail 18-19'!$A154,'2015-16 12 Mnths'!D:D)-SUMIF('Budget 12 Mnths'!$A:$A,'Detail 18-19'!$A154,'Budget 12 Mnths'!E:E)</f>
        <v>229.93</v>
      </c>
      <c r="F154" s="56">
        <f>SUMIF('2015-16 12 Mnths'!$A:$A,'Detail 18-19'!$A154,'2015-16 12 Mnths'!E:E)-SUMIF('Budget 12 Mnths'!$A:$A,'Detail 18-19'!$A154,'Budget 12 Mnths'!F:F)</f>
        <v>-45.96</v>
      </c>
      <c r="G154" s="56">
        <f>SUMIF('2015-16 12 Mnths'!$A:$A,'Detail 18-19'!$A154,'2015-16 12 Mnths'!F:F)-SUMIF('Budget 12 Mnths'!$A:$A,'Detail 18-19'!$A154,'Budget 12 Mnths'!G:G)</f>
        <v>-105.26</v>
      </c>
      <c r="H154" s="56">
        <f>SUMIF('2015-16 12 Mnths'!$A:$A,'Detail 18-19'!$A154,'2015-16 12 Mnths'!G:G)-SUMIF('Budget 12 Mnths'!$A:$A,'Detail 18-19'!$A154,'Budget 12 Mnths'!H:H)</f>
        <v>-105.26</v>
      </c>
      <c r="I154" s="56">
        <f>SUMIF('2015-16 12 Mnths'!$A:$A,'Detail 18-19'!$A154,'2015-16 12 Mnths'!H:H)-SUMIF('Budget 12 Mnths'!$A:$A,'Detail 18-19'!$A154,'Budget 12 Mnths'!I:I)</f>
        <v>-105.26</v>
      </c>
      <c r="J154" s="56">
        <f>SUMIF('2015-16 12 Mnths'!$A:$A,'Detail 18-19'!$A154,'2015-16 12 Mnths'!I:I)-SUMIF('Budget 12 Mnths'!$A:$A,'Detail 18-19'!$A154,'Budget 12 Mnths'!J:J)</f>
        <v>330.98</v>
      </c>
      <c r="K154" s="56">
        <f>SUMIF('2015-16 12 Mnths'!$A:$A,'Detail 18-19'!$A154,'2015-16 12 Mnths'!J:J)-SUMIF('Budget 12 Mnths'!$A:$A,'Detail 18-19'!$A154,'Budget 12 Mnths'!K:K)</f>
        <v>52.82</v>
      </c>
      <c r="L154" s="56">
        <f>SUMIF('2015-16 12 Mnths'!$A:$A,'Detail 18-19'!$A154,'2015-16 12 Mnths'!K:K)-SUMIF('Budget 12 Mnths'!$A:$A,'Detail 18-19'!$A154,'Budget 12 Mnths'!L:L)</f>
        <v>-105.26</v>
      </c>
      <c r="M154" s="56"/>
      <c r="N154" s="56"/>
      <c r="O154" s="56"/>
      <c r="P154" s="56">
        <f t="shared" si="1"/>
        <v>189.73</v>
      </c>
      <c r="Q154" s="14" t="str">
        <f>+VLOOKUP(A154,Mapping!$A$1:$E$443,5,FALSE)</f>
        <v>Office Supplies</v>
      </c>
      <c r="R154" s="26">
        <f>+SUMIF('Budget 12 Mnths'!$A:$A,'Detail 18-19'!$A154,'Budget 12 Mnths'!$P:$P)</f>
        <v>1000</v>
      </c>
      <c r="S154" s="26">
        <f>+SUMIF('2015-16 12 Mnths'!$A:$A,'Detail 18-19'!$A154,'2015-16 12 Mnths'!$O:$O)</f>
        <v>979.19</v>
      </c>
      <c r="T154" s="57">
        <f t="shared" si="2"/>
        <v>0.18973</v>
      </c>
      <c r="U154" s="57">
        <f t="shared" si="3"/>
        <v>0.1937621912</v>
      </c>
      <c r="V154" s="8" t="s">
        <v>451</v>
      </c>
      <c r="W154" s="27">
        <f t="shared" si="79"/>
        <v>1305.586667</v>
      </c>
      <c r="X154" s="27">
        <v>1750.0</v>
      </c>
      <c r="Y154" s="8" t="s">
        <v>601</v>
      </c>
      <c r="Z154" s="57">
        <f t="shared" si="80"/>
        <v>2333.333333</v>
      </c>
      <c r="AA154" s="57" t="str">
        <f>IFERROR(+VLOOKUP(A154,Key!$A$1:$C$219,2,FALSE),"NOT FOUND")</f>
        <v>6410-2U</v>
      </c>
      <c r="AB154" s="27">
        <v>2000.0</v>
      </c>
      <c r="AC154" s="57">
        <f t="shared" si="81"/>
        <v>670</v>
      </c>
      <c r="AD154" s="57">
        <f t="shared" si="82"/>
        <v>330</v>
      </c>
      <c r="AE154" s="27"/>
      <c r="AF154" s="27"/>
      <c r="AG154" s="27"/>
      <c r="AH154" s="27"/>
      <c r="AI154" s="57">
        <f t="shared" si="83"/>
        <v>670</v>
      </c>
      <c r="AJ154" s="57">
        <f t="shared" si="84"/>
        <v>330</v>
      </c>
      <c r="AK154" s="27"/>
      <c r="AL154" s="27"/>
      <c r="AM154" s="27"/>
      <c r="AN154" s="27"/>
      <c r="AO154" s="27">
        <f t="shared" si="6"/>
        <v>0</v>
      </c>
    </row>
    <row r="155" ht="15.75" hidden="1" customHeight="1">
      <c r="A155" s="15" t="s">
        <v>494</v>
      </c>
      <c r="B155" s="15" t="s">
        <v>146</v>
      </c>
      <c r="C155" s="15" t="s">
        <v>119</v>
      </c>
      <c r="D155" s="56">
        <f>SUMIF('2015-16 12 Mnths'!$A:$A,'Detail 18-19'!$A155,'2015-16 12 Mnths'!C:C)-SUMIF('Budget 12 Mnths'!$A:$A,'Detail 18-19'!$A155,'Budget 12 Mnths'!D:D)</f>
        <v>0</v>
      </c>
      <c r="E155" s="56">
        <f>SUMIF('2015-16 12 Mnths'!$A:$A,'Detail 18-19'!$A155,'2015-16 12 Mnths'!D:D)-SUMIF('Budget 12 Mnths'!$A:$A,'Detail 18-19'!$A155,'Budget 12 Mnths'!E:E)</f>
        <v>0</v>
      </c>
      <c r="F155" s="56">
        <f>SUMIF('2015-16 12 Mnths'!$A:$A,'Detail 18-19'!$A155,'2015-16 12 Mnths'!E:E)-SUMIF('Budget 12 Mnths'!$A:$A,'Detail 18-19'!$A155,'Budget 12 Mnths'!F:F)</f>
        <v>0</v>
      </c>
      <c r="G155" s="56">
        <f>SUMIF('2015-16 12 Mnths'!$A:$A,'Detail 18-19'!$A155,'2015-16 12 Mnths'!F:F)-SUMIF('Budget 12 Mnths'!$A:$A,'Detail 18-19'!$A155,'Budget 12 Mnths'!G:G)</f>
        <v>0</v>
      </c>
      <c r="H155" s="56">
        <f>SUMIF('2015-16 12 Mnths'!$A:$A,'Detail 18-19'!$A155,'2015-16 12 Mnths'!G:G)-SUMIF('Budget 12 Mnths'!$A:$A,'Detail 18-19'!$A155,'Budget 12 Mnths'!H:H)</f>
        <v>0</v>
      </c>
      <c r="I155" s="56">
        <f>SUMIF('2015-16 12 Mnths'!$A:$A,'Detail 18-19'!$A155,'2015-16 12 Mnths'!H:H)-SUMIF('Budget 12 Mnths'!$A:$A,'Detail 18-19'!$A155,'Budget 12 Mnths'!I:I)</f>
        <v>0</v>
      </c>
      <c r="J155" s="56">
        <f>SUMIF('2015-16 12 Mnths'!$A:$A,'Detail 18-19'!$A155,'2015-16 12 Mnths'!I:I)-SUMIF('Budget 12 Mnths'!$A:$A,'Detail 18-19'!$A155,'Budget 12 Mnths'!J:J)</f>
        <v>0</v>
      </c>
      <c r="K155" s="56">
        <f>SUMIF('2015-16 12 Mnths'!$A:$A,'Detail 18-19'!$A155,'2015-16 12 Mnths'!J:J)-SUMIF('Budget 12 Mnths'!$A:$A,'Detail 18-19'!$A155,'Budget 12 Mnths'!K:K)</f>
        <v>0</v>
      </c>
      <c r="L155" s="56">
        <f>SUMIF('2015-16 12 Mnths'!$A:$A,'Detail 18-19'!$A155,'2015-16 12 Mnths'!K:K)-SUMIF('Budget 12 Mnths'!$A:$A,'Detail 18-19'!$A155,'Budget 12 Mnths'!L:L)</f>
        <v>0</v>
      </c>
      <c r="M155" s="56"/>
      <c r="N155" s="56"/>
      <c r="O155" s="56"/>
      <c r="P155" s="56">
        <f t="shared" si="1"/>
        <v>0</v>
      </c>
      <c r="Q155" s="14" t="str">
        <f>+VLOOKUP(A155,Mapping!$A$1:$E$443,5,FALSE)</f>
        <v>Office Supplies</v>
      </c>
      <c r="R155" s="26">
        <f>+SUMIF('Budget 12 Mnths'!$A:$A,'Detail 18-19'!$A155,'Budget 12 Mnths'!$P:$P)</f>
        <v>0</v>
      </c>
      <c r="S155" s="26">
        <f>+SUMIF('2015-16 12 Mnths'!$A:$A,'Detail 18-19'!$A155,'2015-16 12 Mnths'!$O:$O)</f>
        <v>0</v>
      </c>
      <c r="T155" s="57">
        <f t="shared" si="2"/>
        <v>0</v>
      </c>
      <c r="U155" s="57">
        <f t="shared" si="3"/>
        <v>0</v>
      </c>
      <c r="W155" s="27"/>
      <c r="X155" s="27" t="str">
        <f t="shared" ref="X155:X159" si="85">+W155</f>
        <v/>
      </c>
      <c r="Z155" s="57">
        <f t="shared" ref="Z155:Z168" si="86">+X155/2</f>
        <v>0</v>
      </c>
      <c r="AA155" s="57" t="str">
        <f>IFERROR(+VLOOKUP(A155,Key!$A$1:$C$219,2,FALSE),"NOT FOUND")</f>
        <v>6410-3U</v>
      </c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>
        <f t="shared" si="6"/>
        <v>0</v>
      </c>
    </row>
    <row r="156" ht="15.75" customHeight="1">
      <c r="A156" s="15" t="s">
        <v>495</v>
      </c>
      <c r="B156" s="15" t="s">
        <v>496</v>
      </c>
      <c r="C156" s="15" t="s">
        <v>119</v>
      </c>
      <c r="D156" s="56">
        <f>SUMIF('2015-16 12 Mnths'!$A:$A,'Detail 18-19'!$A156,'2015-16 12 Mnths'!C:C)-SUMIF('Budget 12 Mnths'!$A:$A,'Detail 18-19'!$A156,'Budget 12 Mnths'!D:D)</f>
        <v>-70.67</v>
      </c>
      <c r="E156" s="56">
        <f>SUMIF('2015-16 12 Mnths'!$A:$A,'Detail 18-19'!$A156,'2015-16 12 Mnths'!D:D)-SUMIF('Budget 12 Mnths'!$A:$A,'Detail 18-19'!$A156,'Budget 12 Mnths'!E:E)</f>
        <v>199.33</v>
      </c>
      <c r="F156" s="56">
        <f>SUMIF('2015-16 12 Mnths'!$A:$A,'Detail 18-19'!$A156,'2015-16 12 Mnths'!E:E)-SUMIF('Budget 12 Mnths'!$A:$A,'Detail 18-19'!$A156,'Budget 12 Mnths'!F:F)</f>
        <v>-70.67</v>
      </c>
      <c r="G156" s="56">
        <f>SUMIF('2015-16 12 Mnths'!$A:$A,'Detail 18-19'!$A156,'2015-16 12 Mnths'!F:F)-SUMIF('Budget 12 Mnths'!$A:$A,'Detail 18-19'!$A156,'Budget 12 Mnths'!G:G)</f>
        <v>-70.67</v>
      </c>
      <c r="H156" s="56">
        <f>SUMIF('2015-16 12 Mnths'!$A:$A,'Detail 18-19'!$A156,'2015-16 12 Mnths'!G:G)-SUMIF('Budget 12 Mnths'!$A:$A,'Detail 18-19'!$A156,'Budget 12 Mnths'!H:H)</f>
        <v>-70.67</v>
      </c>
      <c r="I156" s="56">
        <f>SUMIF('2015-16 12 Mnths'!$A:$A,'Detail 18-19'!$A156,'2015-16 12 Mnths'!H:H)-SUMIF('Budget 12 Mnths'!$A:$A,'Detail 18-19'!$A156,'Budget 12 Mnths'!I:I)</f>
        <v>7.33</v>
      </c>
      <c r="J156" s="56">
        <f>SUMIF('2015-16 12 Mnths'!$A:$A,'Detail 18-19'!$A156,'2015-16 12 Mnths'!I:I)-SUMIF('Budget 12 Mnths'!$A:$A,'Detail 18-19'!$A156,'Budget 12 Mnths'!J:J)</f>
        <v>-70.67</v>
      </c>
      <c r="K156" s="56">
        <f>SUMIF('2015-16 12 Mnths'!$A:$A,'Detail 18-19'!$A156,'2015-16 12 Mnths'!J:J)-SUMIF('Budget 12 Mnths'!$A:$A,'Detail 18-19'!$A156,'Budget 12 Mnths'!K:K)</f>
        <v>-70.67</v>
      </c>
      <c r="L156" s="56">
        <f>SUMIF('2015-16 12 Mnths'!$A:$A,'Detail 18-19'!$A156,'2015-16 12 Mnths'!K:K)-SUMIF('Budget 12 Mnths'!$A:$A,'Detail 18-19'!$A156,'Budget 12 Mnths'!L:L)</f>
        <v>-45.67</v>
      </c>
      <c r="M156" s="56"/>
      <c r="N156" s="56"/>
      <c r="O156" s="56"/>
      <c r="P156" s="56">
        <f t="shared" si="1"/>
        <v>-263.03</v>
      </c>
      <c r="Q156" s="14" t="str">
        <f>+VLOOKUP(A156,Mapping!$A$1:$E$443,5,FALSE)</f>
        <v>Dues</v>
      </c>
      <c r="R156" s="26">
        <f>+SUMIF('Budget 12 Mnths'!$A:$A,'Detail 18-19'!$A156,'Budget 12 Mnths'!$P:$P)</f>
        <v>2000.04</v>
      </c>
      <c r="S156" s="26">
        <f>+SUMIF('2015-16 12 Mnths'!$A:$A,'Detail 18-19'!$A156,'2015-16 12 Mnths'!$O:$O)</f>
        <v>1237</v>
      </c>
      <c r="T156" s="57">
        <f t="shared" si="2"/>
        <v>-0.1315123698</v>
      </c>
      <c r="U156" s="57">
        <f t="shared" si="3"/>
        <v>-0.2126354082</v>
      </c>
      <c r="V156" s="8" t="s">
        <v>641</v>
      </c>
      <c r="W156" s="27">
        <v>2000.0</v>
      </c>
      <c r="X156" s="27">
        <f t="shared" si="85"/>
        <v>2000</v>
      </c>
      <c r="Z156" s="57">
        <f t="shared" si="86"/>
        <v>1000</v>
      </c>
      <c r="AA156" s="57" t="str">
        <f>IFERROR(+VLOOKUP(A156,Key!$A$1:$C$219,2,FALSE),"NOT FOUND")</f>
        <v>6415-1U</v>
      </c>
      <c r="AB156" s="27">
        <v>3500.0</v>
      </c>
      <c r="AC156" s="57">
        <f t="shared" ref="AC156:AN156" si="87">+$AB156/12</f>
        <v>291.6666667</v>
      </c>
      <c r="AD156" s="57">
        <f t="shared" si="87"/>
        <v>291.6666667</v>
      </c>
      <c r="AE156" s="57">
        <f t="shared" si="87"/>
        <v>291.6666667</v>
      </c>
      <c r="AF156" s="57">
        <f t="shared" si="87"/>
        <v>291.6666667</v>
      </c>
      <c r="AG156" s="57">
        <f t="shared" si="87"/>
        <v>291.6666667</v>
      </c>
      <c r="AH156" s="57">
        <f t="shared" si="87"/>
        <v>291.6666667</v>
      </c>
      <c r="AI156" s="57">
        <f t="shared" si="87"/>
        <v>291.6666667</v>
      </c>
      <c r="AJ156" s="57">
        <f t="shared" si="87"/>
        <v>291.6666667</v>
      </c>
      <c r="AK156" s="57">
        <f t="shared" si="87"/>
        <v>291.6666667</v>
      </c>
      <c r="AL156" s="57">
        <f t="shared" si="87"/>
        <v>291.6666667</v>
      </c>
      <c r="AM156" s="57">
        <f t="shared" si="87"/>
        <v>291.6666667</v>
      </c>
      <c r="AN156" s="57">
        <f t="shared" si="87"/>
        <v>291.6666667</v>
      </c>
      <c r="AO156" s="27">
        <f t="shared" si="6"/>
        <v>0</v>
      </c>
    </row>
    <row r="157" ht="15.75" hidden="1" customHeight="1">
      <c r="A157" s="15" t="s">
        <v>497</v>
      </c>
      <c r="B157" s="15" t="s">
        <v>496</v>
      </c>
      <c r="C157" s="15" t="s">
        <v>119</v>
      </c>
      <c r="D157" s="56">
        <f>SUMIF('2015-16 12 Mnths'!$A:$A,'Detail 18-19'!$A157,'2015-16 12 Mnths'!C:C)-SUMIF('Budget 12 Mnths'!$A:$A,'Detail 18-19'!$A157,'Budget 12 Mnths'!D:D)</f>
        <v>-41.67</v>
      </c>
      <c r="E157" s="56">
        <f>SUMIF('2015-16 12 Mnths'!$A:$A,'Detail 18-19'!$A157,'2015-16 12 Mnths'!D:D)-SUMIF('Budget 12 Mnths'!$A:$A,'Detail 18-19'!$A157,'Budget 12 Mnths'!E:E)</f>
        <v>-41.67</v>
      </c>
      <c r="F157" s="56">
        <f>SUMIF('2015-16 12 Mnths'!$A:$A,'Detail 18-19'!$A157,'2015-16 12 Mnths'!E:E)-SUMIF('Budget 12 Mnths'!$A:$A,'Detail 18-19'!$A157,'Budget 12 Mnths'!F:F)</f>
        <v>-41.67</v>
      </c>
      <c r="G157" s="56">
        <f>SUMIF('2015-16 12 Mnths'!$A:$A,'Detail 18-19'!$A157,'2015-16 12 Mnths'!F:F)-SUMIF('Budget 12 Mnths'!$A:$A,'Detail 18-19'!$A157,'Budget 12 Mnths'!G:G)</f>
        <v>-41.67</v>
      </c>
      <c r="H157" s="56">
        <f>SUMIF('2015-16 12 Mnths'!$A:$A,'Detail 18-19'!$A157,'2015-16 12 Mnths'!G:G)-SUMIF('Budget 12 Mnths'!$A:$A,'Detail 18-19'!$A157,'Budget 12 Mnths'!H:H)</f>
        <v>-41.67</v>
      </c>
      <c r="I157" s="56">
        <f>SUMIF('2015-16 12 Mnths'!$A:$A,'Detail 18-19'!$A157,'2015-16 12 Mnths'!H:H)-SUMIF('Budget 12 Mnths'!$A:$A,'Detail 18-19'!$A157,'Budget 12 Mnths'!I:I)</f>
        <v>18.32</v>
      </c>
      <c r="J157" s="56">
        <f>SUMIF('2015-16 12 Mnths'!$A:$A,'Detail 18-19'!$A157,'2015-16 12 Mnths'!I:I)-SUMIF('Budget 12 Mnths'!$A:$A,'Detail 18-19'!$A157,'Budget 12 Mnths'!J:J)</f>
        <v>-41.67</v>
      </c>
      <c r="K157" s="56">
        <f>SUMIF('2015-16 12 Mnths'!$A:$A,'Detail 18-19'!$A157,'2015-16 12 Mnths'!J:J)-SUMIF('Budget 12 Mnths'!$A:$A,'Detail 18-19'!$A157,'Budget 12 Mnths'!K:K)</f>
        <v>18.32</v>
      </c>
      <c r="L157" s="56">
        <f>SUMIF('2015-16 12 Mnths'!$A:$A,'Detail 18-19'!$A157,'2015-16 12 Mnths'!K:K)-SUMIF('Budget 12 Mnths'!$A:$A,'Detail 18-19'!$A157,'Budget 12 Mnths'!L:L)</f>
        <v>-41.67</v>
      </c>
      <c r="M157" s="56"/>
      <c r="N157" s="56"/>
      <c r="O157" s="56"/>
      <c r="P157" s="56">
        <f t="shared" si="1"/>
        <v>-255.05</v>
      </c>
      <c r="Q157" s="14" t="str">
        <f>+VLOOKUP(A157,Mapping!$A$1:$E$443,5,FALSE)</f>
        <v>Dues</v>
      </c>
      <c r="R157" s="26">
        <f>+SUMIF('Budget 12 Mnths'!$A:$A,'Detail 18-19'!$A157,'Budget 12 Mnths'!$P:$P)</f>
        <v>500.04</v>
      </c>
      <c r="S157" s="26">
        <f>+SUMIF('2015-16 12 Mnths'!$A:$A,'Detail 18-19'!$A157,'2015-16 12 Mnths'!$O:$O)</f>
        <v>119.98</v>
      </c>
      <c r="T157" s="57">
        <f t="shared" si="2"/>
        <v>-0.5100591953</v>
      </c>
      <c r="U157" s="57">
        <f t="shared" si="3"/>
        <v>-2.125770962</v>
      </c>
      <c r="V157" s="8" t="s">
        <v>641</v>
      </c>
      <c r="W157" s="27">
        <v>500.0</v>
      </c>
      <c r="X157" s="27">
        <f t="shared" si="85"/>
        <v>500</v>
      </c>
      <c r="Z157" s="57">
        <f t="shared" si="86"/>
        <v>250</v>
      </c>
      <c r="AA157" s="57" t="str">
        <f>IFERROR(+VLOOKUP(A157,Key!$A$1:$C$219,2,FALSE),"NOT FOUND")</f>
        <v>NOT FOUND</v>
      </c>
      <c r="AB157" s="27">
        <v>0.0</v>
      </c>
      <c r="AC157" s="57">
        <f t="shared" ref="AC157:AN157" si="88">+$AB157/12</f>
        <v>0</v>
      </c>
      <c r="AD157" s="57">
        <f t="shared" si="88"/>
        <v>0</v>
      </c>
      <c r="AE157" s="57">
        <f t="shared" si="88"/>
        <v>0</v>
      </c>
      <c r="AF157" s="57">
        <f t="shared" si="88"/>
        <v>0</v>
      </c>
      <c r="AG157" s="57">
        <f t="shared" si="88"/>
        <v>0</v>
      </c>
      <c r="AH157" s="57">
        <f t="shared" si="88"/>
        <v>0</v>
      </c>
      <c r="AI157" s="57">
        <f t="shared" si="88"/>
        <v>0</v>
      </c>
      <c r="AJ157" s="57">
        <f t="shared" si="88"/>
        <v>0</v>
      </c>
      <c r="AK157" s="57">
        <f t="shared" si="88"/>
        <v>0</v>
      </c>
      <c r="AL157" s="57">
        <f t="shared" si="88"/>
        <v>0</v>
      </c>
      <c r="AM157" s="57">
        <f t="shared" si="88"/>
        <v>0</v>
      </c>
      <c r="AN157" s="57">
        <f t="shared" si="88"/>
        <v>0</v>
      </c>
      <c r="AO157" s="27">
        <f t="shared" si="6"/>
        <v>0</v>
      </c>
    </row>
    <row r="158" ht="15.75" customHeight="1">
      <c r="A158" s="15" t="s">
        <v>498</v>
      </c>
      <c r="B158" s="15" t="s">
        <v>496</v>
      </c>
      <c r="C158" s="15" t="s">
        <v>119</v>
      </c>
      <c r="D158" s="56">
        <f>SUMIF('2015-16 12 Mnths'!$A:$A,'Detail 18-19'!$A158,'2015-16 12 Mnths'!C:C)-SUMIF('Budget 12 Mnths'!$A:$A,'Detail 18-19'!$A158,'Budget 12 Mnths'!D:D)</f>
        <v>0</v>
      </c>
      <c r="E158" s="56">
        <f>SUMIF('2015-16 12 Mnths'!$A:$A,'Detail 18-19'!$A158,'2015-16 12 Mnths'!D:D)-SUMIF('Budget 12 Mnths'!$A:$A,'Detail 18-19'!$A158,'Budget 12 Mnths'!E:E)</f>
        <v>27</v>
      </c>
      <c r="F158" s="56">
        <f>SUMIF('2015-16 12 Mnths'!$A:$A,'Detail 18-19'!$A158,'2015-16 12 Mnths'!E:E)-SUMIF('Budget 12 Mnths'!$A:$A,'Detail 18-19'!$A158,'Budget 12 Mnths'!F:F)</f>
        <v>78</v>
      </c>
      <c r="G158" s="56">
        <f>SUMIF('2015-16 12 Mnths'!$A:$A,'Detail 18-19'!$A158,'2015-16 12 Mnths'!F:F)-SUMIF('Budget 12 Mnths'!$A:$A,'Detail 18-19'!$A158,'Budget 12 Mnths'!G:G)</f>
        <v>0</v>
      </c>
      <c r="H158" s="56">
        <f>SUMIF('2015-16 12 Mnths'!$A:$A,'Detail 18-19'!$A158,'2015-16 12 Mnths'!G:G)-SUMIF('Budget 12 Mnths'!$A:$A,'Detail 18-19'!$A158,'Budget 12 Mnths'!H:H)</f>
        <v>0</v>
      </c>
      <c r="I158" s="56">
        <f>SUMIF('2015-16 12 Mnths'!$A:$A,'Detail 18-19'!$A158,'2015-16 12 Mnths'!H:H)-SUMIF('Budget 12 Mnths'!$A:$A,'Detail 18-19'!$A158,'Budget 12 Mnths'!I:I)</f>
        <v>0</v>
      </c>
      <c r="J158" s="56">
        <f>SUMIF('2015-16 12 Mnths'!$A:$A,'Detail 18-19'!$A158,'2015-16 12 Mnths'!I:I)-SUMIF('Budget 12 Mnths'!$A:$A,'Detail 18-19'!$A158,'Budget 12 Mnths'!J:J)</f>
        <v>29.17</v>
      </c>
      <c r="K158" s="56">
        <f>SUMIF('2015-16 12 Mnths'!$A:$A,'Detail 18-19'!$A158,'2015-16 12 Mnths'!J:J)-SUMIF('Budget 12 Mnths'!$A:$A,'Detail 18-19'!$A158,'Budget 12 Mnths'!K:K)</f>
        <v>29.17</v>
      </c>
      <c r="L158" s="56">
        <f>SUMIF('2015-16 12 Mnths'!$A:$A,'Detail 18-19'!$A158,'2015-16 12 Mnths'!K:K)-SUMIF('Budget 12 Mnths'!$A:$A,'Detail 18-19'!$A158,'Budget 12 Mnths'!L:L)</f>
        <v>29.17</v>
      </c>
      <c r="M158" s="56"/>
      <c r="N158" s="56"/>
      <c r="O158" s="56"/>
      <c r="P158" s="56">
        <f t="shared" si="1"/>
        <v>192.51</v>
      </c>
      <c r="Q158" s="14" t="str">
        <f>+VLOOKUP(A158,Mapping!$A$1:$E$443,5,FALSE)</f>
        <v>Dues</v>
      </c>
      <c r="R158" s="26">
        <f>+SUMIF('Budget 12 Mnths'!$A:$A,'Detail 18-19'!$A158,'Budget 12 Mnths'!$P:$P)</f>
        <v>0</v>
      </c>
      <c r="S158" s="26">
        <f>+SUMIF('2015-16 12 Mnths'!$A:$A,'Detail 18-19'!$A158,'2015-16 12 Mnths'!$O:$O)</f>
        <v>192.51</v>
      </c>
      <c r="T158" s="57">
        <f t="shared" si="2"/>
        <v>0</v>
      </c>
      <c r="U158" s="57">
        <f t="shared" si="3"/>
        <v>1</v>
      </c>
      <c r="W158" s="27"/>
      <c r="X158" s="27" t="str">
        <f t="shared" si="85"/>
        <v/>
      </c>
      <c r="Z158" s="57">
        <f t="shared" si="86"/>
        <v>0</v>
      </c>
      <c r="AA158" s="57" t="str">
        <f>IFERROR(+VLOOKUP(A158,Key!$A$1:$C$219,2,FALSE),"NOT FOUND")</f>
        <v>6415-3U</v>
      </c>
      <c r="AB158" s="27">
        <v>1500.0</v>
      </c>
      <c r="AC158" s="57">
        <f t="shared" ref="AC158:AN158" si="89">+$AB158/12</f>
        <v>125</v>
      </c>
      <c r="AD158" s="57">
        <f t="shared" si="89"/>
        <v>125</v>
      </c>
      <c r="AE158" s="57">
        <f t="shared" si="89"/>
        <v>125</v>
      </c>
      <c r="AF158" s="57">
        <f t="shared" si="89"/>
        <v>125</v>
      </c>
      <c r="AG158" s="57">
        <f t="shared" si="89"/>
        <v>125</v>
      </c>
      <c r="AH158" s="57">
        <f t="shared" si="89"/>
        <v>125</v>
      </c>
      <c r="AI158" s="57">
        <f t="shared" si="89"/>
        <v>125</v>
      </c>
      <c r="AJ158" s="57">
        <f t="shared" si="89"/>
        <v>125</v>
      </c>
      <c r="AK158" s="57">
        <f t="shared" si="89"/>
        <v>125</v>
      </c>
      <c r="AL158" s="57">
        <f t="shared" si="89"/>
        <v>125</v>
      </c>
      <c r="AM158" s="57">
        <f t="shared" si="89"/>
        <v>125</v>
      </c>
      <c r="AN158" s="57">
        <f t="shared" si="89"/>
        <v>125</v>
      </c>
      <c r="AO158" s="27">
        <f t="shared" si="6"/>
        <v>0</v>
      </c>
    </row>
    <row r="159" ht="15.75" customHeight="1">
      <c r="A159" s="15" t="s">
        <v>499</v>
      </c>
      <c r="B159" s="15" t="s">
        <v>500</v>
      </c>
      <c r="C159" s="15" t="s">
        <v>119</v>
      </c>
      <c r="D159" s="56">
        <f>SUMIF('2015-16 12 Mnths'!$A:$A,'Detail 18-19'!$A159,'2015-16 12 Mnths'!C:C)-SUMIF('Budget 12 Mnths'!$A:$A,'Detail 18-19'!$A159,'Budget 12 Mnths'!D:D)</f>
        <v>0</v>
      </c>
      <c r="E159" s="56">
        <f>SUMIF('2015-16 12 Mnths'!$A:$A,'Detail 18-19'!$A159,'2015-16 12 Mnths'!D:D)-SUMIF('Budget 12 Mnths'!$A:$A,'Detail 18-19'!$A159,'Budget 12 Mnths'!E:E)</f>
        <v>261.79</v>
      </c>
      <c r="F159" s="56">
        <f>SUMIF('2015-16 12 Mnths'!$A:$A,'Detail 18-19'!$A159,'2015-16 12 Mnths'!E:E)-SUMIF('Budget 12 Mnths'!$A:$A,'Detail 18-19'!$A159,'Budget 12 Mnths'!F:F)</f>
        <v>0</v>
      </c>
      <c r="G159" s="56">
        <f>SUMIF('2015-16 12 Mnths'!$A:$A,'Detail 18-19'!$A159,'2015-16 12 Mnths'!F:F)-SUMIF('Budget 12 Mnths'!$A:$A,'Detail 18-19'!$A159,'Budget 12 Mnths'!G:G)</f>
        <v>0</v>
      </c>
      <c r="H159" s="56">
        <f>SUMIF('2015-16 12 Mnths'!$A:$A,'Detail 18-19'!$A159,'2015-16 12 Mnths'!G:G)-SUMIF('Budget 12 Mnths'!$A:$A,'Detail 18-19'!$A159,'Budget 12 Mnths'!H:H)</f>
        <v>0</v>
      </c>
      <c r="I159" s="56">
        <f>SUMIF('2015-16 12 Mnths'!$A:$A,'Detail 18-19'!$A159,'2015-16 12 Mnths'!H:H)-SUMIF('Budget 12 Mnths'!$A:$A,'Detail 18-19'!$A159,'Budget 12 Mnths'!I:I)</f>
        <v>0</v>
      </c>
      <c r="J159" s="56">
        <f>SUMIF('2015-16 12 Mnths'!$A:$A,'Detail 18-19'!$A159,'2015-16 12 Mnths'!I:I)-SUMIF('Budget 12 Mnths'!$A:$A,'Detail 18-19'!$A159,'Budget 12 Mnths'!J:J)</f>
        <v>-33.33</v>
      </c>
      <c r="K159" s="56">
        <f>SUMIF('2015-16 12 Mnths'!$A:$A,'Detail 18-19'!$A159,'2015-16 12 Mnths'!J:J)-SUMIF('Budget 12 Mnths'!$A:$A,'Detail 18-19'!$A159,'Budget 12 Mnths'!K:K)</f>
        <v>-33.33</v>
      </c>
      <c r="L159" s="56">
        <f>SUMIF('2015-16 12 Mnths'!$A:$A,'Detail 18-19'!$A159,'2015-16 12 Mnths'!K:K)-SUMIF('Budget 12 Mnths'!$A:$A,'Detail 18-19'!$A159,'Budget 12 Mnths'!L:L)</f>
        <v>-33.33</v>
      </c>
      <c r="M159" s="56"/>
      <c r="N159" s="56"/>
      <c r="O159" s="56"/>
      <c r="P159" s="56">
        <f t="shared" si="1"/>
        <v>161.8</v>
      </c>
      <c r="Q159" s="14" t="str">
        <f>+VLOOKUP(A159,Mapping!$A$1:$E$443,5,FALSE)</f>
        <v>Taxes</v>
      </c>
      <c r="R159" s="26">
        <f>+SUMIF('Budget 12 Mnths'!$A:$A,'Detail 18-19'!$A159,'Budget 12 Mnths'!$P:$P)</f>
        <v>99.99</v>
      </c>
      <c r="S159" s="26">
        <f>+SUMIF('2015-16 12 Mnths'!$A:$A,'Detail 18-19'!$A159,'2015-16 12 Mnths'!$O:$O)</f>
        <v>313.54</v>
      </c>
      <c r="T159" s="57">
        <f t="shared" si="2"/>
        <v>1.618161816</v>
      </c>
      <c r="U159" s="57">
        <f t="shared" si="3"/>
        <v>0.5160426102</v>
      </c>
      <c r="V159" s="8" t="s">
        <v>641</v>
      </c>
      <c r="W159" s="27">
        <v>100.0</v>
      </c>
      <c r="X159" s="27">
        <f t="shared" si="85"/>
        <v>100</v>
      </c>
      <c r="Z159" s="57">
        <f t="shared" si="86"/>
        <v>50</v>
      </c>
      <c r="AA159" s="57" t="str">
        <f>IFERROR(+VLOOKUP(A159,Key!$A$1:$C$219,2,FALSE),"NOT FOUND")</f>
        <v>6420-1U</v>
      </c>
      <c r="AB159" s="27">
        <v>100.0</v>
      </c>
      <c r="AC159" s="57">
        <f t="shared" ref="AC159:AN159" si="90">+$AB159/12</f>
        <v>8.333333333</v>
      </c>
      <c r="AD159" s="57">
        <f t="shared" si="90"/>
        <v>8.333333333</v>
      </c>
      <c r="AE159" s="57">
        <f t="shared" si="90"/>
        <v>8.333333333</v>
      </c>
      <c r="AF159" s="57">
        <f t="shared" si="90"/>
        <v>8.333333333</v>
      </c>
      <c r="AG159" s="57">
        <f t="shared" si="90"/>
        <v>8.333333333</v>
      </c>
      <c r="AH159" s="57">
        <f t="shared" si="90"/>
        <v>8.333333333</v>
      </c>
      <c r="AI159" s="57">
        <f t="shared" si="90"/>
        <v>8.333333333</v>
      </c>
      <c r="AJ159" s="57">
        <f t="shared" si="90"/>
        <v>8.333333333</v>
      </c>
      <c r="AK159" s="57">
        <f t="shared" si="90"/>
        <v>8.333333333</v>
      </c>
      <c r="AL159" s="57">
        <f t="shared" si="90"/>
        <v>8.333333333</v>
      </c>
      <c r="AM159" s="57">
        <f t="shared" si="90"/>
        <v>8.333333333</v>
      </c>
      <c r="AN159" s="57">
        <f t="shared" si="90"/>
        <v>8.333333333</v>
      </c>
      <c r="AO159" s="27">
        <f t="shared" si="6"/>
        <v>0</v>
      </c>
    </row>
    <row r="160" ht="15.75" customHeight="1">
      <c r="A160" s="15" t="s">
        <v>501</v>
      </c>
      <c r="B160" s="15" t="s">
        <v>196</v>
      </c>
      <c r="C160" s="15" t="s">
        <v>119</v>
      </c>
      <c r="D160" s="56">
        <f>SUMIF('2015-16 12 Mnths'!$A:$A,'Detail 18-19'!$A160,'2015-16 12 Mnths'!C:C)-SUMIF('Budget 12 Mnths'!$A:$A,'Detail 18-19'!$A160,'Budget 12 Mnths'!D:D)</f>
        <v>-36.72</v>
      </c>
      <c r="E160" s="56">
        <f>SUMIF('2015-16 12 Mnths'!$A:$A,'Detail 18-19'!$A160,'2015-16 12 Mnths'!D:D)-SUMIF('Budget 12 Mnths'!$A:$A,'Detail 18-19'!$A160,'Budget 12 Mnths'!E:E)</f>
        <v>25.75</v>
      </c>
      <c r="F160" s="56">
        <f>SUMIF('2015-16 12 Mnths'!$A:$A,'Detail 18-19'!$A160,'2015-16 12 Mnths'!E:E)-SUMIF('Budget 12 Mnths'!$A:$A,'Detail 18-19'!$A160,'Budget 12 Mnths'!F:F)</f>
        <v>-109.36</v>
      </c>
      <c r="G160" s="56">
        <f>SUMIF('2015-16 12 Mnths'!$A:$A,'Detail 18-19'!$A160,'2015-16 12 Mnths'!F:F)-SUMIF('Budget 12 Mnths'!$A:$A,'Detail 18-19'!$A160,'Budget 12 Mnths'!G:G)</f>
        <v>401.27</v>
      </c>
      <c r="H160" s="56">
        <f>SUMIF('2015-16 12 Mnths'!$A:$A,'Detail 18-19'!$A160,'2015-16 12 Mnths'!G:G)-SUMIF('Budget 12 Mnths'!$A:$A,'Detail 18-19'!$A160,'Budget 12 Mnths'!H:H)</f>
        <v>0</v>
      </c>
      <c r="I160" s="56">
        <f>SUMIF('2015-16 12 Mnths'!$A:$A,'Detail 18-19'!$A160,'2015-16 12 Mnths'!H:H)-SUMIF('Budget 12 Mnths'!$A:$A,'Detail 18-19'!$A160,'Budget 12 Mnths'!I:I)</f>
        <v>0</v>
      </c>
      <c r="J160" s="56">
        <f>SUMIF('2015-16 12 Mnths'!$A:$A,'Detail 18-19'!$A160,'2015-16 12 Mnths'!I:I)-SUMIF('Budget 12 Mnths'!$A:$A,'Detail 18-19'!$A160,'Budget 12 Mnths'!J:J)</f>
        <v>-335.29</v>
      </c>
      <c r="K160" s="56">
        <f>SUMIF('2015-16 12 Mnths'!$A:$A,'Detail 18-19'!$A160,'2015-16 12 Mnths'!J:J)-SUMIF('Budget 12 Mnths'!$A:$A,'Detail 18-19'!$A160,'Budget 12 Mnths'!K:K)</f>
        <v>-416.67</v>
      </c>
      <c r="L160" s="56">
        <f>SUMIF('2015-16 12 Mnths'!$A:$A,'Detail 18-19'!$A160,'2015-16 12 Mnths'!K:K)-SUMIF('Budget 12 Mnths'!$A:$A,'Detail 18-19'!$A160,'Budget 12 Mnths'!L:L)</f>
        <v>-412.3</v>
      </c>
      <c r="M160" s="56"/>
      <c r="N160" s="56"/>
      <c r="O160" s="56"/>
      <c r="P160" s="56">
        <f t="shared" si="1"/>
        <v>-883.32</v>
      </c>
      <c r="Q160" s="14" t="str">
        <f>+VLOOKUP(A160,Mapping!$A$1:$E$443,5,FALSE)</f>
        <v>Textbooks</v>
      </c>
      <c r="R160" s="26">
        <f>+SUMIF('Budget 12 Mnths'!$A:$A,'Detail 18-19'!$A160,'Budget 12 Mnths'!$P:$P)</f>
        <v>5000.01</v>
      </c>
      <c r="S160" s="26">
        <f>+SUMIF('2015-16 12 Mnths'!$A:$A,'Detail 18-19'!$A160,'2015-16 12 Mnths'!$O:$O)</f>
        <v>1616.7</v>
      </c>
      <c r="T160" s="57">
        <f t="shared" si="2"/>
        <v>-0.1766636467</v>
      </c>
      <c r="U160" s="57">
        <f t="shared" si="3"/>
        <v>-0.5463722397</v>
      </c>
      <c r="V160" s="8" t="s">
        <v>641</v>
      </c>
      <c r="W160" s="27">
        <v>0.0</v>
      </c>
      <c r="X160" s="27">
        <v>5000.0</v>
      </c>
      <c r="Z160" s="57">
        <f t="shared" si="86"/>
        <v>2500</v>
      </c>
      <c r="AA160" s="57" t="str">
        <f>IFERROR(+VLOOKUP(A160,Key!$A$1:$C$219,2,FALSE),"NOT FOUND")</f>
        <v>6400-1U</v>
      </c>
      <c r="AB160" s="27">
        <v>5000.0</v>
      </c>
      <c r="AC160" s="27">
        <v>1250.0</v>
      </c>
      <c r="AD160" s="27">
        <v>1250.0</v>
      </c>
      <c r="AE160" s="27"/>
      <c r="AF160" s="27"/>
      <c r="AG160" s="27"/>
      <c r="AH160" s="27"/>
      <c r="AI160" s="27">
        <v>1250.0</v>
      </c>
      <c r="AJ160" s="27">
        <v>1250.0</v>
      </c>
      <c r="AK160" s="27"/>
      <c r="AL160" s="27"/>
      <c r="AM160" s="27"/>
      <c r="AN160" s="27"/>
      <c r="AO160" s="27">
        <f t="shared" si="6"/>
        <v>0</v>
      </c>
    </row>
    <row r="161" ht="15.75" customHeight="1">
      <c r="A161" s="15" t="s">
        <v>502</v>
      </c>
      <c r="B161" s="15" t="s">
        <v>503</v>
      </c>
      <c r="C161" s="15" t="s">
        <v>119</v>
      </c>
      <c r="D161" s="56">
        <f>SUMIF('2015-16 12 Mnths'!$A:$A,'Detail 18-19'!$A161,'2015-16 12 Mnths'!C:C)-SUMIF('Budget 12 Mnths'!$A:$A,'Detail 18-19'!$A161,'Budget 12 Mnths'!D:D)</f>
        <v>-691.59</v>
      </c>
      <c r="E161" s="56">
        <f>SUMIF('2015-16 12 Mnths'!$A:$A,'Detail 18-19'!$A161,'2015-16 12 Mnths'!D:D)-SUMIF('Budget 12 Mnths'!$A:$A,'Detail 18-19'!$A161,'Budget 12 Mnths'!E:E)</f>
        <v>-691.59</v>
      </c>
      <c r="F161" s="56">
        <f>SUMIF('2015-16 12 Mnths'!$A:$A,'Detail 18-19'!$A161,'2015-16 12 Mnths'!E:E)-SUMIF('Budget 12 Mnths'!$A:$A,'Detail 18-19'!$A161,'Budget 12 Mnths'!F:F)</f>
        <v>-691.59</v>
      </c>
      <c r="G161" s="56">
        <f>SUMIF('2015-16 12 Mnths'!$A:$A,'Detail 18-19'!$A161,'2015-16 12 Mnths'!F:F)-SUMIF('Budget 12 Mnths'!$A:$A,'Detail 18-19'!$A161,'Budget 12 Mnths'!G:G)</f>
        <v>-691.59</v>
      </c>
      <c r="H161" s="56">
        <f>SUMIF('2015-16 12 Mnths'!$A:$A,'Detail 18-19'!$A161,'2015-16 12 Mnths'!G:G)-SUMIF('Budget 12 Mnths'!$A:$A,'Detail 18-19'!$A161,'Budget 12 Mnths'!H:H)</f>
        <v>-691.59</v>
      </c>
      <c r="I161" s="56">
        <f>SUMIF('2015-16 12 Mnths'!$A:$A,'Detail 18-19'!$A161,'2015-16 12 Mnths'!H:H)-SUMIF('Budget 12 Mnths'!$A:$A,'Detail 18-19'!$A161,'Budget 12 Mnths'!I:I)</f>
        <v>-691.59</v>
      </c>
      <c r="J161" s="56">
        <f>SUMIF('2015-16 12 Mnths'!$A:$A,'Detail 18-19'!$A161,'2015-16 12 Mnths'!I:I)-SUMIF('Budget 12 Mnths'!$A:$A,'Detail 18-19'!$A161,'Budget 12 Mnths'!J:J)</f>
        <v>-691.59</v>
      </c>
      <c r="K161" s="56">
        <f>SUMIF('2015-16 12 Mnths'!$A:$A,'Detail 18-19'!$A161,'2015-16 12 Mnths'!J:J)-SUMIF('Budget 12 Mnths'!$A:$A,'Detail 18-19'!$A161,'Budget 12 Mnths'!K:K)</f>
        <v>-691.59</v>
      </c>
      <c r="L161" s="56">
        <f>SUMIF('2015-16 12 Mnths'!$A:$A,'Detail 18-19'!$A161,'2015-16 12 Mnths'!K:K)-SUMIF('Budget 12 Mnths'!$A:$A,'Detail 18-19'!$A161,'Budget 12 Mnths'!L:L)</f>
        <v>-691.59</v>
      </c>
      <c r="M161" s="56"/>
      <c r="N161" s="56"/>
      <c r="O161" s="56"/>
      <c r="P161" s="56">
        <f t="shared" si="1"/>
        <v>-6224.31</v>
      </c>
      <c r="Q161" s="14" t="str">
        <f>+VLOOKUP(A161,Mapping!$A$1:$E$443,5,FALSE)</f>
        <v>Insurance</v>
      </c>
      <c r="R161" s="26">
        <f>+SUMIF('Budget 12 Mnths'!$A:$A,'Detail 18-19'!$A161,'Budget 12 Mnths'!$P:$P)</f>
        <v>14000.04</v>
      </c>
      <c r="S161" s="26">
        <f>+SUMIF('2015-16 12 Mnths'!$A:$A,'Detail 18-19'!$A161,'2015-16 12 Mnths'!$O:$O)</f>
        <v>4275.72</v>
      </c>
      <c r="T161" s="57">
        <f t="shared" si="2"/>
        <v>-0.4445923012</v>
      </c>
      <c r="U161" s="57">
        <f t="shared" si="3"/>
        <v>-1.455733771</v>
      </c>
      <c r="V161" s="8" t="s">
        <v>641</v>
      </c>
      <c r="W161" s="27">
        <v>14000.0</v>
      </c>
      <c r="X161" s="27">
        <f t="shared" ref="X161:X175" si="92">+W161</f>
        <v>14000</v>
      </c>
      <c r="Z161" s="57">
        <f t="shared" si="86"/>
        <v>7000</v>
      </c>
      <c r="AA161" s="57" t="str">
        <f>IFERROR(+VLOOKUP(A161,Key!$A$1:$C$219,2,FALSE),"NOT FOUND")</f>
        <v>6500-1U</v>
      </c>
      <c r="AB161" s="27">
        <v>14000.0</v>
      </c>
      <c r="AC161" s="57">
        <f t="shared" ref="AC161:AN161" si="91">+$AB161/12</f>
        <v>1166.666667</v>
      </c>
      <c r="AD161" s="57">
        <f t="shared" si="91"/>
        <v>1166.666667</v>
      </c>
      <c r="AE161" s="57">
        <f t="shared" si="91"/>
        <v>1166.666667</v>
      </c>
      <c r="AF161" s="57">
        <f t="shared" si="91"/>
        <v>1166.666667</v>
      </c>
      <c r="AG161" s="57">
        <f t="shared" si="91"/>
        <v>1166.666667</v>
      </c>
      <c r="AH161" s="57">
        <f t="shared" si="91"/>
        <v>1166.666667</v>
      </c>
      <c r="AI161" s="57">
        <f t="shared" si="91"/>
        <v>1166.666667</v>
      </c>
      <c r="AJ161" s="57">
        <f t="shared" si="91"/>
        <v>1166.666667</v>
      </c>
      <c r="AK161" s="57">
        <f t="shared" si="91"/>
        <v>1166.666667</v>
      </c>
      <c r="AL161" s="57">
        <f t="shared" si="91"/>
        <v>1166.666667</v>
      </c>
      <c r="AM161" s="57">
        <f t="shared" si="91"/>
        <v>1166.666667</v>
      </c>
      <c r="AN161" s="57">
        <f t="shared" si="91"/>
        <v>1166.666667</v>
      </c>
      <c r="AO161" s="27">
        <f t="shared" si="6"/>
        <v>0</v>
      </c>
    </row>
    <row r="162" ht="15.75" hidden="1" customHeight="1">
      <c r="A162" s="15" t="s">
        <v>504</v>
      </c>
      <c r="B162" s="15" t="s">
        <v>505</v>
      </c>
      <c r="C162" s="15" t="s">
        <v>119</v>
      </c>
      <c r="D162" s="56">
        <f>SUMIF('2015-16 12 Mnths'!$A:$A,'Detail 18-19'!$A162,'2015-16 12 Mnths'!C:C)-SUMIF('Budget 12 Mnths'!$A:$A,'Detail 18-19'!$A162,'Budget 12 Mnths'!D:D)</f>
        <v>0</v>
      </c>
      <c r="E162" s="56">
        <f>SUMIF('2015-16 12 Mnths'!$A:$A,'Detail 18-19'!$A162,'2015-16 12 Mnths'!D:D)-SUMIF('Budget 12 Mnths'!$A:$A,'Detail 18-19'!$A162,'Budget 12 Mnths'!E:E)</f>
        <v>0</v>
      </c>
      <c r="F162" s="56">
        <f>SUMIF('2015-16 12 Mnths'!$A:$A,'Detail 18-19'!$A162,'2015-16 12 Mnths'!E:E)-SUMIF('Budget 12 Mnths'!$A:$A,'Detail 18-19'!$A162,'Budget 12 Mnths'!F:F)</f>
        <v>0</v>
      </c>
      <c r="G162" s="56">
        <f>SUMIF('2015-16 12 Mnths'!$A:$A,'Detail 18-19'!$A162,'2015-16 12 Mnths'!F:F)-SUMIF('Budget 12 Mnths'!$A:$A,'Detail 18-19'!$A162,'Budget 12 Mnths'!G:G)</f>
        <v>0</v>
      </c>
      <c r="H162" s="56">
        <f>SUMIF('2015-16 12 Mnths'!$A:$A,'Detail 18-19'!$A162,'2015-16 12 Mnths'!G:G)-SUMIF('Budget 12 Mnths'!$A:$A,'Detail 18-19'!$A162,'Budget 12 Mnths'!H:H)</f>
        <v>0</v>
      </c>
      <c r="I162" s="56">
        <f>SUMIF('2015-16 12 Mnths'!$A:$A,'Detail 18-19'!$A162,'2015-16 12 Mnths'!H:H)-SUMIF('Budget 12 Mnths'!$A:$A,'Detail 18-19'!$A162,'Budget 12 Mnths'!I:I)</f>
        <v>0</v>
      </c>
      <c r="J162" s="56">
        <f>SUMIF('2015-16 12 Mnths'!$A:$A,'Detail 18-19'!$A162,'2015-16 12 Mnths'!I:I)-SUMIF('Budget 12 Mnths'!$A:$A,'Detail 18-19'!$A162,'Budget 12 Mnths'!J:J)</f>
        <v>0</v>
      </c>
      <c r="K162" s="56">
        <f>SUMIF('2015-16 12 Mnths'!$A:$A,'Detail 18-19'!$A162,'2015-16 12 Mnths'!J:J)-SUMIF('Budget 12 Mnths'!$A:$A,'Detail 18-19'!$A162,'Budget 12 Mnths'!K:K)</f>
        <v>0</v>
      </c>
      <c r="L162" s="56">
        <f>SUMIF('2015-16 12 Mnths'!$A:$A,'Detail 18-19'!$A162,'2015-16 12 Mnths'!K:K)-SUMIF('Budget 12 Mnths'!$A:$A,'Detail 18-19'!$A162,'Budget 12 Mnths'!L:L)</f>
        <v>0</v>
      </c>
      <c r="M162" s="56"/>
      <c r="N162" s="56"/>
      <c r="O162" s="56"/>
      <c r="P162" s="56">
        <f t="shared" si="1"/>
        <v>0</v>
      </c>
      <c r="Q162" s="14" t="str">
        <f>+VLOOKUP(A162,Mapping!$A$1:$E$443,5,FALSE)</f>
        <v>Insurance</v>
      </c>
      <c r="R162" s="26">
        <f>+SUMIF('Budget 12 Mnths'!$A:$A,'Detail 18-19'!$A162,'Budget 12 Mnths'!$P:$P)</f>
        <v>0</v>
      </c>
      <c r="S162" s="26">
        <f>+SUMIF('2015-16 12 Mnths'!$A:$A,'Detail 18-19'!$A162,'2015-16 12 Mnths'!$O:$O)</f>
        <v>0</v>
      </c>
      <c r="T162" s="57">
        <f t="shared" si="2"/>
        <v>0</v>
      </c>
      <c r="U162" s="57">
        <f t="shared" si="3"/>
        <v>0</v>
      </c>
      <c r="W162" s="27"/>
      <c r="X162" s="27" t="str">
        <f t="shared" si="92"/>
        <v/>
      </c>
      <c r="Z162" s="57">
        <f t="shared" si="86"/>
        <v>0</v>
      </c>
      <c r="AA162" s="57" t="str">
        <f>IFERROR(+VLOOKUP(A162,Key!$A$1:$C$219,2,FALSE),"NOT FOUND")</f>
        <v>6500-2U</v>
      </c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>
        <f t="shared" si="6"/>
        <v>0</v>
      </c>
    </row>
    <row r="163" ht="15.75" hidden="1" customHeight="1">
      <c r="A163" s="15" t="s">
        <v>506</v>
      </c>
      <c r="B163" s="15" t="s">
        <v>507</v>
      </c>
      <c r="C163" s="15" t="s">
        <v>119</v>
      </c>
      <c r="D163" s="56">
        <f>SUMIF('2015-16 12 Mnths'!$A:$A,'Detail 18-19'!$A163,'2015-16 12 Mnths'!C:C)-SUMIF('Budget 12 Mnths'!$A:$A,'Detail 18-19'!$A163,'Budget 12 Mnths'!D:D)</f>
        <v>270.75</v>
      </c>
      <c r="E163" s="56">
        <f>SUMIF('2015-16 12 Mnths'!$A:$A,'Detail 18-19'!$A163,'2015-16 12 Mnths'!D:D)-SUMIF('Budget 12 Mnths'!$A:$A,'Detail 18-19'!$A163,'Budget 12 Mnths'!E:E)</f>
        <v>291.17</v>
      </c>
      <c r="F163" s="56">
        <f>SUMIF('2015-16 12 Mnths'!$A:$A,'Detail 18-19'!$A163,'2015-16 12 Mnths'!E:E)-SUMIF('Budget 12 Mnths'!$A:$A,'Detail 18-19'!$A163,'Budget 12 Mnths'!F:F)</f>
        <v>291.17</v>
      </c>
      <c r="G163" s="56">
        <f>SUMIF('2015-16 12 Mnths'!$A:$A,'Detail 18-19'!$A163,'2015-16 12 Mnths'!F:F)-SUMIF('Budget 12 Mnths'!$A:$A,'Detail 18-19'!$A163,'Budget 12 Mnths'!G:G)</f>
        <v>607.67</v>
      </c>
      <c r="H163" s="56">
        <f>SUMIF('2015-16 12 Mnths'!$A:$A,'Detail 18-19'!$A163,'2015-16 12 Mnths'!G:G)-SUMIF('Budget 12 Mnths'!$A:$A,'Detail 18-19'!$A163,'Budget 12 Mnths'!H:H)</f>
        <v>607.67</v>
      </c>
      <c r="I163" s="56">
        <f>SUMIF('2015-16 12 Mnths'!$A:$A,'Detail 18-19'!$A163,'2015-16 12 Mnths'!H:H)-SUMIF('Budget 12 Mnths'!$A:$A,'Detail 18-19'!$A163,'Budget 12 Mnths'!I:I)</f>
        <v>607.67</v>
      </c>
      <c r="J163" s="56">
        <f>SUMIF('2015-16 12 Mnths'!$A:$A,'Detail 18-19'!$A163,'2015-16 12 Mnths'!I:I)-SUMIF('Budget 12 Mnths'!$A:$A,'Detail 18-19'!$A163,'Budget 12 Mnths'!J:J)</f>
        <v>607.67</v>
      </c>
      <c r="K163" s="56">
        <f>SUMIF('2015-16 12 Mnths'!$A:$A,'Detail 18-19'!$A163,'2015-16 12 Mnths'!J:J)-SUMIF('Budget 12 Mnths'!$A:$A,'Detail 18-19'!$A163,'Budget 12 Mnths'!K:K)</f>
        <v>607.67</v>
      </c>
      <c r="L163" s="56">
        <f>SUMIF('2015-16 12 Mnths'!$A:$A,'Detail 18-19'!$A163,'2015-16 12 Mnths'!K:K)-SUMIF('Budget 12 Mnths'!$A:$A,'Detail 18-19'!$A163,'Budget 12 Mnths'!L:L)</f>
        <v>607.67</v>
      </c>
      <c r="M163" s="56"/>
      <c r="N163" s="56"/>
      <c r="O163" s="56"/>
      <c r="P163" s="56">
        <f t="shared" si="1"/>
        <v>4499.11</v>
      </c>
      <c r="Q163" s="14" t="str">
        <f>+VLOOKUP(A163,Mapping!$A$1:$E$443,5,FALSE)</f>
        <v>Insurance</v>
      </c>
      <c r="R163" s="26">
        <f>+SUMIF('Budget 12 Mnths'!$A:$A,'Detail 18-19'!$A163,'Budget 12 Mnths'!$P:$P)</f>
        <v>0</v>
      </c>
      <c r="S163" s="26">
        <f>+SUMIF('2015-16 12 Mnths'!$A:$A,'Detail 18-19'!$A163,'2015-16 12 Mnths'!$O:$O)</f>
        <v>4499.11</v>
      </c>
      <c r="T163" s="57">
        <f t="shared" si="2"/>
        <v>0</v>
      </c>
      <c r="U163" s="57">
        <f t="shared" si="3"/>
        <v>1</v>
      </c>
      <c r="W163" s="27"/>
      <c r="X163" s="27" t="str">
        <f t="shared" si="92"/>
        <v/>
      </c>
      <c r="Z163" s="57">
        <f t="shared" si="86"/>
        <v>0</v>
      </c>
      <c r="AA163" s="57" t="str">
        <f>IFERROR(+VLOOKUP(A163,Key!$A$1:$C$219,2,FALSE),"NOT FOUND")</f>
        <v>6505-2U</v>
      </c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>
        <f t="shared" si="6"/>
        <v>0</v>
      </c>
    </row>
    <row r="164" ht="15.75" hidden="1" customHeight="1">
      <c r="A164" s="15" t="s">
        <v>508</v>
      </c>
      <c r="B164" s="15" t="s">
        <v>509</v>
      </c>
      <c r="C164" s="15" t="s">
        <v>119</v>
      </c>
      <c r="D164" s="56">
        <f>SUMIF('2015-16 12 Mnths'!$A:$A,'Detail 18-19'!$A164,'2015-16 12 Mnths'!C:C)-SUMIF('Budget 12 Mnths'!$A:$A,'Detail 18-19'!$A164,'Budget 12 Mnths'!D:D)</f>
        <v>543.87</v>
      </c>
      <c r="E164" s="56">
        <f>SUMIF('2015-16 12 Mnths'!$A:$A,'Detail 18-19'!$A164,'2015-16 12 Mnths'!D:D)-SUMIF('Budget 12 Mnths'!$A:$A,'Detail 18-19'!$A164,'Budget 12 Mnths'!E:E)</f>
        <v>364</v>
      </c>
      <c r="F164" s="56">
        <f>SUMIF('2015-16 12 Mnths'!$A:$A,'Detail 18-19'!$A164,'2015-16 12 Mnths'!E:E)-SUMIF('Budget 12 Mnths'!$A:$A,'Detail 18-19'!$A164,'Budget 12 Mnths'!F:F)</f>
        <v>364</v>
      </c>
      <c r="G164" s="56">
        <f>SUMIF('2015-16 12 Mnths'!$A:$A,'Detail 18-19'!$A164,'2015-16 12 Mnths'!F:F)-SUMIF('Budget 12 Mnths'!$A:$A,'Detail 18-19'!$A164,'Budget 12 Mnths'!G:G)</f>
        <v>364</v>
      </c>
      <c r="H164" s="56">
        <f>SUMIF('2015-16 12 Mnths'!$A:$A,'Detail 18-19'!$A164,'2015-16 12 Mnths'!G:G)-SUMIF('Budget 12 Mnths'!$A:$A,'Detail 18-19'!$A164,'Budget 12 Mnths'!H:H)</f>
        <v>364</v>
      </c>
      <c r="I164" s="56">
        <f>SUMIF('2015-16 12 Mnths'!$A:$A,'Detail 18-19'!$A164,'2015-16 12 Mnths'!H:H)-SUMIF('Budget 12 Mnths'!$A:$A,'Detail 18-19'!$A164,'Budget 12 Mnths'!I:I)</f>
        <v>364</v>
      </c>
      <c r="J164" s="56">
        <f>SUMIF('2015-16 12 Mnths'!$A:$A,'Detail 18-19'!$A164,'2015-16 12 Mnths'!I:I)-SUMIF('Budget 12 Mnths'!$A:$A,'Detail 18-19'!$A164,'Budget 12 Mnths'!J:J)</f>
        <v>364</v>
      </c>
      <c r="K164" s="56">
        <f>SUMIF('2015-16 12 Mnths'!$A:$A,'Detail 18-19'!$A164,'2015-16 12 Mnths'!J:J)-SUMIF('Budget 12 Mnths'!$A:$A,'Detail 18-19'!$A164,'Budget 12 Mnths'!K:K)</f>
        <v>364</v>
      </c>
      <c r="L164" s="56">
        <f>SUMIF('2015-16 12 Mnths'!$A:$A,'Detail 18-19'!$A164,'2015-16 12 Mnths'!K:K)-SUMIF('Budget 12 Mnths'!$A:$A,'Detail 18-19'!$A164,'Budget 12 Mnths'!L:L)</f>
        <v>364</v>
      </c>
      <c r="M164" s="56"/>
      <c r="N164" s="56"/>
      <c r="O164" s="56"/>
      <c r="P164" s="56">
        <f t="shared" si="1"/>
        <v>3455.87</v>
      </c>
      <c r="Q164" s="14" t="str">
        <f>+VLOOKUP(A164,Mapping!$A$1:$E$443,5,FALSE)</f>
        <v>Insurance</v>
      </c>
      <c r="R164" s="26">
        <f>+SUMIF('Budget 12 Mnths'!$A:$A,'Detail 18-19'!$A164,'Budget 12 Mnths'!$P:$P)</f>
        <v>0</v>
      </c>
      <c r="S164" s="26">
        <f>+SUMIF('2015-16 12 Mnths'!$A:$A,'Detail 18-19'!$A164,'2015-16 12 Mnths'!$O:$O)</f>
        <v>3455.87</v>
      </c>
      <c r="T164" s="57">
        <f t="shared" si="2"/>
        <v>0</v>
      </c>
      <c r="U164" s="57">
        <f t="shared" si="3"/>
        <v>1</v>
      </c>
      <c r="W164" s="27"/>
      <c r="X164" s="27" t="str">
        <f t="shared" si="92"/>
        <v/>
      </c>
      <c r="Z164" s="57">
        <f t="shared" si="86"/>
        <v>0</v>
      </c>
      <c r="AA164" s="57" t="str">
        <f>IFERROR(+VLOOKUP(A164,Key!$A$1:$C$219,2,FALSE),"NOT FOUND")</f>
        <v>6510-2U</v>
      </c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>
        <f t="shared" si="6"/>
        <v>0</v>
      </c>
    </row>
    <row r="165" ht="15.75" hidden="1" customHeight="1">
      <c r="A165" s="15" t="s">
        <v>510</v>
      </c>
      <c r="B165" s="15" t="s">
        <v>56</v>
      </c>
      <c r="C165" s="15" t="s">
        <v>119</v>
      </c>
      <c r="D165" s="56">
        <f>SUMIF('2015-16 12 Mnths'!$A:$A,'Detail 18-19'!$A165,'2015-16 12 Mnths'!C:C)-SUMIF('Budget 12 Mnths'!$A:$A,'Detail 18-19'!$A165,'Budget 12 Mnths'!D:D)</f>
        <v>0</v>
      </c>
      <c r="E165" s="56">
        <f>SUMIF('2015-16 12 Mnths'!$A:$A,'Detail 18-19'!$A165,'2015-16 12 Mnths'!D:D)-SUMIF('Budget 12 Mnths'!$A:$A,'Detail 18-19'!$A165,'Budget 12 Mnths'!E:E)</f>
        <v>132.42</v>
      </c>
      <c r="F165" s="56">
        <f>SUMIF('2015-16 12 Mnths'!$A:$A,'Detail 18-19'!$A165,'2015-16 12 Mnths'!E:E)-SUMIF('Budget 12 Mnths'!$A:$A,'Detail 18-19'!$A165,'Budget 12 Mnths'!F:F)</f>
        <v>-263.16</v>
      </c>
      <c r="G165" s="56">
        <f>SUMIF('2015-16 12 Mnths'!$A:$A,'Detail 18-19'!$A165,'2015-16 12 Mnths'!F:F)-SUMIF('Budget 12 Mnths'!$A:$A,'Detail 18-19'!$A165,'Budget 12 Mnths'!G:G)</f>
        <v>10.84</v>
      </c>
      <c r="H165" s="56">
        <f>SUMIF('2015-16 12 Mnths'!$A:$A,'Detail 18-19'!$A165,'2015-16 12 Mnths'!G:G)-SUMIF('Budget 12 Mnths'!$A:$A,'Detail 18-19'!$A165,'Budget 12 Mnths'!H:H)</f>
        <v>-15.16</v>
      </c>
      <c r="I165" s="56">
        <f>SUMIF('2015-16 12 Mnths'!$A:$A,'Detail 18-19'!$A165,'2015-16 12 Mnths'!H:H)-SUMIF('Budget 12 Mnths'!$A:$A,'Detail 18-19'!$A165,'Budget 12 Mnths'!I:I)</f>
        <v>-89.17</v>
      </c>
      <c r="J165" s="56">
        <f>SUMIF('2015-16 12 Mnths'!$A:$A,'Detail 18-19'!$A165,'2015-16 12 Mnths'!I:I)-SUMIF('Budget 12 Mnths'!$A:$A,'Detail 18-19'!$A165,'Budget 12 Mnths'!J:J)</f>
        <v>775.84</v>
      </c>
      <c r="K165" s="56">
        <f>SUMIF('2015-16 12 Mnths'!$A:$A,'Detail 18-19'!$A165,'2015-16 12 Mnths'!J:J)-SUMIF('Budget 12 Mnths'!$A:$A,'Detail 18-19'!$A165,'Budget 12 Mnths'!K:K)</f>
        <v>266.28</v>
      </c>
      <c r="L165" s="56">
        <f>SUMIF('2015-16 12 Mnths'!$A:$A,'Detail 18-19'!$A165,'2015-16 12 Mnths'!K:K)-SUMIF('Budget 12 Mnths'!$A:$A,'Detail 18-19'!$A165,'Budget 12 Mnths'!L:L)</f>
        <v>-263.16</v>
      </c>
      <c r="M165" s="56"/>
      <c r="N165" s="56"/>
      <c r="O165" s="56"/>
      <c r="P165" s="56">
        <f t="shared" si="1"/>
        <v>554.73</v>
      </c>
      <c r="Q165" s="14" t="str">
        <f>+VLOOKUP(A165,Mapping!$A$1:$E$443,5,FALSE)</f>
        <v>Student Act Exp</v>
      </c>
      <c r="R165" s="26">
        <f>+SUMIF('Budget 12 Mnths'!$A:$A,'Detail 18-19'!$A165,'Budget 12 Mnths'!$P:$P)</f>
        <v>2500</v>
      </c>
      <c r="S165" s="26">
        <f>+SUMIF('2015-16 12 Mnths'!$A:$A,'Detail 18-19'!$A165,'2015-16 12 Mnths'!$O:$O)</f>
        <v>2536.43</v>
      </c>
      <c r="T165" s="57">
        <f t="shared" si="2"/>
        <v>0.221892</v>
      </c>
      <c r="U165" s="57">
        <f t="shared" si="3"/>
        <v>0.2187050303</v>
      </c>
      <c r="V165" s="8" t="s">
        <v>641</v>
      </c>
      <c r="W165" s="27">
        <v>0.0</v>
      </c>
      <c r="X165" s="27">
        <f t="shared" si="92"/>
        <v>0</v>
      </c>
      <c r="Z165" s="57">
        <f t="shared" si="86"/>
        <v>0</v>
      </c>
      <c r="AA165" s="57" t="str">
        <f>IFERROR(+VLOOKUP(A165,Key!$A$1:$C$219,2,FALSE),"NOT FOUND")</f>
        <v>6600-1U</v>
      </c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>
        <f t="shared" si="6"/>
        <v>0</v>
      </c>
    </row>
    <row r="166" ht="15.75" hidden="1" customHeight="1">
      <c r="A166" s="15" t="s">
        <v>511</v>
      </c>
      <c r="B166" s="15" t="s">
        <v>512</v>
      </c>
      <c r="C166" s="15" t="s">
        <v>119</v>
      </c>
      <c r="D166" s="56">
        <f>SUMIF('2015-16 12 Mnths'!$A:$A,'Detail 18-19'!$A166,'2015-16 12 Mnths'!C:C)-SUMIF('Budget 12 Mnths'!$A:$A,'Detail 18-19'!$A166,'Budget 12 Mnths'!D:D)</f>
        <v>-225</v>
      </c>
      <c r="E166" s="56">
        <f>SUMIF('2015-16 12 Mnths'!$A:$A,'Detail 18-19'!$A166,'2015-16 12 Mnths'!D:D)-SUMIF('Budget 12 Mnths'!$A:$A,'Detail 18-19'!$A166,'Budget 12 Mnths'!E:E)</f>
        <v>-125</v>
      </c>
      <c r="F166" s="56">
        <f>SUMIF('2015-16 12 Mnths'!$A:$A,'Detail 18-19'!$A166,'2015-16 12 Mnths'!E:E)-SUMIF('Budget 12 Mnths'!$A:$A,'Detail 18-19'!$A166,'Budget 12 Mnths'!F:F)</f>
        <v>-225</v>
      </c>
      <c r="G166" s="56">
        <f>SUMIF('2015-16 12 Mnths'!$A:$A,'Detail 18-19'!$A166,'2015-16 12 Mnths'!F:F)-SUMIF('Budget 12 Mnths'!$A:$A,'Detail 18-19'!$A166,'Budget 12 Mnths'!G:G)</f>
        <v>-450</v>
      </c>
      <c r="H166" s="56">
        <f>SUMIF('2015-16 12 Mnths'!$A:$A,'Detail 18-19'!$A166,'2015-16 12 Mnths'!G:G)-SUMIF('Budget 12 Mnths'!$A:$A,'Detail 18-19'!$A166,'Budget 12 Mnths'!H:H)</f>
        <v>1030.25</v>
      </c>
      <c r="I166" s="56">
        <f>SUMIF('2015-16 12 Mnths'!$A:$A,'Detail 18-19'!$A166,'2015-16 12 Mnths'!H:H)-SUMIF('Budget 12 Mnths'!$A:$A,'Detail 18-19'!$A166,'Budget 12 Mnths'!I:I)</f>
        <v>-450</v>
      </c>
      <c r="J166" s="56">
        <f>SUMIF('2015-16 12 Mnths'!$A:$A,'Detail 18-19'!$A166,'2015-16 12 Mnths'!I:I)-SUMIF('Budget 12 Mnths'!$A:$A,'Detail 18-19'!$A166,'Budget 12 Mnths'!J:J)</f>
        <v>-225</v>
      </c>
      <c r="K166" s="56">
        <f>SUMIF('2015-16 12 Mnths'!$A:$A,'Detail 18-19'!$A166,'2015-16 12 Mnths'!J:J)-SUMIF('Budget 12 Mnths'!$A:$A,'Detail 18-19'!$A166,'Budget 12 Mnths'!K:K)</f>
        <v>-225</v>
      </c>
      <c r="L166" s="56">
        <f>SUMIF('2015-16 12 Mnths'!$A:$A,'Detail 18-19'!$A166,'2015-16 12 Mnths'!K:K)-SUMIF('Budget 12 Mnths'!$A:$A,'Detail 18-19'!$A166,'Budget 12 Mnths'!L:L)</f>
        <v>-225</v>
      </c>
      <c r="M166" s="56"/>
      <c r="N166" s="56"/>
      <c r="O166" s="56"/>
      <c r="P166" s="56">
        <f t="shared" si="1"/>
        <v>-1119.75</v>
      </c>
      <c r="Q166" s="14" t="str">
        <f>+VLOOKUP(A166,Mapping!$A$1:$E$443,5,FALSE)</f>
        <v>Student Act Exp</v>
      </c>
      <c r="R166" s="26">
        <f>+SUMIF('Budget 12 Mnths'!$A:$A,'Detail 18-19'!$A166,'Budget 12 Mnths'!$P:$P)</f>
        <v>2700</v>
      </c>
      <c r="S166" s="26">
        <f>+SUMIF('2015-16 12 Mnths'!$A:$A,'Detail 18-19'!$A166,'2015-16 12 Mnths'!$O:$O)</f>
        <v>1580.25</v>
      </c>
      <c r="T166" s="57">
        <f t="shared" si="2"/>
        <v>-0.4147222222</v>
      </c>
      <c r="U166" s="57">
        <f t="shared" si="3"/>
        <v>-0.7085904129</v>
      </c>
      <c r="V166" s="8" t="s">
        <v>641</v>
      </c>
      <c r="W166" s="27">
        <v>0.0</v>
      </c>
      <c r="X166" s="27">
        <f t="shared" si="92"/>
        <v>0</v>
      </c>
      <c r="Z166" s="57">
        <f t="shared" si="86"/>
        <v>0</v>
      </c>
      <c r="AA166" s="57" t="str">
        <f>IFERROR(+VLOOKUP(A166,Key!$A$1:$C$219,2,FALSE),"NOT FOUND")</f>
        <v>NOT FOUND</v>
      </c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>
        <f t="shared" si="6"/>
        <v>0</v>
      </c>
    </row>
    <row r="167" ht="15.75" hidden="1" customHeight="1">
      <c r="A167" s="15" t="s">
        <v>513</v>
      </c>
      <c r="B167" s="15" t="s">
        <v>514</v>
      </c>
      <c r="C167" s="15" t="s">
        <v>119</v>
      </c>
      <c r="D167" s="56">
        <f>SUMIF('2015-16 12 Mnths'!$A:$A,'Detail 18-19'!$A167,'2015-16 12 Mnths'!C:C)-SUMIF('Budget 12 Mnths'!$A:$A,'Detail 18-19'!$A167,'Budget 12 Mnths'!D:D)</f>
        <v>0</v>
      </c>
      <c r="E167" s="56">
        <f>SUMIF('2015-16 12 Mnths'!$A:$A,'Detail 18-19'!$A167,'2015-16 12 Mnths'!D:D)-SUMIF('Budget 12 Mnths'!$A:$A,'Detail 18-19'!$A167,'Budget 12 Mnths'!E:E)</f>
        <v>0</v>
      </c>
      <c r="F167" s="56">
        <f>SUMIF('2015-16 12 Mnths'!$A:$A,'Detail 18-19'!$A167,'2015-16 12 Mnths'!E:E)-SUMIF('Budget 12 Mnths'!$A:$A,'Detail 18-19'!$A167,'Budget 12 Mnths'!F:F)</f>
        <v>1356.75</v>
      </c>
      <c r="G167" s="56">
        <f>SUMIF('2015-16 12 Mnths'!$A:$A,'Detail 18-19'!$A167,'2015-16 12 Mnths'!F:F)-SUMIF('Budget 12 Mnths'!$A:$A,'Detail 18-19'!$A167,'Budget 12 Mnths'!G:G)</f>
        <v>0</v>
      </c>
      <c r="H167" s="56">
        <f>SUMIF('2015-16 12 Mnths'!$A:$A,'Detail 18-19'!$A167,'2015-16 12 Mnths'!G:G)-SUMIF('Budget 12 Mnths'!$A:$A,'Detail 18-19'!$A167,'Budget 12 Mnths'!H:H)</f>
        <v>89.14</v>
      </c>
      <c r="I167" s="56">
        <f>SUMIF('2015-16 12 Mnths'!$A:$A,'Detail 18-19'!$A167,'2015-16 12 Mnths'!H:H)-SUMIF('Budget 12 Mnths'!$A:$A,'Detail 18-19'!$A167,'Budget 12 Mnths'!I:I)</f>
        <v>-56.73</v>
      </c>
      <c r="J167" s="56">
        <f>SUMIF('2015-16 12 Mnths'!$A:$A,'Detail 18-19'!$A167,'2015-16 12 Mnths'!I:I)-SUMIF('Budget 12 Mnths'!$A:$A,'Detail 18-19'!$A167,'Budget 12 Mnths'!J:J)</f>
        <v>25</v>
      </c>
      <c r="K167" s="56">
        <f>SUMIF('2015-16 12 Mnths'!$A:$A,'Detail 18-19'!$A167,'2015-16 12 Mnths'!J:J)-SUMIF('Budget 12 Mnths'!$A:$A,'Detail 18-19'!$A167,'Budget 12 Mnths'!K:K)</f>
        <v>106.53</v>
      </c>
      <c r="L167" s="56">
        <f>SUMIF('2015-16 12 Mnths'!$A:$A,'Detail 18-19'!$A167,'2015-16 12 Mnths'!K:K)-SUMIF('Budget 12 Mnths'!$A:$A,'Detail 18-19'!$A167,'Budget 12 Mnths'!L:L)</f>
        <v>0</v>
      </c>
      <c r="M167" s="56"/>
      <c r="N167" s="56"/>
      <c r="O167" s="56"/>
      <c r="P167" s="56">
        <f t="shared" si="1"/>
        <v>1520.69</v>
      </c>
      <c r="Q167" s="14" t="str">
        <f>+VLOOKUP(A167,Mapping!$A$1:$E$443,5,FALSE)</f>
        <v>Student Act Exp</v>
      </c>
      <c r="R167" s="26">
        <f>+SUMIF('Budget 12 Mnths'!$A:$A,'Detail 18-19'!$A167,'Budget 12 Mnths'!$P:$P)</f>
        <v>0</v>
      </c>
      <c r="S167" s="26">
        <f>+SUMIF('2015-16 12 Mnths'!$A:$A,'Detail 18-19'!$A167,'2015-16 12 Mnths'!$O:$O)</f>
        <v>1754.69</v>
      </c>
      <c r="T167" s="57">
        <f t="shared" si="2"/>
        <v>0</v>
      </c>
      <c r="U167" s="57">
        <f t="shared" si="3"/>
        <v>0.8666431107</v>
      </c>
      <c r="W167" s="27"/>
      <c r="X167" s="27" t="str">
        <f t="shared" si="92"/>
        <v/>
      </c>
      <c r="Z167" s="57">
        <f t="shared" si="86"/>
        <v>0</v>
      </c>
      <c r="AA167" s="57" t="str">
        <f>IFERROR(+VLOOKUP(A167,Key!$A$1:$C$219,2,FALSE),"NOT FOUND")</f>
        <v>6610-1U</v>
      </c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>
        <f t="shared" si="6"/>
        <v>0</v>
      </c>
    </row>
    <row r="168" ht="15.75" customHeight="1">
      <c r="A168" s="15" t="s">
        <v>515</v>
      </c>
      <c r="B168" s="15" t="s">
        <v>516</v>
      </c>
      <c r="C168" s="15" t="s">
        <v>119</v>
      </c>
      <c r="D168" s="56">
        <f>SUMIF('2015-16 12 Mnths'!$A:$A,'Detail 18-19'!$A168,'2015-16 12 Mnths'!C:C)-SUMIF('Budget 12 Mnths'!$A:$A,'Detail 18-19'!$A168,'Budget 12 Mnths'!D:D)</f>
        <v>0</v>
      </c>
      <c r="E168" s="56">
        <f>SUMIF('2015-16 12 Mnths'!$A:$A,'Detail 18-19'!$A168,'2015-16 12 Mnths'!D:D)-SUMIF('Budget 12 Mnths'!$A:$A,'Detail 18-19'!$A168,'Budget 12 Mnths'!E:E)</f>
        <v>0</v>
      </c>
      <c r="F168" s="56">
        <f>SUMIF('2015-16 12 Mnths'!$A:$A,'Detail 18-19'!$A168,'2015-16 12 Mnths'!E:E)-SUMIF('Budget 12 Mnths'!$A:$A,'Detail 18-19'!$A168,'Budget 12 Mnths'!F:F)</f>
        <v>0</v>
      </c>
      <c r="G168" s="56">
        <f>SUMIF('2015-16 12 Mnths'!$A:$A,'Detail 18-19'!$A168,'2015-16 12 Mnths'!F:F)-SUMIF('Budget 12 Mnths'!$A:$A,'Detail 18-19'!$A168,'Budget 12 Mnths'!G:G)</f>
        <v>-100</v>
      </c>
      <c r="H168" s="56">
        <f>SUMIF('2015-16 12 Mnths'!$A:$A,'Detail 18-19'!$A168,'2015-16 12 Mnths'!G:G)-SUMIF('Budget 12 Mnths'!$A:$A,'Detail 18-19'!$A168,'Budget 12 Mnths'!H:H)</f>
        <v>0</v>
      </c>
      <c r="I168" s="56">
        <f>SUMIF('2015-16 12 Mnths'!$A:$A,'Detail 18-19'!$A168,'2015-16 12 Mnths'!H:H)-SUMIF('Budget 12 Mnths'!$A:$A,'Detail 18-19'!$A168,'Budget 12 Mnths'!I:I)</f>
        <v>0</v>
      </c>
      <c r="J168" s="56">
        <f>SUMIF('2015-16 12 Mnths'!$A:$A,'Detail 18-19'!$A168,'2015-16 12 Mnths'!I:I)-SUMIF('Budget 12 Mnths'!$A:$A,'Detail 18-19'!$A168,'Budget 12 Mnths'!J:J)</f>
        <v>-100</v>
      </c>
      <c r="K168" s="56">
        <f>SUMIF('2015-16 12 Mnths'!$A:$A,'Detail 18-19'!$A168,'2015-16 12 Mnths'!J:J)-SUMIF('Budget 12 Mnths'!$A:$A,'Detail 18-19'!$A168,'Budget 12 Mnths'!K:K)</f>
        <v>150</v>
      </c>
      <c r="L168" s="56">
        <f>SUMIF('2015-16 12 Mnths'!$A:$A,'Detail 18-19'!$A168,'2015-16 12 Mnths'!K:K)-SUMIF('Budget 12 Mnths'!$A:$A,'Detail 18-19'!$A168,'Budget 12 Mnths'!L:L)</f>
        <v>-100</v>
      </c>
      <c r="M168" s="56"/>
      <c r="N168" s="56"/>
      <c r="O168" s="56"/>
      <c r="P168" s="56">
        <f t="shared" si="1"/>
        <v>-150</v>
      </c>
      <c r="Q168" s="14" t="str">
        <f>+VLOOKUP(A168,Mapping!$A$1:$E$443,5,FALSE)</f>
        <v>Student Act Exp</v>
      </c>
      <c r="R168" s="26">
        <f>+SUMIF('Budget 12 Mnths'!$A:$A,'Detail 18-19'!$A168,'Budget 12 Mnths'!$P:$P)</f>
        <v>600</v>
      </c>
      <c r="S168" s="26">
        <f>+SUMIF('2015-16 12 Mnths'!$A:$A,'Detail 18-19'!$A168,'2015-16 12 Mnths'!$O:$O)</f>
        <v>450</v>
      </c>
      <c r="T168" s="57">
        <f t="shared" si="2"/>
        <v>-0.25</v>
      </c>
      <c r="U168" s="57">
        <f t="shared" si="3"/>
        <v>-0.3333333333</v>
      </c>
      <c r="V168" s="8" t="s">
        <v>641</v>
      </c>
      <c r="W168" s="27">
        <v>600.0</v>
      </c>
      <c r="X168" s="27">
        <f t="shared" si="92"/>
        <v>600</v>
      </c>
      <c r="Z168" s="57">
        <f t="shared" si="86"/>
        <v>300</v>
      </c>
      <c r="AA168" s="57" t="str">
        <f>IFERROR(+VLOOKUP(A168,Key!$A$1:$C$219,2,FALSE),"NOT FOUND")</f>
        <v>6615-1U</v>
      </c>
      <c r="AB168" s="27">
        <v>800.0</v>
      </c>
      <c r="AC168" s="27"/>
      <c r="AD168" s="27"/>
      <c r="AE168" s="27">
        <v>150.0</v>
      </c>
      <c r="AF168" s="27">
        <v>150.0</v>
      </c>
      <c r="AG168" s="27">
        <v>150.0</v>
      </c>
      <c r="AH168" s="27">
        <v>150.0</v>
      </c>
      <c r="AI168" s="27">
        <v>150.0</v>
      </c>
      <c r="AJ168" s="27">
        <v>50.0</v>
      </c>
      <c r="AK168" s="27"/>
      <c r="AL168" s="27"/>
      <c r="AM168" s="27"/>
      <c r="AN168" s="27"/>
      <c r="AO168" s="27">
        <f t="shared" si="6"/>
        <v>0</v>
      </c>
    </row>
    <row r="169" ht="15.75" customHeight="1">
      <c r="A169" s="15" t="s">
        <v>517</v>
      </c>
      <c r="B169" s="15" t="s">
        <v>518</v>
      </c>
      <c r="C169" s="15" t="s">
        <v>119</v>
      </c>
      <c r="D169" s="56">
        <f>SUMIF('2015-16 12 Mnths'!$A:$A,'Detail 18-19'!$A169,'2015-16 12 Mnths'!C:C)-SUMIF('Budget 12 Mnths'!$A:$A,'Detail 18-19'!$A169,'Budget 12 Mnths'!D:D)</f>
        <v>0</v>
      </c>
      <c r="E169" s="56">
        <f>SUMIF('2015-16 12 Mnths'!$A:$A,'Detail 18-19'!$A169,'2015-16 12 Mnths'!D:D)-SUMIF('Budget 12 Mnths'!$A:$A,'Detail 18-19'!$A169,'Budget 12 Mnths'!E:E)</f>
        <v>0</v>
      </c>
      <c r="F169" s="56">
        <f>SUMIF('2015-16 12 Mnths'!$A:$A,'Detail 18-19'!$A169,'2015-16 12 Mnths'!E:E)-SUMIF('Budget 12 Mnths'!$A:$A,'Detail 18-19'!$A169,'Budget 12 Mnths'!F:F)</f>
        <v>0</v>
      </c>
      <c r="G169" s="56">
        <f>SUMIF('2015-16 12 Mnths'!$A:$A,'Detail 18-19'!$A169,'2015-16 12 Mnths'!F:F)-SUMIF('Budget 12 Mnths'!$A:$A,'Detail 18-19'!$A169,'Budget 12 Mnths'!G:G)</f>
        <v>0</v>
      </c>
      <c r="H169" s="56">
        <f>SUMIF('2015-16 12 Mnths'!$A:$A,'Detail 18-19'!$A169,'2015-16 12 Mnths'!G:G)-SUMIF('Budget 12 Mnths'!$A:$A,'Detail 18-19'!$A169,'Budget 12 Mnths'!H:H)</f>
        <v>0</v>
      </c>
      <c r="I169" s="56">
        <f>SUMIF('2015-16 12 Mnths'!$A:$A,'Detail 18-19'!$A169,'2015-16 12 Mnths'!H:H)-SUMIF('Budget 12 Mnths'!$A:$A,'Detail 18-19'!$A169,'Budget 12 Mnths'!I:I)</f>
        <v>0</v>
      </c>
      <c r="J169" s="56">
        <f>SUMIF('2015-16 12 Mnths'!$A:$A,'Detail 18-19'!$A169,'2015-16 12 Mnths'!I:I)-SUMIF('Budget 12 Mnths'!$A:$A,'Detail 18-19'!$A169,'Budget 12 Mnths'!J:J)</f>
        <v>0</v>
      </c>
      <c r="K169" s="56">
        <f>SUMIF('2015-16 12 Mnths'!$A:$A,'Detail 18-19'!$A169,'2015-16 12 Mnths'!J:J)-SUMIF('Budget 12 Mnths'!$A:$A,'Detail 18-19'!$A169,'Budget 12 Mnths'!K:K)</f>
        <v>0</v>
      </c>
      <c r="L169" s="56">
        <f>SUMIF('2015-16 12 Mnths'!$A:$A,'Detail 18-19'!$A169,'2015-16 12 Mnths'!K:K)-SUMIF('Budget 12 Mnths'!$A:$A,'Detail 18-19'!$A169,'Budget 12 Mnths'!L:L)</f>
        <v>478.25</v>
      </c>
      <c r="M169" s="56"/>
      <c r="N169" s="56"/>
      <c r="O169" s="56"/>
      <c r="P169" s="56">
        <f t="shared" si="1"/>
        <v>478.25</v>
      </c>
      <c r="Q169" s="14" t="str">
        <f>+VLOOKUP(A169,Mapping!$A$1:$E$443,5,FALSE)</f>
        <v>Student Act Exp</v>
      </c>
      <c r="R169" s="26">
        <f>+SUMIF('Budget 12 Mnths'!$A:$A,'Detail 18-19'!$A169,'Budget 12 Mnths'!$P:$P)</f>
        <v>2499.99</v>
      </c>
      <c r="S169" s="26">
        <f>+SUMIF('2015-16 12 Mnths'!$A:$A,'Detail 18-19'!$A169,'2015-16 12 Mnths'!$O:$O)</f>
        <v>1071.51</v>
      </c>
      <c r="T169" s="57">
        <f t="shared" si="2"/>
        <v>0.1913007652</v>
      </c>
      <c r="U169" s="57">
        <f t="shared" si="3"/>
        <v>0.4463327454</v>
      </c>
      <c r="V169" s="8" t="s">
        <v>641</v>
      </c>
      <c r="W169" s="27">
        <v>800.0</v>
      </c>
      <c r="X169" s="27">
        <f t="shared" si="92"/>
        <v>800</v>
      </c>
      <c r="Z169" s="57">
        <v>0.0</v>
      </c>
      <c r="AA169" s="57" t="str">
        <f>IFERROR(+VLOOKUP(A169,Key!$A$1:$C$219,2,FALSE),"NOT FOUND")</f>
        <v>6630-1U</v>
      </c>
      <c r="AB169" s="27">
        <v>800.0</v>
      </c>
      <c r="AC169" s="27"/>
      <c r="AD169" s="27"/>
      <c r="AE169" s="27"/>
      <c r="AF169" s="27"/>
      <c r="AG169" s="27"/>
      <c r="AH169" s="27"/>
      <c r="AI169" s="27"/>
      <c r="AJ169" s="27"/>
      <c r="AK169" s="27"/>
      <c r="AL169" s="27">
        <v>800.0</v>
      </c>
      <c r="AM169" s="27"/>
      <c r="AN169" s="27"/>
      <c r="AO169" s="27">
        <f t="shared" si="6"/>
        <v>0</v>
      </c>
    </row>
    <row r="170" ht="15.75" hidden="1" customHeight="1">
      <c r="A170" s="15" t="s">
        <v>519</v>
      </c>
      <c r="B170" s="15" t="s">
        <v>520</v>
      </c>
      <c r="C170" s="15" t="s">
        <v>119</v>
      </c>
      <c r="D170" s="56">
        <f>SUMIF('2015-16 12 Mnths'!$A:$A,'Detail 18-19'!$A170,'2015-16 12 Mnths'!C:C)-SUMIF('Budget 12 Mnths'!$A:$A,'Detail 18-19'!$A170,'Budget 12 Mnths'!D:D)</f>
        <v>0</v>
      </c>
      <c r="E170" s="56">
        <f>SUMIF('2015-16 12 Mnths'!$A:$A,'Detail 18-19'!$A170,'2015-16 12 Mnths'!D:D)-SUMIF('Budget 12 Mnths'!$A:$A,'Detail 18-19'!$A170,'Budget 12 Mnths'!E:E)</f>
        <v>0</v>
      </c>
      <c r="F170" s="56">
        <f>SUMIF('2015-16 12 Mnths'!$A:$A,'Detail 18-19'!$A170,'2015-16 12 Mnths'!E:E)-SUMIF('Budget 12 Mnths'!$A:$A,'Detail 18-19'!$A170,'Budget 12 Mnths'!F:F)</f>
        <v>0</v>
      </c>
      <c r="G170" s="56">
        <f>SUMIF('2015-16 12 Mnths'!$A:$A,'Detail 18-19'!$A170,'2015-16 12 Mnths'!F:F)-SUMIF('Budget 12 Mnths'!$A:$A,'Detail 18-19'!$A170,'Budget 12 Mnths'!G:G)</f>
        <v>0</v>
      </c>
      <c r="H170" s="56">
        <f>SUMIF('2015-16 12 Mnths'!$A:$A,'Detail 18-19'!$A170,'2015-16 12 Mnths'!G:G)-SUMIF('Budget 12 Mnths'!$A:$A,'Detail 18-19'!$A170,'Budget 12 Mnths'!H:H)</f>
        <v>0</v>
      </c>
      <c r="I170" s="56">
        <f>SUMIF('2015-16 12 Mnths'!$A:$A,'Detail 18-19'!$A170,'2015-16 12 Mnths'!H:H)-SUMIF('Budget 12 Mnths'!$A:$A,'Detail 18-19'!$A170,'Budget 12 Mnths'!I:I)</f>
        <v>0</v>
      </c>
      <c r="J170" s="56">
        <f>SUMIF('2015-16 12 Mnths'!$A:$A,'Detail 18-19'!$A170,'2015-16 12 Mnths'!I:I)-SUMIF('Budget 12 Mnths'!$A:$A,'Detail 18-19'!$A170,'Budget 12 Mnths'!J:J)</f>
        <v>0</v>
      </c>
      <c r="K170" s="56">
        <f>SUMIF('2015-16 12 Mnths'!$A:$A,'Detail 18-19'!$A170,'2015-16 12 Mnths'!J:J)-SUMIF('Budget 12 Mnths'!$A:$A,'Detail 18-19'!$A170,'Budget 12 Mnths'!K:K)</f>
        <v>0</v>
      </c>
      <c r="L170" s="56">
        <f>SUMIF('2015-16 12 Mnths'!$A:$A,'Detail 18-19'!$A170,'2015-16 12 Mnths'!K:K)-SUMIF('Budget 12 Mnths'!$A:$A,'Detail 18-19'!$A170,'Budget 12 Mnths'!L:L)</f>
        <v>0</v>
      </c>
      <c r="M170" s="56"/>
      <c r="N170" s="56"/>
      <c r="O170" s="56"/>
      <c r="P170" s="56">
        <f t="shared" si="1"/>
        <v>0</v>
      </c>
      <c r="Q170" s="14" t="str">
        <f>+VLOOKUP(A170,Mapping!$A$1:$E$443,5,FALSE)</f>
        <v>Student Act Exp</v>
      </c>
      <c r="R170" s="26">
        <f>+SUMIF('Budget 12 Mnths'!$A:$A,'Detail 18-19'!$A170,'Budget 12 Mnths'!$P:$P)</f>
        <v>0</v>
      </c>
      <c r="S170" s="26">
        <f>+SUMIF('2015-16 12 Mnths'!$A:$A,'Detail 18-19'!$A170,'2015-16 12 Mnths'!$O:$O)</f>
        <v>0</v>
      </c>
      <c r="T170" s="57">
        <f t="shared" si="2"/>
        <v>0</v>
      </c>
      <c r="U170" s="57">
        <f t="shared" si="3"/>
        <v>0</v>
      </c>
      <c r="W170" s="27"/>
      <c r="X170" s="27" t="str">
        <f t="shared" si="92"/>
        <v/>
      </c>
      <c r="Z170" s="57">
        <f>+X170/2</f>
        <v>0</v>
      </c>
      <c r="AA170" s="57" t="str">
        <f>IFERROR(+VLOOKUP(A170,Key!$A$1:$C$219,2,FALSE),"NOT FOUND")</f>
        <v>NOT FOUND</v>
      </c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>
        <f t="shared" si="6"/>
        <v>0</v>
      </c>
    </row>
    <row r="171" ht="15.75" customHeight="1">
      <c r="A171" s="15" t="s">
        <v>521</v>
      </c>
      <c r="B171" s="15" t="s">
        <v>522</v>
      </c>
      <c r="C171" s="15" t="s">
        <v>119</v>
      </c>
      <c r="D171" s="56">
        <f>SUMIF('2015-16 12 Mnths'!$A:$A,'Detail 18-19'!$A171,'2015-16 12 Mnths'!C:C)-SUMIF('Budget 12 Mnths'!$A:$A,'Detail 18-19'!$A171,'Budget 12 Mnths'!D:D)</f>
        <v>0</v>
      </c>
      <c r="E171" s="56">
        <f>SUMIF('2015-16 12 Mnths'!$A:$A,'Detail 18-19'!$A171,'2015-16 12 Mnths'!D:D)-SUMIF('Budget 12 Mnths'!$A:$A,'Detail 18-19'!$A171,'Budget 12 Mnths'!E:E)</f>
        <v>0</v>
      </c>
      <c r="F171" s="56">
        <f>SUMIF('2015-16 12 Mnths'!$A:$A,'Detail 18-19'!$A171,'2015-16 12 Mnths'!E:E)-SUMIF('Budget 12 Mnths'!$A:$A,'Detail 18-19'!$A171,'Budget 12 Mnths'!F:F)</f>
        <v>0</v>
      </c>
      <c r="G171" s="56">
        <f>SUMIF('2015-16 12 Mnths'!$A:$A,'Detail 18-19'!$A171,'2015-16 12 Mnths'!F:F)-SUMIF('Budget 12 Mnths'!$A:$A,'Detail 18-19'!$A171,'Budget 12 Mnths'!G:G)</f>
        <v>0</v>
      </c>
      <c r="H171" s="56">
        <f>SUMIF('2015-16 12 Mnths'!$A:$A,'Detail 18-19'!$A171,'2015-16 12 Mnths'!G:G)-SUMIF('Budget 12 Mnths'!$A:$A,'Detail 18-19'!$A171,'Budget 12 Mnths'!H:H)</f>
        <v>0</v>
      </c>
      <c r="I171" s="56">
        <f>SUMIF('2015-16 12 Mnths'!$A:$A,'Detail 18-19'!$A171,'2015-16 12 Mnths'!H:H)-SUMIF('Budget 12 Mnths'!$A:$A,'Detail 18-19'!$A171,'Budget 12 Mnths'!I:I)</f>
        <v>0</v>
      </c>
      <c r="J171" s="56">
        <f>SUMIF('2015-16 12 Mnths'!$A:$A,'Detail 18-19'!$A171,'2015-16 12 Mnths'!I:I)-SUMIF('Budget 12 Mnths'!$A:$A,'Detail 18-19'!$A171,'Budget 12 Mnths'!J:J)</f>
        <v>0</v>
      </c>
      <c r="K171" s="56">
        <f>SUMIF('2015-16 12 Mnths'!$A:$A,'Detail 18-19'!$A171,'2015-16 12 Mnths'!J:J)-SUMIF('Budget 12 Mnths'!$A:$A,'Detail 18-19'!$A171,'Budget 12 Mnths'!K:K)</f>
        <v>0</v>
      </c>
      <c r="L171" s="56">
        <f>SUMIF('2015-16 12 Mnths'!$A:$A,'Detail 18-19'!$A171,'2015-16 12 Mnths'!K:K)-SUMIF('Budget 12 Mnths'!$A:$A,'Detail 18-19'!$A171,'Budget 12 Mnths'!L:L)</f>
        <v>-40.5</v>
      </c>
      <c r="M171" s="56"/>
      <c r="N171" s="56"/>
      <c r="O171" s="56"/>
      <c r="P171" s="56">
        <f t="shared" si="1"/>
        <v>-40.5</v>
      </c>
      <c r="Q171" s="14" t="str">
        <f>+VLOOKUP(A171,Mapping!$A$1:$E$443,5,FALSE)</f>
        <v>Student Act Exp</v>
      </c>
      <c r="R171" s="26">
        <f>+SUMIF('Budget 12 Mnths'!$A:$A,'Detail 18-19'!$A171,'Budget 12 Mnths'!$P:$P)</f>
        <v>1200</v>
      </c>
      <c r="S171" s="26">
        <f>+SUMIF('2015-16 12 Mnths'!$A:$A,'Detail 18-19'!$A171,'2015-16 12 Mnths'!$O:$O)</f>
        <v>68.84</v>
      </c>
      <c r="T171" s="57">
        <f t="shared" si="2"/>
        <v>-0.03375</v>
      </c>
      <c r="U171" s="57">
        <f t="shared" si="3"/>
        <v>-0.5883207438</v>
      </c>
      <c r="V171" s="8" t="s">
        <v>641</v>
      </c>
      <c r="W171" s="27">
        <v>1200.0</v>
      </c>
      <c r="X171" s="27">
        <f t="shared" si="92"/>
        <v>1200</v>
      </c>
      <c r="Z171" s="57">
        <v>0.0</v>
      </c>
      <c r="AA171" s="57" t="str">
        <f>IFERROR(+VLOOKUP(A171,Key!$A$1:$C$219,2,FALSE),"NOT FOUND")</f>
        <v>6635-1U</v>
      </c>
      <c r="AB171" s="27">
        <v>1200.0</v>
      </c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>
        <v>1200.0</v>
      </c>
      <c r="AN171" s="27"/>
      <c r="AO171" s="27">
        <f t="shared" si="6"/>
        <v>0</v>
      </c>
    </row>
    <row r="172" ht="15.75" customHeight="1">
      <c r="A172" s="15" t="s">
        <v>523</v>
      </c>
      <c r="B172" s="15" t="s">
        <v>524</v>
      </c>
      <c r="C172" s="15" t="s">
        <v>119</v>
      </c>
      <c r="D172" s="56">
        <f>SUMIF('2015-16 12 Mnths'!$A:$A,'Detail 18-19'!$A172,'2015-16 12 Mnths'!C:C)-SUMIF('Budget 12 Mnths'!$A:$A,'Detail 18-19'!$A172,'Budget 12 Mnths'!D:D)</f>
        <v>0</v>
      </c>
      <c r="E172" s="56">
        <f>SUMIF('2015-16 12 Mnths'!$A:$A,'Detail 18-19'!$A172,'2015-16 12 Mnths'!D:D)-SUMIF('Budget 12 Mnths'!$A:$A,'Detail 18-19'!$A172,'Budget 12 Mnths'!E:E)</f>
        <v>0</v>
      </c>
      <c r="F172" s="56">
        <f>SUMIF('2015-16 12 Mnths'!$A:$A,'Detail 18-19'!$A172,'2015-16 12 Mnths'!E:E)-SUMIF('Budget 12 Mnths'!$A:$A,'Detail 18-19'!$A172,'Budget 12 Mnths'!F:F)</f>
        <v>0</v>
      </c>
      <c r="G172" s="56">
        <f>SUMIF('2015-16 12 Mnths'!$A:$A,'Detail 18-19'!$A172,'2015-16 12 Mnths'!F:F)-SUMIF('Budget 12 Mnths'!$A:$A,'Detail 18-19'!$A172,'Budget 12 Mnths'!G:G)</f>
        <v>0</v>
      </c>
      <c r="H172" s="56">
        <f>SUMIF('2015-16 12 Mnths'!$A:$A,'Detail 18-19'!$A172,'2015-16 12 Mnths'!G:G)-SUMIF('Budget 12 Mnths'!$A:$A,'Detail 18-19'!$A172,'Budget 12 Mnths'!H:H)</f>
        <v>0</v>
      </c>
      <c r="I172" s="56">
        <f>SUMIF('2015-16 12 Mnths'!$A:$A,'Detail 18-19'!$A172,'2015-16 12 Mnths'!H:H)-SUMIF('Budget 12 Mnths'!$A:$A,'Detail 18-19'!$A172,'Budget 12 Mnths'!I:I)</f>
        <v>0</v>
      </c>
      <c r="J172" s="56">
        <f>SUMIF('2015-16 12 Mnths'!$A:$A,'Detail 18-19'!$A172,'2015-16 12 Mnths'!I:I)-SUMIF('Budget 12 Mnths'!$A:$A,'Detail 18-19'!$A172,'Budget 12 Mnths'!J:J)</f>
        <v>-33.33</v>
      </c>
      <c r="K172" s="56">
        <f>SUMIF('2015-16 12 Mnths'!$A:$A,'Detail 18-19'!$A172,'2015-16 12 Mnths'!J:J)-SUMIF('Budget 12 Mnths'!$A:$A,'Detail 18-19'!$A172,'Budget 12 Mnths'!K:K)</f>
        <v>-33.33</v>
      </c>
      <c r="L172" s="56">
        <f>SUMIF('2015-16 12 Mnths'!$A:$A,'Detail 18-19'!$A172,'2015-16 12 Mnths'!K:K)-SUMIF('Budget 12 Mnths'!$A:$A,'Detail 18-19'!$A172,'Budget 12 Mnths'!L:L)</f>
        <v>-33.33</v>
      </c>
      <c r="M172" s="56"/>
      <c r="N172" s="56"/>
      <c r="O172" s="56"/>
      <c r="P172" s="56">
        <f t="shared" si="1"/>
        <v>-99.99</v>
      </c>
      <c r="Q172" s="14" t="str">
        <f>+VLOOKUP(A172,Mapping!$A$1:$E$443,5,FALSE)</f>
        <v>Student Act Exp</v>
      </c>
      <c r="R172" s="26">
        <f>+SUMIF('Budget 12 Mnths'!$A:$A,'Detail 18-19'!$A172,'Budget 12 Mnths'!$P:$P)</f>
        <v>399.99</v>
      </c>
      <c r="S172" s="26">
        <f>+SUMIF('2015-16 12 Mnths'!$A:$A,'Detail 18-19'!$A172,'2015-16 12 Mnths'!$O:$O)</f>
        <v>87.5</v>
      </c>
      <c r="T172" s="57">
        <f t="shared" si="2"/>
        <v>-0.2499812495</v>
      </c>
      <c r="U172" s="57">
        <f t="shared" si="3"/>
        <v>-1.142742857</v>
      </c>
      <c r="V172" s="8" t="s">
        <v>641</v>
      </c>
      <c r="W172" s="27">
        <v>400.0</v>
      </c>
      <c r="X172" s="27">
        <f t="shared" si="92"/>
        <v>400</v>
      </c>
      <c r="Z172" s="57">
        <v>0.0</v>
      </c>
      <c r="AA172" s="57" t="str">
        <f>IFERROR(+VLOOKUP(A172,Key!$A$1:$C$219,2,FALSE),"NOT FOUND")</f>
        <v>6625-1U</v>
      </c>
      <c r="AB172" s="27">
        <v>400.0</v>
      </c>
      <c r="AC172" s="27"/>
      <c r="AD172" s="27"/>
      <c r="AE172" s="27"/>
      <c r="AF172" s="27"/>
      <c r="AG172" s="27"/>
      <c r="AH172" s="27"/>
      <c r="AI172" s="27">
        <v>100.0</v>
      </c>
      <c r="AJ172" s="27">
        <v>100.0</v>
      </c>
      <c r="AK172" s="27">
        <v>100.0</v>
      </c>
      <c r="AL172" s="27">
        <v>100.0</v>
      </c>
      <c r="AM172" s="27"/>
      <c r="AN172" s="27"/>
      <c r="AO172" s="27">
        <f t="shared" si="6"/>
        <v>0</v>
      </c>
    </row>
    <row r="173" ht="15.75" customHeight="1">
      <c r="A173" s="15" t="s">
        <v>525</v>
      </c>
      <c r="B173" s="15" t="s">
        <v>526</v>
      </c>
      <c r="C173" s="15" t="s">
        <v>119</v>
      </c>
      <c r="D173" s="56">
        <f>SUMIF('2015-16 12 Mnths'!$A:$A,'Detail 18-19'!$A173,'2015-16 12 Mnths'!C:C)-SUMIF('Budget 12 Mnths'!$A:$A,'Detail 18-19'!$A173,'Budget 12 Mnths'!D:D)</f>
        <v>0</v>
      </c>
      <c r="E173" s="56">
        <f>SUMIF('2015-16 12 Mnths'!$A:$A,'Detail 18-19'!$A173,'2015-16 12 Mnths'!D:D)-SUMIF('Budget 12 Mnths'!$A:$A,'Detail 18-19'!$A173,'Budget 12 Mnths'!E:E)</f>
        <v>0</v>
      </c>
      <c r="F173" s="56">
        <f>SUMIF('2015-16 12 Mnths'!$A:$A,'Detail 18-19'!$A173,'2015-16 12 Mnths'!E:E)-SUMIF('Budget 12 Mnths'!$A:$A,'Detail 18-19'!$A173,'Budget 12 Mnths'!F:F)</f>
        <v>0</v>
      </c>
      <c r="G173" s="56">
        <f>SUMIF('2015-16 12 Mnths'!$A:$A,'Detail 18-19'!$A173,'2015-16 12 Mnths'!F:F)-SUMIF('Budget 12 Mnths'!$A:$A,'Detail 18-19'!$A173,'Budget 12 Mnths'!G:G)</f>
        <v>0</v>
      </c>
      <c r="H173" s="56">
        <f>SUMIF('2015-16 12 Mnths'!$A:$A,'Detail 18-19'!$A173,'2015-16 12 Mnths'!G:G)-SUMIF('Budget 12 Mnths'!$A:$A,'Detail 18-19'!$A173,'Budget 12 Mnths'!H:H)</f>
        <v>0</v>
      </c>
      <c r="I173" s="56">
        <f>SUMIF('2015-16 12 Mnths'!$A:$A,'Detail 18-19'!$A173,'2015-16 12 Mnths'!H:H)-SUMIF('Budget 12 Mnths'!$A:$A,'Detail 18-19'!$A173,'Budget 12 Mnths'!I:I)</f>
        <v>0</v>
      </c>
      <c r="J173" s="56">
        <f>SUMIF('2015-16 12 Mnths'!$A:$A,'Detail 18-19'!$A173,'2015-16 12 Mnths'!I:I)-SUMIF('Budget 12 Mnths'!$A:$A,'Detail 18-19'!$A173,'Budget 12 Mnths'!J:J)</f>
        <v>-50</v>
      </c>
      <c r="K173" s="56">
        <f>SUMIF('2015-16 12 Mnths'!$A:$A,'Detail 18-19'!$A173,'2015-16 12 Mnths'!J:J)-SUMIF('Budget 12 Mnths'!$A:$A,'Detail 18-19'!$A173,'Budget 12 Mnths'!K:K)</f>
        <v>-50</v>
      </c>
      <c r="L173" s="56">
        <f>SUMIF('2015-16 12 Mnths'!$A:$A,'Detail 18-19'!$A173,'2015-16 12 Mnths'!K:K)-SUMIF('Budget 12 Mnths'!$A:$A,'Detail 18-19'!$A173,'Budget 12 Mnths'!L:L)</f>
        <v>60</v>
      </c>
      <c r="M173" s="56"/>
      <c r="N173" s="56"/>
      <c r="O173" s="56"/>
      <c r="P173" s="56">
        <f t="shared" si="1"/>
        <v>-40</v>
      </c>
      <c r="Q173" s="14" t="str">
        <f>+VLOOKUP(A173,Mapping!$A$1:$E$443,5,FALSE)</f>
        <v>Student Act Exp</v>
      </c>
      <c r="R173" s="26">
        <f>+SUMIF('Budget 12 Mnths'!$A:$A,'Detail 18-19'!$A173,'Budget 12 Mnths'!$P:$P)</f>
        <v>600</v>
      </c>
      <c r="S173" s="26">
        <f>+SUMIF('2015-16 12 Mnths'!$A:$A,'Detail 18-19'!$A173,'2015-16 12 Mnths'!$O:$O)</f>
        <v>110</v>
      </c>
      <c r="T173" s="57">
        <f t="shared" si="2"/>
        <v>-0.06666666667</v>
      </c>
      <c r="U173" s="57">
        <f t="shared" si="3"/>
        <v>-0.3636363636</v>
      </c>
      <c r="V173" s="8" t="s">
        <v>641</v>
      </c>
      <c r="W173" s="27">
        <v>600.0</v>
      </c>
      <c r="X173" s="27">
        <f t="shared" si="92"/>
        <v>600</v>
      </c>
      <c r="Z173" s="57">
        <v>0.0</v>
      </c>
      <c r="AA173" s="57" t="str">
        <f>IFERROR(+VLOOKUP(A173,Key!$A$1:$C$219,2,FALSE),"NOT FOUND")</f>
        <v>6625-1U</v>
      </c>
      <c r="AB173" s="27">
        <v>400.0</v>
      </c>
      <c r="AC173" s="27"/>
      <c r="AD173" s="27"/>
      <c r="AE173" s="27"/>
      <c r="AF173" s="27"/>
      <c r="AG173" s="27"/>
      <c r="AH173" s="27"/>
      <c r="AI173" s="27">
        <v>100.0</v>
      </c>
      <c r="AJ173" s="27">
        <v>100.0</v>
      </c>
      <c r="AK173" s="27">
        <v>100.0</v>
      </c>
      <c r="AL173" s="27">
        <v>100.0</v>
      </c>
      <c r="AM173" s="27"/>
      <c r="AN173" s="27"/>
      <c r="AO173" s="27">
        <f t="shared" si="6"/>
        <v>0</v>
      </c>
    </row>
    <row r="174" ht="15.75" hidden="1" customHeight="1">
      <c r="A174" s="15" t="s">
        <v>527</v>
      </c>
      <c r="B174" s="15" t="s">
        <v>528</v>
      </c>
      <c r="C174" s="15" t="s">
        <v>119</v>
      </c>
      <c r="D174" s="56">
        <f>SUMIF('2015-16 12 Mnths'!$A:$A,'Detail 18-19'!$A174,'2015-16 12 Mnths'!C:C)-SUMIF('Budget 12 Mnths'!$A:$A,'Detail 18-19'!$A174,'Budget 12 Mnths'!D:D)</f>
        <v>0</v>
      </c>
      <c r="E174" s="56">
        <f>SUMIF('2015-16 12 Mnths'!$A:$A,'Detail 18-19'!$A174,'2015-16 12 Mnths'!D:D)-SUMIF('Budget 12 Mnths'!$A:$A,'Detail 18-19'!$A174,'Budget 12 Mnths'!E:E)</f>
        <v>0</v>
      </c>
      <c r="F174" s="56">
        <f>SUMIF('2015-16 12 Mnths'!$A:$A,'Detail 18-19'!$A174,'2015-16 12 Mnths'!E:E)-SUMIF('Budget 12 Mnths'!$A:$A,'Detail 18-19'!$A174,'Budget 12 Mnths'!F:F)</f>
        <v>0</v>
      </c>
      <c r="G174" s="56">
        <f>SUMIF('2015-16 12 Mnths'!$A:$A,'Detail 18-19'!$A174,'2015-16 12 Mnths'!F:F)-SUMIF('Budget 12 Mnths'!$A:$A,'Detail 18-19'!$A174,'Budget 12 Mnths'!G:G)</f>
        <v>0</v>
      </c>
      <c r="H174" s="56">
        <f>SUMIF('2015-16 12 Mnths'!$A:$A,'Detail 18-19'!$A174,'2015-16 12 Mnths'!G:G)-SUMIF('Budget 12 Mnths'!$A:$A,'Detail 18-19'!$A174,'Budget 12 Mnths'!H:H)</f>
        <v>0</v>
      </c>
      <c r="I174" s="56">
        <f>SUMIF('2015-16 12 Mnths'!$A:$A,'Detail 18-19'!$A174,'2015-16 12 Mnths'!H:H)-SUMIF('Budget 12 Mnths'!$A:$A,'Detail 18-19'!$A174,'Budget 12 Mnths'!I:I)</f>
        <v>0</v>
      </c>
      <c r="J174" s="56">
        <f>SUMIF('2015-16 12 Mnths'!$A:$A,'Detail 18-19'!$A174,'2015-16 12 Mnths'!I:I)-SUMIF('Budget 12 Mnths'!$A:$A,'Detail 18-19'!$A174,'Budget 12 Mnths'!J:J)</f>
        <v>0</v>
      </c>
      <c r="K174" s="56">
        <f>SUMIF('2015-16 12 Mnths'!$A:$A,'Detail 18-19'!$A174,'2015-16 12 Mnths'!J:J)-SUMIF('Budget 12 Mnths'!$A:$A,'Detail 18-19'!$A174,'Budget 12 Mnths'!K:K)</f>
        <v>0</v>
      </c>
      <c r="L174" s="56">
        <f>SUMIF('2015-16 12 Mnths'!$A:$A,'Detail 18-19'!$A174,'2015-16 12 Mnths'!K:K)-SUMIF('Budget 12 Mnths'!$A:$A,'Detail 18-19'!$A174,'Budget 12 Mnths'!L:L)</f>
        <v>0</v>
      </c>
      <c r="M174" s="56"/>
      <c r="N174" s="56"/>
      <c r="O174" s="56"/>
      <c r="P174" s="56">
        <f t="shared" si="1"/>
        <v>0</v>
      </c>
      <c r="Q174" s="14" t="str">
        <f>+VLOOKUP(A174,Mapping!$A$1:$E$443,5,FALSE)</f>
        <v>Student Act Exp</v>
      </c>
      <c r="R174" s="26">
        <f>+SUMIF('Budget 12 Mnths'!$A:$A,'Detail 18-19'!$A174,'Budget 12 Mnths'!$P:$P)</f>
        <v>0</v>
      </c>
      <c r="S174" s="26">
        <f>+SUMIF('2015-16 12 Mnths'!$A:$A,'Detail 18-19'!$A174,'2015-16 12 Mnths'!$O:$O)</f>
        <v>0</v>
      </c>
      <c r="T174" s="57">
        <f t="shared" si="2"/>
        <v>0</v>
      </c>
      <c r="U174" s="57">
        <f t="shared" si="3"/>
        <v>0</v>
      </c>
      <c r="W174" s="27"/>
      <c r="X174" s="27" t="str">
        <f t="shared" si="92"/>
        <v/>
      </c>
      <c r="Z174" s="57">
        <f t="shared" ref="Z174:Z185" si="93">+X174/2</f>
        <v>0</v>
      </c>
      <c r="AA174" s="57" t="str">
        <f>IFERROR(+VLOOKUP(A174,Key!$A$1:$C$219,2,FALSE),"NOT FOUND")</f>
        <v>6640-1U</v>
      </c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>
        <f t="shared" si="6"/>
        <v>0</v>
      </c>
    </row>
    <row r="175" ht="15.75" hidden="1" customHeight="1">
      <c r="A175" s="15" t="s">
        <v>529</v>
      </c>
      <c r="B175" s="15" t="s">
        <v>530</v>
      </c>
      <c r="C175" s="15" t="s">
        <v>119</v>
      </c>
      <c r="D175" s="56">
        <f>SUMIF('2015-16 12 Mnths'!$A:$A,'Detail 18-19'!$A175,'2015-16 12 Mnths'!C:C)-SUMIF('Budget 12 Mnths'!$A:$A,'Detail 18-19'!$A175,'Budget 12 Mnths'!D:D)</f>
        <v>0</v>
      </c>
      <c r="E175" s="56">
        <f>SUMIF('2015-16 12 Mnths'!$A:$A,'Detail 18-19'!$A175,'2015-16 12 Mnths'!D:D)-SUMIF('Budget 12 Mnths'!$A:$A,'Detail 18-19'!$A175,'Budget 12 Mnths'!E:E)</f>
        <v>0</v>
      </c>
      <c r="F175" s="56">
        <f>SUMIF('2015-16 12 Mnths'!$A:$A,'Detail 18-19'!$A175,'2015-16 12 Mnths'!E:E)-SUMIF('Budget 12 Mnths'!$A:$A,'Detail 18-19'!$A175,'Budget 12 Mnths'!F:F)</f>
        <v>82.91</v>
      </c>
      <c r="G175" s="56">
        <f>SUMIF('2015-16 12 Mnths'!$A:$A,'Detail 18-19'!$A175,'2015-16 12 Mnths'!F:F)-SUMIF('Budget 12 Mnths'!$A:$A,'Detail 18-19'!$A175,'Budget 12 Mnths'!G:G)</f>
        <v>92.92</v>
      </c>
      <c r="H175" s="56">
        <f>SUMIF('2015-16 12 Mnths'!$A:$A,'Detail 18-19'!$A175,'2015-16 12 Mnths'!G:G)-SUMIF('Budget 12 Mnths'!$A:$A,'Detail 18-19'!$A175,'Budget 12 Mnths'!H:H)</f>
        <v>0</v>
      </c>
      <c r="I175" s="56">
        <f>SUMIF('2015-16 12 Mnths'!$A:$A,'Detail 18-19'!$A175,'2015-16 12 Mnths'!H:H)-SUMIF('Budget 12 Mnths'!$A:$A,'Detail 18-19'!$A175,'Budget 12 Mnths'!I:I)</f>
        <v>0</v>
      </c>
      <c r="J175" s="56">
        <f>SUMIF('2015-16 12 Mnths'!$A:$A,'Detail 18-19'!$A175,'2015-16 12 Mnths'!I:I)-SUMIF('Budget 12 Mnths'!$A:$A,'Detail 18-19'!$A175,'Budget 12 Mnths'!J:J)</f>
        <v>0</v>
      </c>
      <c r="K175" s="56">
        <f>SUMIF('2015-16 12 Mnths'!$A:$A,'Detail 18-19'!$A175,'2015-16 12 Mnths'!J:J)-SUMIF('Budget 12 Mnths'!$A:$A,'Detail 18-19'!$A175,'Budget 12 Mnths'!K:K)</f>
        <v>0</v>
      </c>
      <c r="L175" s="56">
        <f>SUMIF('2015-16 12 Mnths'!$A:$A,'Detail 18-19'!$A175,'2015-16 12 Mnths'!K:K)-SUMIF('Budget 12 Mnths'!$A:$A,'Detail 18-19'!$A175,'Budget 12 Mnths'!L:L)</f>
        <v>77.57</v>
      </c>
      <c r="M175" s="56"/>
      <c r="N175" s="56"/>
      <c r="O175" s="56"/>
      <c r="P175" s="56">
        <f t="shared" si="1"/>
        <v>253.4</v>
      </c>
      <c r="Q175" s="14" t="str">
        <f>+VLOOKUP(A175,Mapping!$A$1:$E$443,5,FALSE)</f>
        <v>Student Act Exp</v>
      </c>
      <c r="R175" s="26">
        <f>+SUMIF('Budget 12 Mnths'!$A:$A,'Detail 18-19'!$A175,'Budget 12 Mnths'!$P:$P)</f>
        <v>0</v>
      </c>
      <c r="S175" s="26">
        <f>+SUMIF('2015-16 12 Mnths'!$A:$A,'Detail 18-19'!$A175,'2015-16 12 Mnths'!$O:$O)</f>
        <v>253.4</v>
      </c>
      <c r="T175" s="57">
        <f t="shared" si="2"/>
        <v>0</v>
      </c>
      <c r="U175" s="57">
        <f t="shared" si="3"/>
        <v>1</v>
      </c>
      <c r="W175" s="27"/>
      <c r="X175" s="27" t="str">
        <f t="shared" si="92"/>
        <v/>
      </c>
      <c r="Z175" s="57">
        <f t="shared" si="93"/>
        <v>0</v>
      </c>
      <c r="AA175" s="57" t="str">
        <f>IFERROR(+VLOOKUP(A175,Key!$A$1:$C$219,2,FALSE),"NOT FOUND")</f>
        <v>NOT FOUND</v>
      </c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>
        <f t="shared" si="6"/>
        <v>0</v>
      </c>
    </row>
    <row r="176" ht="15.75" hidden="1" customHeight="1">
      <c r="A176" s="15" t="s">
        <v>531</v>
      </c>
      <c r="B176" s="15" t="s">
        <v>532</v>
      </c>
      <c r="C176" s="15" t="s">
        <v>119</v>
      </c>
      <c r="D176" s="56">
        <f>SUMIF('2015-16 12 Mnths'!$A:$A,'Detail 18-19'!$A176,'2015-16 12 Mnths'!C:C)-SUMIF('Budget 12 Mnths'!$A:$A,'Detail 18-19'!$A176,'Budget 12 Mnths'!D:D)</f>
        <v>0</v>
      </c>
      <c r="E176" s="56">
        <f>SUMIF('2015-16 12 Mnths'!$A:$A,'Detail 18-19'!$A176,'2015-16 12 Mnths'!D:D)-SUMIF('Budget 12 Mnths'!$A:$A,'Detail 18-19'!$A176,'Budget 12 Mnths'!E:E)</f>
        <v>-684.21</v>
      </c>
      <c r="F176" s="56">
        <f>SUMIF('2015-16 12 Mnths'!$A:$A,'Detail 18-19'!$A176,'2015-16 12 Mnths'!E:E)-SUMIF('Budget 12 Mnths'!$A:$A,'Detail 18-19'!$A176,'Budget 12 Mnths'!F:F)</f>
        <v>-1368.42</v>
      </c>
      <c r="G176" s="56">
        <f>SUMIF('2015-16 12 Mnths'!$A:$A,'Detail 18-19'!$A176,'2015-16 12 Mnths'!F:F)-SUMIF('Budget 12 Mnths'!$A:$A,'Detail 18-19'!$A176,'Budget 12 Mnths'!G:G)</f>
        <v>-1368.42</v>
      </c>
      <c r="H176" s="56">
        <f>SUMIF('2015-16 12 Mnths'!$A:$A,'Detail 18-19'!$A176,'2015-16 12 Mnths'!G:G)-SUMIF('Budget 12 Mnths'!$A:$A,'Detail 18-19'!$A176,'Budget 12 Mnths'!H:H)</f>
        <v>-1368.42</v>
      </c>
      <c r="I176" s="56">
        <f>SUMIF('2015-16 12 Mnths'!$A:$A,'Detail 18-19'!$A176,'2015-16 12 Mnths'!H:H)-SUMIF('Budget 12 Mnths'!$A:$A,'Detail 18-19'!$A176,'Budget 12 Mnths'!I:I)</f>
        <v>-1368.42</v>
      </c>
      <c r="J176" s="56">
        <f>SUMIF('2015-16 12 Mnths'!$A:$A,'Detail 18-19'!$A176,'2015-16 12 Mnths'!I:I)-SUMIF('Budget 12 Mnths'!$A:$A,'Detail 18-19'!$A176,'Budget 12 Mnths'!J:J)</f>
        <v>-1368.42</v>
      </c>
      <c r="K176" s="56">
        <f>SUMIF('2015-16 12 Mnths'!$A:$A,'Detail 18-19'!$A176,'2015-16 12 Mnths'!J:J)-SUMIF('Budget 12 Mnths'!$A:$A,'Detail 18-19'!$A176,'Budget 12 Mnths'!K:K)</f>
        <v>-1368.42</v>
      </c>
      <c r="L176" s="56">
        <f>SUMIF('2015-16 12 Mnths'!$A:$A,'Detail 18-19'!$A176,'2015-16 12 Mnths'!K:K)-SUMIF('Budget 12 Mnths'!$A:$A,'Detail 18-19'!$A176,'Budget 12 Mnths'!L:L)</f>
        <v>-1368.42</v>
      </c>
      <c r="M176" s="56"/>
      <c r="N176" s="56"/>
      <c r="O176" s="56"/>
      <c r="P176" s="56">
        <f t="shared" si="1"/>
        <v>-10263.15</v>
      </c>
      <c r="Q176" s="14" t="str">
        <f>+VLOOKUP(A176,Mapping!$A$1:$E$443,5,FALSE)</f>
        <v>Student Act Exp</v>
      </c>
      <c r="R176" s="26">
        <f>+SUMIF('Budget 12 Mnths'!$A:$A,'Detail 18-19'!$A176,'Budget 12 Mnths'!$P:$P)</f>
        <v>12999.99</v>
      </c>
      <c r="S176" s="26">
        <f>+SUMIF('2015-16 12 Mnths'!$A:$A,'Detail 18-19'!$A176,'2015-16 12 Mnths'!$O:$O)</f>
        <v>0</v>
      </c>
      <c r="T176" s="57">
        <f t="shared" si="2"/>
        <v>-0.7894736842</v>
      </c>
      <c r="U176" s="57">
        <f t="shared" si="3"/>
        <v>0</v>
      </c>
      <c r="V176" s="135" t="s">
        <v>594</v>
      </c>
      <c r="W176" s="27">
        <v>0.0</v>
      </c>
      <c r="X176" s="27">
        <v>0.0</v>
      </c>
      <c r="Y176" s="135"/>
      <c r="Z176" s="57">
        <f t="shared" si="93"/>
        <v>0</v>
      </c>
      <c r="AA176" s="57" t="str">
        <f>IFERROR(+VLOOKUP(A176,Key!$A$1:$C$219,2,FALSE),"NOT FOUND")</f>
        <v>6645-1U</v>
      </c>
      <c r="AB176" s="27"/>
      <c r="AC176" s="27">
        <v>0.0</v>
      </c>
      <c r="AD176" s="57">
        <f>+$AB176/9.5*0.5</f>
        <v>0</v>
      </c>
      <c r="AE176" s="57">
        <f t="shared" ref="AE176:AM176" si="94">+$AB176/9.5</f>
        <v>0</v>
      </c>
      <c r="AF176" s="57">
        <f t="shared" si="94"/>
        <v>0</v>
      </c>
      <c r="AG176" s="57">
        <f t="shared" si="94"/>
        <v>0</v>
      </c>
      <c r="AH176" s="57">
        <f t="shared" si="94"/>
        <v>0</v>
      </c>
      <c r="AI176" s="57">
        <f t="shared" si="94"/>
        <v>0</v>
      </c>
      <c r="AJ176" s="57">
        <f t="shared" si="94"/>
        <v>0</v>
      </c>
      <c r="AK176" s="57">
        <f t="shared" si="94"/>
        <v>0</v>
      </c>
      <c r="AL176" s="57">
        <f t="shared" si="94"/>
        <v>0</v>
      </c>
      <c r="AM176" s="57">
        <f t="shared" si="94"/>
        <v>0</v>
      </c>
      <c r="AN176" s="27">
        <v>0.0</v>
      </c>
      <c r="AO176" s="27">
        <f t="shared" si="6"/>
        <v>0</v>
      </c>
      <c r="AP176" s="8" t="s">
        <v>1799</v>
      </c>
    </row>
    <row r="177" ht="15.75" hidden="1" customHeight="1">
      <c r="A177" s="15" t="s">
        <v>533</v>
      </c>
      <c r="B177" s="15" t="s">
        <v>534</v>
      </c>
      <c r="C177" s="15" t="s">
        <v>119</v>
      </c>
      <c r="D177" s="56">
        <f>SUMIF('2015-16 12 Mnths'!$A:$A,'Detail 18-19'!$A177,'2015-16 12 Mnths'!C:C)-SUMIF('Budget 12 Mnths'!$A:$A,'Detail 18-19'!$A177,'Budget 12 Mnths'!D:D)</f>
        <v>0</v>
      </c>
      <c r="E177" s="56">
        <f>SUMIF('2015-16 12 Mnths'!$A:$A,'Detail 18-19'!$A177,'2015-16 12 Mnths'!D:D)-SUMIF('Budget 12 Mnths'!$A:$A,'Detail 18-19'!$A177,'Budget 12 Mnths'!E:E)</f>
        <v>0</v>
      </c>
      <c r="F177" s="56">
        <f>SUMIF('2015-16 12 Mnths'!$A:$A,'Detail 18-19'!$A177,'2015-16 12 Mnths'!E:E)-SUMIF('Budget 12 Mnths'!$A:$A,'Detail 18-19'!$A177,'Budget 12 Mnths'!F:F)</f>
        <v>0</v>
      </c>
      <c r="G177" s="56">
        <f>SUMIF('2015-16 12 Mnths'!$A:$A,'Detail 18-19'!$A177,'2015-16 12 Mnths'!F:F)-SUMIF('Budget 12 Mnths'!$A:$A,'Detail 18-19'!$A177,'Budget 12 Mnths'!G:G)</f>
        <v>0</v>
      </c>
      <c r="H177" s="56">
        <f>SUMIF('2015-16 12 Mnths'!$A:$A,'Detail 18-19'!$A177,'2015-16 12 Mnths'!G:G)-SUMIF('Budget 12 Mnths'!$A:$A,'Detail 18-19'!$A177,'Budget 12 Mnths'!H:H)</f>
        <v>0</v>
      </c>
      <c r="I177" s="56">
        <f>SUMIF('2015-16 12 Mnths'!$A:$A,'Detail 18-19'!$A177,'2015-16 12 Mnths'!H:H)-SUMIF('Budget 12 Mnths'!$A:$A,'Detail 18-19'!$A177,'Budget 12 Mnths'!I:I)</f>
        <v>0</v>
      </c>
      <c r="J177" s="56">
        <f>SUMIF('2015-16 12 Mnths'!$A:$A,'Detail 18-19'!$A177,'2015-16 12 Mnths'!I:I)-SUMIF('Budget 12 Mnths'!$A:$A,'Detail 18-19'!$A177,'Budget 12 Mnths'!J:J)</f>
        <v>0</v>
      </c>
      <c r="K177" s="56">
        <f>SUMIF('2015-16 12 Mnths'!$A:$A,'Detail 18-19'!$A177,'2015-16 12 Mnths'!J:J)-SUMIF('Budget 12 Mnths'!$A:$A,'Detail 18-19'!$A177,'Budget 12 Mnths'!K:K)</f>
        <v>0</v>
      </c>
      <c r="L177" s="56">
        <f>SUMIF('2015-16 12 Mnths'!$A:$A,'Detail 18-19'!$A177,'2015-16 12 Mnths'!K:K)-SUMIF('Budget 12 Mnths'!$A:$A,'Detail 18-19'!$A177,'Budget 12 Mnths'!L:L)</f>
        <v>78</v>
      </c>
      <c r="M177" s="56"/>
      <c r="N177" s="56"/>
      <c r="O177" s="56"/>
      <c r="P177" s="56">
        <f t="shared" si="1"/>
        <v>78</v>
      </c>
      <c r="Q177" s="14" t="str">
        <f>+VLOOKUP(A177,Mapping!$A$1:$E$443,5,FALSE)</f>
        <v>Student Act Exp</v>
      </c>
      <c r="R177" s="26">
        <f>+SUMIF('Budget 12 Mnths'!$A:$A,'Detail 18-19'!$A177,'Budget 12 Mnths'!$P:$P)</f>
        <v>0</v>
      </c>
      <c r="S177" s="26">
        <f>+SUMIF('2015-16 12 Mnths'!$A:$A,'Detail 18-19'!$A177,'2015-16 12 Mnths'!$O:$O)</f>
        <v>78</v>
      </c>
      <c r="T177" s="57">
        <f t="shared" si="2"/>
        <v>0</v>
      </c>
      <c r="U177" s="57">
        <f t="shared" si="3"/>
        <v>1</v>
      </c>
      <c r="W177" s="27"/>
      <c r="X177" s="27" t="str">
        <f t="shared" ref="X177:X181" si="95">+W177</f>
        <v/>
      </c>
      <c r="Z177" s="57">
        <f t="shared" si="93"/>
        <v>0</v>
      </c>
      <c r="AA177" s="57" t="str">
        <f>IFERROR(+VLOOKUP(A177,Key!$A$1:$C$219,2,FALSE),"NOT FOUND")</f>
        <v>6650-1U</v>
      </c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>
        <f t="shared" si="6"/>
        <v>0</v>
      </c>
    </row>
    <row r="178" ht="15.75" hidden="1" customHeight="1">
      <c r="A178" s="15" t="s">
        <v>535</v>
      </c>
      <c r="B178" s="15" t="s">
        <v>536</v>
      </c>
      <c r="C178" s="15" t="s">
        <v>119</v>
      </c>
      <c r="D178" s="56">
        <f>SUMIF('2015-16 12 Mnths'!$A:$A,'Detail 18-19'!$A178,'2015-16 12 Mnths'!C:C)-SUMIF('Budget 12 Mnths'!$A:$A,'Detail 18-19'!$A178,'Budget 12 Mnths'!D:D)</f>
        <v>0</v>
      </c>
      <c r="E178" s="56">
        <f>SUMIF('2015-16 12 Mnths'!$A:$A,'Detail 18-19'!$A178,'2015-16 12 Mnths'!D:D)-SUMIF('Budget 12 Mnths'!$A:$A,'Detail 18-19'!$A178,'Budget 12 Mnths'!E:E)</f>
        <v>0</v>
      </c>
      <c r="F178" s="56">
        <f>SUMIF('2015-16 12 Mnths'!$A:$A,'Detail 18-19'!$A178,'2015-16 12 Mnths'!E:E)-SUMIF('Budget 12 Mnths'!$A:$A,'Detail 18-19'!$A178,'Budget 12 Mnths'!F:F)</f>
        <v>0</v>
      </c>
      <c r="G178" s="56">
        <f>SUMIF('2015-16 12 Mnths'!$A:$A,'Detail 18-19'!$A178,'2015-16 12 Mnths'!F:F)-SUMIF('Budget 12 Mnths'!$A:$A,'Detail 18-19'!$A178,'Budget 12 Mnths'!G:G)</f>
        <v>0</v>
      </c>
      <c r="H178" s="56">
        <f>SUMIF('2015-16 12 Mnths'!$A:$A,'Detail 18-19'!$A178,'2015-16 12 Mnths'!G:G)-SUMIF('Budget 12 Mnths'!$A:$A,'Detail 18-19'!$A178,'Budget 12 Mnths'!H:H)</f>
        <v>0</v>
      </c>
      <c r="I178" s="56">
        <f>SUMIF('2015-16 12 Mnths'!$A:$A,'Detail 18-19'!$A178,'2015-16 12 Mnths'!H:H)-SUMIF('Budget 12 Mnths'!$A:$A,'Detail 18-19'!$A178,'Budget 12 Mnths'!I:I)</f>
        <v>0</v>
      </c>
      <c r="J178" s="56">
        <f>SUMIF('2015-16 12 Mnths'!$A:$A,'Detail 18-19'!$A178,'2015-16 12 Mnths'!I:I)-SUMIF('Budget 12 Mnths'!$A:$A,'Detail 18-19'!$A178,'Budget 12 Mnths'!J:J)</f>
        <v>0</v>
      </c>
      <c r="K178" s="56">
        <f>SUMIF('2015-16 12 Mnths'!$A:$A,'Detail 18-19'!$A178,'2015-16 12 Mnths'!J:J)-SUMIF('Budget 12 Mnths'!$A:$A,'Detail 18-19'!$A178,'Budget 12 Mnths'!K:K)</f>
        <v>0</v>
      </c>
      <c r="L178" s="56">
        <f>SUMIF('2015-16 12 Mnths'!$A:$A,'Detail 18-19'!$A178,'2015-16 12 Mnths'!K:K)-SUMIF('Budget 12 Mnths'!$A:$A,'Detail 18-19'!$A178,'Budget 12 Mnths'!L:L)</f>
        <v>0</v>
      </c>
      <c r="M178" s="56"/>
      <c r="N178" s="56"/>
      <c r="O178" s="56"/>
      <c r="P178" s="56">
        <f t="shared" si="1"/>
        <v>0</v>
      </c>
      <c r="Q178" s="14" t="str">
        <f>+VLOOKUP(A178,Mapping!$A$1:$E$443,5,FALSE)</f>
        <v>Student Act Exp</v>
      </c>
      <c r="R178" s="26">
        <f>+SUMIF('Budget 12 Mnths'!$A:$A,'Detail 18-19'!$A178,'Budget 12 Mnths'!$P:$P)</f>
        <v>0</v>
      </c>
      <c r="S178" s="26">
        <f>+SUMIF('2015-16 12 Mnths'!$A:$A,'Detail 18-19'!$A178,'2015-16 12 Mnths'!$O:$O)</f>
        <v>0</v>
      </c>
      <c r="T178" s="57">
        <f t="shared" si="2"/>
        <v>0</v>
      </c>
      <c r="U178" s="57">
        <f t="shared" si="3"/>
        <v>0</v>
      </c>
      <c r="W178" s="27"/>
      <c r="X178" s="27" t="str">
        <f t="shared" si="95"/>
        <v/>
      </c>
      <c r="Z178" s="57">
        <f t="shared" si="93"/>
        <v>0</v>
      </c>
      <c r="AA178" s="57" t="str">
        <f>IFERROR(+VLOOKUP(A178,Key!$A$1:$C$219,2,FALSE),"NOT FOUND")</f>
        <v>NOT FOUND</v>
      </c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>
        <f t="shared" si="6"/>
        <v>0</v>
      </c>
    </row>
    <row r="179" ht="15.75" hidden="1" customHeight="1">
      <c r="A179" s="15" t="s">
        <v>537</v>
      </c>
      <c r="B179" s="15" t="s">
        <v>538</v>
      </c>
      <c r="C179" s="15" t="s">
        <v>119</v>
      </c>
      <c r="D179" s="56">
        <f>SUMIF('2015-16 12 Mnths'!$A:$A,'Detail 18-19'!$A179,'2015-16 12 Mnths'!C:C)-SUMIF('Budget 12 Mnths'!$A:$A,'Detail 18-19'!$A179,'Budget 12 Mnths'!D:D)</f>
        <v>0</v>
      </c>
      <c r="E179" s="56">
        <f>SUMIF('2015-16 12 Mnths'!$A:$A,'Detail 18-19'!$A179,'2015-16 12 Mnths'!D:D)-SUMIF('Budget 12 Mnths'!$A:$A,'Detail 18-19'!$A179,'Budget 12 Mnths'!E:E)</f>
        <v>0</v>
      </c>
      <c r="F179" s="56">
        <f>SUMIF('2015-16 12 Mnths'!$A:$A,'Detail 18-19'!$A179,'2015-16 12 Mnths'!E:E)-SUMIF('Budget 12 Mnths'!$A:$A,'Detail 18-19'!$A179,'Budget 12 Mnths'!F:F)</f>
        <v>0</v>
      </c>
      <c r="G179" s="56">
        <f>SUMIF('2015-16 12 Mnths'!$A:$A,'Detail 18-19'!$A179,'2015-16 12 Mnths'!F:F)-SUMIF('Budget 12 Mnths'!$A:$A,'Detail 18-19'!$A179,'Budget 12 Mnths'!G:G)</f>
        <v>-8.33</v>
      </c>
      <c r="H179" s="56">
        <f>SUMIF('2015-16 12 Mnths'!$A:$A,'Detail 18-19'!$A179,'2015-16 12 Mnths'!G:G)-SUMIF('Budget 12 Mnths'!$A:$A,'Detail 18-19'!$A179,'Budget 12 Mnths'!H:H)</f>
        <v>-8.33</v>
      </c>
      <c r="I179" s="56">
        <f>SUMIF('2015-16 12 Mnths'!$A:$A,'Detail 18-19'!$A179,'2015-16 12 Mnths'!H:H)-SUMIF('Budget 12 Mnths'!$A:$A,'Detail 18-19'!$A179,'Budget 12 Mnths'!I:I)</f>
        <v>-8.33</v>
      </c>
      <c r="J179" s="56">
        <f>SUMIF('2015-16 12 Mnths'!$A:$A,'Detail 18-19'!$A179,'2015-16 12 Mnths'!I:I)-SUMIF('Budget 12 Mnths'!$A:$A,'Detail 18-19'!$A179,'Budget 12 Mnths'!J:J)</f>
        <v>-8.33</v>
      </c>
      <c r="K179" s="56">
        <f>SUMIF('2015-16 12 Mnths'!$A:$A,'Detail 18-19'!$A179,'2015-16 12 Mnths'!J:J)-SUMIF('Budget 12 Mnths'!$A:$A,'Detail 18-19'!$A179,'Budget 12 Mnths'!K:K)</f>
        <v>-8.33</v>
      </c>
      <c r="L179" s="56">
        <f>SUMIF('2015-16 12 Mnths'!$A:$A,'Detail 18-19'!$A179,'2015-16 12 Mnths'!K:K)-SUMIF('Budget 12 Mnths'!$A:$A,'Detail 18-19'!$A179,'Budget 12 Mnths'!L:L)</f>
        <v>-8.33</v>
      </c>
      <c r="M179" s="56"/>
      <c r="N179" s="56"/>
      <c r="O179" s="56"/>
      <c r="P179" s="56">
        <f t="shared" si="1"/>
        <v>-49.98</v>
      </c>
      <c r="Q179" s="14" t="str">
        <f>+VLOOKUP(A179,Mapping!$A$1:$E$443,5,FALSE)</f>
        <v>Student Act Exp</v>
      </c>
      <c r="R179" s="26">
        <f>+SUMIF('Budget 12 Mnths'!$A:$A,'Detail 18-19'!$A179,'Budget 12 Mnths'!$P:$P)</f>
        <v>49.98</v>
      </c>
      <c r="S179" s="26">
        <f>+SUMIF('2015-16 12 Mnths'!$A:$A,'Detail 18-19'!$A179,'2015-16 12 Mnths'!$O:$O)</f>
        <v>0</v>
      </c>
      <c r="T179" s="57">
        <f t="shared" si="2"/>
        <v>-1</v>
      </c>
      <c r="U179" s="57">
        <f t="shared" si="3"/>
        <v>0</v>
      </c>
      <c r="W179" s="27"/>
      <c r="X179" s="27" t="str">
        <f t="shared" si="95"/>
        <v/>
      </c>
      <c r="Z179" s="57">
        <f t="shared" si="93"/>
        <v>0</v>
      </c>
      <c r="AA179" s="57" t="str">
        <f>IFERROR(+VLOOKUP(A179,Key!$A$1:$C$219,2,FALSE),"NOT FOUND")</f>
        <v>NOT FOUND</v>
      </c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>
        <f t="shared" si="6"/>
        <v>0</v>
      </c>
    </row>
    <row r="180" ht="15.75" hidden="1" customHeight="1">
      <c r="A180" s="15" t="s">
        <v>539</v>
      </c>
      <c r="B180" s="15" t="s">
        <v>540</v>
      </c>
      <c r="C180" s="15" t="s">
        <v>119</v>
      </c>
      <c r="D180" s="56">
        <f>SUMIF('2015-16 12 Mnths'!$A:$A,'Detail 18-19'!$A180,'2015-16 12 Mnths'!C:C)-SUMIF('Budget 12 Mnths'!$A:$A,'Detail 18-19'!$A180,'Budget 12 Mnths'!D:D)</f>
        <v>0</v>
      </c>
      <c r="E180" s="56">
        <f>SUMIF('2015-16 12 Mnths'!$A:$A,'Detail 18-19'!$A180,'2015-16 12 Mnths'!D:D)-SUMIF('Budget 12 Mnths'!$A:$A,'Detail 18-19'!$A180,'Budget 12 Mnths'!E:E)</f>
        <v>0</v>
      </c>
      <c r="F180" s="56">
        <f>SUMIF('2015-16 12 Mnths'!$A:$A,'Detail 18-19'!$A180,'2015-16 12 Mnths'!E:E)-SUMIF('Budget 12 Mnths'!$A:$A,'Detail 18-19'!$A180,'Budget 12 Mnths'!F:F)</f>
        <v>0</v>
      </c>
      <c r="G180" s="56">
        <f>SUMIF('2015-16 12 Mnths'!$A:$A,'Detail 18-19'!$A180,'2015-16 12 Mnths'!F:F)-SUMIF('Budget 12 Mnths'!$A:$A,'Detail 18-19'!$A180,'Budget 12 Mnths'!G:G)</f>
        <v>0</v>
      </c>
      <c r="H180" s="56">
        <f>SUMIF('2015-16 12 Mnths'!$A:$A,'Detail 18-19'!$A180,'2015-16 12 Mnths'!G:G)-SUMIF('Budget 12 Mnths'!$A:$A,'Detail 18-19'!$A180,'Budget 12 Mnths'!H:H)</f>
        <v>0</v>
      </c>
      <c r="I180" s="56">
        <f>SUMIF('2015-16 12 Mnths'!$A:$A,'Detail 18-19'!$A180,'2015-16 12 Mnths'!H:H)-SUMIF('Budget 12 Mnths'!$A:$A,'Detail 18-19'!$A180,'Budget 12 Mnths'!I:I)</f>
        <v>0</v>
      </c>
      <c r="J180" s="56">
        <f>SUMIF('2015-16 12 Mnths'!$A:$A,'Detail 18-19'!$A180,'2015-16 12 Mnths'!I:I)-SUMIF('Budget 12 Mnths'!$A:$A,'Detail 18-19'!$A180,'Budget 12 Mnths'!J:J)</f>
        <v>0</v>
      </c>
      <c r="K180" s="56">
        <f>SUMIF('2015-16 12 Mnths'!$A:$A,'Detail 18-19'!$A180,'2015-16 12 Mnths'!J:J)-SUMIF('Budget 12 Mnths'!$A:$A,'Detail 18-19'!$A180,'Budget 12 Mnths'!K:K)</f>
        <v>0</v>
      </c>
      <c r="L180" s="56">
        <f>SUMIF('2015-16 12 Mnths'!$A:$A,'Detail 18-19'!$A180,'2015-16 12 Mnths'!K:K)-SUMIF('Budget 12 Mnths'!$A:$A,'Detail 18-19'!$A180,'Budget 12 Mnths'!L:L)</f>
        <v>0</v>
      </c>
      <c r="M180" s="56"/>
      <c r="N180" s="56"/>
      <c r="O180" s="56"/>
      <c r="P180" s="56">
        <f t="shared" si="1"/>
        <v>0</v>
      </c>
      <c r="Q180" s="14" t="str">
        <f>+VLOOKUP(A180,Mapping!$A$1:$E$443,5,FALSE)</f>
        <v>Student Act Exp</v>
      </c>
      <c r="R180" s="26">
        <f>+SUMIF('Budget 12 Mnths'!$A:$A,'Detail 18-19'!$A180,'Budget 12 Mnths'!$P:$P)</f>
        <v>0</v>
      </c>
      <c r="S180" s="26">
        <f>+SUMIF('2015-16 12 Mnths'!$A:$A,'Detail 18-19'!$A180,'2015-16 12 Mnths'!$O:$O)</f>
        <v>0</v>
      </c>
      <c r="T180" s="57">
        <f t="shared" si="2"/>
        <v>0</v>
      </c>
      <c r="U180" s="57">
        <f t="shared" si="3"/>
        <v>0</v>
      </c>
      <c r="W180" s="27"/>
      <c r="X180" s="27" t="str">
        <f t="shared" si="95"/>
        <v/>
      </c>
      <c r="Z180" s="57">
        <f t="shared" si="93"/>
        <v>0</v>
      </c>
      <c r="AA180" s="57" t="str">
        <f>IFERROR(+VLOOKUP(A180,Key!$A$1:$C$219,2,FALSE),"NOT FOUND")</f>
        <v>NOT FOUND</v>
      </c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>
        <f t="shared" si="6"/>
        <v>0</v>
      </c>
    </row>
    <row r="181" ht="15.75" customHeight="1">
      <c r="A181" s="15" t="s">
        <v>541</v>
      </c>
      <c r="B181" s="15" t="s">
        <v>542</v>
      </c>
      <c r="C181" s="15" t="s">
        <v>119</v>
      </c>
      <c r="D181" s="56">
        <f>SUMIF('2015-16 12 Mnths'!$A:$A,'Detail 18-19'!$A181,'2015-16 12 Mnths'!C:C)-SUMIF('Budget 12 Mnths'!$A:$A,'Detail 18-19'!$A181,'Budget 12 Mnths'!D:D)</f>
        <v>-133.33</v>
      </c>
      <c r="E181" s="56">
        <f>SUMIF('2015-16 12 Mnths'!$A:$A,'Detail 18-19'!$A181,'2015-16 12 Mnths'!D:D)-SUMIF('Budget 12 Mnths'!$A:$A,'Detail 18-19'!$A181,'Budget 12 Mnths'!E:E)</f>
        <v>841.67</v>
      </c>
      <c r="F181" s="56">
        <f>SUMIF('2015-16 12 Mnths'!$A:$A,'Detail 18-19'!$A181,'2015-16 12 Mnths'!E:E)-SUMIF('Budget 12 Mnths'!$A:$A,'Detail 18-19'!$A181,'Budget 12 Mnths'!F:F)</f>
        <v>766.67</v>
      </c>
      <c r="G181" s="56">
        <f>SUMIF('2015-16 12 Mnths'!$A:$A,'Detail 18-19'!$A181,'2015-16 12 Mnths'!F:F)-SUMIF('Budget 12 Mnths'!$A:$A,'Detail 18-19'!$A181,'Budget 12 Mnths'!G:G)</f>
        <v>541.67</v>
      </c>
      <c r="H181" s="56">
        <f>SUMIF('2015-16 12 Mnths'!$A:$A,'Detail 18-19'!$A181,'2015-16 12 Mnths'!G:G)-SUMIF('Budget 12 Mnths'!$A:$A,'Detail 18-19'!$A181,'Budget 12 Mnths'!H:H)</f>
        <v>541.67</v>
      </c>
      <c r="I181" s="56">
        <f>SUMIF('2015-16 12 Mnths'!$A:$A,'Detail 18-19'!$A181,'2015-16 12 Mnths'!H:H)-SUMIF('Budget 12 Mnths'!$A:$A,'Detail 18-19'!$A181,'Budget 12 Mnths'!I:I)</f>
        <v>-133.33</v>
      </c>
      <c r="J181" s="56">
        <f>SUMIF('2015-16 12 Mnths'!$A:$A,'Detail 18-19'!$A181,'2015-16 12 Mnths'!I:I)-SUMIF('Budget 12 Mnths'!$A:$A,'Detail 18-19'!$A181,'Budget 12 Mnths'!J:J)</f>
        <v>541.67</v>
      </c>
      <c r="K181" s="56">
        <f>SUMIF('2015-16 12 Mnths'!$A:$A,'Detail 18-19'!$A181,'2015-16 12 Mnths'!J:J)-SUMIF('Budget 12 Mnths'!$A:$A,'Detail 18-19'!$A181,'Budget 12 Mnths'!K:K)</f>
        <v>541.67</v>
      </c>
      <c r="L181" s="56">
        <f>SUMIF('2015-16 12 Mnths'!$A:$A,'Detail 18-19'!$A181,'2015-16 12 Mnths'!K:K)-SUMIF('Budget 12 Mnths'!$A:$A,'Detail 18-19'!$A181,'Budget 12 Mnths'!L:L)</f>
        <v>1908.67</v>
      </c>
      <c r="M181" s="56"/>
      <c r="N181" s="56"/>
      <c r="O181" s="56"/>
      <c r="P181" s="56">
        <f t="shared" si="1"/>
        <v>5417.03</v>
      </c>
      <c r="Q181" s="14" t="str">
        <f>+VLOOKUP(A181,Mapping!$A$1:$E$443,5,FALSE)</f>
        <v>Student Act Exp</v>
      </c>
      <c r="R181" s="26">
        <f>+SUMIF('Budget 12 Mnths'!$A:$A,'Detail 18-19'!$A181,'Budget 12 Mnths'!$P:$P)</f>
        <v>1599.96</v>
      </c>
      <c r="S181" s="26">
        <f>+SUMIF('2015-16 12 Mnths'!$A:$A,'Detail 18-19'!$A181,'2015-16 12 Mnths'!$O:$O)</f>
        <v>6617</v>
      </c>
      <c r="T181" s="57">
        <f t="shared" si="2"/>
        <v>3.385728393</v>
      </c>
      <c r="U181" s="57">
        <f t="shared" si="3"/>
        <v>0.8186534683</v>
      </c>
      <c r="V181" s="8" t="s">
        <v>451</v>
      </c>
      <c r="W181" s="27">
        <f>+S181/8*10</f>
        <v>8271.25</v>
      </c>
      <c r="X181" s="27">
        <f t="shared" si="95"/>
        <v>8271.25</v>
      </c>
      <c r="Z181" s="57">
        <f t="shared" si="93"/>
        <v>4135.625</v>
      </c>
      <c r="AA181" s="57" t="str">
        <f>IFERROR(+VLOOKUP(A181,Key!$A$1:$C$219,2,FALSE),"NOT FOUND")</f>
        <v>6625-1U</v>
      </c>
      <c r="AB181" s="27">
        <v>500.0</v>
      </c>
      <c r="AC181" s="27"/>
      <c r="AD181" s="27"/>
      <c r="AE181" s="27">
        <v>62.5</v>
      </c>
      <c r="AF181" s="27">
        <v>62.5</v>
      </c>
      <c r="AG181" s="27">
        <v>62.5</v>
      </c>
      <c r="AH181" s="27"/>
      <c r="AI181" s="27">
        <v>62.5</v>
      </c>
      <c r="AJ181" s="27">
        <v>125.0</v>
      </c>
      <c r="AK181" s="27">
        <v>125.0</v>
      </c>
      <c r="AL181" s="27"/>
      <c r="AM181" s="27"/>
      <c r="AN181" s="27"/>
      <c r="AO181" s="27">
        <f t="shared" si="6"/>
        <v>0</v>
      </c>
    </row>
    <row r="182" ht="15.75" customHeight="1">
      <c r="A182" s="15" t="s">
        <v>543</v>
      </c>
      <c r="B182" s="15" t="s">
        <v>544</v>
      </c>
      <c r="C182" s="15" t="s">
        <v>119</v>
      </c>
      <c r="D182" s="56">
        <f>SUMIF('2015-16 12 Mnths'!$A:$A,'Detail 18-19'!$A182,'2015-16 12 Mnths'!C:C)-SUMIF('Budget 12 Mnths'!$A:$A,'Detail 18-19'!$A182,'Budget 12 Mnths'!D:D)</f>
        <v>-2500</v>
      </c>
      <c r="E182" s="56">
        <f>SUMIF('2015-16 12 Mnths'!$A:$A,'Detail 18-19'!$A182,'2015-16 12 Mnths'!D:D)-SUMIF('Budget 12 Mnths'!$A:$A,'Detail 18-19'!$A182,'Budget 12 Mnths'!E:E)</f>
        <v>0</v>
      </c>
      <c r="F182" s="56">
        <f>SUMIF('2015-16 12 Mnths'!$A:$A,'Detail 18-19'!$A182,'2015-16 12 Mnths'!E:E)-SUMIF('Budget 12 Mnths'!$A:$A,'Detail 18-19'!$A182,'Budget 12 Mnths'!F:F)</f>
        <v>0</v>
      </c>
      <c r="G182" s="56">
        <f>SUMIF('2015-16 12 Mnths'!$A:$A,'Detail 18-19'!$A182,'2015-16 12 Mnths'!F:F)-SUMIF('Budget 12 Mnths'!$A:$A,'Detail 18-19'!$A182,'Budget 12 Mnths'!G:G)</f>
        <v>0</v>
      </c>
      <c r="H182" s="56">
        <f>SUMIF('2015-16 12 Mnths'!$A:$A,'Detail 18-19'!$A182,'2015-16 12 Mnths'!G:G)-SUMIF('Budget 12 Mnths'!$A:$A,'Detail 18-19'!$A182,'Budget 12 Mnths'!H:H)</f>
        <v>0</v>
      </c>
      <c r="I182" s="56">
        <f>SUMIF('2015-16 12 Mnths'!$A:$A,'Detail 18-19'!$A182,'2015-16 12 Mnths'!H:H)-SUMIF('Budget 12 Mnths'!$A:$A,'Detail 18-19'!$A182,'Budget 12 Mnths'!I:I)</f>
        <v>0</v>
      </c>
      <c r="J182" s="56">
        <f>SUMIF('2015-16 12 Mnths'!$A:$A,'Detail 18-19'!$A182,'2015-16 12 Mnths'!I:I)-SUMIF('Budget 12 Mnths'!$A:$A,'Detail 18-19'!$A182,'Budget 12 Mnths'!J:J)</f>
        <v>0</v>
      </c>
      <c r="K182" s="56">
        <f>SUMIF('2015-16 12 Mnths'!$A:$A,'Detail 18-19'!$A182,'2015-16 12 Mnths'!J:J)-SUMIF('Budget 12 Mnths'!$A:$A,'Detail 18-19'!$A182,'Budget 12 Mnths'!K:K)</f>
        <v>0</v>
      </c>
      <c r="L182" s="56">
        <f>SUMIF('2015-16 12 Mnths'!$A:$A,'Detail 18-19'!$A182,'2015-16 12 Mnths'!K:K)-SUMIF('Budget 12 Mnths'!$A:$A,'Detail 18-19'!$A182,'Budget 12 Mnths'!L:L)</f>
        <v>0</v>
      </c>
      <c r="M182" s="56"/>
      <c r="N182" s="56"/>
      <c r="O182" s="56"/>
      <c r="P182" s="56">
        <f t="shared" si="1"/>
        <v>-2500</v>
      </c>
      <c r="Q182" s="14" t="str">
        <f>+VLOOKUP(A182,Mapping!$A$1:$E$443,5,FALSE)</f>
        <v>Summer Program</v>
      </c>
      <c r="R182" s="26">
        <f>+SUMIF('Budget 12 Mnths'!$A:$A,'Detail 18-19'!$A182,'Budget 12 Mnths'!$P:$P)</f>
        <v>5000</v>
      </c>
      <c r="S182" s="26">
        <f>+SUMIF('2015-16 12 Mnths'!$A:$A,'Detail 18-19'!$A182,'2015-16 12 Mnths'!$O:$O)</f>
        <v>0</v>
      </c>
      <c r="T182" s="57">
        <f t="shared" si="2"/>
        <v>-0.5</v>
      </c>
      <c r="U182" s="57">
        <f t="shared" si="3"/>
        <v>0</v>
      </c>
      <c r="V182" s="8" t="s">
        <v>641</v>
      </c>
      <c r="W182" s="27">
        <v>0.0</v>
      </c>
      <c r="X182" s="27">
        <v>5000.0</v>
      </c>
      <c r="Z182" s="57">
        <f t="shared" si="93"/>
        <v>2500</v>
      </c>
      <c r="AA182" s="57" t="str">
        <f>IFERROR(+VLOOKUP(A182,Key!$A$1:$C$219,2,FALSE),"NOT FOUND")</f>
        <v>6655-1U</v>
      </c>
      <c r="AB182" s="27">
        <v>2500.0</v>
      </c>
      <c r="AC182" s="27">
        <v>1250.0</v>
      </c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>
        <v>1250.0</v>
      </c>
      <c r="AO182" s="27">
        <f t="shared" si="6"/>
        <v>0</v>
      </c>
    </row>
    <row r="183" ht="15.75" customHeight="1">
      <c r="A183" s="15" t="s">
        <v>545</v>
      </c>
      <c r="B183" s="15" t="s">
        <v>161</v>
      </c>
      <c r="C183" s="15" t="s">
        <v>119</v>
      </c>
      <c r="D183" s="56">
        <f>SUMIF('2015-16 12 Mnths'!$A:$A,'Detail 18-19'!$A183,'2015-16 12 Mnths'!C:C)-SUMIF('Budget 12 Mnths'!$A:$A,'Detail 18-19'!$A183,'Budget 12 Mnths'!D:D)</f>
        <v>-166.67</v>
      </c>
      <c r="E183" s="56">
        <f>SUMIF('2015-16 12 Mnths'!$A:$A,'Detail 18-19'!$A183,'2015-16 12 Mnths'!D:D)-SUMIF('Budget 12 Mnths'!$A:$A,'Detail 18-19'!$A183,'Budget 12 Mnths'!E:E)</f>
        <v>-166.67</v>
      </c>
      <c r="F183" s="56">
        <f>SUMIF('2015-16 12 Mnths'!$A:$A,'Detail 18-19'!$A183,'2015-16 12 Mnths'!E:E)-SUMIF('Budget 12 Mnths'!$A:$A,'Detail 18-19'!$A183,'Budget 12 Mnths'!F:F)</f>
        <v>-166.67</v>
      </c>
      <c r="G183" s="56">
        <f>SUMIF('2015-16 12 Mnths'!$A:$A,'Detail 18-19'!$A183,'2015-16 12 Mnths'!F:F)-SUMIF('Budget 12 Mnths'!$A:$A,'Detail 18-19'!$A183,'Budget 12 Mnths'!G:G)</f>
        <v>-166.67</v>
      </c>
      <c r="H183" s="56">
        <f>SUMIF('2015-16 12 Mnths'!$A:$A,'Detail 18-19'!$A183,'2015-16 12 Mnths'!G:G)-SUMIF('Budget 12 Mnths'!$A:$A,'Detail 18-19'!$A183,'Budget 12 Mnths'!H:H)</f>
        <v>-166.67</v>
      </c>
      <c r="I183" s="56">
        <f>SUMIF('2015-16 12 Mnths'!$A:$A,'Detail 18-19'!$A183,'2015-16 12 Mnths'!H:H)-SUMIF('Budget 12 Mnths'!$A:$A,'Detail 18-19'!$A183,'Budget 12 Mnths'!I:I)</f>
        <v>-166.67</v>
      </c>
      <c r="J183" s="56">
        <f>SUMIF('2015-16 12 Mnths'!$A:$A,'Detail 18-19'!$A183,'2015-16 12 Mnths'!I:I)-SUMIF('Budget 12 Mnths'!$A:$A,'Detail 18-19'!$A183,'Budget 12 Mnths'!J:J)</f>
        <v>-135.17</v>
      </c>
      <c r="K183" s="56">
        <f>SUMIF('2015-16 12 Mnths'!$A:$A,'Detail 18-19'!$A183,'2015-16 12 Mnths'!J:J)-SUMIF('Budget 12 Mnths'!$A:$A,'Detail 18-19'!$A183,'Budget 12 Mnths'!K:K)</f>
        <v>-120.54</v>
      </c>
      <c r="L183" s="56">
        <f>SUMIF('2015-16 12 Mnths'!$A:$A,'Detail 18-19'!$A183,'2015-16 12 Mnths'!K:K)-SUMIF('Budget 12 Mnths'!$A:$A,'Detail 18-19'!$A183,'Budget 12 Mnths'!L:L)</f>
        <v>-187.44</v>
      </c>
      <c r="M183" s="56"/>
      <c r="N183" s="56"/>
      <c r="O183" s="56"/>
      <c r="P183" s="56">
        <f t="shared" si="1"/>
        <v>-1443.17</v>
      </c>
      <c r="Q183" s="14" t="str">
        <f>+VLOOKUP(A183,Mapping!$A$1:$E$443,5,FALSE)</f>
        <v>Computer Exp</v>
      </c>
      <c r="R183" s="26">
        <f>+SUMIF('Budget 12 Mnths'!$A:$A,'Detail 18-19'!$A183,'Budget 12 Mnths'!$P:$P)</f>
        <v>2000.04</v>
      </c>
      <c r="S183" s="26">
        <f>+SUMIF('2015-16 12 Mnths'!$A:$A,'Detail 18-19'!$A183,'2015-16 12 Mnths'!$O:$O)</f>
        <v>332.61</v>
      </c>
      <c r="T183" s="57">
        <f t="shared" si="2"/>
        <v>-0.7215705686</v>
      </c>
      <c r="U183" s="57">
        <f t="shared" si="3"/>
        <v>-4.338925468</v>
      </c>
      <c r="V183" s="8" t="s">
        <v>641</v>
      </c>
      <c r="W183" s="27">
        <v>2000.0</v>
      </c>
      <c r="X183" s="27">
        <f t="shared" ref="X183:X186" si="97">+W183</f>
        <v>2000</v>
      </c>
      <c r="Z183" s="57">
        <f t="shared" si="93"/>
        <v>1000</v>
      </c>
      <c r="AA183" s="57" t="str">
        <f>IFERROR(+VLOOKUP(A183,Key!$A$1:$C$219,2,FALSE),"NOT FOUND")</f>
        <v>6660-1U</v>
      </c>
      <c r="AB183" s="27">
        <v>2000.0</v>
      </c>
      <c r="AC183" s="57">
        <f t="shared" ref="AC183:AN183" si="96">+$AB183/12</f>
        <v>166.6666667</v>
      </c>
      <c r="AD183" s="57">
        <f t="shared" si="96"/>
        <v>166.6666667</v>
      </c>
      <c r="AE183" s="57">
        <f t="shared" si="96"/>
        <v>166.6666667</v>
      </c>
      <c r="AF183" s="57">
        <f t="shared" si="96"/>
        <v>166.6666667</v>
      </c>
      <c r="AG183" s="57">
        <f t="shared" si="96"/>
        <v>166.6666667</v>
      </c>
      <c r="AH183" s="57">
        <f t="shared" si="96"/>
        <v>166.6666667</v>
      </c>
      <c r="AI183" s="57">
        <f t="shared" si="96"/>
        <v>166.6666667</v>
      </c>
      <c r="AJ183" s="57">
        <f t="shared" si="96"/>
        <v>166.6666667</v>
      </c>
      <c r="AK183" s="57">
        <f t="shared" si="96"/>
        <v>166.6666667</v>
      </c>
      <c r="AL183" s="57">
        <f t="shared" si="96"/>
        <v>166.6666667</v>
      </c>
      <c r="AM183" s="57">
        <f t="shared" si="96"/>
        <v>166.6666667</v>
      </c>
      <c r="AN183" s="57">
        <f t="shared" si="96"/>
        <v>166.6666667</v>
      </c>
      <c r="AO183" s="27">
        <f t="shared" si="6"/>
        <v>0</v>
      </c>
    </row>
    <row r="184" ht="15.75" customHeight="1">
      <c r="A184" s="15" t="s">
        <v>546</v>
      </c>
      <c r="B184" s="15" t="s">
        <v>161</v>
      </c>
      <c r="C184" s="15" t="s">
        <v>119</v>
      </c>
      <c r="D184" s="56">
        <f>SUMIF('2015-16 12 Mnths'!$A:$A,'Detail 18-19'!$A184,'2015-16 12 Mnths'!C:C)-SUMIF('Budget 12 Mnths'!$A:$A,'Detail 18-19'!$A184,'Budget 12 Mnths'!D:D)</f>
        <v>-41.67</v>
      </c>
      <c r="E184" s="56">
        <f>SUMIF('2015-16 12 Mnths'!$A:$A,'Detail 18-19'!$A184,'2015-16 12 Mnths'!D:D)-SUMIF('Budget 12 Mnths'!$A:$A,'Detail 18-19'!$A184,'Budget 12 Mnths'!E:E)</f>
        <v>-41.67</v>
      </c>
      <c r="F184" s="56">
        <f>SUMIF('2015-16 12 Mnths'!$A:$A,'Detail 18-19'!$A184,'2015-16 12 Mnths'!E:E)-SUMIF('Budget 12 Mnths'!$A:$A,'Detail 18-19'!$A184,'Budget 12 Mnths'!F:F)</f>
        <v>58.33</v>
      </c>
      <c r="G184" s="56">
        <f>SUMIF('2015-16 12 Mnths'!$A:$A,'Detail 18-19'!$A184,'2015-16 12 Mnths'!F:F)-SUMIF('Budget 12 Mnths'!$A:$A,'Detail 18-19'!$A184,'Budget 12 Mnths'!G:G)</f>
        <v>-41.67</v>
      </c>
      <c r="H184" s="56">
        <f>SUMIF('2015-16 12 Mnths'!$A:$A,'Detail 18-19'!$A184,'2015-16 12 Mnths'!G:G)-SUMIF('Budget 12 Mnths'!$A:$A,'Detail 18-19'!$A184,'Budget 12 Mnths'!H:H)</f>
        <v>-41.67</v>
      </c>
      <c r="I184" s="56">
        <f>SUMIF('2015-16 12 Mnths'!$A:$A,'Detail 18-19'!$A184,'2015-16 12 Mnths'!H:H)-SUMIF('Budget 12 Mnths'!$A:$A,'Detail 18-19'!$A184,'Budget 12 Mnths'!I:I)</f>
        <v>-41.67</v>
      </c>
      <c r="J184" s="56">
        <f>SUMIF('2015-16 12 Mnths'!$A:$A,'Detail 18-19'!$A184,'2015-16 12 Mnths'!I:I)-SUMIF('Budget 12 Mnths'!$A:$A,'Detail 18-19'!$A184,'Budget 12 Mnths'!J:J)</f>
        <v>-41.67</v>
      </c>
      <c r="K184" s="56">
        <f>SUMIF('2015-16 12 Mnths'!$A:$A,'Detail 18-19'!$A184,'2015-16 12 Mnths'!J:J)-SUMIF('Budget 12 Mnths'!$A:$A,'Detail 18-19'!$A184,'Budget 12 Mnths'!K:K)</f>
        <v>-41.67</v>
      </c>
      <c r="L184" s="56">
        <f>SUMIF('2015-16 12 Mnths'!$A:$A,'Detail 18-19'!$A184,'2015-16 12 Mnths'!K:K)-SUMIF('Budget 12 Mnths'!$A:$A,'Detail 18-19'!$A184,'Budget 12 Mnths'!L:L)</f>
        <v>-41.67</v>
      </c>
      <c r="M184" s="56"/>
      <c r="N184" s="56"/>
      <c r="O184" s="56"/>
      <c r="P184" s="56">
        <f t="shared" si="1"/>
        <v>-275.03</v>
      </c>
      <c r="Q184" s="14" t="str">
        <f>+VLOOKUP(A184,Mapping!$A$1:$E$443,5,FALSE)</f>
        <v>Computer Exp</v>
      </c>
      <c r="R184" s="26">
        <f>+SUMIF('Budget 12 Mnths'!$A:$A,'Detail 18-19'!$A184,'Budget 12 Mnths'!$P:$P)</f>
        <v>500.04</v>
      </c>
      <c r="S184" s="26">
        <f>+SUMIF('2015-16 12 Mnths'!$A:$A,'Detail 18-19'!$A184,'2015-16 12 Mnths'!$O:$O)</f>
        <v>100</v>
      </c>
      <c r="T184" s="57">
        <f t="shared" si="2"/>
        <v>-0.5500159987</v>
      </c>
      <c r="U184" s="57">
        <f t="shared" si="3"/>
        <v>-2.7503</v>
      </c>
      <c r="V184" s="8" t="s">
        <v>641</v>
      </c>
      <c r="W184" s="27">
        <v>500.0</v>
      </c>
      <c r="X184" s="27">
        <f t="shared" si="97"/>
        <v>500</v>
      </c>
      <c r="Z184" s="57">
        <f t="shared" si="93"/>
        <v>250</v>
      </c>
      <c r="AA184" s="57" t="str">
        <f>IFERROR(+VLOOKUP(A184,Key!$A$1:$C$219,2,FALSE),"NOT FOUND")</f>
        <v>6665-2U</v>
      </c>
      <c r="AB184" s="27">
        <v>500.0</v>
      </c>
      <c r="AC184" s="57">
        <f t="shared" ref="AC184:AN184" si="98">+$AB184/12</f>
        <v>41.66666667</v>
      </c>
      <c r="AD184" s="57">
        <f t="shared" si="98"/>
        <v>41.66666667</v>
      </c>
      <c r="AE184" s="57">
        <f t="shared" si="98"/>
        <v>41.66666667</v>
      </c>
      <c r="AF184" s="57">
        <f t="shared" si="98"/>
        <v>41.66666667</v>
      </c>
      <c r="AG184" s="57">
        <f t="shared" si="98"/>
        <v>41.66666667</v>
      </c>
      <c r="AH184" s="57">
        <f t="shared" si="98"/>
        <v>41.66666667</v>
      </c>
      <c r="AI184" s="57">
        <f t="shared" si="98"/>
        <v>41.66666667</v>
      </c>
      <c r="AJ184" s="57">
        <f t="shared" si="98"/>
        <v>41.66666667</v>
      </c>
      <c r="AK184" s="57">
        <f t="shared" si="98"/>
        <v>41.66666667</v>
      </c>
      <c r="AL184" s="57">
        <f t="shared" si="98"/>
        <v>41.66666667</v>
      </c>
      <c r="AM184" s="57">
        <f t="shared" si="98"/>
        <v>41.66666667</v>
      </c>
      <c r="AN184" s="57">
        <f t="shared" si="98"/>
        <v>41.66666667</v>
      </c>
      <c r="AO184" s="27">
        <f t="shared" si="6"/>
        <v>0</v>
      </c>
    </row>
    <row r="185" ht="15.75" hidden="1" customHeight="1">
      <c r="A185" s="15" t="s">
        <v>547</v>
      </c>
      <c r="B185" s="15" t="s">
        <v>161</v>
      </c>
      <c r="C185" s="15" t="s">
        <v>119</v>
      </c>
      <c r="D185" s="56">
        <f>SUMIF('2015-16 12 Mnths'!$A:$A,'Detail 18-19'!$A185,'2015-16 12 Mnths'!C:C)-SUMIF('Budget 12 Mnths'!$A:$A,'Detail 18-19'!$A185,'Budget 12 Mnths'!D:D)</f>
        <v>0</v>
      </c>
      <c r="E185" s="56">
        <f>SUMIF('2015-16 12 Mnths'!$A:$A,'Detail 18-19'!$A185,'2015-16 12 Mnths'!D:D)-SUMIF('Budget 12 Mnths'!$A:$A,'Detail 18-19'!$A185,'Budget 12 Mnths'!E:E)</f>
        <v>0</v>
      </c>
      <c r="F185" s="56">
        <f>SUMIF('2015-16 12 Mnths'!$A:$A,'Detail 18-19'!$A185,'2015-16 12 Mnths'!E:E)-SUMIF('Budget 12 Mnths'!$A:$A,'Detail 18-19'!$A185,'Budget 12 Mnths'!F:F)</f>
        <v>0</v>
      </c>
      <c r="G185" s="56">
        <f>SUMIF('2015-16 12 Mnths'!$A:$A,'Detail 18-19'!$A185,'2015-16 12 Mnths'!F:F)-SUMIF('Budget 12 Mnths'!$A:$A,'Detail 18-19'!$A185,'Budget 12 Mnths'!G:G)</f>
        <v>0</v>
      </c>
      <c r="H185" s="56">
        <f>SUMIF('2015-16 12 Mnths'!$A:$A,'Detail 18-19'!$A185,'2015-16 12 Mnths'!G:G)-SUMIF('Budget 12 Mnths'!$A:$A,'Detail 18-19'!$A185,'Budget 12 Mnths'!H:H)</f>
        <v>0</v>
      </c>
      <c r="I185" s="56">
        <f>SUMIF('2015-16 12 Mnths'!$A:$A,'Detail 18-19'!$A185,'2015-16 12 Mnths'!H:H)-SUMIF('Budget 12 Mnths'!$A:$A,'Detail 18-19'!$A185,'Budget 12 Mnths'!I:I)</f>
        <v>0</v>
      </c>
      <c r="J185" s="56">
        <f>SUMIF('2015-16 12 Mnths'!$A:$A,'Detail 18-19'!$A185,'2015-16 12 Mnths'!I:I)-SUMIF('Budget 12 Mnths'!$A:$A,'Detail 18-19'!$A185,'Budget 12 Mnths'!J:J)</f>
        <v>0</v>
      </c>
      <c r="K185" s="56">
        <f>SUMIF('2015-16 12 Mnths'!$A:$A,'Detail 18-19'!$A185,'2015-16 12 Mnths'!J:J)-SUMIF('Budget 12 Mnths'!$A:$A,'Detail 18-19'!$A185,'Budget 12 Mnths'!K:K)</f>
        <v>0</v>
      </c>
      <c r="L185" s="56">
        <f>SUMIF('2015-16 12 Mnths'!$A:$A,'Detail 18-19'!$A185,'2015-16 12 Mnths'!K:K)-SUMIF('Budget 12 Mnths'!$A:$A,'Detail 18-19'!$A185,'Budget 12 Mnths'!L:L)</f>
        <v>0</v>
      </c>
      <c r="M185" s="56"/>
      <c r="N185" s="56"/>
      <c r="O185" s="56"/>
      <c r="P185" s="56">
        <f t="shared" si="1"/>
        <v>0</v>
      </c>
      <c r="Q185" s="14" t="str">
        <f>+VLOOKUP(A185,Mapping!$A$1:$E$443,5,FALSE)</f>
        <v>Computer Exp</v>
      </c>
      <c r="R185" s="26">
        <f>+SUMIF('Budget 12 Mnths'!$A:$A,'Detail 18-19'!$A185,'Budget 12 Mnths'!$P:$P)</f>
        <v>0</v>
      </c>
      <c r="S185" s="26">
        <f>+SUMIF('2015-16 12 Mnths'!$A:$A,'Detail 18-19'!$A185,'2015-16 12 Mnths'!$O:$O)</f>
        <v>0</v>
      </c>
      <c r="T185" s="57">
        <f t="shared" si="2"/>
        <v>0</v>
      </c>
      <c r="U185" s="57">
        <f t="shared" si="3"/>
        <v>0</v>
      </c>
      <c r="W185" s="27"/>
      <c r="X185" s="27" t="str">
        <f t="shared" si="97"/>
        <v/>
      </c>
      <c r="Z185" s="57">
        <f t="shared" si="93"/>
        <v>0</v>
      </c>
      <c r="AA185" s="57" t="str">
        <f>IFERROR(+VLOOKUP(A185,Key!$A$1:$C$219,2,FALSE),"NOT FOUND")</f>
        <v>NOT FOUND</v>
      </c>
      <c r="AB185" s="27">
        <v>0.0</v>
      </c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>
        <f t="shared" si="6"/>
        <v>0</v>
      </c>
    </row>
    <row r="186" ht="15.75" customHeight="1">
      <c r="A186" s="15" t="s">
        <v>548</v>
      </c>
      <c r="B186" s="15" t="s">
        <v>549</v>
      </c>
      <c r="C186" s="15" t="s">
        <v>119</v>
      </c>
      <c r="D186" s="56">
        <f>SUMIF('2015-16 12 Mnths'!$A:$A,'Detail 18-19'!$A186,'2015-16 12 Mnths'!C:C)-SUMIF('Budget 12 Mnths'!$A:$A,'Detail 18-19'!$A186,'Budget 12 Mnths'!D:D)</f>
        <v>-250</v>
      </c>
      <c r="E186" s="56">
        <f>SUMIF('2015-16 12 Mnths'!$A:$A,'Detail 18-19'!$A186,'2015-16 12 Mnths'!D:D)-SUMIF('Budget 12 Mnths'!$A:$A,'Detail 18-19'!$A186,'Budget 12 Mnths'!E:E)</f>
        <v>-250</v>
      </c>
      <c r="F186" s="56">
        <f>SUMIF('2015-16 12 Mnths'!$A:$A,'Detail 18-19'!$A186,'2015-16 12 Mnths'!E:E)-SUMIF('Budget 12 Mnths'!$A:$A,'Detail 18-19'!$A186,'Budget 12 Mnths'!F:F)</f>
        <v>-250</v>
      </c>
      <c r="G186" s="56">
        <f>SUMIF('2015-16 12 Mnths'!$A:$A,'Detail 18-19'!$A186,'2015-16 12 Mnths'!F:F)-SUMIF('Budget 12 Mnths'!$A:$A,'Detail 18-19'!$A186,'Budget 12 Mnths'!G:G)</f>
        <v>0</v>
      </c>
      <c r="H186" s="56">
        <f>SUMIF('2015-16 12 Mnths'!$A:$A,'Detail 18-19'!$A186,'2015-16 12 Mnths'!G:G)-SUMIF('Budget 12 Mnths'!$A:$A,'Detail 18-19'!$A186,'Budget 12 Mnths'!H:H)</f>
        <v>0</v>
      </c>
      <c r="I186" s="56">
        <f>SUMIF('2015-16 12 Mnths'!$A:$A,'Detail 18-19'!$A186,'2015-16 12 Mnths'!H:H)-SUMIF('Budget 12 Mnths'!$A:$A,'Detail 18-19'!$A186,'Budget 12 Mnths'!I:I)</f>
        <v>39.5</v>
      </c>
      <c r="J186" s="56">
        <f>SUMIF('2015-16 12 Mnths'!$A:$A,'Detail 18-19'!$A186,'2015-16 12 Mnths'!I:I)-SUMIF('Budget 12 Mnths'!$A:$A,'Detail 18-19'!$A186,'Budget 12 Mnths'!J:J)</f>
        <v>999.5</v>
      </c>
      <c r="K186" s="56">
        <f>SUMIF('2015-16 12 Mnths'!$A:$A,'Detail 18-19'!$A186,'2015-16 12 Mnths'!J:J)-SUMIF('Budget 12 Mnths'!$A:$A,'Detail 18-19'!$A186,'Budget 12 Mnths'!K:K)</f>
        <v>39.5</v>
      </c>
      <c r="L186" s="56">
        <f>SUMIF('2015-16 12 Mnths'!$A:$A,'Detail 18-19'!$A186,'2015-16 12 Mnths'!K:K)-SUMIF('Budget 12 Mnths'!$A:$A,'Detail 18-19'!$A186,'Budget 12 Mnths'!L:L)</f>
        <v>0</v>
      </c>
      <c r="M186" s="56"/>
      <c r="N186" s="56"/>
      <c r="O186" s="56"/>
      <c r="P186" s="56">
        <f t="shared" si="1"/>
        <v>328.5</v>
      </c>
      <c r="Q186" s="14" t="str">
        <f>+VLOOKUP(A186,Mapping!$A$1:$E$443,5,FALSE)</f>
        <v>Test Exp</v>
      </c>
      <c r="R186" s="26">
        <f>+SUMIF('Budget 12 Mnths'!$A:$A,'Detail 18-19'!$A186,'Budget 12 Mnths'!$P:$P)</f>
        <v>1200</v>
      </c>
      <c r="S186" s="26">
        <f>+SUMIF('2015-16 12 Mnths'!$A:$A,'Detail 18-19'!$A186,'2015-16 12 Mnths'!$O:$O)</f>
        <v>1078.5</v>
      </c>
      <c r="T186" s="57">
        <f t="shared" si="2"/>
        <v>0.27375</v>
      </c>
      <c r="U186" s="57">
        <f t="shared" si="3"/>
        <v>0.3045897079</v>
      </c>
      <c r="V186" s="8" t="s">
        <v>641</v>
      </c>
      <c r="W186" s="27">
        <v>1200.0</v>
      </c>
      <c r="X186" s="27">
        <f t="shared" si="97"/>
        <v>1200</v>
      </c>
      <c r="Z186" s="57">
        <v>0.0</v>
      </c>
      <c r="AA186" s="57" t="str">
        <f>IFERROR(+VLOOKUP(A186,Key!$A$1:$C$219,2,FALSE),"NOT FOUND")</f>
        <v>6632-1U</v>
      </c>
      <c r="AB186" s="27">
        <v>1000.0</v>
      </c>
      <c r="AC186" s="27"/>
      <c r="AD186" s="27"/>
      <c r="AE186" s="27"/>
      <c r="AF186" s="27"/>
      <c r="AG186" s="27"/>
      <c r="AH186" s="27"/>
      <c r="AI186" s="27">
        <v>250.0</v>
      </c>
      <c r="AJ186" s="27">
        <v>250.0</v>
      </c>
      <c r="AK186" s="27">
        <v>250.0</v>
      </c>
      <c r="AL186" s="27">
        <v>250.0</v>
      </c>
      <c r="AM186" s="27"/>
      <c r="AN186" s="27"/>
      <c r="AO186" s="27">
        <f t="shared" si="6"/>
        <v>0</v>
      </c>
    </row>
    <row r="187" ht="15.75" customHeight="1">
      <c r="A187" s="15" t="s">
        <v>550</v>
      </c>
      <c r="B187" s="15" t="s">
        <v>551</v>
      </c>
      <c r="C187" s="15" t="s">
        <v>119</v>
      </c>
      <c r="D187" s="56">
        <f>SUMIF('2015-16 12 Mnths'!$A:$A,'Detail 18-19'!$A187,'2015-16 12 Mnths'!C:C)-SUMIF('Budget 12 Mnths'!$A:$A,'Detail 18-19'!$A187,'Budget 12 Mnths'!D:D)</f>
        <v>29</v>
      </c>
      <c r="E187" s="56">
        <f>SUMIF('2015-16 12 Mnths'!$A:$A,'Detail 18-19'!$A187,'2015-16 12 Mnths'!D:D)-SUMIF('Budget 12 Mnths'!$A:$A,'Detail 18-19'!$A187,'Budget 12 Mnths'!E:E)</f>
        <v>-851</v>
      </c>
      <c r="F187" s="56">
        <f>SUMIF('2015-16 12 Mnths'!$A:$A,'Detail 18-19'!$A187,'2015-16 12 Mnths'!E:E)-SUMIF('Budget 12 Mnths'!$A:$A,'Detail 18-19'!$A187,'Budget 12 Mnths'!F:F)</f>
        <v>-611.05</v>
      </c>
      <c r="G187" s="56">
        <f>SUMIF('2015-16 12 Mnths'!$A:$A,'Detail 18-19'!$A187,'2015-16 12 Mnths'!F:F)-SUMIF('Budget 12 Mnths'!$A:$A,'Detail 18-19'!$A187,'Budget 12 Mnths'!G:G)</f>
        <v>-392.67</v>
      </c>
      <c r="H187" s="56">
        <f>SUMIF('2015-16 12 Mnths'!$A:$A,'Detail 18-19'!$A187,'2015-16 12 Mnths'!G:G)-SUMIF('Budget 12 Mnths'!$A:$A,'Detail 18-19'!$A187,'Budget 12 Mnths'!H:H)</f>
        <v>-22.67</v>
      </c>
      <c r="I187" s="56">
        <f>SUMIF('2015-16 12 Mnths'!$A:$A,'Detail 18-19'!$A187,'2015-16 12 Mnths'!H:H)-SUMIF('Budget 12 Mnths'!$A:$A,'Detail 18-19'!$A187,'Budget 12 Mnths'!I:I)</f>
        <v>-392.67</v>
      </c>
      <c r="J187" s="56">
        <f>SUMIF('2015-16 12 Mnths'!$A:$A,'Detail 18-19'!$A187,'2015-16 12 Mnths'!I:I)-SUMIF('Budget 12 Mnths'!$A:$A,'Detail 18-19'!$A187,'Budget 12 Mnths'!J:J)</f>
        <v>-392.67</v>
      </c>
      <c r="K187" s="56">
        <f>SUMIF('2015-16 12 Mnths'!$A:$A,'Detail 18-19'!$A187,'2015-16 12 Mnths'!J:J)-SUMIF('Budget 12 Mnths'!$A:$A,'Detail 18-19'!$A187,'Budget 12 Mnths'!K:K)</f>
        <v>-392.67</v>
      </c>
      <c r="L187" s="56">
        <f>SUMIF('2015-16 12 Mnths'!$A:$A,'Detail 18-19'!$A187,'2015-16 12 Mnths'!K:K)-SUMIF('Budget 12 Mnths'!$A:$A,'Detail 18-19'!$A187,'Budget 12 Mnths'!L:L)</f>
        <v>-356.68</v>
      </c>
      <c r="M187" s="56"/>
      <c r="N187" s="56"/>
      <c r="O187" s="56"/>
      <c r="P187" s="56">
        <f t="shared" si="1"/>
        <v>-3383.08</v>
      </c>
      <c r="Q187" s="14" t="str">
        <f>+VLOOKUP(A187,Mapping!$A$1:$E$443,5,FALSE)</f>
        <v>Marketing</v>
      </c>
      <c r="R187" s="26">
        <f>+SUMIF('Budget 12 Mnths'!$A:$A,'Detail 18-19'!$A187,'Budget 12 Mnths'!$P:$P)</f>
        <v>10000.02</v>
      </c>
      <c r="S187" s="26">
        <f>+SUMIF('2015-16 12 Mnths'!$A:$A,'Detail 18-19'!$A187,'2015-16 12 Mnths'!$O:$O)</f>
        <v>2866.94</v>
      </c>
      <c r="T187" s="57">
        <f t="shared" si="2"/>
        <v>-0.3383073234</v>
      </c>
      <c r="U187" s="57">
        <f t="shared" si="3"/>
        <v>-1.180031671</v>
      </c>
      <c r="V187" s="8" t="s">
        <v>641</v>
      </c>
      <c r="W187" s="27">
        <v>5500.0</v>
      </c>
      <c r="X187" s="27">
        <v>7000.0</v>
      </c>
      <c r="Z187" s="57">
        <f t="shared" ref="Z187:Z201" si="100">+X187/2</f>
        <v>3500</v>
      </c>
      <c r="AA187" s="57" t="str">
        <f>IFERROR(+VLOOKUP(A187,Key!$A$1:$C$219,2,FALSE),"NOT FOUND")</f>
        <v>6700-1U</v>
      </c>
      <c r="AB187" s="27">
        <v>25000.0</v>
      </c>
      <c r="AC187" s="57">
        <f t="shared" ref="AC187:AN187" si="99">+$AB187/12</f>
        <v>2083.333333</v>
      </c>
      <c r="AD187" s="57">
        <f t="shared" si="99"/>
        <v>2083.333333</v>
      </c>
      <c r="AE187" s="57">
        <f t="shared" si="99"/>
        <v>2083.333333</v>
      </c>
      <c r="AF187" s="57">
        <f t="shared" si="99"/>
        <v>2083.333333</v>
      </c>
      <c r="AG187" s="57">
        <f t="shared" si="99"/>
        <v>2083.333333</v>
      </c>
      <c r="AH187" s="57">
        <f t="shared" si="99"/>
        <v>2083.333333</v>
      </c>
      <c r="AI187" s="57">
        <f t="shared" si="99"/>
        <v>2083.333333</v>
      </c>
      <c r="AJ187" s="57">
        <f t="shared" si="99"/>
        <v>2083.333333</v>
      </c>
      <c r="AK187" s="57">
        <f t="shared" si="99"/>
        <v>2083.333333</v>
      </c>
      <c r="AL187" s="57">
        <f t="shared" si="99"/>
        <v>2083.333333</v>
      </c>
      <c r="AM187" s="57">
        <f t="shared" si="99"/>
        <v>2083.333333</v>
      </c>
      <c r="AN187" s="57">
        <f t="shared" si="99"/>
        <v>2083.333333</v>
      </c>
      <c r="AO187" s="27">
        <f t="shared" si="6"/>
        <v>0</v>
      </c>
    </row>
    <row r="188" ht="15.75" hidden="1" customHeight="1">
      <c r="A188" s="15" t="s">
        <v>552</v>
      </c>
      <c r="B188" s="15" t="s">
        <v>551</v>
      </c>
      <c r="C188" s="15" t="s">
        <v>119</v>
      </c>
      <c r="D188" s="56">
        <f>SUMIF('2015-16 12 Mnths'!$A:$A,'Detail 18-19'!$A188,'2015-16 12 Mnths'!C:C)-SUMIF('Budget 12 Mnths'!$A:$A,'Detail 18-19'!$A188,'Budget 12 Mnths'!D:D)</f>
        <v>0</v>
      </c>
      <c r="E188" s="56">
        <f>SUMIF('2015-16 12 Mnths'!$A:$A,'Detail 18-19'!$A188,'2015-16 12 Mnths'!D:D)-SUMIF('Budget 12 Mnths'!$A:$A,'Detail 18-19'!$A188,'Budget 12 Mnths'!E:E)</f>
        <v>0</v>
      </c>
      <c r="F188" s="56">
        <f>SUMIF('2015-16 12 Mnths'!$A:$A,'Detail 18-19'!$A188,'2015-16 12 Mnths'!E:E)-SUMIF('Budget 12 Mnths'!$A:$A,'Detail 18-19'!$A188,'Budget 12 Mnths'!F:F)</f>
        <v>0</v>
      </c>
      <c r="G188" s="56">
        <f>SUMIF('2015-16 12 Mnths'!$A:$A,'Detail 18-19'!$A188,'2015-16 12 Mnths'!F:F)-SUMIF('Budget 12 Mnths'!$A:$A,'Detail 18-19'!$A188,'Budget 12 Mnths'!G:G)</f>
        <v>0</v>
      </c>
      <c r="H188" s="56">
        <f>SUMIF('2015-16 12 Mnths'!$A:$A,'Detail 18-19'!$A188,'2015-16 12 Mnths'!G:G)-SUMIF('Budget 12 Mnths'!$A:$A,'Detail 18-19'!$A188,'Budget 12 Mnths'!H:H)</f>
        <v>0</v>
      </c>
      <c r="I188" s="56">
        <f>SUMIF('2015-16 12 Mnths'!$A:$A,'Detail 18-19'!$A188,'2015-16 12 Mnths'!H:H)-SUMIF('Budget 12 Mnths'!$A:$A,'Detail 18-19'!$A188,'Budget 12 Mnths'!I:I)</f>
        <v>0</v>
      </c>
      <c r="J188" s="56">
        <f>SUMIF('2015-16 12 Mnths'!$A:$A,'Detail 18-19'!$A188,'2015-16 12 Mnths'!I:I)-SUMIF('Budget 12 Mnths'!$A:$A,'Detail 18-19'!$A188,'Budget 12 Mnths'!J:J)</f>
        <v>59.99</v>
      </c>
      <c r="K188" s="56">
        <f>SUMIF('2015-16 12 Mnths'!$A:$A,'Detail 18-19'!$A188,'2015-16 12 Mnths'!J:J)-SUMIF('Budget 12 Mnths'!$A:$A,'Detail 18-19'!$A188,'Budget 12 Mnths'!K:K)</f>
        <v>0</v>
      </c>
      <c r="L188" s="56">
        <f>SUMIF('2015-16 12 Mnths'!$A:$A,'Detail 18-19'!$A188,'2015-16 12 Mnths'!K:K)-SUMIF('Budget 12 Mnths'!$A:$A,'Detail 18-19'!$A188,'Budget 12 Mnths'!L:L)</f>
        <v>0</v>
      </c>
      <c r="M188" s="56"/>
      <c r="N188" s="56"/>
      <c r="O188" s="56"/>
      <c r="P188" s="56">
        <f t="shared" si="1"/>
        <v>59.99</v>
      </c>
      <c r="Q188" s="14" t="str">
        <f>+VLOOKUP(A188,Mapping!$A$1:$E$443,5,FALSE)</f>
        <v>Marketing</v>
      </c>
      <c r="R188" s="26">
        <f>+SUMIF('Budget 12 Mnths'!$A:$A,'Detail 18-19'!$A188,'Budget 12 Mnths'!$P:$P)</f>
        <v>0</v>
      </c>
      <c r="S188" s="26">
        <f>+SUMIF('2015-16 12 Mnths'!$A:$A,'Detail 18-19'!$A188,'2015-16 12 Mnths'!$O:$O)</f>
        <v>59.99</v>
      </c>
      <c r="T188" s="57">
        <f t="shared" si="2"/>
        <v>0</v>
      </c>
      <c r="U188" s="57">
        <f t="shared" si="3"/>
        <v>1</v>
      </c>
      <c r="W188" s="27"/>
      <c r="X188" s="27" t="str">
        <f>+W188</f>
        <v/>
      </c>
      <c r="Z188" s="57">
        <f t="shared" si="100"/>
        <v>0</v>
      </c>
      <c r="AA188" s="57" t="str">
        <f>IFERROR(+VLOOKUP(A188,Key!$A$1:$C$219,2,FALSE),"NOT FOUND")</f>
        <v>6700-2U</v>
      </c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>
        <f t="shared" si="6"/>
        <v>0</v>
      </c>
    </row>
    <row r="189" ht="15.75" hidden="1" customHeight="1">
      <c r="A189" s="15" t="s">
        <v>553</v>
      </c>
      <c r="B189" s="15" t="s">
        <v>551</v>
      </c>
      <c r="C189" s="15" t="s">
        <v>119</v>
      </c>
      <c r="D189" s="56">
        <f>SUMIF('2015-16 12 Mnths'!$A:$A,'Detail 18-19'!$A189,'2015-16 12 Mnths'!C:C)-SUMIF('Budget 12 Mnths'!$A:$A,'Detail 18-19'!$A189,'Budget 12 Mnths'!D:D)</f>
        <v>0</v>
      </c>
      <c r="E189" s="56">
        <f>SUMIF('2015-16 12 Mnths'!$A:$A,'Detail 18-19'!$A189,'2015-16 12 Mnths'!D:D)-SUMIF('Budget 12 Mnths'!$A:$A,'Detail 18-19'!$A189,'Budget 12 Mnths'!E:E)</f>
        <v>0</v>
      </c>
      <c r="F189" s="56">
        <f>SUMIF('2015-16 12 Mnths'!$A:$A,'Detail 18-19'!$A189,'2015-16 12 Mnths'!E:E)-SUMIF('Budget 12 Mnths'!$A:$A,'Detail 18-19'!$A189,'Budget 12 Mnths'!F:F)</f>
        <v>0</v>
      </c>
      <c r="G189" s="56">
        <f>SUMIF('2015-16 12 Mnths'!$A:$A,'Detail 18-19'!$A189,'2015-16 12 Mnths'!F:F)-SUMIF('Budget 12 Mnths'!$A:$A,'Detail 18-19'!$A189,'Budget 12 Mnths'!G:G)</f>
        <v>0</v>
      </c>
      <c r="H189" s="56">
        <f>SUMIF('2015-16 12 Mnths'!$A:$A,'Detail 18-19'!$A189,'2015-16 12 Mnths'!G:G)-SUMIF('Budget 12 Mnths'!$A:$A,'Detail 18-19'!$A189,'Budget 12 Mnths'!H:H)</f>
        <v>0</v>
      </c>
      <c r="I189" s="56">
        <f>SUMIF('2015-16 12 Mnths'!$A:$A,'Detail 18-19'!$A189,'2015-16 12 Mnths'!H:H)-SUMIF('Budget 12 Mnths'!$A:$A,'Detail 18-19'!$A189,'Budget 12 Mnths'!I:I)</f>
        <v>0</v>
      </c>
      <c r="J189" s="56">
        <f>SUMIF('2015-16 12 Mnths'!$A:$A,'Detail 18-19'!$A189,'2015-16 12 Mnths'!I:I)-SUMIF('Budget 12 Mnths'!$A:$A,'Detail 18-19'!$A189,'Budget 12 Mnths'!J:J)</f>
        <v>0</v>
      </c>
      <c r="K189" s="56">
        <f>SUMIF('2015-16 12 Mnths'!$A:$A,'Detail 18-19'!$A189,'2015-16 12 Mnths'!J:J)-SUMIF('Budget 12 Mnths'!$A:$A,'Detail 18-19'!$A189,'Budget 12 Mnths'!K:K)</f>
        <v>0</v>
      </c>
      <c r="L189" s="56">
        <f>SUMIF('2015-16 12 Mnths'!$A:$A,'Detail 18-19'!$A189,'2015-16 12 Mnths'!K:K)-SUMIF('Budget 12 Mnths'!$A:$A,'Detail 18-19'!$A189,'Budget 12 Mnths'!L:L)</f>
        <v>900</v>
      </c>
      <c r="M189" s="56"/>
      <c r="N189" s="56"/>
      <c r="O189" s="56"/>
      <c r="P189" s="56">
        <f t="shared" si="1"/>
        <v>900</v>
      </c>
      <c r="Q189" s="14" t="str">
        <f>+VLOOKUP(A189,Mapping!$A$1:$E$443,5,FALSE)</f>
        <v>Marketing</v>
      </c>
      <c r="R189" s="26">
        <f>+SUMIF('Budget 12 Mnths'!$A:$A,'Detail 18-19'!$A189,'Budget 12 Mnths'!$P:$P)</f>
        <v>0</v>
      </c>
      <c r="S189" s="26">
        <f>+SUMIF('2015-16 12 Mnths'!$A:$A,'Detail 18-19'!$A189,'2015-16 12 Mnths'!$O:$O)</f>
        <v>900</v>
      </c>
      <c r="T189" s="57">
        <f t="shared" si="2"/>
        <v>0</v>
      </c>
      <c r="U189" s="57">
        <f t="shared" si="3"/>
        <v>1</v>
      </c>
      <c r="W189" s="27">
        <v>5400.0</v>
      </c>
      <c r="X189" s="27">
        <f>7000+6000</f>
        <v>13000</v>
      </c>
      <c r="Z189" s="57">
        <f t="shared" si="100"/>
        <v>6500</v>
      </c>
      <c r="AA189" s="57" t="str">
        <f>IFERROR(+VLOOKUP(A189,Key!$A$1:$C$219,2,FALSE),"NOT FOUND")</f>
        <v>6700-3U</v>
      </c>
      <c r="AB189" s="27">
        <v>0.0</v>
      </c>
      <c r="AC189" s="57">
        <f t="shared" ref="AC189:AN189" si="101">+$AB189/12</f>
        <v>0</v>
      </c>
      <c r="AD189" s="57">
        <f t="shared" si="101"/>
        <v>0</v>
      </c>
      <c r="AE189" s="57">
        <f t="shared" si="101"/>
        <v>0</v>
      </c>
      <c r="AF189" s="57">
        <f t="shared" si="101"/>
        <v>0</v>
      </c>
      <c r="AG189" s="57">
        <f t="shared" si="101"/>
        <v>0</v>
      </c>
      <c r="AH189" s="57">
        <f t="shared" si="101"/>
        <v>0</v>
      </c>
      <c r="AI189" s="57">
        <f t="shared" si="101"/>
        <v>0</v>
      </c>
      <c r="AJ189" s="57">
        <f t="shared" si="101"/>
        <v>0</v>
      </c>
      <c r="AK189" s="57">
        <f t="shared" si="101"/>
        <v>0</v>
      </c>
      <c r="AL189" s="57">
        <f t="shared" si="101"/>
        <v>0</v>
      </c>
      <c r="AM189" s="57">
        <f t="shared" si="101"/>
        <v>0</v>
      </c>
      <c r="AN189" s="57">
        <f t="shared" si="101"/>
        <v>0</v>
      </c>
      <c r="AO189" s="27">
        <f t="shared" si="6"/>
        <v>0</v>
      </c>
    </row>
    <row r="190" ht="15.75" hidden="1" customHeight="1">
      <c r="A190" s="15" t="s">
        <v>554</v>
      </c>
      <c r="B190" s="15" t="s">
        <v>555</v>
      </c>
      <c r="C190" s="15" t="s">
        <v>119</v>
      </c>
      <c r="D190" s="56">
        <f>SUMIF('2015-16 12 Mnths'!$A:$A,'Detail 18-19'!$A190,'2015-16 12 Mnths'!C:C)-SUMIF('Budget 12 Mnths'!$A:$A,'Detail 18-19'!$A190,'Budget 12 Mnths'!D:D)</f>
        <v>0</v>
      </c>
      <c r="E190" s="56">
        <f>SUMIF('2015-16 12 Mnths'!$A:$A,'Detail 18-19'!$A190,'2015-16 12 Mnths'!D:D)-SUMIF('Budget 12 Mnths'!$A:$A,'Detail 18-19'!$A190,'Budget 12 Mnths'!E:E)</f>
        <v>0</v>
      </c>
      <c r="F190" s="56">
        <f>SUMIF('2015-16 12 Mnths'!$A:$A,'Detail 18-19'!$A190,'2015-16 12 Mnths'!E:E)-SUMIF('Budget 12 Mnths'!$A:$A,'Detail 18-19'!$A190,'Budget 12 Mnths'!F:F)</f>
        <v>90</v>
      </c>
      <c r="G190" s="56">
        <f>SUMIF('2015-16 12 Mnths'!$A:$A,'Detail 18-19'!$A190,'2015-16 12 Mnths'!F:F)-SUMIF('Budget 12 Mnths'!$A:$A,'Detail 18-19'!$A190,'Budget 12 Mnths'!G:G)</f>
        <v>0</v>
      </c>
      <c r="H190" s="56">
        <f>SUMIF('2015-16 12 Mnths'!$A:$A,'Detail 18-19'!$A190,'2015-16 12 Mnths'!G:G)-SUMIF('Budget 12 Mnths'!$A:$A,'Detail 18-19'!$A190,'Budget 12 Mnths'!H:H)</f>
        <v>0</v>
      </c>
      <c r="I190" s="56">
        <f>SUMIF('2015-16 12 Mnths'!$A:$A,'Detail 18-19'!$A190,'2015-16 12 Mnths'!H:H)-SUMIF('Budget 12 Mnths'!$A:$A,'Detail 18-19'!$A190,'Budget 12 Mnths'!I:I)</f>
        <v>0</v>
      </c>
      <c r="J190" s="56">
        <f>SUMIF('2015-16 12 Mnths'!$A:$A,'Detail 18-19'!$A190,'2015-16 12 Mnths'!I:I)-SUMIF('Budget 12 Mnths'!$A:$A,'Detail 18-19'!$A190,'Budget 12 Mnths'!J:J)</f>
        <v>0</v>
      </c>
      <c r="K190" s="56">
        <f>SUMIF('2015-16 12 Mnths'!$A:$A,'Detail 18-19'!$A190,'2015-16 12 Mnths'!J:J)-SUMIF('Budget 12 Mnths'!$A:$A,'Detail 18-19'!$A190,'Budget 12 Mnths'!K:K)</f>
        <v>0</v>
      </c>
      <c r="L190" s="56">
        <f>SUMIF('2015-16 12 Mnths'!$A:$A,'Detail 18-19'!$A190,'2015-16 12 Mnths'!K:K)-SUMIF('Budget 12 Mnths'!$A:$A,'Detail 18-19'!$A190,'Budget 12 Mnths'!L:L)</f>
        <v>0</v>
      </c>
      <c r="M190" s="56"/>
      <c r="N190" s="56"/>
      <c r="O190" s="56"/>
      <c r="P190" s="56">
        <f t="shared" si="1"/>
        <v>90</v>
      </c>
      <c r="Q190" s="14" t="str">
        <f>+VLOOKUP(A190,Mapping!$A$1:$E$443,5,FALSE)</f>
        <v>Marketing</v>
      </c>
      <c r="R190" s="26">
        <f>+SUMIF('Budget 12 Mnths'!$A:$A,'Detail 18-19'!$A190,'Budget 12 Mnths'!$P:$P)</f>
        <v>0</v>
      </c>
      <c r="S190" s="26">
        <f>+SUMIF('2015-16 12 Mnths'!$A:$A,'Detail 18-19'!$A190,'2015-16 12 Mnths'!$O:$O)</f>
        <v>90</v>
      </c>
      <c r="T190" s="57">
        <f t="shared" si="2"/>
        <v>0</v>
      </c>
      <c r="U190" s="57">
        <f t="shared" si="3"/>
        <v>1</v>
      </c>
      <c r="W190" s="27"/>
      <c r="X190" s="27" t="str">
        <f t="shared" ref="X190:X213" si="102">+W190</f>
        <v/>
      </c>
      <c r="Z190" s="57">
        <f t="shared" si="100"/>
        <v>0</v>
      </c>
      <c r="AA190" s="57" t="str">
        <f>IFERROR(+VLOOKUP(A190,Key!$A$1:$C$219,2,FALSE),"NOT FOUND")</f>
        <v>NOT FOUND</v>
      </c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>
        <f t="shared" si="6"/>
        <v>0</v>
      </c>
    </row>
    <row r="191" ht="15.75" hidden="1" customHeight="1">
      <c r="A191" s="15" t="s">
        <v>556</v>
      </c>
      <c r="B191" s="15" t="s">
        <v>557</v>
      </c>
      <c r="C191" s="15" t="s">
        <v>119</v>
      </c>
      <c r="D191" s="56">
        <f>SUMIF('2015-16 12 Mnths'!$A:$A,'Detail 18-19'!$A191,'2015-16 12 Mnths'!C:C)-SUMIF('Budget 12 Mnths'!$A:$A,'Detail 18-19'!$A191,'Budget 12 Mnths'!D:D)</f>
        <v>1500</v>
      </c>
      <c r="E191" s="56">
        <f>SUMIF('2015-16 12 Mnths'!$A:$A,'Detail 18-19'!$A191,'2015-16 12 Mnths'!D:D)-SUMIF('Budget 12 Mnths'!$A:$A,'Detail 18-19'!$A191,'Budget 12 Mnths'!E:E)</f>
        <v>0</v>
      </c>
      <c r="F191" s="56">
        <f>SUMIF('2015-16 12 Mnths'!$A:$A,'Detail 18-19'!$A191,'2015-16 12 Mnths'!E:E)-SUMIF('Budget 12 Mnths'!$A:$A,'Detail 18-19'!$A191,'Budget 12 Mnths'!F:F)</f>
        <v>0</v>
      </c>
      <c r="G191" s="56">
        <f>SUMIF('2015-16 12 Mnths'!$A:$A,'Detail 18-19'!$A191,'2015-16 12 Mnths'!F:F)-SUMIF('Budget 12 Mnths'!$A:$A,'Detail 18-19'!$A191,'Budget 12 Mnths'!G:G)</f>
        <v>0</v>
      </c>
      <c r="H191" s="56">
        <f>SUMIF('2015-16 12 Mnths'!$A:$A,'Detail 18-19'!$A191,'2015-16 12 Mnths'!G:G)-SUMIF('Budget 12 Mnths'!$A:$A,'Detail 18-19'!$A191,'Budget 12 Mnths'!H:H)</f>
        <v>0</v>
      </c>
      <c r="I191" s="56">
        <f>SUMIF('2015-16 12 Mnths'!$A:$A,'Detail 18-19'!$A191,'2015-16 12 Mnths'!H:H)-SUMIF('Budget 12 Mnths'!$A:$A,'Detail 18-19'!$A191,'Budget 12 Mnths'!I:I)</f>
        <v>0</v>
      </c>
      <c r="J191" s="56">
        <f>SUMIF('2015-16 12 Mnths'!$A:$A,'Detail 18-19'!$A191,'2015-16 12 Mnths'!I:I)-SUMIF('Budget 12 Mnths'!$A:$A,'Detail 18-19'!$A191,'Budget 12 Mnths'!J:J)</f>
        <v>0</v>
      </c>
      <c r="K191" s="56">
        <f>SUMIF('2015-16 12 Mnths'!$A:$A,'Detail 18-19'!$A191,'2015-16 12 Mnths'!J:J)-SUMIF('Budget 12 Mnths'!$A:$A,'Detail 18-19'!$A191,'Budget 12 Mnths'!K:K)</f>
        <v>0</v>
      </c>
      <c r="L191" s="56">
        <f>SUMIF('2015-16 12 Mnths'!$A:$A,'Detail 18-19'!$A191,'2015-16 12 Mnths'!K:K)-SUMIF('Budget 12 Mnths'!$A:$A,'Detail 18-19'!$A191,'Budget 12 Mnths'!L:L)</f>
        <v>0</v>
      </c>
      <c r="M191" s="56"/>
      <c r="N191" s="56"/>
      <c r="O191" s="56"/>
      <c r="P191" s="56">
        <f t="shared" si="1"/>
        <v>1500</v>
      </c>
      <c r="Q191" s="14" t="str">
        <f>+VLOOKUP(A191,Mapping!$A$1:$E$443,5,FALSE)</f>
        <v>Marketing</v>
      </c>
      <c r="R191" s="26">
        <f>+SUMIF('Budget 12 Mnths'!$A:$A,'Detail 18-19'!$A191,'Budget 12 Mnths'!$P:$P)</f>
        <v>0</v>
      </c>
      <c r="S191" s="26">
        <f>+SUMIF('2015-16 12 Mnths'!$A:$A,'Detail 18-19'!$A191,'2015-16 12 Mnths'!$O:$O)</f>
        <v>1500</v>
      </c>
      <c r="T191" s="57">
        <f t="shared" si="2"/>
        <v>0</v>
      </c>
      <c r="U191" s="57">
        <f t="shared" si="3"/>
        <v>1</v>
      </c>
      <c r="W191" s="27"/>
      <c r="X191" s="27" t="str">
        <f t="shared" si="102"/>
        <v/>
      </c>
      <c r="Z191" s="57">
        <f t="shared" si="100"/>
        <v>0</v>
      </c>
      <c r="AA191" s="57" t="str">
        <f>IFERROR(+VLOOKUP(A191,Key!$A$1:$C$219,2,FALSE),"NOT FOUND")</f>
        <v>NOT FOUND</v>
      </c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>
        <f t="shared" si="6"/>
        <v>0</v>
      </c>
    </row>
    <row r="192" ht="15.75" hidden="1" customHeight="1">
      <c r="A192" s="15" t="s">
        <v>558</v>
      </c>
      <c r="B192" s="15" t="s">
        <v>559</v>
      </c>
      <c r="C192" s="15" t="s">
        <v>119</v>
      </c>
      <c r="D192" s="56">
        <f>SUMIF('2015-16 12 Mnths'!$A:$A,'Detail 18-19'!$A192,'2015-16 12 Mnths'!C:C)-SUMIF('Budget 12 Mnths'!$A:$A,'Detail 18-19'!$A192,'Budget 12 Mnths'!D:D)</f>
        <v>0</v>
      </c>
      <c r="E192" s="56">
        <f>SUMIF('2015-16 12 Mnths'!$A:$A,'Detail 18-19'!$A192,'2015-16 12 Mnths'!D:D)-SUMIF('Budget 12 Mnths'!$A:$A,'Detail 18-19'!$A192,'Budget 12 Mnths'!E:E)</f>
        <v>0</v>
      </c>
      <c r="F192" s="56">
        <f>SUMIF('2015-16 12 Mnths'!$A:$A,'Detail 18-19'!$A192,'2015-16 12 Mnths'!E:E)-SUMIF('Budget 12 Mnths'!$A:$A,'Detail 18-19'!$A192,'Budget 12 Mnths'!F:F)</f>
        <v>0</v>
      </c>
      <c r="G192" s="56">
        <f>SUMIF('2015-16 12 Mnths'!$A:$A,'Detail 18-19'!$A192,'2015-16 12 Mnths'!F:F)-SUMIF('Budget 12 Mnths'!$A:$A,'Detail 18-19'!$A192,'Budget 12 Mnths'!G:G)</f>
        <v>0</v>
      </c>
      <c r="H192" s="56">
        <f>SUMIF('2015-16 12 Mnths'!$A:$A,'Detail 18-19'!$A192,'2015-16 12 Mnths'!G:G)-SUMIF('Budget 12 Mnths'!$A:$A,'Detail 18-19'!$A192,'Budget 12 Mnths'!H:H)</f>
        <v>1000</v>
      </c>
      <c r="I192" s="56">
        <f>SUMIF('2015-16 12 Mnths'!$A:$A,'Detail 18-19'!$A192,'2015-16 12 Mnths'!H:H)-SUMIF('Budget 12 Mnths'!$A:$A,'Detail 18-19'!$A192,'Budget 12 Mnths'!I:I)</f>
        <v>0</v>
      </c>
      <c r="J192" s="56">
        <f>SUMIF('2015-16 12 Mnths'!$A:$A,'Detail 18-19'!$A192,'2015-16 12 Mnths'!I:I)-SUMIF('Budget 12 Mnths'!$A:$A,'Detail 18-19'!$A192,'Budget 12 Mnths'!J:J)</f>
        <v>0</v>
      </c>
      <c r="K192" s="56">
        <f>SUMIF('2015-16 12 Mnths'!$A:$A,'Detail 18-19'!$A192,'2015-16 12 Mnths'!J:J)-SUMIF('Budget 12 Mnths'!$A:$A,'Detail 18-19'!$A192,'Budget 12 Mnths'!K:K)</f>
        <v>0</v>
      </c>
      <c r="L192" s="56">
        <f>SUMIF('2015-16 12 Mnths'!$A:$A,'Detail 18-19'!$A192,'2015-16 12 Mnths'!K:K)-SUMIF('Budget 12 Mnths'!$A:$A,'Detail 18-19'!$A192,'Budget 12 Mnths'!L:L)</f>
        <v>0</v>
      </c>
      <c r="M192" s="56"/>
      <c r="N192" s="56"/>
      <c r="O192" s="56"/>
      <c r="P192" s="56">
        <f t="shared" si="1"/>
        <v>1000</v>
      </c>
      <c r="Q192" s="14" t="str">
        <f>+VLOOKUP(A192,Mapping!$A$1:$E$443,5,FALSE)</f>
        <v>Marketing</v>
      </c>
      <c r="R192" s="26">
        <f>+SUMIF('Budget 12 Mnths'!$A:$A,'Detail 18-19'!$A192,'Budget 12 Mnths'!$P:$P)</f>
        <v>0</v>
      </c>
      <c r="S192" s="26">
        <f>+SUMIF('2015-16 12 Mnths'!$A:$A,'Detail 18-19'!$A192,'2015-16 12 Mnths'!$O:$O)</f>
        <v>1000</v>
      </c>
      <c r="T192" s="57">
        <f t="shared" si="2"/>
        <v>0</v>
      </c>
      <c r="U192" s="57">
        <f t="shared" si="3"/>
        <v>1</v>
      </c>
      <c r="W192" s="27"/>
      <c r="X192" s="27" t="str">
        <f t="shared" si="102"/>
        <v/>
      </c>
      <c r="Z192" s="57">
        <f t="shared" si="100"/>
        <v>0</v>
      </c>
      <c r="AA192" s="57" t="str">
        <f>IFERROR(+VLOOKUP(A192,Key!$A$1:$C$219,2,FALSE),"NOT FOUND")</f>
        <v>6705-2U</v>
      </c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>
        <f t="shared" si="6"/>
        <v>0</v>
      </c>
    </row>
    <row r="193" ht="15.75" hidden="1" customHeight="1">
      <c r="A193" s="15" t="s">
        <v>560</v>
      </c>
      <c r="B193" s="15" t="s">
        <v>559</v>
      </c>
      <c r="C193" s="15" t="s">
        <v>119</v>
      </c>
      <c r="D193" s="56">
        <f>SUMIF('2015-16 12 Mnths'!$A:$A,'Detail 18-19'!$A193,'2015-16 12 Mnths'!C:C)-SUMIF('Budget 12 Mnths'!$A:$A,'Detail 18-19'!$A193,'Budget 12 Mnths'!D:D)</f>
        <v>0</v>
      </c>
      <c r="E193" s="56">
        <f>SUMIF('2015-16 12 Mnths'!$A:$A,'Detail 18-19'!$A193,'2015-16 12 Mnths'!D:D)-SUMIF('Budget 12 Mnths'!$A:$A,'Detail 18-19'!$A193,'Budget 12 Mnths'!E:E)</f>
        <v>0</v>
      </c>
      <c r="F193" s="56">
        <f>SUMIF('2015-16 12 Mnths'!$A:$A,'Detail 18-19'!$A193,'2015-16 12 Mnths'!E:E)-SUMIF('Budget 12 Mnths'!$A:$A,'Detail 18-19'!$A193,'Budget 12 Mnths'!F:F)</f>
        <v>0</v>
      </c>
      <c r="G193" s="56">
        <f>SUMIF('2015-16 12 Mnths'!$A:$A,'Detail 18-19'!$A193,'2015-16 12 Mnths'!F:F)-SUMIF('Budget 12 Mnths'!$A:$A,'Detail 18-19'!$A193,'Budget 12 Mnths'!G:G)</f>
        <v>0</v>
      </c>
      <c r="H193" s="56">
        <f>SUMIF('2015-16 12 Mnths'!$A:$A,'Detail 18-19'!$A193,'2015-16 12 Mnths'!G:G)-SUMIF('Budget 12 Mnths'!$A:$A,'Detail 18-19'!$A193,'Budget 12 Mnths'!H:H)</f>
        <v>0</v>
      </c>
      <c r="I193" s="56">
        <f>SUMIF('2015-16 12 Mnths'!$A:$A,'Detail 18-19'!$A193,'2015-16 12 Mnths'!H:H)-SUMIF('Budget 12 Mnths'!$A:$A,'Detail 18-19'!$A193,'Budget 12 Mnths'!I:I)</f>
        <v>0</v>
      </c>
      <c r="J193" s="56">
        <f>SUMIF('2015-16 12 Mnths'!$A:$A,'Detail 18-19'!$A193,'2015-16 12 Mnths'!I:I)-SUMIF('Budget 12 Mnths'!$A:$A,'Detail 18-19'!$A193,'Budget 12 Mnths'!J:J)</f>
        <v>0</v>
      </c>
      <c r="K193" s="56">
        <f>SUMIF('2015-16 12 Mnths'!$A:$A,'Detail 18-19'!$A193,'2015-16 12 Mnths'!J:J)-SUMIF('Budget 12 Mnths'!$A:$A,'Detail 18-19'!$A193,'Budget 12 Mnths'!K:K)</f>
        <v>0</v>
      </c>
      <c r="L193" s="56">
        <f>SUMIF('2015-16 12 Mnths'!$A:$A,'Detail 18-19'!$A193,'2015-16 12 Mnths'!K:K)-SUMIF('Budget 12 Mnths'!$A:$A,'Detail 18-19'!$A193,'Budget 12 Mnths'!L:L)</f>
        <v>0</v>
      </c>
      <c r="M193" s="56"/>
      <c r="N193" s="56"/>
      <c r="O193" s="56"/>
      <c r="P193" s="56">
        <f t="shared" si="1"/>
        <v>0</v>
      </c>
      <c r="Q193" s="14" t="str">
        <f>+VLOOKUP(A193,Mapping!$A$1:$E$443,5,FALSE)</f>
        <v>Marketing</v>
      </c>
      <c r="R193" s="26">
        <f>+SUMIF('Budget 12 Mnths'!$A:$A,'Detail 18-19'!$A193,'Budget 12 Mnths'!$P:$P)</f>
        <v>0</v>
      </c>
      <c r="S193" s="26">
        <f>+SUMIF('2015-16 12 Mnths'!$A:$A,'Detail 18-19'!$A193,'2015-16 12 Mnths'!$O:$O)</f>
        <v>0</v>
      </c>
      <c r="T193" s="57">
        <f t="shared" si="2"/>
        <v>0</v>
      </c>
      <c r="U193" s="57">
        <f t="shared" si="3"/>
        <v>0</v>
      </c>
      <c r="W193" s="27"/>
      <c r="X193" s="27" t="str">
        <f t="shared" si="102"/>
        <v/>
      </c>
      <c r="Z193" s="57">
        <f t="shared" si="100"/>
        <v>0</v>
      </c>
      <c r="AA193" s="57" t="str">
        <f>IFERROR(+VLOOKUP(A193,Key!$A$1:$C$219,2,FALSE),"NOT FOUND")</f>
        <v>6705-3U</v>
      </c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>
        <f t="shared" si="6"/>
        <v>0</v>
      </c>
    </row>
    <row r="194" ht="15.75" hidden="1" customHeight="1">
      <c r="A194" s="15" t="s">
        <v>561</v>
      </c>
      <c r="B194" s="15" t="s">
        <v>562</v>
      </c>
      <c r="C194" s="15" t="s">
        <v>119</v>
      </c>
      <c r="D194" s="56">
        <f>SUMIF('2015-16 12 Mnths'!$A:$A,'Detail 18-19'!$A194,'2015-16 12 Mnths'!C:C)-SUMIF('Budget 12 Mnths'!$A:$A,'Detail 18-19'!$A194,'Budget 12 Mnths'!D:D)</f>
        <v>0</v>
      </c>
      <c r="E194" s="56">
        <f>SUMIF('2015-16 12 Mnths'!$A:$A,'Detail 18-19'!$A194,'2015-16 12 Mnths'!D:D)-SUMIF('Budget 12 Mnths'!$A:$A,'Detail 18-19'!$A194,'Budget 12 Mnths'!E:E)</f>
        <v>51.26</v>
      </c>
      <c r="F194" s="56">
        <f>SUMIF('2015-16 12 Mnths'!$A:$A,'Detail 18-19'!$A194,'2015-16 12 Mnths'!E:E)-SUMIF('Budget 12 Mnths'!$A:$A,'Detail 18-19'!$A194,'Budget 12 Mnths'!F:F)</f>
        <v>740</v>
      </c>
      <c r="G194" s="56">
        <f>SUMIF('2015-16 12 Mnths'!$A:$A,'Detail 18-19'!$A194,'2015-16 12 Mnths'!F:F)-SUMIF('Budget 12 Mnths'!$A:$A,'Detail 18-19'!$A194,'Budget 12 Mnths'!G:G)</f>
        <v>165</v>
      </c>
      <c r="H194" s="56">
        <f>SUMIF('2015-16 12 Mnths'!$A:$A,'Detail 18-19'!$A194,'2015-16 12 Mnths'!G:G)-SUMIF('Budget 12 Mnths'!$A:$A,'Detail 18-19'!$A194,'Budget 12 Mnths'!H:H)</f>
        <v>92.19</v>
      </c>
      <c r="I194" s="56">
        <f>SUMIF('2015-16 12 Mnths'!$A:$A,'Detail 18-19'!$A194,'2015-16 12 Mnths'!H:H)-SUMIF('Budget 12 Mnths'!$A:$A,'Detail 18-19'!$A194,'Budget 12 Mnths'!I:I)</f>
        <v>399</v>
      </c>
      <c r="J194" s="56">
        <f>SUMIF('2015-16 12 Mnths'!$A:$A,'Detail 18-19'!$A194,'2015-16 12 Mnths'!I:I)-SUMIF('Budget 12 Mnths'!$A:$A,'Detail 18-19'!$A194,'Budget 12 Mnths'!J:J)</f>
        <v>0</v>
      </c>
      <c r="K194" s="56">
        <f>SUMIF('2015-16 12 Mnths'!$A:$A,'Detail 18-19'!$A194,'2015-16 12 Mnths'!J:J)-SUMIF('Budget 12 Mnths'!$A:$A,'Detail 18-19'!$A194,'Budget 12 Mnths'!K:K)</f>
        <v>0</v>
      </c>
      <c r="L194" s="56">
        <f>SUMIF('2015-16 12 Mnths'!$A:$A,'Detail 18-19'!$A194,'2015-16 12 Mnths'!K:K)-SUMIF('Budget 12 Mnths'!$A:$A,'Detail 18-19'!$A194,'Budget 12 Mnths'!L:L)</f>
        <v>187.11</v>
      </c>
      <c r="M194" s="56"/>
      <c r="N194" s="56"/>
      <c r="O194" s="56"/>
      <c r="P194" s="56">
        <f t="shared" si="1"/>
        <v>1634.56</v>
      </c>
      <c r="Q194" s="14" t="str">
        <f>+VLOOKUP(A194,Mapping!$A$1:$E$443,5,FALSE)</f>
        <v>Marketing</v>
      </c>
      <c r="R194" s="26">
        <f>+SUMIF('Budget 12 Mnths'!$A:$A,'Detail 18-19'!$A194,'Budget 12 Mnths'!$P:$P)</f>
        <v>0</v>
      </c>
      <c r="S194" s="26">
        <f>+SUMIF('2015-16 12 Mnths'!$A:$A,'Detail 18-19'!$A194,'2015-16 12 Mnths'!$O:$O)</f>
        <v>1634.56</v>
      </c>
      <c r="T194" s="57">
        <f t="shared" si="2"/>
        <v>0</v>
      </c>
      <c r="U194" s="57">
        <f t="shared" si="3"/>
        <v>1</v>
      </c>
      <c r="W194" s="27"/>
      <c r="X194" s="27" t="str">
        <f t="shared" si="102"/>
        <v/>
      </c>
      <c r="Z194" s="57">
        <f t="shared" si="100"/>
        <v>0</v>
      </c>
      <c r="AA194" s="57" t="str">
        <f>IFERROR(+VLOOKUP(A194,Key!$A$1:$C$219,2,FALSE),"NOT FOUND")</f>
        <v>6710-1U</v>
      </c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>
        <f t="shared" si="6"/>
        <v>0</v>
      </c>
    </row>
    <row r="195" ht="15.75" hidden="1" customHeight="1">
      <c r="A195" s="15" t="s">
        <v>563</v>
      </c>
      <c r="B195" s="15" t="s">
        <v>564</v>
      </c>
      <c r="C195" s="15" t="s">
        <v>119</v>
      </c>
      <c r="D195" s="56">
        <f>SUMIF('2015-16 12 Mnths'!$A:$A,'Detail 18-19'!$A195,'2015-16 12 Mnths'!C:C)-SUMIF('Budget 12 Mnths'!$A:$A,'Detail 18-19'!$A195,'Budget 12 Mnths'!D:D)</f>
        <v>-55.11</v>
      </c>
      <c r="E195" s="56">
        <f>SUMIF('2015-16 12 Mnths'!$A:$A,'Detail 18-19'!$A195,'2015-16 12 Mnths'!D:D)-SUMIF('Budget 12 Mnths'!$A:$A,'Detail 18-19'!$A195,'Budget 12 Mnths'!E:E)</f>
        <v>-75</v>
      </c>
      <c r="F195" s="56">
        <f>SUMIF('2015-16 12 Mnths'!$A:$A,'Detail 18-19'!$A195,'2015-16 12 Mnths'!E:E)-SUMIF('Budget 12 Mnths'!$A:$A,'Detail 18-19'!$A195,'Budget 12 Mnths'!F:F)</f>
        <v>-27.17</v>
      </c>
      <c r="G195" s="56">
        <f>SUMIF('2015-16 12 Mnths'!$A:$A,'Detail 18-19'!$A195,'2015-16 12 Mnths'!F:F)-SUMIF('Budget 12 Mnths'!$A:$A,'Detail 18-19'!$A195,'Budget 12 Mnths'!G:G)</f>
        <v>-75</v>
      </c>
      <c r="H195" s="56">
        <f>SUMIF('2015-16 12 Mnths'!$A:$A,'Detail 18-19'!$A195,'2015-16 12 Mnths'!G:G)-SUMIF('Budget 12 Mnths'!$A:$A,'Detail 18-19'!$A195,'Budget 12 Mnths'!H:H)</f>
        <v>-75</v>
      </c>
      <c r="I195" s="56">
        <f>SUMIF('2015-16 12 Mnths'!$A:$A,'Detail 18-19'!$A195,'2015-16 12 Mnths'!H:H)-SUMIF('Budget 12 Mnths'!$A:$A,'Detail 18-19'!$A195,'Budget 12 Mnths'!I:I)</f>
        <v>-75</v>
      </c>
      <c r="J195" s="56">
        <f>SUMIF('2015-16 12 Mnths'!$A:$A,'Detail 18-19'!$A195,'2015-16 12 Mnths'!I:I)-SUMIF('Budget 12 Mnths'!$A:$A,'Detail 18-19'!$A195,'Budget 12 Mnths'!J:J)</f>
        <v>-75</v>
      </c>
      <c r="K195" s="56">
        <f>SUMIF('2015-16 12 Mnths'!$A:$A,'Detail 18-19'!$A195,'2015-16 12 Mnths'!J:J)-SUMIF('Budget 12 Mnths'!$A:$A,'Detail 18-19'!$A195,'Budget 12 Mnths'!K:K)</f>
        <v>-75</v>
      </c>
      <c r="L195" s="56">
        <f>SUMIF('2015-16 12 Mnths'!$A:$A,'Detail 18-19'!$A195,'2015-16 12 Mnths'!K:K)-SUMIF('Budget 12 Mnths'!$A:$A,'Detail 18-19'!$A195,'Budget 12 Mnths'!L:L)</f>
        <v>-75</v>
      </c>
      <c r="M195" s="56"/>
      <c r="N195" s="56"/>
      <c r="O195" s="56"/>
      <c r="P195" s="56">
        <f t="shared" si="1"/>
        <v>-607.28</v>
      </c>
      <c r="Q195" s="14" t="str">
        <f>+VLOOKUP(A195,Mapping!$A$1:$E$443,5,FALSE)</f>
        <v>Marketing</v>
      </c>
      <c r="R195" s="26">
        <f>+SUMIF('Budget 12 Mnths'!$A:$A,'Detail 18-19'!$A195,'Budget 12 Mnths'!$P:$P)</f>
        <v>900</v>
      </c>
      <c r="S195" s="26">
        <f>+SUMIF('2015-16 12 Mnths'!$A:$A,'Detail 18-19'!$A195,'2015-16 12 Mnths'!$O:$O)</f>
        <v>67.72</v>
      </c>
      <c r="T195" s="57">
        <f t="shared" si="2"/>
        <v>-0.6747555556</v>
      </c>
      <c r="U195" s="57">
        <f t="shared" si="3"/>
        <v>-8.96751329</v>
      </c>
      <c r="V195" s="8" t="s">
        <v>641</v>
      </c>
      <c r="W195" s="27">
        <v>0.0</v>
      </c>
      <c r="X195" s="27">
        <f t="shared" si="102"/>
        <v>0</v>
      </c>
      <c r="Z195" s="57">
        <f t="shared" si="100"/>
        <v>0</v>
      </c>
      <c r="AA195" s="57" t="str">
        <f>IFERROR(+VLOOKUP(A195,Key!$A$1:$C$219,2,FALSE),"NOT FOUND")</f>
        <v>6715-1U</v>
      </c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>
        <f t="shared" si="6"/>
        <v>0</v>
      </c>
    </row>
    <row r="196" ht="15.75" hidden="1" customHeight="1">
      <c r="A196" s="15" t="s">
        <v>565</v>
      </c>
      <c r="B196" s="15" t="s">
        <v>566</v>
      </c>
      <c r="C196" s="15" t="s">
        <v>119</v>
      </c>
      <c r="D196" s="56">
        <f>SUMIF('2015-16 12 Mnths'!$A:$A,'Detail 18-19'!$A196,'2015-16 12 Mnths'!C:C)-SUMIF('Budget 12 Mnths'!$A:$A,'Detail 18-19'!$A196,'Budget 12 Mnths'!D:D)</f>
        <v>0</v>
      </c>
      <c r="E196" s="56">
        <f>SUMIF('2015-16 12 Mnths'!$A:$A,'Detail 18-19'!$A196,'2015-16 12 Mnths'!D:D)-SUMIF('Budget 12 Mnths'!$A:$A,'Detail 18-19'!$A196,'Budget 12 Mnths'!E:E)</f>
        <v>33.37</v>
      </c>
      <c r="F196" s="56">
        <f>SUMIF('2015-16 12 Mnths'!$A:$A,'Detail 18-19'!$A196,'2015-16 12 Mnths'!E:E)-SUMIF('Budget 12 Mnths'!$A:$A,'Detail 18-19'!$A196,'Budget 12 Mnths'!F:F)</f>
        <v>0</v>
      </c>
      <c r="G196" s="56">
        <f>SUMIF('2015-16 12 Mnths'!$A:$A,'Detail 18-19'!$A196,'2015-16 12 Mnths'!F:F)-SUMIF('Budget 12 Mnths'!$A:$A,'Detail 18-19'!$A196,'Budget 12 Mnths'!G:G)</f>
        <v>0</v>
      </c>
      <c r="H196" s="56">
        <f>SUMIF('2015-16 12 Mnths'!$A:$A,'Detail 18-19'!$A196,'2015-16 12 Mnths'!G:G)-SUMIF('Budget 12 Mnths'!$A:$A,'Detail 18-19'!$A196,'Budget 12 Mnths'!H:H)</f>
        <v>0</v>
      </c>
      <c r="I196" s="56">
        <f>SUMIF('2015-16 12 Mnths'!$A:$A,'Detail 18-19'!$A196,'2015-16 12 Mnths'!H:H)-SUMIF('Budget 12 Mnths'!$A:$A,'Detail 18-19'!$A196,'Budget 12 Mnths'!I:I)</f>
        <v>0</v>
      </c>
      <c r="J196" s="56">
        <f>SUMIF('2015-16 12 Mnths'!$A:$A,'Detail 18-19'!$A196,'2015-16 12 Mnths'!I:I)-SUMIF('Budget 12 Mnths'!$A:$A,'Detail 18-19'!$A196,'Budget 12 Mnths'!J:J)</f>
        <v>0</v>
      </c>
      <c r="K196" s="56">
        <f>SUMIF('2015-16 12 Mnths'!$A:$A,'Detail 18-19'!$A196,'2015-16 12 Mnths'!J:J)-SUMIF('Budget 12 Mnths'!$A:$A,'Detail 18-19'!$A196,'Budget 12 Mnths'!K:K)</f>
        <v>0</v>
      </c>
      <c r="L196" s="56">
        <f>SUMIF('2015-16 12 Mnths'!$A:$A,'Detail 18-19'!$A196,'2015-16 12 Mnths'!K:K)-SUMIF('Budget 12 Mnths'!$A:$A,'Detail 18-19'!$A196,'Budget 12 Mnths'!L:L)</f>
        <v>0</v>
      </c>
      <c r="M196" s="56"/>
      <c r="N196" s="56"/>
      <c r="O196" s="56"/>
      <c r="P196" s="56">
        <f t="shared" si="1"/>
        <v>33.37</v>
      </c>
      <c r="Q196" s="14" t="str">
        <f>+VLOOKUP(A196,Mapping!$A$1:$E$443,5,FALSE)</f>
        <v>Marketing</v>
      </c>
      <c r="R196" s="26">
        <f>+SUMIF('Budget 12 Mnths'!$A:$A,'Detail 18-19'!$A196,'Budget 12 Mnths'!$P:$P)</f>
        <v>0</v>
      </c>
      <c r="S196" s="26">
        <f>+SUMIF('2015-16 12 Mnths'!$A:$A,'Detail 18-19'!$A196,'2015-16 12 Mnths'!$O:$O)</f>
        <v>33.37</v>
      </c>
      <c r="T196" s="57">
        <f t="shared" si="2"/>
        <v>0</v>
      </c>
      <c r="U196" s="57">
        <f t="shared" si="3"/>
        <v>1</v>
      </c>
      <c r="W196" s="27"/>
      <c r="X196" s="27" t="str">
        <f t="shared" si="102"/>
        <v/>
      </c>
      <c r="Z196" s="57">
        <f t="shared" si="100"/>
        <v>0</v>
      </c>
      <c r="AA196" s="57" t="str">
        <f>IFERROR(+VLOOKUP(A196,Key!$A$1:$C$219,2,FALSE),"NOT FOUND")</f>
        <v>NOT FOUND</v>
      </c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>
        <f t="shared" si="6"/>
        <v>0</v>
      </c>
    </row>
    <row r="197" ht="15.75" hidden="1" customHeight="1">
      <c r="A197" s="15" t="s">
        <v>567</v>
      </c>
      <c r="B197" s="15" t="s">
        <v>566</v>
      </c>
      <c r="C197" s="15" t="s">
        <v>119</v>
      </c>
      <c r="D197" s="56">
        <f>SUMIF('2015-16 12 Mnths'!$A:$A,'Detail 18-19'!$A197,'2015-16 12 Mnths'!C:C)-SUMIF('Budget 12 Mnths'!$A:$A,'Detail 18-19'!$A197,'Budget 12 Mnths'!D:D)</f>
        <v>0</v>
      </c>
      <c r="E197" s="56">
        <f>SUMIF('2015-16 12 Mnths'!$A:$A,'Detail 18-19'!$A197,'2015-16 12 Mnths'!D:D)-SUMIF('Budget 12 Mnths'!$A:$A,'Detail 18-19'!$A197,'Budget 12 Mnths'!E:E)</f>
        <v>0</v>
      </c>
      <c r="F197" s="56">
        <f>SUMIF('2015-16 12 Mnths'!$A:$A,'Detail 18-19'!$A197,'2015-16 12 Mnths'!E:E)-SUMIF('Budget 12 Mnths'!$A:$A,'Detail 18-19'!$A197,'Budget 12 Mnths'!F:F)</f>
        <v>0</v>
      </c>
      <c r="G197" s="56">
        <f>SUMIF('2015-16 12 Mnths'!$A:$A,'Detail 18-19'!$A197,'2015-16 12 Mnths'!F:F)-SUMIF('Budget 12 Mnths'!$A:$A,'Detail 18-19'!$A197,'Budget 12 Mnths'!G:G)</f>
        <v>6.77</v>
      </c>
      <c r="H197" s="56">
        <f>SUMIF('2015-16 12 Mnths'!$A:$A,'Detail 18-19'!$A197,'2015-16 12 Mnths'!G:G)-SUMIF('Budget 12 Mnths'!$A:$A,'Detail 18-19'!$A197,'Budget 12 Mnths'!H:H)</f>
        <v>30.94</v>
      </c>
      <c r="I197" s="56">
        <f>SUMIF('2015-16 12 Mnths'!$A:$A,'Detail 18-19'!$A197,'2015-16 12 Mnths'!H:H)-SUMIF('Budget 12 Mnths'!$A:$A,'Detail 18-19'!$A197,'Budget 12 Mnths'!I:I)</f>
        <v>0</v>
      </c>
      <c r="J197" s="56">
        <f>SUMIF('2015-16 12 Mnths'!$A:$A,'Detail 18-19'!$A197,'2015-16 12 Mnths'!I:I)-SUMIF('Budget 12 Mnths'!$A:$A,'Detail 18-19'!$A197,'Budget 12 Mnths'!J:J)</f>
        <v>0</v>
      </c>
      <c r="K197" s="56">
        <f>SUMIF('2015-16 12 Mnths'!$A:$A,'Detail 18-19'!$A197,'2015-16 12 Mnths'!J:J)-SUMIF('Budget 12 Mnths'!$A:$A,'Detail 18-19'!$A197,'Budget 12 Mnths'!K:K)</f>
        <v>0</v>
      </c>
      <c r="L197" s="56">
        <f>SUMIF('2015-16 12 Mnths'!$A:$A,'Detail 18-19'!$A197,'2015-16 12 Mnths'!K:K)-SUMIF('Budget 12 Mnths'!$A:$A,'Detail 18-19'!$A197,'Budget 12 Mnths'!L:L)</f>
        <v>0</v>
      </c>
      <c r="M197" s="56"/>
      <c r="N197" s="56"/>
      <c r="O197" s="56"/>
      <c r="P197" s="56">
        <f t="shared" si="1"/>
        <v>37.71</v>
      </c>
      <c r="Q197" s="14" t="str">
        <f>+VLOOKUP(A197,Mapping!$A$1:$E$443,5,FALSE)</f>
        <v>Marketing</v>
      </c>
      <c r="R197" s="26">
        <f>+SUMIF('Budget 12 Mnths'!$A:$A,'Detail 18-19'!$A197,'Budget 12 Mnths'!$P:$P)</f>
        <v>0</v>
      </c>
      <c r="S197" s="26">
        <f>+SUMIF('2015-16 12 Mnths'!$A:$A,'Detail 18-19'!$A197,'2015-16 12 Mnths'!$O:$O)</f>
        <v>37.71</v>
      </c>
      <c r="T197" s="57">
        <f t="shared" si="2"/>
        <v>0</v>
      </c>
      <c r="U197" s="57">
        <f t="shared" si="3"/>
        <v>1</v>
      </c>
      <c r="W197" s="27"/>
      <c r="X197" s="27" t="str">
        <f t="shared" si="102"/>
        <v/>
      </c>
      <c r="Z197" s="57">
        <f t="shared" si="100"/>
        <v>0</v>
      </c>
      <c r="AA197" s="57" t="str">
        <f>IFERROR(+VLOOKUP(A197,Key!$A$1:$C$219,2,FALSE),"NOT FOUND")</f>
        <v>NOT FOUND</v>
      </c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>
        <f t="shared" si="6"/>
        <v>0</v>
      </c>
    </row>
    <row r="198" ht="15.75" hidden="1" customHeight="1">
      <c r="A198" s="15" t="s">
        <v>568</v>
      </c>
      <c r="B198" s="15" t="s">
        <v>566</v>
      </c>
      <c r="C198" s="15" t="s">
        <v>119</v>
      </c>
      <c r="D198" s="56">
        <f>SUMIF('2015-16 12 Mnths'!$A:$A,'Detail 18-19'!$A198,'2015-16 12 Mnths'!C:C)-SUMIF('Budget 12 Mnths'!$A:$A,'Detail 18-19'!$A198,'Budget 12 Mnths'!D:D)</f>
        <v>0</v>
      </c>
      <c r="E198" s="56">
        <f>SUMIF('2015-16 12 Mnths'!$A:$A,'Detail 18-19'!$A198,'2015-16 12 Mnths'!D:D)-SUMIF('Budget 12 Mnths'!$A:$A,'Detail 18-19'!$A198,'Budget 12 Mnths'!E:E)</f>
        <v>0</v>
      </c>
      <c r="F198" s="56">
        <f>SUMIF('2015-16 12 Mnths'!$A:$A,'Detail 18-19'!$A198,'2015-16 12 Mnths'!E:E)-SUMIF('Budget 12 Mnths'!$A:$A,'Detail 18-19'!$A198,'Budget 12 Mnths'!F:F)</f>
        <v>0</v>
      </c>
      <c r="G198" s="56">
        <f>SUMIF('2015-16 12 Mnths'!$A:$A,'Detail 18-19'!$A198,'2015-16 12 Mnths'!F:F)-SUMIF('Budget 12 Mnths'!$A:$A,'Detail 18-19'!$A198,'Budget 12 Mnths'!G:G)</f>
        <v>0</v>
      </c>
      <c r="H198" s="56">
        <f>SUMIF('2015-16 12 Mnths'!$A:$A,'Detail 18-19'!$A198,'2015-16 12 Mnths'!G:G)-SUMIF('Budget 12 Mnths'!$A:$A,'Detail 18-19'!$A198,'Budget 12 Mnths'!H:H)</f>
        <v>0</v>
      </c>
      <c r="I198" s="56">
        <f>SUMIF('2015-16 12 Mnths'!$A:$A,'Detail 18-19'!$A198,'2015-16 12 Mnths'!H:H)-SUMIF('Budget 12 Mnths'!$A:$A,'Detail 18-19'!$A198,'Budget 12 Mnths'!I:I)</f>
        <v>0</v>
      </c>
      <c r="J198" s="56">
        <f>SUMIF('2015-16 12 Mnths'!$A:$A,'Detail 18-19'!$A198,'2015-16 12 Mnths'!I:I)-SUMIF('Budget 12 Mnths'!$A:$A,'Detail 18-19'!$A198,'Budget 12 Mnths'!J:J)</f>
        <v>0</v>
      </c>
      <c r="K198" s="56">
        <f>SUMIF('2015-16 12 Mnths'!$A:$A,'Detail 18-19'!$A198,'2015-16 12 Mnths'!J:J)-SUMIF('Budget 12 Mnths'!$A:$A,'Detail 18-19'!$A198,'Budget 12 Mnths'!K:K)</f>
        <v>0</v>
      </c>
      <c r="L198" s="56">
        <f>SUMIF('2015-16 12 Mnths'!$A:$A,'Detail 18-19'!$A198,'2015-16 12 Mnths'!K:K)-SUMIF('Budget 12 Mnths'!$A:$A,'Detail 18-19'!$A198,'Budget 12 Mnths'!L:L)</f>
        <v>0</v>
      </c>
      <c r="M198" s="56"/>
      <c r="N198" s="56"/>
      <c r="O198" s="56"/>
      <c r="P198" s="56">
        <f t="shared" si="1"/>
        <v>0</v>
      </c>
      <c r="Q198" s="14" t="str">
        <f>+VLOOKUP(A198,Mapping!$A$1:$E$443,5,FALSE)</f>
        <v>Marketing</v>
      </c>
      <c r="R198" s="26">
        <f>+SUMIF('Budget 12 Mnths'!$A:$A,'Detail 18-19'!$A198,'Budget 12 Mnths'!$P:$P)</f>
        <v>0</v>
      </c>
      <c r="S198" s="26">
        <f>+SUMIF('2015-16 12 Mnths'!$A:$A,'Detail 18-19'!$A198,'2015-16 12 Mnths'!$O:$O)</f>
        <v>0</v>
      </c>
      <c r="T198" s="57">
        <f t="shared" si="2"/>
        <v>0</v>
      </c>
      <c r="U198" s="57">
        <f t="shared" si="3"/>
        <v>0</v>
      </c>
      <c r="W198" s="27"/>
      <c r="X198" s="27" t="str">
        <f t="shared" si="102"/>
        <v/>
      </c>
      <c r="Z198" s="57">
        <f t="shared" si="100"/>
        <v>0</v>
      </c>
      <c r="AA198" s="57" t="str">
        <f>IFERROR(+VLOOKUP(A198,Key!$A$1:$C$219,2,FALSE),"NOT FOUND")</f>
        <v>NOT FOUND</v>
      </c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>
        <f t="shared" si="6"/>
        <v>0</v>
      </c>
    </row>
    <row r="199" ht="15.75" hidden="1" customHeight="1">
      <c r="A199" s="15" t="s">
        <v>569</v>
      </c>
      <c r="B199" s="15" t="s">
        <v>570</v>
      </c>
      <c r="C199" s="15" t="s">
        <v>119</v>
      </c>
      <c r="D199" s="56">
        <f>SUMIF('2015-16 12 Mnths'!$A:$A,'Detail 18-19'!$A199,'2015-16 12 Mnths'!C:C)-SUMIF('Budget 12 Mnths'!$A:$A,'Detail 18-19'!$A199,'Budget 12 Mnths'!D:D)</f>
        <v>0</v>
      </c>
      <c r="E199" s="56">
        <f>SUMIF('2015-16 12 Mnths'!$A:$A,'Detail 18-19'!$A199,'2015-16 12 Mnths'!D:D)-SUMIF('Budget 12 Mnths'!$A:$A,'Detail 18-19'!$A199,'Budget 12 Mnths'!E:E)</f>
        <v>0</v>
      </c>
      <c r="F199" s="56">
        <f>SUMIF('2015-16 12 Mnths'!$A:$A,'Detail 18-19'!$A199,'2015-16 12 Mnths'!E:E)-SUMIF('Budget 12 Mnths'!$A:$A,'Detail 18-19'!$A199,'Budget 12 Mnths'!F:F)</f>
        <v>0</v>
      </c>
      <c r="G199" s="56">
        <f>SUMIF('2015-16 12 Mnths'!$A:$A,'Detail 18-19'!$A199,'2015-16 12 Mnths'!F:F)-SUMIF('Budget 12 Mnths'!$A:$A,'Detail 18-19'!$A199,'Budget 12 Mnths'!G:G)</f>
        <v>0</v>
      </c>
      <c r="H199" s="56">
        <f>SUMIF('2015-16 12 Mnths'!$A:$A,'Detail 18-19'!$A199,'2015-16 12 Mnths'!G:G)-SUMIF('Budget 12 Mnths'!$A:$A,'Detail 18-19'!$A199,'Budget 12 Mnths'!H:H)</f>
        <v>261.22</v>
      </c>
      <c r="I199" s="56">
        <f>SUMIF('2015-16 12 Mnths'!$A:$A,'Detail 18-19'!$A199,'2015-16 12 Mnths'!H:H)-SUMIF('Budget 12 Mnths'!$A:$A,'Detail 18-19'!$A199,'Budget 12 Mnths'!I:I)</f>
        <v>150.04</v>
      </c>
      <c r="J199" s="56">
        <f>SUMIF('2015-16 12 Mnths'!$A:$A,'Detail 18-19'!$A199,'2015-16 12 Mnths'!I:I)-SUMIF('Budget 12 Mnths'!$A:$A,'Detail 18-19'!$A199,'Budget 12 Mnths'!J:J)</f>
        <v>0</v>
      </c>
      <c r="K199" s="56">
        <f>SUMIF('2015-16 12 Mnths'!$A:$A,'Detail 18-19'!$A199,'2015-16 12 Mnths'!J:J)-SUMIF('Budget 12 Mnths'!$A:$A,'Detail 18-19'!$A199,'Budget 12 Mnths'!K:K)</f>
        <v>0</v>
      </c>
      <c r="L199" s="56">
        <f>SUMIF('2015-16 12 Mnths'!$A:$A,'Detail 18-19'!$A199,'2015-16 12 Mnths'!K:K)-SUMIF('Budget 12 Mnths'!$A:$A,'Detail 18-19'!$A199,'Budget 12 Mnths'!L:L)</f>
        <v>0</v>
      </c>
      <c r="M199" s="56"/>
      <c r="N199" s="56"/>
      <c r="O199" s="56"/>
      <c r="P199" s="56">
        <f t="shared" si="1"/>
        <v>411.26</v>
      </c>
      <c r="Q199" s="14" t="str">
        <f>+VLOOKUP(A199,Mapping!$A$1:$E$443,5,FALSE)</f>
        <v>Marketing</v>
      </c>
      <c r="R199" s="26">
        <f>+SUMIF('Budget 12 Mnths'!$A:$A,'Detail 18-19'!$A199,'Budget 12 Mnths'!$P:$P)</f>
        <v>0</v>
      </c>
      <c r="S199" s="26">
        <f>+SUMIF('2015-16 12 Mnths'!$A:$A,'Detail 18-19'!$A199,'2015-16 12 Mnths'!$O:$O)</f>
        <v>411.26</v>
      </c>
      <c r="T199" s="57">
        <f t="shared" si="2"/>
        <v>0</v>
      </c>
      <c r="U199" s="57">
        <f t="shared" si="3"/>
        <v>1</v>
      </c>
      <c r="W199" s="27"/>
      <c r="X199" s="27" t="str">
        <f t="shared" si="102"/>
        <v/>
      </c>
      <c r="Z199" s="57">
        <f t="shared" si="100"/>
        <v>0</v>
      </c>
      <c r="AA199" s="57" t="str">
        <f>IFERROR(+VLOOKUP(A199,Key!$A$1:$C$219,2,FALSE),"NOT FOUND")</f>
        <v>6720-1U</v>
      </c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>
        <f t="shared" si="6"/>
        <v>0</v>
      </c>
    </row>
    <row r="200" ht="15.75" hidden="1" customHeight="1">
      <c r="A200" s="15" t="s">
        <v>571</v>
      </c>
      <c r="B200" s="15" t="s">
        <v>570</v>
      </c>
      <c r="C200" s="15" t="s">
        <v>119</v>
      </c>
      <c r="D200" s="56">
        <f>SUMIF('2015-16 12 Mnths'!$A:$A,'Detail 18-19'!$A200,'2015-16 12 Mnths'!C:C)-SUMIF('Budget 12 Mnths'!$A:$A,'Detail 18-19'!$A200,'Budget 12 Mnths'!D:D)</f>
        <v>0</v>
      </c>
      <c r="E200" s="56">
        <f>SUMIF('2015-16 12 Mnths'!$A:$A,'Detail 18-19'!$A200,'2015-16 12 Mnths'!D:D)-SUMIF('Budget 12 Mnths'!$A:$A,'Detail 18-19'!$A200,'Budget 12 Mnths'!E:E)</f>
        <v>8.15</v>
      </c>
      <c r="F200" s="56">
        <f>SUMIF('2015-16 12 Mnths'!$A:$A,'Detail 18-19'!$A200,'2015-16 12 Mnths'!E:E)-SUMIF('Budget 12 Mnths'!$A:$A,'Detail 18-19'!$A200,'Budget 12 Mnths'!F:F)</f>
        <v>16</v>
      </c>
      <c r="G200" s="56">
        <f>SUMIF('2015-16 12 Mnths'!$A:$A,'Detail 18-19'!$A200,'2015-16 12 Mnths'!F:F)-SUMIF('Budget 12 Mnths'!$A:$A,'Detail 18-19'!$A200,'Budget 12 Mnths'!G:G)</f>
        <v>32</v>
      </c>
      <c r="H200" s="56">
        <f>SUMIF('2015-16 12 Mnths'!$A:$A,'Detail 18-19'!$A200,'2015-16 12 Mnths'!G:G)-SUMIF('Budget 12 Mnths'!$A:$A,'Detail 18-19'!$A200,'Budget 12 Mnths'!H:H)</f>
        <v>71.99</v>
      </c>
      <c r="I200" s="56">
        <f>SUMIF('2015-16 12 Mnths'!$A:$A,'Detail 18-19'!$A200,'2015-16 12 Mnths'!H:H)-SUMIF('Budget 12 Mnths'!$A:$A,'Detail 18-19'!$A200,'Budget 12 Mnths'!I:I)</f>
        <v>0</v>
      </c>
      <c r="J200" s="56">
        <f>SUMIF('2015-16 12 Mnths'!$A:$A,'Detail 18-19'!$A200,'2015-16 12 Mnths'!I:I)-SUMIF('Budget 12 Mnths'!$A:$A,'Detail 18-19'!$A200,'Budget 12 Mnths'!J:J)</f>
        <v>0</v>
      </c>
      <c r="K200" s="56">
        <f>SUMIF('2015-16 12 Mnths'!$A:$A,'Detail 18-19'!$A200,'2015-16 12 Mnths'!J:J)-SUMIF('Budget 12 Mnths'!$A:$A,'Detail 18-19'!$A200,'Budget 12 Mnths'!K:K)</f>
        <v>88.68</v>
      </c>
      <c r="L200" s="56">
        <f>SUMIF('2015-16 12 Mnths'!$A:$A,'Detail 18-19'!$A200,'2015-16 12 Mnths'!K:K)-SUMIF('Budget 12 Mnths'!$A:$A,'Detail 18-19'!$A200,'Budget 12 Mnths'!L:L)</f>
        <v>0</v>
      </c>
      <c r="M200" s="56"/>
      <c r="N200" s="56"/>
      <c r="O200" s="56"/>
      <c r="P200" s="56">
        <f t="shared" si="1"/>
        <v>216.82</v>
      </c>
      <c r="Q200" s="14" t="str">
        <f>+VLOOKUP(A200,Mapping!$A$1:$E$443,5,FALSE)</f>
        <v>Marketing</v>
      </c>
      <c r="R200" s="26">
        <f>+SUMIF('Budget 12 Mnths'!$A:$A,'Detail 18-19'!$A200,'Budget 12 Mnths'!$P:$P)</f>
        <v>0</v>
      </c>
      <c r="S200" s="26">
        <f>+SUMIF('2015-16 12 Mnths'!$A:$A,'Detail 18-19'!$A200,'2015-16 12 Mnths'!$O:$O)</f>
        <v>216.82</v>
      </c>
      <c r="T200" s="57">
        <f t="shared" si="2"/>
        <v>0</v>
      </c>
      <c r="U200" s="57">
        <f t="shared" si="3"/>
        <v>1</v>
      </c>
      <c r="W200" s="27"/>
      <c r="X200" s="27" t="str">
        <f t="shared" si="102"/>
        <v/>
      </c>
      <c r="Z200" s="57">
        <f t="shared" si="100"/>
        <v>0</v>
      </c>
      <c r="AA200" s="57" t="str">
        <f>IFERROR(+VLOOKUP(A200,Key!$A$1:$C$219,2,FALSE),"NOT FOUND")</f>
        <v>6720-2U</v>
      </c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>
        <f t="shared" si="6"/>
        <v>0</v>
      </c>
    </row>
    <row r="201" ht="15.75" hidden="1" customHeight="1">
      <c r="A201" s="15" t="s">
        <v>572</v>
      </c>
      <c r="B201" s="15" t="s">
        <v>570</v>
      </c>
      <c r="C201" s="15" t="s">
        <v>119</v>
      </c>
      <c r="D201" s="56">
        <f>SUMIF('2015-16 12 Mnths'!$A:$A,'Detail 18-19'!$A201,'2015-16 12 Mnths'!C:C)-SUMIF('Budget 12 Mnths'!$A:$A,'Detail 18-19'!$A201,'Budget 12 Mnths'!D:D)</f>
        <v>0</v>
      </c>
      <c r="E201" s="56">
        <f>SUMIF('2015-16 12 Mnths'!$A:$A,'Detail 18-19'!$A201,'2015-16 12 Mnths'!D:D)-SUMIF('Budget 12 Mnths'!$A:$A,'Detail 18-19'!$A201,'Budget 12 Mnths'!E:E)</f>
        <v>0</v>
      </c>
      <c r="F201" s="56">
        <f>SUMIF('2015-16 12 Mnths'!$A:$A,'Detail 18-19'!$A201,'2015-16 12 Mnths'!E:E)-SUMIF('Budget 12 Mnths'!$A:$A,'Detail 18-19'!$A201,'Budget 12 Mnths'!F:F)</f>
        <v>0</v>
      </c>
      <c r="G201" s="56">
        <f>SUMIF('2015-16 12 Mnths'!$A:$A,'Detail 18-19'!$A201,'2015-16 12 Mnths'!F:F)-SUMIF('Budget 12 Mnths'!$A:$A,'Detail 18-19'!$A201,'Budget 12 Mnths'!G:G)</f>
        <v>0</v>
      </c>
      <c r="H201" s="56">
        <f>SUMIF('2015-16 12 Mnths'!$A:$A,'Detail 18-19'!$A201,'2015-16 12 Mnths'!G:G)-SUMIF('Budget 12 Mnths'!$A:$A,'Detail 18-19'!$A201,'Budget 12 Mnths'!H:H)</f>
        <v>0</v>
      </c>
      <c r="I201" s="56">
        <f>SUMIF('2015-16 12 Mnths'!$A:$A,'Detail 18-19'!$A201,'2015-16 12 Mnths'!H:H)-SUMIF('Budget 12 Mnths'!$A:$A,'Detail 18-19'!$A201,'Budget 12 Mnths'!I:I)</f>
        <v>198.31</v>
      </c>
      <c r="J201" s="56">
        <f>SUMIF('2015-16 12 Mnths'!$A:$A,'Detail 18-19'!$A201,'2015-16 12 Mnths'!I:I)-SUMIF('Budget 12 Mnths'!$A:$A,'Detail 18-19'!$A201,'Budget 12 Mnths'!J:J)</f>
        <v>0</v>
      </c>
      <c r="K201" s="56">
        <f>SUMIF('2015-16 12 Mnths'!$A:$A,'Detail 18-19'!$A201,'2015-16 12 Mnths'!J:J)-SUMIF('Budget 12 Mnths'!$A:$A,'Detail 18-19'!$A201,'Budget 12 Mnths'!K:K)</f>
        <v>0</v>
      </c>
      <c r="L201" s="56">
        <f>SUMIF('2015-16 12 Mnths'!$A:$A,'Detail 18-19'!$A201,'2015-16 12 Mnths'!K:K)-SUMIF('Budget 12 Mnths'!$A:$A,'Detail 18-19'!$A201,'Budget 12 Mnths'!L:L)</f>
        <v>0</v>
      </c>
      <c r="M201" s="56"/>
      <c r="N201" s="56"/>
      <c r="O201" s="56"/>
      <c r="P201" s="56">
        <f t="shared" si="1"/>
        <v>198.31</v>
      </c>
      <c r="Q201" s="14" t="str">
        <f>+VLOOKUP(A201,Mapping!$A$1:$E$443,5,FALSE)</f>
        <v>Marketing</v>
      </c>
      <c r="R201" s="26">
        <f>+SUMIF('Budget 12 Mnths'!$A:$A,'Detail 18-19'!$A201,'Budget 12 Mnths'!$P:$P)</f>
        <v>0</v>
      </c>
      <c r="S201" s="26">
        <f>+SUMIF('2015-16 12 Mnths'!$A:$A,'Detail 18-19'!$A201,'2015-16 12 Mnths'!$O:$O)</f>
        <v>198.31</v>
      </c>
      <c r="T201" s="57">
        <f t="shared" si="2"/>
        <v>0</v>
      </c>
      <c r="U201" s="57">
        <f t="shared" si="3"/>
        <v>1</v>
      </c>
      <c r="W201" s="27"/>
      <c r="X201" s="27" t="str">
        <f t="shared" si="102"/>
        <v/>
      </c>
      <c r="Z201" s="57">
        <f t="shared" si="100"/>
        <v>0</v>
      </c>
      <c r="AA201" s="57" t="str">
        <f>IFERROR(+VLOOKUP(A201,Key!$A$1:$C$219,2,FALSE),"NOT FOUND")</f>
        <v>6720-3U</v>
      </c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>
        <f t="shared" si="6"/>
        <v>0</v>
      </c>
    </row>
    <row r="202" ht="15.75" customHeight="1">
      <c r="A202" s="15" t="s">
        <v>573</v>
      </c>
      <c r="B202" s="15" t="s">
        <v>574</v>
      </c>
      <c r="C202" s="15" t="s">
        <v>119</v>
      </c>
      <c r="D202" s="56">
        <f>SUMIF('2015-16 12 Mnths'!$A:$A,'Detail 18-19'!$A202,'2015-16 12 Mnths'!C:C)-SUMIF('Budget 12 Mnths'!$A:$A,'Detail 18-19'!$A202,'Budget 12 Mnths'!D:D)</f>
        <v>1286</v>
      </c>
      <c r="E202" s="56">
        <f>SUMIF('2015-16 12 Mnths'!$A:$A,'Detail 18-19'!$A202,'2015-16 12 Mnths'!D:D)-SUMIF('Budget 12 Mnths'!$A:$A,'Detail 18-19'!$A202,'Budget 12 Mnths'!E:E)</f>
        <v>414</v>
      </c>
      <c r="F202" s="56">
        <f>SUMIF('2015-16 12 Mnths'!$A:$A,'Detail 18-19'!$A202,'2015-16 12 Mnths'!E:E)-SUMIF('Budget 12 Mnths'!$A:$A,'Detail 18-19'!$A202,'Budget 12 Mnths'!F:F)</f>
        <v>-304</v>
      </c>
      <c r="G202" s="56">
        <f>SUMIF('2015-16 12 Mnths'!$A:$A,'Detail 18-19'!$A202,'2015-16 12 Mnths'!F:F)-SUMIF('Budget 12 Mnths'!$A:$A,'Detail 18-19'!$A202,'Budget 12 Mnths'!G:G)</f>
        <v>92</v>
      </c>
      <c r="H202" s="56">
        <f>SUMIF('2015-16 12 Mnths'!$A:$A,'Detail 18-19'!$A202,'2015-16 12 Mnths'!G:G)-SUMIF('Budget 12 Mnths'!$A:$A,'Detail 18-19'!$A202,'Budget 12 Mnths'!H:H)</f>
        <v>112</v>
      </c>
      <c r="I202" s="56">
        <f>SUMIF('2015-16 12 Mnths'!$A:$A,'Detail 18-19'!$A202,'2015-16 12 Mnths'!H:H)-SUMIF('Budget 12 Mnths'!$A:$A,'Detail 18-19'!$A202,'Budget 12 Mnths'!I:I)</f>
        <v>20</v>
      </c>
      <c r="J202" s="56">
        <f>SUMIF('2015-16 12 Mnths'!$A:$A,'Detail 18-19'!$A202,'2015-16 12 Mnths'!I:I)-SUMIF('Budget 12 Mnths'!$A:$A,'Detail 18-19'!$A202,'Budget 12 Mnths'!J:J)</f>
        <v>-368</v>
      </c>
      <c r="K202" s="56">
        <f>SUMIF('2015-16 12 Mnths'!$A:$A,'Detail 18-19'!$A202,'2015-16 12 Mnths'!J:J)-SUMIF('Budget 12 Mnths'!$A:$A,'Detail 18-19'!$A202,'Budget 12 Mnths'!K:K)</f>
        <v>-434</v>
      </c>
      <c r="L202" s="56">
        <f>SUMIF('2015-16 12 Mnths'!$A:$A,'Detail 18-19'!$A202,'2015-16 12 Mnths'!K:K)-SUMIF('Budget 12 Mnths'!$A:$A,'Detail 18-19'!$A202,'Budget 12 Mnths'!L:L)</f>
        <v>-454</v>
      </c>
      <c r="M202" s="56"/>
      <c r="N202" s="56"/>
      <c r="O202" s="56"/>
      <c r="P202" s="56">
        <f t="shared" si="1"/>
        <v>364</v>
      </c>
      <c r="Q202" s="14" t="str">
        <f>+VLOOKUP(A202,Mapping!$A$1:$E$443,5,FALSE)</f>
        <v>Bank Charges</v>
      </c>
      <c r="R202" s="26">
        <f>+SUMIF('Budget 12 Mnths'!$A:$A,'Detail 18-19'!$A202,'Budget 12 Mnths'!$P:$P)</f>
        <v>3000</v>
      </c>
      <c r="S202" s="26">
        <f>+SUMIF('2015-16 12 Mnths'!$A:$A,'Detail 18-19'!$A202,'2015-16 12 Mnths'!$O:$O)</f>
        <v>3064</v>
      </c>
      <c r="T202" s="57">
        <f t="shared" si="2"/>
        <v>0.1213333333</v>
      </c>
      <c r="U202" s="57">
        <f t="shared" si="3"/>
        <v>0.1187989556</v>
      </c>
      <c r="V202" s="8" t="s">
        <v>641</v>
      </c>
      <c r="W202" s="27">
        <v>3000.0</v>
      </c>
      <c r="X202" s="27">
        <f t="shared" si="102"/>
        <v>3000</v>
      </c>
      <c r="Z202" s="57">
        <v>3000.0</v>
      </c>
      <c r="AA202" s="57" t="str">
        <f>IFERROR(+VLOOKUP(A202,Key!$A$1:$C$219,2,FALSE),"NOT FOUND")</f>
        <v>6800-1U</v>
      </c>
      <c r="AB202" s="27">
        <v>3500.0</v>
      </c>
      <c r="AC202" s="27">
        <v>2500.0</v>
      </c>
      <c r="AD202" s="27">
        <v>500.0</v>
      </c>
      <c r="AE202" s="27"/>
      <c r="AF202" s="27"/>
      <c r="AG202" s="27"/>
      <c r="AH202" s="27"/>
      <c r="AI202" s="27">
        <v>500.0</v>
      </c>
      <c r="AJ202" s="27"/>
      <c r="AK202" s="27"/>
      <c r="AL202" s="27"/>
      <c r="AM202" s="27"/>
      <c r="AN202" s="27"/>
      <c r="AO202" s="27">
        <f t="shared" si="6"/>
        <v>0</v>
      </c>
    </row>
    <row r="203" ht="15.75" customHeight="1">
      <c r="A203" s="15" t="s">
        <v>575</v>
      </c>
      <c r="B203" s="15" t="s">
        <v>154</v>
      </c>
      <c r="C203" s="15" t="s">
        <v>119</v>
      </c>
      <c r="D203" s="56">
        <f>SUMIF('2015-16 12 Mnths'!$A:$A,'Detail 18-19'!$A203,'2015-16 12 Mnths'!C:C)-SUMIF('Budget 12 Mnths'!$A:$A,'Detail 18-19'!$A203,'Budget 12 Mnths'!D:D)</f>
        <v>-37</v>
      </c>
      <c r="E203" s="56">
        <f>SUMIF('2015-16 12 Mnths'!$A:$A,'Detail 18-19'!$A203,'2015-16 12 Mnths'!D:D)-SUMIF('Budget 12 Mnths'!$A:$A,'Detail 18-19'!$A203,'Budget 12 Mnths'!E:E)</f>
        <v>-40.25</v>
      </c>
      <c r="F203" s="56">
        <f>SUMIF('2015-16 12 Mnths'!$A:$A,'Detail 18-19'!$A203,'2015-16 12 Mnths'!E:E)-SUMIF('Budget 12 Mnths'!$A:$A,'Detail 18-19'!$A203,'Budget 12 Mnths'!F:F)</f>
        <v>-142.5</v>
      </c>
      <c r="G203" s="56">
        <f>SUMIF('2015-16 12 Mnths'!$A:$A,'Detail 18-19'!$A203,'2015-16 12 Mnths'!F:F)-SUMIF('Budget 12 Mnths'!$A:$A,'Detail 18-19'!$A203,'Budget 12 Mnths'!G:G)</f>
        <v>-36</v>
      </c>
      <c r="H203" s="56">
        <f>SUMIF('2015-16 12 Mnths'!$A:$A,'Detail 18-19'!$A203,'2015-16 12 Mnths'!G:G)-SUMIF('Budget 12 Mnths'!$A:$A,'Detail 18-19'!$A203,'Budget 12 Mnths'!H:H)</f>
        <v>51</v>
      </c>
      <c r="I203" s="56">
        <f>SUMIF('2015-16 12 Mnths'!$A:$A,'Detail 18-19'!$A203,'2015-16 12 Mnths'!H:H)-SUMIF('Budget 12 Mnths'!$A:$A,'Detail 18-19'!$A203,'Budget 12 Mnths'!I:I)</f>
        <v>-9.5</v>
      </c>
      <c r="J203" s="56">
        <f>SUMIF('2015-16 12 Mnths'!$A:$A,'Detail 18-19'!$A203,'2015-16 12 Mnths'!I:I)-SUMIF('Budget 12 Mnths'!$A:$A,'Detail 18-19'!$A203,'Budget 12 Mnths'!J:J)</f>
        <v>9.78</v>
      </c>
      <c r="K203" s="56">
        <f>SUMIF('2015-16 12 Mnths'!$A:$A,'Detail 18-19'!$A203,'2015-16 12 Mnths'!J:J)-SUMIF('Budget 12 Mnths'!$A:$A,'Detail 18-19'!$A203,'Budget 12 Mnths'!K:K)</f>
        <v>-29.5</v>
      </c>
      <c r="L203" s="56">
        <f>SUMIF('2015-16 12 Mnths'!$A:$A,'Detail 18-19'!$A203,'2015-16 12 Mnths'!K:K)-SUMIF('Budget 12 Mnths'!$A:$A,'Detail 18-19'!$A203,'Budget 12 Mnths'!L:L)</f>
        <v>-162.5</v>
      </c>
      <c r="M203" s="56"/>
      <c r="N203" s="56"/>
      <c r="O203" s="56"/>
      <c r="P203" s="56">
        <f t="shared" si="1"/>
        <v>-396.47</v>
      </c>
      <c r="Q203" s="14" t="str">
        <f>+VLOOKUP(A203,Mapping!$A$1:$E$443,5,FALSE)</f>
        <v>Bank Charges</v>
      </c>
      <c r="R203" s="26">
        <f>+SUMIF('Budget 12 Mnths'!$A:$A,'Detail 18-19'!$A203,'Budget 12 Mnths'!$P:$P)</f>
        <v>1500</v>
      </c>
      <c r="S203" s="26">
        <f>+SUMIF('2015-16 12 Mnths'!$A:$A,'Detail 18-19'!$A203,'2015-16 12 Mnths'!$O:$O)</f>
        <v>803.53</v>
      </c>
      <c r="T203" s="57">
        <f t="shared" si="2"/>
        <v>-0.2643133333</v>
      </c>
      <c r="U203" s="57">
        <f t="shared" si="3"/>
        <v>-0.4934103269</v>
      </c>
      <c r="V203" s="8" t="s">
        <v>641</v>
      </c>
      <c r="W203" s="27">
        <v>1500.0</v>
      </c>
      <c r="X203" s="27">
        <f t="shared" si="102"/>
        <v>1500</v>
      </c>
      <c r="Z203" s="57">
        <f t="shared" ref="Z203:Z205" si="104">+X203/2</f>
        <v>750</v>
      </c>
      <c r="AA203" s="57" t="str">
        <f>IFERROR(+VLOOKUP(A203,Key!$A$1:$C$219,2,FALSE),"NOT FOUND")</f>
        <v>6805-2U</v>
      </c>
      <c r="AB203" s="27">
        <v>1000.0</v>
      </c>
      <c r="AC203" s="57">
        <f t="shared" ref="AC203:AN203" si="103">+$AB203/12</f>
        <v>83.33333333</v>
      </c>
      <c r="AD203" s="57">
        <f t="shared" si="103"/>
        <v>83.33333333</v>
      </c>
      <c r="AE203" s="57">
        <f t="shared" si="103"/>
        <v>83.33333333</v>
      </c>
      <c r="AF203" s="57">
        <f t="shared" si="103"/>
        <v>83.33333333</v>
      </c>
      <c r="AG203" s="57">
        <f t="shared" si="103"/>
        <v>83.33333333</v>
      </c>
      <c r="AH203" s="57">
        <f t="shared" si="103"/>
        <v>83.33333333</v>
      </c>
      <c r="AI203" s="57">
        <f t="shared" si="103"/>
        <v>83.33333333</v>
      </c>
      <c r="AJ203" s="57">
        <f t="shared" si="103"/>
        <v>83.33333333</v>
      </c>
      <c r="AK203" s="57">
        <f t="shared" si="103"/>
        <v>83.33333333</v>
      </c>
      <c r="AL203" s="57">
        <f t="shared" si="103"/>
        <v>83.33333333</v>
      </c>
      <c r="AM203" s="57">
        <f t="shared" si="103"/>
        <v>83.33333333</v>
      </c>
      <c r="AN203" s="57">
        <f t="shared" si="103"/>
        <v>83.33333333</v>
      </c>
      <c r="AO203" s="27">
        <f t="shared" si="6"/>
        <v>0</v>
      </c>
    </row>
    <row r="204" ht="15.75" hidden="1" customHeight="1">
      <c r="A204" s="15" t="s">
        <v>576</v>
      </c>
      <c r="B204" s="15" t="s">
        <v>577</v>
      </c>
      <c r="C204" s="15" t="s">
        <v>119</v>
      </c>
      <c r="D204" s="56">
        <f>SUMIF('2015-16 12 Mnths'!$A:$A,'Detail 18-19'!$A204,'2015-16 12 Mnths'!C:C)-SUMIF('Budget 12 Mnths'!$A:$A,'Detail 18-19'!$A204,'Budget 12 Mnths'!D:D)</f>
        <v>0</v>
      </c>
      <c r="E204" s="56">
        <f>SUMIF('2015-16 12 Mnths'!$A:$A,'Detail 18-19'!$A204,'2015-16 12 Mnths'!D:D)-SUMIF('Budget 12 Mnths'!$A:$A,'Detail 18-19'!$A204,'Budget 12 Mnths'!E:E)</f>
        <v>0</v>
      </c>
      <c r="F204" s="56">
        <f>SUMIF('2015-16 12 Mnths'!$A:$A,'Detail 18-19'!$A204,'2015-16 12 Mnths'!E:E)-SUMIF('Budget 12 Mnths'!$A:$A,'Detail 18-19'!$A204,'Budget 12 Mnths'!F:F)</f>
        <v>0</v>
      </c>
      <c r="G204" s="56">
        <f>SUMIF('2015-16 12 Mnths'!$A:$A,'Detail 18-19'!$A204,'2015-16 12 Mnths'!F:F)-SUMIF('Budget 12 Mnths'!$A:$A,'Detail 18-19'!$A204,'Budget 12 Mnths'!G:G)</f>
        <v>0</v>
      </c>
      <c r="H204" s="56">
        <f>SUMIF('2015-16 12 Mnths'!$A:$A,'Detail 18-19'!$A204,'2015-16 12 Mnths'!G:G)-SUMIF('Budget 12 Mnths'!$A:$A,'Detail 18-19'!$A204,'Budget 12 Mnths'!H:H)</f>
        <v>0</v>
      </c>
      <c r="I204" s="56">
        <f>SUMIF('2015-16 12 Mnths'!$A:$A,'Detail 18-19'!$A204,'2015-16 12 Mnths'!H:H)-SUMIF('Budget 12 Mnths'!$A:$A,'Detail 18-19'!$A204,'Budget 12 Mnths'!I:I)</f>
        <v>0</v>
      </c>
      <c r="J204" s="56">
        <f>SUMIF('2015-16 12 Mnths'!$A:$A,'Detail 18-19'!$A204,'2015-16 12 Mnths'!I:I)-SUMIF('Budget 12 Mnths'!$A:$A,'Detail 18-19'!$A204,'Budget 12 Mnths'!J:J)</f>
        <v>61.95</v>
      </c>
      <c r="K204" s="56">
        <f>SUMIF('2015-16 12 Mnths'!$A:$A,'Detail 18-19'!$A204,'2015-16 12 Mnths'!J:J)-SUMIF('Budget 12 Mnths'!$A:$A,'Detail 18-19'!$A204,'Budget 12 Mnths'!K:K)</f>
        <v>17.65</v>
      </c>
      <c r="L204" s="56">
        <f>SUMIF('2015-16 12 Mnths'!$A:$A,'Detail 18-19'!$A204,'2015-16 12 Mnths'!K:K)-SUMIF('Budget 12 Mnths'!$A:$A,'Detail 18-19'!$A204,'Budget 12 Mnths'!L:L)</f>
        <v>-3.74</v>
      </c>
      <c r="M204" s="56"/>
      <c r="N204" s="56"/>
      <c r="O204" s="56"/>
      <c r="P204" s="56">
        <f t="shared" si="1"/>
        <v>75.86</v>
      </c>
      <c r="Q204" s="14" t="str">
        <f>+VLOOKUP(A204,Mapping!$A$1:$E$443,5,FALSE)</f>
        <v>Bank Charges</v>
      </c>
      <c r="R204" s="26">
        <f>+SUMIF('Budget 12 Mnths'!$A:$A,'Detail 18-19'!$A204,'Budget 12 Mnths'!$P:$P)</f>
        <v>0</v>
      </c>
      <c r="S204" s="26">
        <f>+SUMIF('2015-16 12 Mnths'!$A:$A,'Detail 18-19'!$A204,'2015-16 12 Mnths'!$O:$O)</f>
        <v>75.86</v>
      </c>
      <c r="T204" s="57">
        <f t="shared" si="2"/>
        <v>0</v>
      </c>
      <c r="U204" s="57">
        <f t="shared" si="3"/>
        <v>1</v>
      </c>
      <c r="W204" s="27"/>
      <c r="X204" s="27" t="str">
        <f t="shared" si="102"/>
        <v/>
      </c>
      <c r="Z204" s="57">
        <f t="shared" si="104"/>
        <v>0</v>
      </c>
      <c r="AA204" s="57" t="str">
        <f>IFERROR(+VLOOKUP(A204,Key!$A$1:$C$219,2,FALSE),"NOT FOUND")</f>
        <v>6810-1U</v>
      </c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>
        <f t="shared" si="6"/>
        <v>0</v>
      </c>
    </row>
    <row r="205" ht="15.75" hidden="1" customHeight="1">
      <c r="A205" s="15" t="s">
        <v>578</v>
      </c>
      <c r="B205" s="15" t="s">
        <v>577</v>
      </c>
      <c r="C205" s="15" t="s">
        <v>119</v>
      </c>
      <c r="D205" s="56">
        <f>SUMIF('2015-16 12 Mnths'!$A:$A,'Detail 18-19'!$A205,'2015-16 12 Mnths'!C:C)-SUMIF('Budget 12 Mnths'!$A:$A,'Detail 18-19'!$A205,'Budget 12 Mnths'!D:D)</f>
        <v>0</v>
      </c>
      <c r="E205" s="56">
        <f>SUMIF('2015-16 12 Mnths'!$A:$A,'Detail 18-19'!$A205,'2015-16 12 Mnths'!D:D)-SUMIF('Budget 12 Mnths'!$A:$A,'Detail 18-19'!$A205,'Budget 12 Mnths'!E:E)</f>
        <v>0</v>
      </c>
      <c r="F205" s="56">
        <f>SUMIF('2015-16 12 Mnths'!$A:$A,'Detail 18-19'!$A205,'2015-16 12 Mnths'!E:E)-SUMIF('Budget 12 Mnths'!$A:$A,'Detail 18-19'!$A205,'Budget 12 Mnths'!F:F)</f>
        <v>0</v>
      </c>
      <c r="G205" s="56">
        <f>SUMIF('2015-16 12 Mnths'!$A:$A,'Detail 18-19'!$A205,'2015-16 12 Mnths'!F:F)-SUMIF('Budget 12 Mnths'!$A:$A,'Detail 18-19'!$A205,'Budget 12 Mnths'!G:G)</f>
        <v>0</v>
      </c>
      <c r="H205" s="56">
        <f>SUMIF('2015-16 12 Mnths'!$A:$A,'Detail 18-19'!$A205,'2015-16 12 Mnths'!G:G)-SUMIF('Budget 12 Mnths'!$A:$A,'Detail 18-19'!$A205,'Budget 12 Mnths'!H:H)</f>
        <v>0</v>
      </c>
      <c r="I205" s="56">
        <f>SUMIF('2015-16 12 Mnths'!$A:$A,'Detail 18-19'!$A205,'2015-16 12 Mnths'!H:H)-SUMIF('Budget 12 Mnths'!$A:$A,'Detail 18-19'!$A205,'Budget 12 Mnths'!I:I)</f>
        <v>0</v>
      </c>
      <c r="J205" s="56">
        <f>SUMIF('2015-16 12 Mnths'!$A:$A,'Detail 18-19'!$A205,'2015-16 12 Mnths'!I:I)-SUMIF('Budget 12 Mnths'!$A:$A,'Detail 18-19'!$A205,'Budget 12 Mnths'!J:J)</f>
        <v>149</v>
      </c>
      <c r="K205" s="56">
        <f>SUMIF('2015-16 12 Mnths'!$A:$A,'Detail 18-19'!$A205,'2015-16 12 Mnths'!J:J)-SUMIF('Budget 12 Mnths'!$A:$A,'Detail 18-19'!$A205,'Budget 12 Mnths'!K:K)</f>
        <v>0</v>
      </c>
      <c r="L205" s="56">
        <f>SUMIF('2015-16 12 Mnths'!$A:$A,'Detail 18-19'!$A205,'2015-16 12 Mnths'!K:K)-SUMIF('Budget 12 Mnths'!$A:$A,'Detail 18-19'!$A205,'Budget 12 Mnths'!L:L)</f>
        <v>0</v>
      </c>
      <c r="M205" s="56"/>
      <c r="N205" s="56"/>
      <c r="O205" s="56"/>
      <c r="P205" s="56">
        <f t="shared" si="1"/>
        <v>149</v>
      </c>
      <c r="Q205" s="14" t="str">
        <f>+VLOOKUP(A205,Mapping!$A$1:$E$443,5,FALSE)</f>
        <v>Bank Charges</v>
      </c>
      <c r="R205" s="26">
        <f>+SUMIF('Budget 12 Mnths'!$A:$A,'Detail 18-19'!$A205,'Budget 12 Mnths'!$P:$P)</f>
        <v>0</v>
      </c>
      <c r="S205" s="26">
        <f>+SUMIF('2015-16 12 Mnths'!$A:$A,'Detail 18-19'!$A205,'2015-16 12 Mnths'!$O:$O)</f>
        <v>149</v>
      </c>
      <c r="T205" s="57">
        <f t="shared" si="2"/>
        <v>0</v>
      </c>
      <c r="U205" s="57">
        <f t="shared" si="3"/>
        <v>1</v>
      </c>
      <c r="W205" s="27"/>
      <c r="X205" s="27" t="str">
        <f t="shared" si="102"/>
        <v/>
      </c>
      <c r="Z205" s="57">
        <f t="shared" si="104"/>
        <v>0</v>
      </c>
      <c r="AA205" s="57" t="str">
        <f>IFERROR(+VLOOKUP(A205,Key!$A$1:$C$219,2,FALSE),"NOT FOUND")</f>
        <v>6810-3U</v>
      </c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>
        <f t="shared" si="6"/>
        <v>0</v>
      </c>
    </row>
    <row r="206" ht="15.75" customHeight="1">
      <c r="A206" s="15" t="s">
        <v>579</v>
      </c>
      <c r="B206" s="15" t="s">
        <v>580</v>
      </c>
      <c r="C206" s="15" t="s">
        <v>119</v>
      </c>
      <c r="D206" s="56">
        <f>SUMIF('2015-16 12 Mnths'!$A:$A,'Detail 18-19'!$A206,'2015-16 12 Mnths'!C:C)-SUMIF('Budget 12 Mnths'!$A:$A,'Detail 18-19'!$A206,'Budget 12 Mnths'!D:D)</f>
        <v>0</v>
      </c>
      <c r="E206" s="56">
        <f>SUMIF('2015-16 12 Mnths'!$A:$A,'Detail 18-19'!$A206,'2015-16 12 Mnths'!D:D)-SUMIF('Budget 12 Mnths'!$A:$A,'Detail 18-19'!$A206,'Budget 12 Mnths'!E:E)</f>
        <v>15.02</v>
      </c>
      <c r="F206" s="56">
        <f>SUMIF('2015-16 12 Mnths'!$A:$A,'Detail 18-19'!$A206,'2015-16 12 Mnths'!E:E)-SUMIF('Budget 12 Mnths'!$A:$A,'Detail 18-19'!$A206,'Budget 12 Mnths'!F:F)</f>
        <v>-78.95</v>
      </c>
      <c r="G206" s="56">
        <f>SUMIF('2015-16 12 Mnths'!$A:$A,'Detail 18-19'!$A206,'2015-16 12 Mnths'!F:F)-SUMIF('Budget 12 Mnths'!$A:$A,'Detail 18-19'!$A206,'Budget 12 Mnths'!G:G)</f>
        <v>-78.95</v>
      </c>
      <c r="H206" s="56">
        <f>SUMIF('2015-16 12 Mnths'!$A:$A,'Detail 18-19'!$A206,'2015-16 12 Mnths'!G:G)-SUMIF('Budget 12 Mnths'!$A:$A,'Detail 18-19'!$A206,'Budget 12 Mnths'!H:H)</f>
        <v>-78.95</v>
      </c>
      <c r="I206" s="56">
        <f>SUMIF('2015-16 12 Mnths'!$A:$A,'Detail 18-19'!$A206,'2015-16 12 Mnths'!H:H)-SUMIF('Budget 12 Mnths'!$A:$A,'Detail 18-19'!$A206,'Budget 12 Mnths'!I:I)</f>
        <v>-78.95</v>
      </c>
      <c r="J206" s="56">
        <f>SUMIF('2015-16 12 Mnths'!$A:$A,'Detail 18-19'!$A206,'2015-16 12 Mnths'!I:I)-SUMIF('Budget 12 Mnths'!$A:$A,'Detail 18-19'!$A206,'Budget 12 Mnths'!J:J)</f>
        <v>-22.83</v>
      </c>
      <c r="K206" s="56">
        <f>SUMIF('2015-16 12 Mnths'!$A:$A,'Detail 18-19'!$A206,'2015-16 12 Mnths'!J:J)-SUMIF('Budget 12 Mnths'!$A:$A,'Detail 18-19'!$A206,'Budget 12 Mnths'!K:K)</f>
        <v>54.45</v>
      </c>
      <c r="L206" s="56">
        <f>SUMIF('2015-16 12 Mnths'!$A:$A,'Detail 18-19'!$A206,'2015-16 12 Mnths'!K:K)-SUMIF('Budget 12 Mnths'!$A:$A,'Detail 18-19'!$A206,'Budget 12 Mnths'!L:L)</f>
        <v>-48.06</v>
      </c>
      <c r="M206" s="56"/>
      <c r="N206" s="56"/>
      <c r="O206" s="56"/>
      <c r="P206" s="56">
        <f t="shared" si="1"/>
        <v>-317.22</v>
      </c>
      <c r="Q206" s="14" t="str">
        <f>+VLOOKUP(A206,Mapping!$A$1:$E$443,5,FALSE)</f>
        <v>Aftercare Exp</v>
      </c>
      <c r="R206" s="26">
        <f>+SUMIF('Budget 12 Mnths'!$A:$A,'Detail 18-19'!$A206,'Budget 12 Mnths'!$P:$P)</f>
        <v>750.01</v>
      </c>
      <c r="S206" s="26">
        <f>+SUMIF('2015-16 12 Mnths'!$A:$A,'Detail 18-19'!$A206,'2015-16 12 Mnths'!$O:$O)</f>
        <v>295.76</v>
      </c>
      <c r="T206" s="57">
        <f t="shared" si="2"/>
        <v>-0.4229543606</v>
      </c>
      <c r="U206" s="57">
        <f t="shared" si="3"/>
        <v>-1.072558831</v>
      </c>
      <c r="V206" s="8" t="s">
        <v>641</v>
      </c>
      <c r="W206" s="27">
        <v>750.0</v>
      </c>
      <c r="X206" s="27">
        <f t="shared" si="102"/>
        <v>750</v>
      </c>
      <c r="Z206" s="57">
        <f>+X206/9.5*4.5</f>
        <v>355.2631579</v>
      </c>
      <c r="AA206" s="57" t="str">
        <f>IFERROR(+VLOOKUP(A206,Key!$A$1:$C$219,2,FALSE),"NOT FOUND")</f>
        <v>6670-1U</v>
      </c>
      <c r="AB206" s="27">
        <v>500.0</v>
      </c>
      <c r="AC206" s="27">
        <v>0.0</v>
      </c>
      <c r="AD206" s="57">
        <f>+$AB206/9.5*0.5</f>
        <v>26.31578947</v>
      </c>
      <c r="AE206" s="57">
        <f t="shared" ref="AE206:AM206" si="105">+$AB206/9.5</f>
        <v>52.63157895</v>
      </c>
      <c r="AF206" s="57">
        <f t="shared" si="105"/>
        <v>52.63157895</v>
      </c>
      <c r="AG206" s="57">
        <f t="shared" si="105"/>
        <v>52.63157895</v>
      </c>
      <c r="AH206" s="57">
        <f t="shared" si="105"/>
        <v>52.63157895</v>
      </c>
      <c r="AI206" s="57">
        <f t="shared" si="105"/>
        <v>52.63157895</v>
      </c>
      <c r="AJ206" s="57">
        <f t="shared" si="105"/>
        <v>52.63157895</v>
      </c>
      <c r="AK206" s="57">
        <f t="shared" si="105"/>
        <v>52.63157895</v>
      </c>
      <c r="AL206" s="57">
        <f t="shared" si="105"/>
        <v>52.63157895</v>
      </c>
      <c r="AM206" s="57">
        <f t="shared" si="105"/>
        <v>52.63157895</v>
      </c>
      <c r="AN206" s="27">
        <v>0.0</v>
      </c>
      <c r="AO206" s="27">
        <f t="shared" si="6"/>
        <v>0</v>
      </c>
    </row>
    <row r="207" ht="15.75" customHeight="1">
      <c r="A207" s="15" t="s">
        <v>582</v>
      </c>
      <c r="B207" s="15" t="s">
        <v>583</v>
      </c>
      <c r="C207" s="15" t="s">
        <v>119</v>
      </c>
      <c r="D207" s="56">
        <f>SUMIF('2015-16 12 Mnths'!$A:$A,'Detail 18-19'!$A207,'2015-16 12 Mnths'!C:C)-SUMIF('Budget 12 Mnths'!$A:$A,'Detail 18-19'!$A207,'Budget 12 Mnths'!D:D)</f>
        <v>-27.74</v>
      </c>
      <c r="E207" s="56">
        <f>SUMIF('2015-16 12 Mnths'!$A:$A,'Detail 18-19'!$A207,'2015-16 12 Mnths'!D:D)-SUMIF('Budget 12 Mnths'!$A:$A,'Detail 18-19'!$A207,'Budget 12 Mnths'!E:E)</f>
        <v>-15.97</v>
      </c>
      <c r="F207" s="56">
        <f>SUMIF('2015-16 12 Mnths'!$A:$A,'Detail 18-19'!$A207,'2015-16 12 Mnths'!E:E)-SUMIF('Budget 12 Mnths'!$A:$A,'Detail 18-19'!$A207,'Budget 12 Mnths'!F:F)</f>
        <v>-15.97</v>
      </c>
      <c r="G207" s="56">
        <f>SUMIF('2015-16 12 Mnths'!$A:$A,'Detail 18-19'!$A207,'2015-16 12 Mnths'!F:F)-SUMIF('Budget 12 Mnths'!$A:$A,'Detail 18-19'!$A207,'Budget 12 Mnths'!G:G)</f>
        <v>493.77</v>
      </c>
      <c r="H207" s="56">
        <f>SUMIF('2015-16 12 Mnths'!$A:$A,'Detail 18-19'!$A207,'2015-16 12 Mnths'!G:G)-SUMIF('Budget 12 Mnths'!$A:$A,'Detail 18-19'!$A207,'Budget 12 Mnths'!H:H)</f>
        <v>160.06</v>
      </c>
      <c r="I207" s="56">
        <f>SUMIF('2015-16 12 Mnths'!$A:$A,'Detail 18-19'!$A207,'2015-16 12 Mnths'!H:H)-SUMIF('Budget 12 Mnths'!$A:$A,'Detail 18-19'!$A207,'Budget 12 Mnths'!I:I)</f>
        <v>-128.88</v>
      </c>
      <c r="J207" s="56">
        <f>SUMIF('2015-16 12 Mnths'!$A:$A,'Detail 18-19'!$A207,'2015-16 12 Mnths'!I:I)-SUMIF('Budget 12 Mnths'!$A:$A,'Detail 18-19'!$A207,'Budget 12 Mnths'!J:J)</f>
        <v>-127.56</v>
      </c>
      <c r="K207" s="56">
        <f>SUMIF('2015-16 12 Mnths'!$A:$A,'Detail 18-19'!$A207,'2015-16 12 Mnths'!J:J)-SUMIF('Budget 12 Mnths'!$A:$A,'Detail 18-19'!$A207,'Budget 12 Mnths'!K:K)</f>
        <v>-128.03</v>
      </c>
      <c r="L207" s="56">
        <f>SUMIF('2015-16 12 Mnths'!$A:$A,'Detail 18-19'!$A207,'2015-16 12 Mnths'!K:K)-SUMIF('Budget 12 Mnths'!$A:$A,'Detail 18-19'!$A207,'Budget 12 Mnths'!L:L)</f>
        <v>-127.53</v>
      </c>
      <c r="M207" s="56"/>
      <c r="N207" s="56"/>
      <c r="O207" s="56"/>
      <c r="P207" s="56">
        <f t="shared" si="1"/>
        <v>82.15</v>
      </c>
      <c r="Q207" s="14" t="str">
        <f>+VLOOKUP(A207,Mapping!$A$1:$E$443,5,FALSE)</f>
        <v>Telecommunications</v>
      </c>
      <c r="R207" s="26">
        <f>+SUMIF('Budget 12 Mnths'!$A:$A,'Detail 18-19'!$A207,'Budget 12 Mnths'!$P:$P)</f>
        <v>3500.04</v>
      </c>
      <c r="S207" s="26">
        <f>+SUMIF('2015-16 12 Mnths'!$A:$A,'Detail 18-19'!$A207,'2015-16 12 Mnths'!$O:$O)</f>
        <v>2707.18</v>
      </c>
      <c r="T207" s="57">
        <f t="shared" si="2"/>
        <v>0.02347116033</v>
      </c>
      <c r="U207" s="57">
        <f t="shared" si="3"/>
        <v>0.03034523009</v>
      </c>
      <c r="V207" s="8" t="s">
        <v>641</v>
      </c>
      <c r="W207" s="27">
        <v>3500.0</v>
      </c>
      <c r="X207" s="27">
        <f t="shared" si="102"/>
        <v>3500</v>
      </c>
      <c r="Z207" s="57">
        <f t="shared" ref="Z207:Z244" si="107">+X207/2</f>
        <v>1750</v>
      </c>
      <c r="AA207" s="57" t="str">
        <f>IFERROR(+VLOOKUP(A207,Key!$A$1:$C$219,2,FALSE),"NOT FOUND")</f>
        <v>6900-1U</v>
      </c>
      <c r="AB207" s="27">
        <v>2000.0</v>
      </c>
      <c r="AC207" s="57">
        <f t="shared" ref="AC207:AN207" si="106">+$AB207/12</f>
        <v>166.6666667</v>
      </c>
      <c r="AD207" s="57">
        <f t="shared" si="106"/>
        <v>166.6666667</v>
      </c>
      <c r="AE207" s="57">
        <f t="shared" si="106"/>
        <v>166.6666667</v>
      </c>
      <c r="AF207" s="57">
        <f t="shared" si="106"/>
        <v>166.6666667</v>
      </c>
      <c r="AG207" s="57">
        <f t="shared" si="106"/>
        <v>166.6666667</v>
      </c>
      <c r="AH207" s="57">
        <f t="shared" si="106"/>
        <v>166.6666667</v>
      </c>
      <c r="AI207" s="57">
        <f t="shared" si="106"/>
        <v>166.6666667</v>
      </c>
      <c r="AJ207" s="57">
        <f t="shared" si="106"/>
        <v>166.6666667</v>
      </c>
      <c r="AK207" s="57">
        <f t="shared" si="106"/>
        <v>166.6666667</v>
      </c>
      <c r="AL207" s="57">
        <f t="shared" si="106"/>
        <v>166.6666667</v>
      </c>
      <c r="AM207" s="57">
        <f t="shared" si="106"/>
        <v>166.6666667</v>
      </c>
      <c r="AN207" s="57">
        <f t="shared" si="106"/>
        <v>166.6666667</v>
      </c>
      <c r="AO207" s="27">
        <f t="shared" si="6"/>
        <v>0</v>
      </c>
    </row>
    <row r="208" ht="15.75" hidden="1" customHeight="1">
      <c r="A208" s="15" t="s">
        <v>584</v>
      </c>
      <c r="B208" s="15" t="s">
        <v>583</v>
      </c>
      <c r="C208" s="15" t="s">
        <v>119</v>
      </c>
      <c r="D208" s="56">
        <f>SUMIF('2015-16 12 Mnths'!$A:$A,'Detail 18-19'!$A208,'2015-16 12 Mnths'!C:C)-SUMIF('Budget 12 Mnths'!$A:$A,'Detail 18-19'!$A208,'Budget 12 Mnths'!D:D)</f>
        <v>0</v>
      </c>
      <c r="E208" s="56">
        <f>SUMIF('2015-16 12 Mnths'!$A:$A,'Detail 18-19'!$A208,'2015-16 12 Mnths'!D:D)-SUMIF('Budget 12 Mnths'!$A:$A,'Detail 18-19'!$A208,'Budget 12 Mnths'!E:E)</f>
        <v>0</v>
      </c>
      <c r="F208" s="56">
        <f>SUMIF('2015-16 12 Mnths'!$A:$A,'Detail 18-19'!$A208,'2015-16 12 Mnths'!E:E)-SUMIF('Budget 12 Mnths'!$A:$A,'Detail 18-19'!$A208,'Budget 12 Mnths'!F:F)</f>
        <v>0</v>
      </c>
      <c r="G208" s="56">
        <f>SUMIF('2015-16 12 Mnths'!$A:$A,'Detail 18-19'!$A208,'2015-16 12 Mnths'!F:F)-SUMIF('Budget 12 Mnths'!$A:$A,'Detail 18-19'!$A208,'Budget 12 Mnths'!G:G)</f>
        <v>0</v>
      </c>
      <c r="H208" s="56">
        <f>SUMIF('2015-16 12 Mnths'!$A:$A,'Detail 18-19'!$A208,'2015-16 12 Mnths'!G:G)-SUMIF('Budget 12 Mnths'!$A:$A,'Detail 18-19'!$A208,'Budget 12 Mnths'!H:H)</f>
        <v>0</v>
      </c>
      <c r="I208" s="56">
        <f>SUMIF('2015-16 12 Mnths'!$A:$A,'Detail 18-19'!$A208,'2015-16 12 Mnths'!H:H)-SUMIF('Budget 12 Mnths'!$A:$A,'Detail 18-19'!$A208,'Budget 12 Mnths'!I:I)</f>
        <v>0</v>
      </c>
      <c r="J208" s="56">
        <f>SUMIF('2015-16 12 Mnths'!$A:$A,'Detail 18-19'!$A208,'2015-16 12 Mnths'!I:I)-SUMIF('Budget 12 Mnths'!$A:$A,'Detail 18-19'!$A208,'Budget 12 Mnths'!J:J)</f>
        <v>0</v>
      </c>
      <c r="K208" s="56">
        <f>SUMIF('2015-16 12 Mnths'!$A:$A,'Detail 18-19'!$A208,'2015-16 12 Mnths'!J:J)-SUMIF('Budget 12 Mnths'!$A:$A,'Detail 18-19'!$A208,'Budget 12 Mnths'!K:K)</f>
        <v>0</v>
      </c>
      <c r="L208" s="56">
        <f>SUMIF('2015-16 12 Mnths'!$A:$A,'Detail 18-19'!$A208,'2015-16 12 Mnths'!K:K)-SUMIF('Budget 12 Mnths'!$A:$A,'Detail 18-19'!$A208,'Budget 12 Mnths'!L:L)</f>
        <v>0</v>
      </c>
      <c r="M208" s="56"/>
      <c r="N208" s="56"/>
      <c r="O208" s="56"/>
      <c r="P208" s="56">
        <f t="shared" si="1"/>
        <v>0</v>
      </c>
      <c r="Q208" s="14" t="str">
        <f>+VLOOKUP(A208,Mapping!$A$1:$E$443,5,FALSE)</f>
        <v>Telecommunications</v>
      </c>
      <c r="R208" s="26">
        <f>+SUMIF('Budget 12 Mnths'!$A:$A,'Detail 18-19'!$A208,'Budget 12 Mnths'!$P:$P)</f>
        <v>0</v>
      </c>
      <c r="S208" s="26">
        <f>+SUMIF('2015-16 12 Mnths'!$A:$A,'Detail 18-19'!$A208,'2015-16 12 Mnths'!$O:$O)</f>
        <v>0</v>
      </c>
      <c r="T208" s="57">
        <f t="shared" si="2"/>
        <v>0</v>
      </c>
      <c r="U208" s="57">
        <f t="shared" si="3"/>
        <v>0</v>
      </c>
      <c r="W208" s="27"/>
      <c r="X208" s="27" t="str">
        <f t="shared" si="102"/>
        <v/>
      </c>
      <c r="Z208" s="57">
        <f t="shared" si="107"/>
        <v>0</v>
      </c>
      <c r="AA208" s="57" t="str">
        <f>IFERROR(+VLOOKUP(A208,Key!$A$1:$C$219,2,FALSE),"NOT FOUND")</f>
        <v>6900-2U</v>
      </c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>
        <f t="shared" si="6"/>
        <v>0</v>
      </c>
    </row>
    <row r="209" ht="15.75" hidden="1" customHeight="1">
      <c r="A209" s="15" t="s">
        <v>585</v>
      </c>
      <c r="B209" s="15" t="s">
        <v>583</v>
      </c>
      <c r="C209" s="15" t="s">
        <v>119</v>
      </c>
      <c r="D209" s="56">
        <f>SUMIF('2015-16 12 Mnths'!$A:$A,'Detail 18-19'!$A209,'2015-16 12 Mnths'!C:C)-SUMIF('Budget 12 Mnths'!$A:$A,'Detail 18-19'!$A209,'Budget 12 Mnths'!D:D)</f>
        <v>0</v>
      </c>
      <c r="E209" s="56">
        <f>SUMIF('2015-16 12 Mnths'!$A:$A,'Detail 18-19'!$A209,'2015-16 12 Mnths'!D:D)-SUMIF('Budget 12 Mnths'!$A:$A,'Detail 18-19'!$A209,'Budget 12 Mnths'!E:E)</f>
        <v>0</v>
      </c>
      <c r="F209" s="56">
        <f>SUMIF('2015-16 12 Mnths'!$A:$A,'Detail 18-19'!$A209,'2015-16 12 Mnths'!E:E)-SUMIF('Budget 12 Mnths'!$A:$A,'Detail 18-19'!$A209,'Budget 12 Mnths'!F:F)</f>
        <v>0</v>
      </c>
      <c r="G209" s="56">
        <f>SUMIF('2015-16 12 Mnths'!$A:$A,'Detail 18-19'!$A209,'2015-16 12 Mnths'!F:F)-SUMIF('Budget 12 Mnths'!$A:$A,'Detail 18-19'!$A209,'Budget 12 Mnths'!G:G)</f>
        <v>0</v>
      </c>
      <c r="H209" s="56">
        <f>SUMIF('2015-16 12 Mnths'!$A:$A,'Detail 18-19'!$A209,'2015-16 12 Mnths'!G:G)-SUMIF('Budget 12 Mnths'!$A:$A,'Detail 18-19'!$A209,'Budget 12 Mnths'!H:H)</f>
        <v>0</v>
      </c>
      <c r="I209" s="56">
        <f>SUMIF('2015-16 12 Mnths'!$A:$A,'Detail 18-19'!$A209,'2015-16 12 Mnths'!H:H)-SUMIF('Budget 12 Mnths'!$A:$A,'Detail 18-19'!$A209,'Budget 12 Mnths'!I:I)</f>
        <v>0</v>
      </c>
      <c r="J209" s="56">
        <f>SUMIF('2015-16 12 Mnths'!$A:$A,'Detail 18-19'!$A209,'2015-16 12 Mnths'!I:I)-SUMIF('Budget 12 Mnths'!$A:$A,'Detail 18-19'!$A209,'Budget 12 Mnths'!J:J)</f>
        <v>0</v>
      </c>
      <c r="K209" s="56">
        <f>SUMIF('2015-16 12 Mnths'!$A:$A,'Detail 18-19'!$A209,'2015-16 12 Mnths'!J:J)-SUMIF('Budget 12 Mnths'!$A:$A,'Detail 18-19'!$A209,'Budget 12 Mnths'!K:K)</f>
        <v>0</v>
      </c>
      <c r="L209" s="56">
        <f>SUMIF('2015-16 12 Mnths'!$A:$A,'Detail 18-19'!$A209,'2015-16 12 Mnths'!K:K)-SUMIF('Budget 12 Mnths'!$A:$A,'Detail 18-19'!$A209,'Budget 12 Mnths'!L:L)</f>
        <v>0</v>
      </c>
      <c r="M209" s="56"/>
      <c r="N209" s="56"/>
      <c r="O209" s="56"/>
      <c r="P209" s="56">
        <f t="shared" si="1"/>
        <v>0</v>
      </c>
      <c r="Q209" s="14" t="str">
        <f>+VLOOKUP(A209,Mapping!$A$1:$E$443,5,FALSE)</f>
        <v>Telecommunications</v>
      </c>
      <c r="R209" s="26">
        <f>+SUMIF('Budget 12 Mnths'!$A:$A,'Detail 18-19'!$A209,'Budget 12 Mnths'!$P:$P)</f>
        <v>0</v>
      </c>
      <c r="S209" s="26">
        <f>+SUMIF('2015-16 12 Mnths'!$A:$A,'Detail 18-19'!$A209,'2015-16 12 Mnths'!$O:$O)</f>
        <v>0</v>
      </c>
      <c r="T209" s="57">
        <f t="shared" si="2"/>
        <v>0</v>
      </c>
      <c r="U209" s="57">
        <f t="shared" si="3"/>
        <v>0</v>
      </c>
      <c r="W209" s="27"/>
      <c r="X209" s="27" t="str">
        <f t="shared" si="102"/>
        <v/>
      </c>
      <c r="Z209" s="57">
        <f t="shared" si="107"/>
        <v>0</v>
      </c>
      <c r="AA209" s="57" t="str">
        <f>IFERROR(+VLOOKUP(A209,Key!$A$1:$C$219,2,FALSE),"NOT FOUND")</f>
        <v>6900-3U</v>
      </c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>
        <f t="shared" si="6"/>
        <v>0</v>
      </c>
    </row>
    <row r="210" ht="15.75" hidden="1" customHeight="1">
      <c r="A210" s="15" t="s">
        <v>586</v>
      </c>
      <c r="B210" s="15" t="s">
        <v>587</v>
      </c>
      <c r="C210" s="15" t="s">
        <v>119</v>
      </c>
      <c r="D210" s="56">
        <f>SUMIF('2015-16 12 Mnths'!$A:$A,'Detail 18-19'!$A210,'2015-16 12 Mnths'!C:C)-SUMIF('Budget 12 Mnths'!$A:$A,'Detail 18-19'!$A210,'Budget 12 Mnths'!D:D)</f>
        <v>0</v>
      </c>
      <c r="E210" s="56">
        <f>SUMIF('2015-16 12 Mnths'!$A:$A,'Detail 18-19'!$A210,'2015-16 12 Mnths'!D:D)-SUMIF('Budget 12 Mnths'!$A:$A,'Detail 18-19'!$A210,'Budget 12 Mnths'!E:E)</f>
        <v>0</v>
      </c>
      <c r="F210" s="56">
        <f>SUMIF('2015-16 12 Mnths'!$A:$A,'Detail 18-19'!$A210,'2015-16 12 Mnths'!E:E)-SUMIF('Budget 12 Mnths'!$A:$A,'Detail 18-19'!$A210,'Budget 12 Mnths'!F:F)</f>
        <v>0</v>
      </c>
      <c r="G210" s="56">
        <f>SUMIF('2015-16 12 Mnths'!$A:$A,'Detail 18-19'!$A210,'2015-16 12 Mnths'!F:F)-SUMIF('Budget 12 Mnths'!$A:$A,'Detail 18-19'!$A210,'Budget 12 Mnths'!G:G)</f>
        <v>0</v>
      </c>
      <c r="H210" s="56">
        <f>SUMIF('2015-16 12 Mnths'!$A:$A,'Detail 18-19'!$A210,'2015-16 12 Mnths'!G:G)-SUMIF('Budget 12 Mnths'!$A:$A,'Detail 18-19'!$A210,'Budget 12 Mnths'!H:H)</f>
        <v>0</v>
      </c>
      <c r="I210" s="56">
        <f>SUMIF('2015-16 12 Mnths'!$A:$A,'Detail 18-19'!$A210,'2015-16 12 Mnths'!H:H)-SUMIF('Budget 12 Mnths'!$A:$A,'Detail 18-19'!$A210,'Budget 12 Mnths'!I:I)</f>
        <v>0</v>
      </c>
      <c r="J210" s="56">
        <f>SUMIF('2015-16 12 Mnths'!$A:$A,'Detail 18-19'!$A210,'2015-16 12 Mnths'!I:I)-SUMIF('Budget 12 Mnths'!$A:$A,'Detail 18-19'!$A210,'Budget 12 Mnths'!J:J)</f>
        <v>0</v>
      </c>
      <c r="K210" s="56">
        <f>SUMIF('2015-16 12 Mnths'!$A:$A,'Detail 18-19'!$A210,'2015-16 12 Mnths'!J:J)-SUMIF('Budget 12 Mnths'!$A:$A,'Detail 18-19'!$A210,'Budget 12 Mnths'!K:K)</f>
        <v>0</v>
      </c>
      <c r="L210" s="56">
        <f>SUMIF('2015-16 12 Mnths'!$A:$A,'Detail 18-19'!$A210,'2015-16 12 Mnths'!K:K)-SUMIF('Budget 12 Mnths'!$A:$A,'Detail 18-19'!$A210,'Budget 12 Mnths'!L:L)</f>
        <v>0</v>
      </c>
      <c r="M210" s="56"/>
      <c r="N210" s="56"/>
      <c r="O210" s="56"/>
      <c r="P210" s="56">
        <f t="shared" si="1"/>
        <v>0</v>
      </c>
      <c r="Q210" s="14" t="str">
        <f>+VLOOKUP(A210,Mapping!$A$1:$E$443,5,FALSE)</f>
        <v>Telecommunications</v>
      </c>
      <c r="R210" s="26">
        <f>+SUMIF('Budget 12 Mnths'!$A:$A,'Detail 18-19'!$A210,'Budget 12 Mnths'!$P:$P)</f>
        <v>0</v>
      </c>
      <c r="S210" s="26">
        <f>+SUMIF('2015-16 12 Mnths'!$A:$A,'Detail 18-19'!$A210,'2015-16 12 Mnths'!$O:$O)</f>
        <v>0</v>
      </c>
      <c r="T210" s="57">
        <f t="shared" si="2"/>
        <v>0</v>
      </c>
      <c r="U210" s="57">
        <f t="shared" si="3"/>
        <v>0</v>
      </c>
      <c r="W210" s="27"/>
      <c r="X210" s="27" t="str">
        <f t="shared" si="102"/>
        <v/>
      </c>
      <c r="Z210" s="57">
        <f t="shared" si="107"/>
        <v>0</v>
      </c>
      <c r="AA210" s="57" t="str">
        <f>IFERROR(+VLOOKUP(A210,Key!$A$1:$C$219,2,FALSE),"NOT FOUND")</f>
        <v>NOT FOUND</v>
      </c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>
        <f t="shared" si="6"/>
        <v>0</v>
      </c>
    </row>
    <row r="211" ht="15.75" hidden="1" customHeight="1">
      <c r="A211" s="15" t="s">
        <v>588</v>
      </c>
      <c r="B211" s="15" t="s">
        <v>589</v>
      </c>
      <c r="C211" s="15" t="s">
        <v>119</v>
      </c>
      <c r="D211" s="56">
        <f>SUMIF('2015-16 12 Mnths'!$A:$A,'Detail 18-19'!$A211,'2015-16 12 Mnths'!C:C)-SUMIF('Budget 12 Mnths'!$A:$A,'Detail 18-19'!$A211,'Budget 12 Mnths'!D:D)</f>
        <v>0</v>
      </c>
      <c r="E211" s="56">
        <f>SUMIF('2015-16 12 Mnths'!$A:$A,'Detail 18-19'!$A211,'2015-16 12 Mnths'!D:D)-SUMIF('Budget 12 Mnths'!$A:$A,'Detail 18-19'!$A211,'Budget 12 Mnths'!E:E)</f>
        <v>0</v>
      </c>
      <c r="F211" s="56">
        <f>SUMIF('2015-16 12 Mnths'!$A:$A,'Detail 18-19'!$A211,'2015-16 12 Mnths'!E:E)-SUMIF('Budget 12 Mnths'!$A:$A,'Detail 18-19'!$A211,'Budget 12 Mnths'!F:F)</f>
        <v>0</v>
      </c>
      <c r="G211" s="56">
        <f>SUMIF('2015-16 12 Mnths'!$A:$A,'Detail 18-19'!$A211,'2015-16 12 Mnths'!F:F)-SUMIF('Budget 12 Mnths'!$A:$A,'Detail 18-19'!$A211,'Budget 12 Mnths'!G:G)</f>
        <v>0</v>
      </c>
      <c r="H211" s="56">
        <f>SUMIF('2015-16 12 Mnths'!$A:$A,'Detail 18-19'!$A211,'2015-16 12 Mnths'!G:G)-SUMIF('Budget 12 Mnths'!$A:$A,'Detail 18-19'!$A211,'Budget 12 Mnths'!H:H)</f>
        <v>0</v>
      </c>
      <c r="I211" s="56">
        <f>SUMIF('2015-16 12 Mnths'!$A:$A,'Detail 18-19'!$A211,'2015-16 12 Mnths'!H:H)-SUMIF('Budget 12 Mnths'!$A:$A,'Detail 18-19'!$A211,'Budget 12 Mnths'!I:I)</f>
        <v>0</v>
      </c>
      <c r="J211" s="56">
        <f>SUMIF('2015-16 12 Mnths'!$A:$A,'Detail 18-19'!$A211,'2015-16 12 Mnths'!I:I)-SUMIF('Budget 12 Mnths'!$A:$A,'Detail 18-19'!$A211,'Budget 12 Mnths'!J:J)</f>
        <v>0</v>
      </c>
      <c r="K211" s="56">
        <f>SUMIF('2015-16 12 Mnths'!$A:$A,'Detail 18-19'!$A211,'2015-16 12 Mnths'!J:J)-SUMIF('Budget 12 Mnths'!$A:$A,'Detail 18-19'!$A211,'Budget 12 Mnths'!K:K)</f>
        <v>0</v>
      </c>
      <c r="L211" s="56">
        <f>SUMIF('2015-16 12 Mnths'!$A:$A,'Detail 18-19'!$A211,'2015-16 12 Mnths'!K:K)-SUMIF('Budget 12 Mnths'!$A:$A,'Detail 18-19'!$A211,'Budget 12 Mnths'!L:L)</f>
        <v>0</v>
      </c>
      <c r="M211" s="56"/>
      <c r="N211" s="56"/>
      <c r="O211" s="56"/>
      <c r="P211" s="56">
        <f t="shared" si="1"/>
        <v>0</v>
      </c>
      <c r="Q211" s="14" t="str">
        <f>+VLOOKUP(A211,Mapping!$A$1:$E$443,5,FALSE)</f>
        <v>Telecommunications</v>
      </c>
      <c r="R211" s="26">
        <f>+SUMIF('Budget 12 Mnths'!$A:$A,'Detail 18-19'!$A211,'Budget 12 Mnths'!$P:$P)</f>
        <v>0</v>
      </c>
      <c r="S211" s="26">
        <f>+SUMIF('2015-16 12 Mnths'!$A:$A,'Detail 18-19'!$A211,'2015-16 12 Mnths'!$O:$O)</f>
        <v>0</v>
      </c>
      <c r="T211" s="57">
        <f t="shared" si="2"/>
        <v>0</v>
      </c>
      <c r="U211" s="57">
        <f t="shared" si="3"/>
        <v>0</v>
      </c>
      <c r="W211" s="27"/>
      <c r="X211" s="27" t="str">
        <f t="shared" si="102"/>
        <v/>
      </c>
      <c r="Z211" s="57">
        <f t="shared" si="107"/>
        <v>0</v>
      </c>
      <c r="AA211" s="57" t="str">
        <f>IFERROR(+VLOOKUP(A211,Key!$A$1:$C$219,2,FALSE),"NOT FOUND")</f>
        <v>NOT FOUND</v>
      </c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>
        <f t="shared" si="6"/>
        <v>0</v>
      </c>
    </row>
    <row r="212" ht="15.75" customHeight="1">
      <c r="A212" s="15" t="s">
        <v>590</v>
      </c>
      <c r="B212" s="15" t="s">
        <v>591</v>
      </c>
      <c r="C212" s="15" t="s">
        <v>119</v>
      </c>
      <c r="D212" s="56">
        <f>SUMIF('2015-16 12 Mnths'!$A:$A,'Detail 18-19'!$A212,'2015-16 12 Mnths'!C:C)-SUMIF('Budget 12 Mnths'!$A:$A,'Detail 18-19'!$A212,'Budget 12 Mnths'!D:D)</f>
        <v>576.55</v>
      </c>
      <c r="E212" s="56">
        <f>SUMIF('2015-16 12 Mnths'!$A:$A,'Detail 18-19'!$A212,'2015-16 12 Mnths'!D:D)-SUMIF('Budget 12 Mnths'!$A:$A,'Detail 18-19'!$A212,'Budget 12 Mnths'!E:E)</f>
        <v>-8.89</v>
      </c>
      <c r="F212" s="56">
        <f>SUMIF('2015-16 12 Mnths'!$A:$A,'Detail 18-19'!$A212,'2015-16 12 Mnths'!E:E)-SUMIF('Budget 12 Mnths'!$A:$A,'Detail 18-19'!$A212,'Budget 12 Mnths'!F:F)</f>
        <v>235.39</v>
      </c>
      <c r="G212" s="56">
        <f>SUMIF('2015-16 12 Mnths'!$A:$A,'Detail 18-19'!$A212,'2015-16 12 Mnths'!F:F)-SUMIF('Budget 12 Mnths'!$A:$A,'Detail 18-19'!$A212,'Budget 12 Mnths'!G:G)</f>
        <v>-33.75</v>
      </c>
      <c r="H212" s="56">
        <f>SUMIF('2015-16 12 Mnths'!$A:$A,'Detail 18-19'!$A212,'2015-16 12 Mnths'!G:G)-SUMIF('Budget 12 Mnths'!$A:$A,'Detail 18-19'!$A212,'Budget 12 Mnths'!H:H)</f>
        <v>-27.2</v>
      </c>
      <c r="I212" s="56">
        <f>SUMIF('2015-16 12 Mnths'!$A:$A,'Detail 18-19'!$A212,'2015-16 12 Mnths'!H:H)-SUMIF('Budget 12 Mnths'!$A:$A,'Detail 18-19'!$A212,'Budget 12 Mnths'!I:I)</f>
        <v>-115.74</v>
      </c>
      <c r="J212" s="56">
        <f>SUMIF('2015-16 12 Mnths'!$A:$A,'Detail 18-19'!$A212,'2015-16 12 Mnths'!I:I)-SUMIF('Budget 12 Mnths'!$A:$A,'Detail 18-19'!$A212,'Budget 12 Mnths'!J:J)</f>
        <v>-115.74</v>
      </c>
      <c r="K212" s="56">
        <f>SUMIF('2015-16 12 Mnths'!$A:$A,'Detail 18-19'!$A212,'2015-16 12 Mnths'!J:J)-SUMIF('Budget 12 Mnths'!$A:$A,'Detail 18-19'!$A212,'Budget 12 Mnths'!K:K)</f>
        <v>-94.26</v>
      </c>
      <c r="L212" s="56">
        <f>SUMIF('2015-16 12 Mnths'!$A:$A,'Detail 18-19'!$A212,'2015-16 12 Mnths'!K:K)-SUMIF('Budget 12 Mnths'!$A:$A,'Detail 18-19'!$A212,'Budget 12 Mnths'!L:L)</f>
        <v>-115.74</v>
      </c>
      <c r="M212" s="56"/>
      <c r="N212" s="56"/>
      <c r="O212" s="56"/>
      <c r="P212" s="56">
        <f t="shared" si="1"/>
        <v>300.62</v>
      </c>
      <c r="Q212" s="14" t="str">
        <f>+VLOOKUP(A212,Mapping!$A$1:$E$443,5,FALSE)</f>
        <v>Telecommunications</v>
      </c>
      <c r="R212" s="26">
        <f>+SUMIF('Budget 12 Mnths'!$A:$A,'Detail 18-19'!$A212,'Budget 12 Mnths'!$P:$P)</f>
        <v>3500.04</v>
      </c>
      <c r="S212" s="26">
        <f>+SUMIF('2015-16 12 Mnths'!$A:$A,'Detail 18-19'!$A212,'2015-16 12 Mnths'!$O:$O)</f>
        <v>2925.65</v>
      </c>
      <c r="T212" s="57">
        <f t="shared" si="2"/>
        <v>0.08589044697</v>
      </c>
      <c r="U212" s="57">
        <f t="shared" si="3"/>
        <v>0.1027532343</v>
      </c>
      <c r="V212" s="8" t="s">
        <v>641</v>
      </c>
      <c r="W212" s="27">
        <v>3500.0</v>
      </c>
      <c r="X212" s="27">
        <f t="shared" si="102"/>
        <v>3500</v>
      </c>
      <c r="Z212" s="57">
        <f t="shared" si="107"/>
        <v>1750</v>
      </c>
      <c r="AA212" s="57" t="str">
        <f>IFERROR(+VLOOKUP(A212,Key!$A$1:$C$219,2,FALSE),"NOT FOUND")</f>
        <v>6905-1U</v>
      </c>
      <c r="AB212" s="27">
        <v>2500.0</v>
      </c>
      <c r="AC212" s="57">
        <f t="shared" ref="AC212:AN212" si="108">+$AB212/12</f>
        <v>208.3333333</v>
      </c>
      <c r="AD212" s="57">
        <f t="shared" si="108"/>
        <v>208.3333333</v>
      </c>
      <c r="AE212" s="57">
        <f t="shared" si="108"/>
        <v>208.3333333</v>
      </c>
      <c r="AF212" s="57">
        <f t="shared" si="108"/>
        <v>208.3333333</v>
      </c>
      <c r="AG212" s="57">
        <f t="shared" si="108"/>
        <v>208.3333333</v>
      </c>
      <c r="AH212" s="57">
        <f t="shared" si="108"/>
        <v>208.3333333</v>
      </c>
      <c r="AI212" s="57">
        <f t="shared" si="108"/>
        <v>208.3333333</v>
      </c>
      <c r="AJ212" s="57">
        <f t="shared" si="108"/>
        <v>208.3333333</v>
      </c>
      <c r="AK212" s="57">
        <f t="shared" si="108"/>
        <v>208.3333333</v>
      </c>
      <c r="AL212" s="57">
        <f t="shared" si="108"/>
        <v>208.3333333</v>
      </c>
      <c r="AM212" s="57">
        <f t="shared" si="108"/>
        <v>208.3333333</v>
      </c>
      <c r="AN212" s="57">
        <f t="shared" si="108"/>
        <v>208.3333333</v>
      </c>
      <c r="AO212" s="27">
        <f t="shared" si="6"/>
        <v>0</v>
      </c>
    </row>
    <row r="213" ht="15.75" hidden="1" customHeight="1">
      <c r="A213" s="15" t="s">
        <v>592</v>
      </c>
      <c r="B213" s="15" t="s">
        <v>593</v>
      </c>
      <c r="C213" s="15" t="s">
        <v>119</v>
      </c>
      <c r="D213" s="56">
        <f>SUMIF('2015-16 12 Mnths'!$A:$A,'Detail 18-19'!$A213,'2015-16 12 Mnths'!C:C)-SUMIF('Budget 12 Mnths'!$A:$A,'Detail 18-19'!$A213,'Budget 12 Mnths'!D:D)</f>
        <v>0</v>
      </c>
      <c r="E213" s="56">
        <f>SUMIF('2015-16 12 Mnths'!$A:$A,'Detail 18-19'!$A213,'2015-16 12 Mnths'!D:D)-SUMIF('Budget 12 Mnths'!$A:$A,'Detail 18-19'!$A213,'Budget 12 Mnths'!E:E)</f>
        <v>0</v>
      </c>
      <c r="F213" s="56">
        <f>SUMIF('2015-16 12 Mnths'!$A:$A,'Detail 18-19'!$A213,'2015-16 12 Mnths'!E:E)-SUMIF('Budget 12 Mnths'!$A:$A,'Detail 18-19'!$A213,'Budget 12 Mnths'!F:F)</f>
        <v>0</v>
      </c>
      <c r="G213" s="56">
        <f>SUMIF('2015-16 12 Mnths'!$A:$A,'Detail 18-19'!$A213,'2015-16 12 Mnths'!F:F)-SUMIF('Budget 12 Mnths'!$A:$A,'Detail 18-19'!$A213,'Budget 12 Mnths'!G:G)</f>
        <v>0</v>
      </c>
      <c r="H213" s="56">
        <f>SUMIF('2015-16 12 Mnths'!$A:$A,'Detail 18-19'!$A213,'2015-16 12 Mnths'!G:G)-SUMIF('Budget 12 Mnths'!$A:$A,'Detail 18-19'!$A213,'Budget 12 Mnths'!H:H)</f>
        <v>0</v>
      </c>
      <c r="I213" s="56">
        <f>SUMIF('2015-16 12 Mnths'!$A:$A,'Detail 18-19'!$A213,'2015-16 12 Mnths'!H:H)-SUMIF('Budget 12 Mnths'!$A:$A,'Detail 18-19'!$A213,'Budget 12 Mnths'!I:I)</f>
        <v>0</v>
      </c>
      <c r="J213" s="56">
        <f>SUMIF('2015-16 12 Mnths'!$A:$A,'Detail 18-19'!$A213,'2015-16 12 Mnths'!I:I)-SUMIF('Budget 12 Mnths'!$A:$A,'Detail 18-19'!$A213,'Budget 12 Mnths'!J:J)</f>
        <v>0</v>
      </c>
      <c r="K213" s="56">
        <f>SUMIF('2015-16 12 Mnths'!$A:$A,'Detail 18-19'!$A213,'2015-16 12 Mnths'!J:J)-SUMIF('Budget 12 Mnths'!$A:$A,'Detail 18-19'!$A213,'Budget 12 Mnths'!K:K)</f>
        <v>0</v>
      </c>
      <c r="L213" s="56">
        <f>SUMIF('2015-16 12 Mnths'!$A:$A,'Detail 18-19'!$A213,'2015-16 12 Mnths'!K:K)-SUMIF('Budget 12 Mnths'!$A:$A,'Detail 18-19'!$A213,'Budget 12 Mnths'!L:L)</f>
        <v>0</v>
      </c>
      <c r="M213" s="56"/>
      <c r="N213" s="56"/>
      <c r="O213" s="56"/>
      <c r="P213" s="56">
        <f t="shared" si="1"/>
        <v>0</v>
      </c>
      <c r="Q213" s="14" t="str">
        <f>+VLOOKUP(A213,Mapping!$A$1:$E$443,5,FALSE)</f>
        <v>Telecommunications</v>
      </c>
      <c r="R213" s="26">
        <f>+SUMIF('Budget 12 Mnths'!$A:$A,'Detail 18-19'!$A213,'Budget 12 Mnths'!$P:$P)</f>
        <v>0</v>
      </c>
      <c r="S213" s="26">
        <f>+SUMIF('2015-16 12 Mnths'!$A:$A,'Detail 18-19'!$A213,'2015-16 12 Mnths'!$O:$O)</f>
        <v>0</v>
      </c>
      <c r="T213" s="57">
        <f t="shared" si="2"/>
        <v>0</v>
      </c>
      <c r="U213" s="57">
        <f t="shared" si="3"/>
        <v>0</v>
      </c>
      <c r="W213" s="27"/>
      <c r="X213" s="27" t="str">
        <f t="shared" si="102"/>
        <v/>
      </c>
      <c r="Z213" s="57">
        <f t="shared" si="107"/>
        <v>0</v>
      </c>
      <c r="AA213" s="57" t="str">
        <f>IFERROR(+VLOOKUP(A213,Key!$A$1:$C$219,2,FALSE),"NOT FOUND")</f>
        <v>NOT FOUND</v>
      </c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>
        <f t="shared" si="6"/>
        <v>0</v>
      </c>
    </row>
    <row r="214" ht="15.75" customHeight="1">
      <c r="A214" s="15" t="s">
        <v>595</v>
      </c>
      <c r="B214" s="15" t="s">
        <v>596</v>
      </c>
      <c r="C214" s="15" t="s">
        <v>119</v>
      </c>
      <c r="D214" s="56">
        <f>SUMIF('2015-16 12 Mnths'!$A:$A,'Detail 18-19'!$A214,'2015-16 12 Mnths'!C:C)-SUMIF('Budget 12 Mnths'!$A:$A,'Detail 18-19'!$A214,'Budget 12 Mnths'!D:D)</f>
        <v>32.76</v>
      </c>
      <c r="E214" s="56">
        <f>SUMIF('2015-16 12 Mnths'!$A:$A,'Detail 18-19'!$A214,'2015-16 12 Mnths'!D:D)-SUMIF('Budget 12 Mnths'!$A:$A,'Detail 18-19'!$A214,'Budget 12 Mnths'!E:E)</f>
        <v>12.22</v>
      </c>
      <c r="F214" s="56">
        <f>SUMIF('2015-16 12 Mnths'!$A:$A,'Detail 18-19'!$A214,'2015-16 12 Mnths'!E:E)-SUMIF('Budget 12 Mnths'!$A:$A,'Detail 18-19'!$A214,'Budget 12 Mnths'!F:F)</f>
        <v>66.62</v>
      </c>
      <c r="G214" s="56">
        <f>SUMIF('2015-16 12 Mnths'!$A:$A,'Detail 18-19'!$A214,'2015-16 12 Mnths'!F:F)-SUMIF('Budget 12 Mnths'!$A:$A,'Detail 18-19'!$A214,'Budget 12 Mnths'!G:G)</f>
        <v>-46.19</v>
      </c>
      <c r="H214" s="56">
        <f>SUMIF('2015-16 12 Mnths'!$A:$A,'Detail 18-19'!$A214,'2015-16 12 Mnths'!G:G)-SUMIF('Budget 12 Mnths'!$A:$A,'Detail 18-19'!$A214,'Budget 12 Mnths'!H:H)</f>
        <v>-46.19</v>
      </c>
      <c r="I214" s="56">
        <f>SUMIF('2015-16 12 Mnths'!$A:$A,'Detail 18-19'!$A214,'2015-16 12 Mnths'!H:H)-SUMIF('Budget 12 Mnths'!$A:$A,'Detail 18-19'!$A214,'Budget 12 Mnths'!I:I)</f>
        <v>177.17</v>
      </c>
      <c r="J214" s="56">
        <f>SUMIF('2015-16 12 Mnths'!$A:$A,'Detail 18-19'!$A214,'2015-16 12 Mnths'!I:I)-SUMIF('Budget 12 Mnths'!$A:$A,'Detail 18-19'!$A214,'Budget 12 Mnths'!J:J)</f>
        <v>-70.22</v>
      </c>
      <c r="K214" s="56">
        <f>SUMIF('2015-16 12 Mnths'!$A:$A,'Detail 18-19'!$A214,'2015-16 12 Mnths'!J:J)-SUMIF('Budget 12 Mnths'!$A:$A,'Detail 18-19'!$A214,'Budget 12 Mnths'!K:K)</f>
        <v>-46.19</v>
      </c>
      <c r="L214" s="56">
        <f>SUMIF('2015-16 12 Mnths'!$A:$A,'Detail 18-19'!$A214,'2015-16 12 Mnths'!K:K)-SUMIF('Budget 12 Mnths'!$A:$A,'Detail 18-19'!$A214,'Budget 12 Mnths'!L:L)</f>
        <v>-46.19</v>
      </c>
      <c r="M214" s="56"/>
      <c r="N214" s="56"/>
      <c r="O214" s="56"/>
      <c r="P214" s="56">
        <f t="shared" si="1"/>
        <v>33.79</v>
      </c>
      <c r="Q214" s="14" t="str">
        <f>+VLOOKUP(A214,Mapping!$A$1:$E$443,5,FALSE)</f>
        <v>Postage</v>
      </c>
      <c r="R214" s="26">
        <f>+SUMIF('Budget 12 Mnths'!$A:$A,'Detail 18-19'!$A214,'Budget 12 Mnths'!$P:$P)</f>
        <v>750</v>
      </c>
      <c r="S214" s="26">
        <f>+SUMIF('2015-16 12 Mnths'!$A:$A,'Detail 18-19'!$A214,'2015-16 12 Mnths'!$O:$O)</f>
        <v>826.39</v>
      </c>
      <c r="T214" s="57">
        <f t="shared" si="2"/>
        <v>0.04505333333</v>
      </c>
      <c r="U214" s="57">
        <f t="shared" si="3"/>
        <v>0.04088868452</v>
      </c>
      <c r="V214" s="8" t="s">
        <v>641</v>
      </c>
      <c r="W214" s="27">
        <v>750.0</v>
      </c>
      <c r="X214" s="27">
        <v>3000.0</v>
      </c>
      <c r="Z214" s="57">
        <f t="shared" si="107"/>
        <v>1500</v>
      </c>
      <c r="AA214" s="57" t="str">
        <f>IFERROR(+VLOOKUP(A214,Key!$A$1:$C$219,2,FALSE),"NOT FOUND")</f>
        <v>6910-1U</v>
      </c>
      <c r="AB214" s="27">
        <v>5000.0</v>
      </c>
      <c r="AC214" s="57">
        <f t="shared" ref="AC214:AN214" si="109">+$AB214/12</f>
        <v>416.6666667</v>
      </c>
      <c r="AD214" s="57">
        <f t="shared" si="109"/>
        <v>416.6666667</v>
      </c>
      <c r="AE214" s="57">
        <f t="shared" si="109"/>
        <v>416.6666667</v>
      </c>
      <c r="AF214" s="57">
        <f t="shared" si="109"/>
        <v>416.6666667</v>
      </c>
      <c r="AG214" s="57">
        <f t="shared" si="109"/>
        <v>416.6666667</v>
      </c>
      <c r="AH214" s="57">
        <f t="shared" si="109"/>
        <v>416.6666667</v>
      </c>
      <c r="AI214" s="57">
        <f t="shared" si="109"/>
        <v>416.6666667</v>
      </c>
      <c r="AJ214" s="57">
        <f t="shared" si="109"/>
        <v>416.6666667</v>
      </c>
      <c r="AK214" s="57">
        <f t="shared" si="109"/>
        <v>416.6666667</v>
      </c>
      <c r="AL214" s="57">
        <f t="shared" si="109"/>
        <v>416.6666667</v>
      </c>
      <c r="AM214" s="57">
        <f t="shared" si="109"/>
        <v>416.6666667</v>
      </c>
      <c r="AN214" s="57">
        <f t="shared" si="109"/>
        <v>416.6666667</v>
      </c>
      <c r="AO214" s="27">
        <f t="shared" si="6"/>
        <v>0</v>
      </c>
    </row>
    <row r="215" ht="15.75" hidden="1" customHeight="1">
      <c r="A215" s="15" t="s">
        <v>597</v>
      </c>
      <c r="B215" s="15" t="s">
        <v>596</v>
      </c>
      <c r="C215" s="15" t="s">
        <v>119</v>
      </c>
      <c r="D215" s="56">
        <f>SUMIF('2015-16 12 Mnths'!$A:$A,'Detail 18-19'!$A215,'2015-16 12 Mnths'!C:C)-SUMIF('Budget 12 Mnths'!$A:$A,'Detail 18-19'!$A215,'Budget 12 Mnths'!D:D)</f>
        <v>0</v>
      </c>
      <c r="E215" s="56">
        <f>SUMIF('2015-16 12 Mnths'!$A:$A,'Detail 18-19'!$A215,'2015-16 12 Mnths'!D:D)-SUMIF('Budget 12 Mnths'!$A:$A,'Detail 18-19'!$A215,'Budget 12 Mnths'!E:E)</f>
        <v>0</v>
      </c>
      <c r="F215" s="56">
        <f>SUMIF('2015-16 12 Mnths'!$A:$A,'Detail 18-19'!$A215,'2015-16 12 Mnths'!E:E)-SUMIF('Budget 12 Mnths'!$A:$A,'Detail 18-19'!$A215,'Budget 12 Mnths'!F:F)</f>
        <v>0</v>
      </c>
      <c r="G215" s="56">
        <f>SUMIF('2015-16 12 Mnths'!$A:$A,'Detail 18-19'!$A215,'2015-16 12 Mnths'!F:F)-SUMIF('Budget 12 Mnths'!$A:$A,'Detail 18-19'!$A215,'Budget 12 Mnths'!G:G)</f>
        <v>0</v>
      </c>
      <c r="H215" s="56">
        <f>SUMIF('2015-16 12 Mnths'!$A:$A,'Detail 18-19'!$A215,'2015-16 12 Mnths'!G:G)-SUMIF('Budget 12 Mnths'!$A:$A,'Detail 18-19'!$A215,'Budget 12 Mnths'!H:H)</f>
        <v>0</v>
      </c>
      <c r="I215" s="56">
        <f>SUMIF('2015-16 12 Mnths'!$A:$A,'Detail 18-19'!$A215,'2015-16 12 Mnths'!H:H)-SUMIF('Budget 12 Mnths'!$A:$A,'Detail 18-19'!$A215,'Budget 12 Mnths'!I:I)</f>
        <v>0</v>
      </c>
      <c r="J215" s="56">
        <f>SUMIF('2015-16 12 Mnths'!$A:$A,'Detail 18-19'!$A215,'2015-16 12 Mnths'!I:I)-SUMIF('Budget 12 Mnths'!$A:$A,'Detail 18-19'!$A215,'Budget 12 Mnths'!J:J)</f>
        <v>0</v>
      </c>
      <c r="K215" s="56">
        <f>SUMIF('2015-16 12 Mnths'!$A:$A,'Detail 18-19'!$A215,'2015-16 12 Mnths'!J:J)-SUMIF('Budget 12 Mnths'!$A:$A,'Detail 18-19'!$A215,'Budget 12 Mnths'!K:K)</f>
        <v>0</v>
      </c>
      <c r="L215" s="56">
        <f>SUMIF('2015-16 12 Mnths'!$A:$A,'Detail 18-19'!$A215,'2015-16 12 Mnths'!K:K)-SUMIF('Budget 12 Mnths'!$A:$A,'Detail 18-19'!$A215,'Budget 12 Mnths'!L:L)</f>
        <v>0</v>
      </c>
      <c r="M215" s="56"/>
      <c r="N215" s="56"/>
      <c r="O215" s="56"/>
      <c r="P215" s="56">
        <f t="shared" si="1"/>
        <v>0</v>
      </c>
      <c r="Q215" s="14" t="str">
        <f>+VLOOKUP(A215,Mapping!$A$1:$E$443,5,FALSE)</f>
        <v>Postage</v>
      </c>
      <c r="R215" s="26">
        <f>+SUMIF('Budget 12 Mnths'!$A:$A,'Detail 18-19'!$A215,'Budget 12 Mnths'!$P:$P)</f>
        <v>0</v>
      </c>
      <c r="S215" s="26">
        <f>+SUMIF('2015-16 12 Mnths'!$A:$A,'Detail 18-19'!$A215,'2015-16 12 Mnths'!$O:$O)</f>
        <v>0</v>
      </c>
      <c r="T215" s="57">
        <f t="shared" si="2"/>
        <v>0</v>
      </c>
      <c r="U215" s="57">
        <f t="shared" si="3"/>
        <v>0</v>
      </c>
      <c r="W215" s="27"/>
      <c r="X215" s="27" t="str">
        <f t="shared" ref="X215:X230" si="110">+W215</f>
        <v/>
      </c>
      <c r="Z215" s="57">
        <f t="shared" si="107"/>
        <v>0</v>
      </c>
      <c r="AA215" s="57" t="str">
        <f>IFERROR(+VLOOKUP(A215,Key!$A$1:$C$219,2,FALSE),"NOT FOUND")</f>
        <v>6910-2U</v>
      </c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>
        <f t="shared" si="6"/>
        <v>0</v>
      </c>
    </row>
    <row r="216" ht="15.75" hidden="1" customHeight="1">
      <c r="A216" s="15" t="s">
        <v>598</v>
      </c>
      <c r="B216" s="15" t="s">
        <v>596</v>
      </c>
      <c r="C216" s="15" t="s">
        <v>119</v>
      </c>
      <c r="D216" s="56">
        <f>SUMIF('2015-16 12 Mnths'!$A:$A,'Detail 18-19'!$A216,'2015-16 12 Mnths'!C:C)-SUMIF('Budget 12 Mnths'!$A:$A,'Detail 18-19'!$A216,'Budget 12 Mnths'!D:D)</f>
        <v>0</v>
      </c>
      <c r="E216" s="56">
        <f>SUMIF('2015-16 12 Mnths'!$A:$A,'Detail 18-19'!$A216,'2015-16 12 Mnths'!D:D)-SUMIF('Budget 12 Mnths'!$A:$A,'Detail 18-19'!$A216,'Budget 12 Mnths'!E:E)</f>
        <v>0</v>
      </c>
      <c r="F216" s="56">
        <f>SUMIF('2015-16 12 Mnths'!$A:$A,'Detail 18-19'!$A216,'2015-16 12 Mnths'!E:E)-SUMIF('Budget 12 Mnths'!$A:$A,'Detail 18-19'!$A216,'Budget 12 Mnths'!F:F)</f>
        <v>0</v>
      </c>
      <c r="G216" s="56">
        <f>SUMIF('2015-16 12 Mnths'!$A:$A,'Detail 18-19'!$A216,'2015-16 12 Mnths'!F:F)-SUMIF('Budget 12 Mnths'!$A:$A,'Detail 18-19'!$A216,'Budget 12 Mnths'!G:G)</f>
        <v>0</v>
      </c>
      <c r="H216" s="56">
        <f>SUMIF('2015-16 12 Mnths'!$A:$A,'Detail 18-19'!$A216,'2015-16 12 Mnths'!G:G)-SUMIF('Budget 12 Mnths'!$A:$A,'Detail 18-19'!$A216,'Budget 12 Mnths'!H:H)</f>
        <v>0</v>
      </c>
      <c r="I216" s="56">
        <f>SUMIF('2015-16 12 Mnths'!$A:$A,'Detail 18-19'!$A216,'2015-16 12 Mnths'!H:H)-SUMIF('Budget 12 Mnths'!$A:$A,'Detail 18-19'!$A216,'Budget 12 Mnths'!I:I)</f>
        <v>0</v>
      </c>
      <c r="J216" s="56">
        <f>SUMIF('2015-16 12 Mnths'!$A:$A,'Detail 18-19'!$A216,'2015-16 12 Mnths'!I:I)-SUMIF('Budget 12 Mnths'!$A:$A,'Detail 18-19'!$A216,'Budget 12 Mnths'!J:J)</f>
        <v>0</v>
      </c>
      <c r="K216" s="56">
        <f>SUMIF('2015-16 12 Mnths'!$A:$A,'Detail 18-19'!$A216,'2015-16 12 Mnths'!J:J)-SUMIF('Budget 12 Mnths'!$A:$A,'Detail 18-19'!$A216,'Budget 12 Mnths'!K:K)</f>
        <v>0</v>
      </c>
      <c r="L216" s="56">
        <f>SUMIF('2015-16 12 Mnths'!$A:$A,'Detail 18-19'!$A216,'2015-16 12 Mnths'!K:K)-SUMIF('Budget 12 Mnths'!$A:$A,'Detail 18-19'!$A216,'Budget 12 Mnths'!L:L)</f>
        <v>0</v>
      </c>
      <c r="M216" s="56"/>
      <c r="N216" s="56"/>
      <c r="O216" s="56"/>
      <c r="P216" s="56">
        <f t="shared" si="1"/>
        <v>0</v>
      </c>
      <c r="Q216" s="14" t="str">
        <f>+VLOOKUP(A216,Mapping!$A$1:$E$443,5,FALSE)</f>
        <v>Postage</v>
      </c>
      <c r="R216" s="26">
        <f>+SUMIF('Budget 12 Mnths'!$A:$A,'Detail 18-19'!$A216,'Budget 12 Mnths'!$P:$P)</f>
        <v>0</v>
      </c>
      <c r="S216" s="26">
        <f>+SUMIF('2015-16 12 Mnths'!$A:$A,'Detail 18-19'!$A216,'2015-16 12 Mnths'!$O:$O)</f>
        <v>0</v>
      </c>
      <c r="T216" s="57">
        <f t="shared" si="2"/>
        <v>0</v>
      </c>
      <c r="U216" s="57">
        <f t="shared" si="3"/>
        <v>0</v>
      </c>
      <c r="W216" s="27"/>
      <c r="X216" s="27" t="str">
        <f t="shared" si="110"/>
        <v/>
      </c>
      <c r="Z216" s="57">
        <f t="shared" si="107"/>
        <v>0</v>
      </c>
      <c r="AA216" s="57" t="str">
        <f>IFERROR(+VLOOKUP(A216,Key!$A$1:$C$219,2,FALSE),"NOT FOUND")</f>
        <v>6910-3U</v>
      </c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>
        <f t="shared" si="6"/>
        <v>0</v>
      </c>
    </row>
    <row r="217" ht="15.75" customHeight="1">
      <c r="A217" s="15" t="s">
        <v>599</v>
      </c>
      <c r="B217" s="15" t="s">
        <v>600</v>
      </c>
      <c r="C217" s="15" t="s">
        <v>119</v>
      </c>
      <c r="D217" s="56">
        <f>SUMIF('2015-16 12 Mnths'!$A:$A,'Detail 18-19'!$A217,'2015-16 12 Mnths'!C:C)-SUMIF('Budget 12 Mnths'!$A:$A,'Detail 18-19'!$A217,'Budget 12 Mnths'!D:D)</f>
        <v>-57.67</v>
      </c>
      <c r="E217" s="56">
        <f>SUMIF('2015-16 12 Mnths'!$A:$A,'Detail 18-19'!$A217,'2015-16 12 Mnths'!D:D)-SUMIF('Budget 12 Mnths'!$A:$A,'Detail 18-19'!$A217,'Budget 12 Mnths'!E:E)</f>
        <v>-57.67</v>
      </c>
      <c r="F217" s="56">
        <f>SUMIF('2015-16 12 Mnths'!$A:$A,'Detail 18-19'!$A217,'2015-16 12 Mnths'!E:E)-SUMIF('Budget 12 Mnths'!$A:$A,'Detail 18-19'!$A217,'Budget 12 Mnths'!F:F)</f>
        <v>-57.67</v>
      </c>
      <c r="G217" s="56">
        <f>SUMIF('2015-16 12 Mnths'!$A:$A,'Detail 18-19'!$A217,'2015-16 12 Mnths'!F:F)-SUMIF('Budget 12 Mnths'!$A:$A,'Detail 18-19'!$A217,'Budget 12 Mnths'!G:G)</f>
        <v>-57.67</v>
      </c>
      <c r="H217" s="56">
        <f>SUMIF('2015-16 12 Mnths'!$A:$A,'Detail 18-19'!$A217,'2015-16 12 Mnths'!G:G)-SUMIF('Budget 12 Mnths'!$A:$A,'Detail 18-19'!$A217,'Budget 12 Mnths'!H:H)</f>
        <v>-57.67</v>
      </c>
      <c r="I217" s="56">
        <f>SUMIF('2015-16 12 Mnths'!$A:$A,'Detail 18-19'!$A217,'2015-16 12 Mnths'!H:H)-SUMIF('Budget 12 Mnths'!$A:$A,'Detail 18-19'!$A217,'Budget 12 Mnths'!I:I)</f>
        <v>-57.67</v>
      </c>
      <c r="J217" s="56">
        <f>SUMIF('2015-16 12 Mnths'!$A:$A,'Detail 18-19'!$A217,'2015-16 12 Mnths'!I:I)-SUMIF('Budget 12 Mnths'!$A:$A,'Detail 18-19'!$A217,'Budget 12 Mnths'!J:J)</f>
        <v>-57.67</v>
      </c>
      <c r="K217" s="56">
        <f>SUMIF('2015-16 12 Mnths'!$A:$A,'Detail 18-19'!$A217,'2015-16 12 Mnths'!J:J)-SUMIF('Budget 12 Mnths'!$A:$A,'Detail 18-19'!$A217,'Budget 12 Mnths'!K:K)</f>
        <v>-57.67</v>
      </c>
      <c r="L217" s="56">
        <f>SUMIF('2015-16 12 Mnths'!$A:$A,'Detail 18-19'!$A217,'2015-16 12 Mnths'!K:K)-SUMIF('Budget 12 Mnths'!$A:$A,'Detail 18-19'!$A217,'Budget 12 Mnths'!L:L)</f>
        <v>-57.67</v>
      </c>
      <c r="M217" s="56"/>
      <c r="N217" s="56"/>
      <c r="O217" s="56"/>
      <c r="P217" s="56">
        <f t="shared" si="1"/>
        <v>-519.03</v>
      </c>
      <c r="Q217" s="14" t="str">
        <f>+VLOOKUP(A217,Mapping!$A$1:$E$443,5,FALSE)</f>
        <v>Fixed Occupancy</v>
      </c>
      <c r="R217" s="26">
        <f>+SUMIF('Budget 12 Mnths'!$A:$A,'Detail 18-19'!$A217,'Budget 12 Mnths'!$P:$P)</f>
        <v>47000.04</v>
      </c>
      <c r="S217" s="26">
        <f>+SUMIF('2015-16 12 Mnths'!$A:$A,'Detail 18-19'!$A217,'2015-16 12 Mnths'!$O:$O)</f>
        <v>34731</v>
      </c>
      <c r="T217" s="57">
        <f t="shared" si="2"/>
        <v>-0.01104318209</v>
      </c>
      <c r="U217" s="57">
        <f t="shared" si="3"/>
        <v>-0.01494428608</v>
      </c>
      <c r="V217" s="8" t="s">
        <v>594</v>
      </c>
      <c r="W217" s="27">
        <v>88000.0</v>
      </c>
      <c r="X217" s="27">
        <f t="shared" si="110"/>
        <v>88000</v>
      </c>
      <c r="Z217" s="57">
        <f t="shared" si="107"/>
        <v>44000</v>
      </c>
      <c r="AA217" s="57" t="str">
        <f>IFERROR(+VLOOKUP(A217,Key!$A$1:$C$219,2,FALSE),"NOT FOUND")</f>
        <v>7000-1U</v>
      </c>
      <c r="AB217" s="27">
        <f>7500*12</f>
        <v>90000</v>
      </c>
      <c r="AC217" s="57">
        <f t="shared" ref="AC217:AN217" si="111">+$AB217/12</f>
        <v>7500</v>
      </c>
      <c r="AD217" s="57">
        <f t="shared" si="111"/>
        <v>7500</v>
      </c>
      <c r="AE217" s="57">
        <f t="shared" si="111"/>
        <v>7500</v>
      </c>
      <c r="AF217" s="57">
        <f t="shared" si="111"/>
        <v>7500</v>
      </c>
      <c r="AG217" s="57">
        <f t="shared" si="111"/>
        <v>7500</v>
      </c>
      <c r="AH217" s="57">
        <f t="shared" si="111"/>
        <v>7500</v>
      </c>
      <c r="AI217" s="57">
        <f t="shared" si="111"/>
        <v>7500</v>
      </c>
      <c r="AJ217" s="57">
        <f t="shared" si="111"/>
        <v>7500</v>
      </c>
      <c r="AK217" s="57">
        <f t="shared" si="111"/>
        <v>7500</v>
      </c>
      <c r="AL217" s="57">
        <f t="shared" si="111"/>
        <v>7500</v>
      </c>
      <c r="AM217" s="57">
        <f t="shared" si="111"/>
        <v>7500</v>
      </c>
      <c r="AN217" s="57">
        <f t="shared" si="111"/>
        <v>7500</v>
      </c>
      <c r="AO217" s="27">
        <f t="shared" si="6"/>
        <v>0</v>
      </c>
    </row>
    <row r="218" ht="15.75" customHeight="1">
      <c r="A218" s="15" t="s">
        <v>602</v>
      </c>
      <c r="B218" s="15" t="s">
        <v>600</v>
      </c>
      <c r="C218" s="15" t="s">
        <v>119</v>
      </c>
      <c r="D218" s="56">
        <f>SUMIF('2015-16 12 Mnths'!$A:$A,'Detail 18-19'!$A218,'2015-16 12 Mnths'!C:C)-SUMIF('Budget 12 Mnths'!$A:$A,'Detail 18-19'!$A218,'Budget 12 Mnths'!D:D)</f>
        <v>0</v>
      </c>
      <c r="E218" s="56">
        <f>SUMIF('2015-16 12 Mnths'!$A:$A,'Detail 18-19'!$A218,'2015-16 12 Mnths'!D:D)-SUMIF('Budget 12 Mnths'!$A:$A,'Detail 18-19'!$A218,'Budget 12 Mnths'!E:E)</f>
        <v>0</v>
      </c>
      <c r="F218" s="56">
        <f>SUMIF('2015-16 12 Mnths'!$A:$A,'Detail 18-19'!$A218,'2015-16 12 Mnths'!E:E)-SUMIF('Budget 12 Mnths'!$A:$A,'Detail 18-19'!$A218,'Budget 12 Mnths'!F:F)</f>
        <v>0</v>
      </c>
      <c r="G218" s="56">
        <f>SUMIF('2015-16 12 Mnths'!$A:$A,'Detail 18-19'!$A218,'2015-16 12 Mnths'!F:F)-SUMIF('Budget 12 Mnths'!$A:$A,'Detail 18-19'!$A218,'Budget 12 Mnths'!G:G)</f>
        <v>0</v>
      </c>
      <c r="H218" s="56">
        <f>SUMIF('2015-16 12 Mnths'!$A:$A,'Detail 18-19'!$A218,'2015-16 12 Mnths'!G:G)-SUMIF('Budget 12 Mnths'!$A:$A,'Detail 18-19'!$A218,'Budget 12 Mnths'!H:H)</f>
        <v>0</v>
      </c>
      <c r="I218" s="56">
        <f>SUMIF('2015-16 12 Mnths'!$A:$A,'Detail 18-19'!$A218,'2015-16 12 Mnths'!H:H)-SUMIF('Budget 12 Mnths'!$A:$A,'Detail 18-19'!$A218,'Budget 12 Mnths'!I:I)</f>
        <v>0</v>
      </c>
      <c r="J218" s="56">
        <f>SUMIF('2015-16 12 Mnths'!$A:$A,'Detail 18-19'!$A218,'2015-16 12 Mnths'!I:I)-SUMIF('Budget 12 Mnths'!$A:$A,'Detail 18-19'!$A218,'Budget 12 Mnths'!J:J)</f>
        <v>0</v>
      </c>
      <c r="K218" s="56">
        <f>SUMIF('2015-16 12 Mnths'!$A:$A,'Detail 18-19'!$A218,'2015-16 12 Mnths'!J:J)-SUMIF('Budget 12 Mnths'!$A:$A,'Detail 18-19'!$A218,'Budget 12 Mnths'!K:K)</f>
        <v>0</v>
      </c>
      <c r="L218" s="56">
        <f>SUMIF('2015-16 12 Mnths'!$A:$A,'Detail 18-19'!$A218,'2015-16 12 Mnths'!K:K)-SUMIF('Budget 12 Mnths'!$A:$A,'Detail 18-19'!$A218,'Budget 12 Mnths'!L:L)</f>
        <v>0</v>
      </c>
      <c r="M218" s="56"/>
      <c r="N218" s="56"/>
      <c r="O218" s="56"/>
      <c r="P218" s="56">
        <f t="shared" si="1"/>
        <v>0</v>
      </c>
      <c r="Q218" s="14" t="str">
        <f>+VLOOKUP(A218,Mapping!$A$1:$E$443,5,FALSE)</f>
        <v>Fixed Occupancy</v>
      </c>
      <c r="R218" s="26">
        <f>+SUMIF('Budget 12 Mnths'!$A:$A,'Detail 18-19'!$A218,'Budget 12 Mnths'!$P:$P)</f>
        <v>0</v>
      </c>
      <c r="S218" s="26">
        <f>+SUMIF('2015-16 12 Mnths'!$A:$A,'Detail 18-19'!$A218,'2015-16 12 Mnths'!$O:$O)</f>
        <v>0</v>
      </c>
      <c r="T218" s="57">
        <f t="shared" si="2"/>
        <v>0</v>
      </c>
      <c r="U218" s="57">
        <f t="shared" si="3"/>
        <v>0</v>
      </c>
      <c r="W218" s="27">
        <v>6000.0</v>
      </c>
      <c r="X218" s="27">
        <f t="shared" si="110"/>
        <v>6000</v>
      </c>
      <c r="Z218" s="57">
        <f t="shared" si="107"/>
        <v>3000</v>
      </c>
      <c r="AA218" s="57" t="str">
        <f>IFERROR(+VLOOKUP(A218,Key!$A$1:$C$219,2,FALSE),"NOT FOUND")</f>
        <v>7000-2U</v>
      </c>
      <c r="AB218" s="27">
        <f>215*12</f>
        <v>2580</v>
      </c>
      <c r="AC218" s="57">
        <f t="shared" ref="AC218:AN218" si="112">+$AB218/12</f>
        <v>215</v>
      </c>
      <c r="AD218" s="57">
        <f t="shared" si="112"/>
        <v>215</v>
      </c>
      <c r="AE218" s="57">
        <f t="shared" si="112"/>
        <v>215</v>
      </c>
      <c r="AF218" s="57">
        <f t="shared" si="112"/>
        <v>215</v>
      </c>
      <c r="AG218" s="57">
        <f t="shared" si="112"/>
        <v>215</v>
      </c>
      <c r="AH218" s="57">
        <f t="shared" si="112"/>
        <v>215</v>
      </c>
      <c r="AI218" s="57">
        <f t="shared" si="112"/>
        <v>215</v>
      </c>
      <c r="AJ218" s="57">
        <f t="shared" si="112"/>
        <v>215</v>
      </c>
      <c r="AK218" s="57">
        <f t="shared" si="112"/>
        <v>215</v>
      </c>
      <c r="AL218" s="57">
        <f t="shared" si="112"/>
        <v>215</v>
      </c>
      <c r="AM218" s="57">
        <f t="shared" si="112"/>
        <v>215</v>
      </c>
      <c r="AN218" s="57">
        <f t="shared" si="112"/>
        <v>215</v>
      </c>
      <c r="AO218" s="27">
        <f t="shared" si="6"/>
        <v>0</v>
      </c>
    </row>
    <row r="219" ht="15.75" hidden="1" customHeight="1">
      <c r="A219" s="15" t="s">
        <v>603</v>
      </c>
      <c r="B219" s="15" t="s">
        <v>600</v>
      </c>
      <c r="C219" s="15" t="s">
        <v>119</v>
      </c>
      <c r="D219" s="56">
        <f>SUMIF('2015-16 12 Mnths'!$A:$A,'Detail 18-19'!$A219,'2015-16 12 Mnths'!C:C)-SUMIF('Budget 12 Mnths'!$A:$A,'Detail 18-19'!$A219,'Budget 12 Mnths'!D:D)</f>
        <v>0</v>
      </c>
      <c r="E219" s="56">
        <f>SUMIF('2015-16 12 Mnths'!$A:$A,'Detail 18-19'!$A219,'2015-16 12 Mnths'!D:D)-SUMIF('Budget 12 Mnths'!$A:$A,'Detail 18-19'!$A219,'Budget 12 Mnths'!E:E)</f>
        <v>0</v>
      </c>
      <c r="F219" s="56">
        <f>SUMIF('2015-16 12 Mnths'!$A:$A,'Detail 18-19'!$A219,'2015-16 12 Mnths'!E:E)-SUMIF('Budget 12 Mnths'!$A:$A,'Detail 18-19'!$A219,'Budget 12 Mnths'!F:F)</f>
        <v>0</v>
      </c>
      <c r="G219" s="56">
        <f>SUMIF('2015-16 12 Mnths'!$A:$A,'Detail 18-19'!$A219,'2015-16 12 Mnths'!F:F)-SUMIF('Budget 12 Mnths'!$A:$A,'Detail 18-19'!$A219,'Budget 12 Mnths'!G:G)</f>
        <v>0</v>
      </c>
      <c r="H219" s="56">
        <f>SUMIF('2015-16 12 Mnths'!$A:$A,'Detail 18-19'!$A219,'2015-16 12 Mnths'!G:G)-SUMIF('Budget 12 Mnths'!$A:$A,'Detail 18-19'!$A219,'Budget 12 Mnths'!H:H)</f>
        <v>0</v>
      </c>
      <c r="I219" s="56">
        <f>SUMIF('2015-16 12 Mnths'!$A:$A,'Detail 18-19'!$A219,'2015-16 12 Mnths'!H:H)-SUMIF('Budget 12 Mnths'!$A:$A,'Detail 18-19'!$A219,'Budget 12 Mnths'!I:I)</f>
        <v>0</v>
      </c>
      <c r="J219" s="56">
        <f>SUMIF('2015-16 12 Mnths'!$A:$A,'Detail 18-19'!$A219,'2015-16 12 Mnths'!I:I)-SUMIF('Budget 12 Mnths'!$A:$A,'Detail 18-19'!$A219,'Budget 12 Mnths'!J:J)</f>
        <v>0</v>
      </c>
      <c r="K219" s="56">
        <f>SUMIF('2015-16 12 Mnths'!$A:$A,'Detail 18-19'!$A219,'2015-16 12 Mnths'!J:J)-SUMIF('Budget 12 Mnths'!$A:$A,'Detail 18-19'!$A219,'Budget 12 Mnths'!K:K)</f>
        <v>0</v>
      </c>
      <c r="L219" s="56">
        <f>SUMIF('2015-16 12 Mnths'!$A:$A,'Detail 18-19'!$A219,'2015-16 12 Mnths'!K:K)-SUMIF('Budget 12 Mnths'!$A:$A,'Detail 18-19'!$A219,'Budget 12 Mnths'!L:L)</f>
        <v>0</v>
      </c>
      <c r="M219" s="56"/>
      <c r="N219" s="56"/>
      <c r="O219" s="56"/>
      <c r="P219" s="56">
        <f t="shared" si="1"/>
        <v>0</v>
      </c>
      <c r="Q219" s="14" t="str">
        <f>+VLOOKUP(A219,Mapping!$A$1:$E$443,5,FALSE)</f>
        <v>Fixed Occupancy</v>
      </c>
      <c r="R219" s="26">
        <f>+SUMIF('Budget 12 Mnths'!$A:$A,'Detail 18-19'!$A219,'Budget 12 Mnths'!$P:$P)</f>
        <v>0</v>
      </c>
      <c r="S219" s="26">
        <f>+SUMIF('2015-16 12 Mnths'!$A:$A,'Detail 18-19'!$A219,'2015-16 12 Mnths'!$O:$O)</f>
        <v>0</v>
      </c>
      <c r="T219" s="57">
        <f t="shared" si="2"/>
        <v>0</v>
      </c>
      <c r="U219" s="57">
        <f t="shared" si="3"/>
        <v>0</v>
      </c>
      <c r="W219" s="27"/>
      <c r="X219" s="27" t="str">
        <f t="shared" si="110"/>
        <v/>
      </c>
      <c r="Z219" s="57">
        <f t="shared" si="107"/>
        <v>0</v>
      </c>
      <c r="AA219" s="57" t="str">
        <f>IFERROR(+VLOOKUP(A219,Key!$A$1:$C$219,2,FALSE),"NOT FOUND")</f>
        <v>7000-3U</v>
      </c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>
        <f t="shared" si="6"/>
        <v>0</v>
      </c>
    </row>
    <row r="220" ht="15.75" hidden="1" customHeight="1">
      <c r="A220" s="15" t="s">
        <v>604</v>
      </c>
      <c r="B220" s="15" t="s">
        <v>605</v>
      </c>
      <c r="C220" s="15" t="s">
        <v>119</v>
      </c>
      <c r="D220" s="56">
        <f>SUMIF('2015-16 12 Mnths'!$A:$A,'Detail 18-19'!$A220,'2015-16 12 Mnths'!C:C)-SUMIF('Budget 12 Mnths'!$A:$A,'Detail 18-19'!$A220,'Budget 12 Mnths'!D:D)</f>
        <v>0</v>
      </c>
      <c r="E220" s="56">
        <f>SUMIF('2015-16 12 Mnths'!$A:$A,'Detail 18-19'!$A220,'2015-16 12 Mnths'!D:D)-SUMIF('Budget 12 Mnths'!$A:$A,'Detail 18-19'!$A220,'Budget 12 Mnths'!E:E)</f>
        <v>0</v>
      </c>
      <c r="F220" s="56">
        <f>SUMIF('2015-16 12 Mnths'!$A:$A,'Detail 18-19'!$A220,'2015-16 12 Mnths'!E:E)-SUMIF('Budget 12 Mnths'!$A:$A,'Detail 18-19'!$A220,'Budget 12 Mnths'!F:F)</f>
        <v>0</v>
      </c>
      <c r="G220" s="56">
        <f>SUMIF('2015-16 12 Mnths'!$A:$A,'Detail 18-19'!$A220,'2015-16 12 Mnths'!F:F)-SUMIF('Budget 12 Mnths'!$A:$A,'Detail 18-19'!$A220,'Budget 12 Mnths'!G:G)</f>
        <v>0</v>
      </c>
      <c r="H220" s="56">
        <f>SUMIF('2015-16 12 Mnths'!$A:$A,'Detail 18-19'!$A220,'2015-16 12 Mnths'!G:G)-SUMIF('Budget 12 Mnths'!$A:$A,'Detail 18-19'!$A220,'Budget 12 Mnths'!H:H)</f>
        <v>0</v>
      </c>
      <c r="I220" s="56">
        <f>SUMIF('2015-16 12 Mnths'!$A:$A,'Detail 18-19'!$A220,'2015-16 12 Mnths'!H:H)-SUMIF('Budget 12 Mnths'!$A:$A,'Detail 18-19'!$A220,'Budget 12 Mnths'!I:I)</f>
        <v>0</v>
      </c>
      <c r="J220" s="56">
        <f>SUMIF('2015-16 12 Mnths'!$A:$A,'Detail 18-19'!$A220,'2015-16 12 Mnths'!I:I)-SUMIF('Budget 12 Mnths'!$A:$A,'Detail 18-19'!$A220,'Budget 12 Mnths'!J:J)</f>
        <v>0</v>
      </c>
      <c r="K220" s="56">
        <f>SUMIF('2015-16 12 Mnths'!$A:$A,'Detail 18-19'!$A220,'2015-16 12 Mnths'!J:J)-SUMIF('Budget 12 Mnths'!$A:$A,'Detail 18-19'!$A220,'Budget 12 Mnths'!K:K)</f>
        <v>0</v>
      </c>
      <c r="L220" s="56">
        <f>SUMIF('2015-16 12 Mnths'!$A:$A,'Detail 18-19'!$A220,'2015-16 12 Mnths'!K:K)-SUMIF('Budget 12 Mnths'!$A:$A,'Detail 18-19'!$A220,'Budget 12 Mnths'!L:L)</f>
        <v>0</v>
      </c>
      <c r="M220" s="56"/>
      <c r="N220" s="56"/>
      <c r="O220" s="56"/>
      <c r="P220" s="56">
        <f t="shared" si="1"/>
        <v>0</v>
      </c>
      <c r="Q220" s="14" t="str">
        <f>+VLOOKUP(A220,Mapping!$A$1:$E$443,5,FALSE)</f>
        <v>Fixed Occupancy</v>
      </c>
      <c r="R220" s="26">
        <f>+SUMIF('Budget 12 Mnths'!$A:$A,'Detail 18-19'!$A220,'Budget 12 Mnths'!$P:$P)</f>
        <v>0</v>
      </c>
      <c r="S220" s="26">
        <f>+SUMIF('2015-16 12 Mnths'!$A:$A,'Detail 18-19'!$A220,'2015-16 12 Mnths'!$O:$O)</f>
        <v>0</v>
      </c>
      <c r="T220" s="57">
        <f t="shared" si="2"/>
        <v>0</v>
      </c>
      <c r="U220" s="57">
        <f t="shared" si="3"/>
        <v>0</v>
      </c>
      <c r="W220" s="27"/>
      <c r="X220" s="27" t="str">
        <f t="shared" si="110"/>
        <v/>
      </c>
      <c r="Z220" s="57">
        <f t="shared" si="107"/>
        <v>0</v>
      </c>
      <c r="AA220" s="57" t="str">
        <f>IFERROR(+VLOOKUP(A220,Key!$A$1:$C$219,2,FALSE),"NOT FOUND")</f>
        <v>NOT FOUND</v>
      </c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>
        <f t="shared" si="6"/>
        <v>0</v>
      </c>
    </row>
    <row r="221" ht="15.75" hidden="1" customHeight="1">
      <c r="A221" s="15" t="s">
        <v>606</v>
      </c>
      <c r="B221" s="15" t="s">
        <v>607</v>
      </c>
      <c r="C221" s="15" t="s">
        <v>119</v>
      </c>
      <c r="D221" s="56">
        <f>SUMIF('2015-16 12 Mnths'!$A:$A,'Detail 18-19'!$A221,'2015-16 12 Mnths'!C:C)-SUMIF('Budget 12 Mnths'!$A:$A,'Detail 18-19'!$A221,'Budget 12 Mnths'!D:D)</f>
        <v>0</v>
      </c>
      <c r="E221" s="56">
        <f>SUMIF('2015-16 12 Mnths'!$A:$A,'Detail 18-19'!$A221,'2015-16 12 Mnths'!D:D)-SUMIF('Budget 12 Mnths'!$A:$A,'Detail 18-19'!$A221,'Budget 12 Mnths'!E:E)</f>
        <v>79</v>
      </c>
      <c r="F221" s="56">
        <f>SUMIF('2015-16 12 Mnths'!$A:$A,'Detail 18-19'!$A221,'2015-16 12 Mnths'!E:E)-SUMIF('Budget 12 Mnths'!$A:$A,'Detail 18-19'!$A221,'Budget 12 Mnths'!F:F)</f>
        <v>0</v>
      </c>
      <c r="G221" s="56">
        <f>SUMIF('2015-16 12 Mnths'!$A:$A,'Detail 18-19'!$A221,'2015-16 12 Mnths'!F:F)-SUMIF('Budget 12 Mnths'!$A:$A,'Detail 18-19'!$A221,'Budget 12 Mnths'!G:G)</f>
        <v>0</v>
      </c>
      <c r="H221" s="56">
        <f>SUMIF('2015-16 12 Mnths'!$A:$A,'Detail 18-19'!$A221,'2015-16 12 Mnths'!G:G)-SUMIF('Budget 12 Mnths'!$A:$A,'Detail 18-19'!$A221,'Budget 12 Mnths'!H:H)</f>
        <v>0</v>
      </c>
      <c r="I221" s="56">
        <f>SUMIF('2015-16 12 Mnths'!$A:$A,'Detail 18-19'!$A221,'2015-16 12 Mnths'!H:H)-SUMIF('Budget 12 Mnths'!$A:$A,'Detail 18-19'!$A221,'Budget 12 Mnths'!I:I)</f>
        <v>0</v>
      </c>
      <c r="J221" s="56">
        <f>SUMIF('2015-16 12 Mnths'!$A:$A,'Detail 18-19'!$A221,'2015-16 12 Mnths'!I:I)-SUMIF('Budget 12 Mnths'!$A:$A,'Detail 18-19'!$A221,'Budget 12 Mnths'!J:J)</f>
        <v>0</v>
      </c>
      <c r="K221" s="56">
        <f>SUMIF('2015-16 12 Mnths'!$A:$A,'Detail 18-19'!$A221,'2015-16 12 Mnths'!J:J)-SUMIF('Budget 12 Mnths'!$A:$A,'Detail 18-19'!$A221,'Budget 12 Mnths'!K:K)</f>
        <v>0</v>
      </c>
      <c r="L221" s="56">
        <f>SUMIF('2015-16 12 Mnths'!$A:$A,'Detail 18-19'!$A221,'2015-16 12 Mnths'!K:K)-SUMIF('Budget 12 Mnths'!$A:$A,'Detail 18-19'!$A221,'Budget 12 Mnths'!L:L)</f>
        <v>0</v>
      </c>
      <c r="M221" s="56"/>
      <c r="N221" s="56"/>
      <c r="O221" s="56"/>
      <c r="P221" s="56">
        <f t="shared" si="1"/>
        <v>79</v>
      </c>
      <c r="Q221" s="14" t="str">
        <f>+VLOOKUP(A221,Mapping!$A$1:$E$443,5,FALSE)</f>
        <v>Fixed Occupancy</v>
      </c>
      <c r="R221" s="26">
        <f>+SUMIF('Budget 12 Mnths'!$A:$A,'Detail 18-19'!$A221,'Budget 12 Mnths'!$P:$P)</f>
        <v>0</v>
      </c>
      <c r="S221" s="26">
        <f>+SUMIF('2015-16 12 Mnths'!$A:$A,'Detail 18-19'!$A221,'2015-16 12 Mnths'!$O:$O)</f>
        <v>79</v>
      </c>
      <c r="T221" s="57">
        <f t="shared" si="2"/>
        <v>0</v>
      </c>
      <c r="U221" s="57">
        <f t="shared" si="3"/>
        <v>1</v>
      </c>
      <c r="W221" s="27"/>
      <c r="X221" s="27" t="str">
        <f t="shared" si="110"/>
        <v/>
      </c>
      <c r="Z221" s="57">
        <f t="shared" si="107"/>
        <v>0</v>
      </c>
      <c r="AA221" s="57" t="str">
        <f>IFERROR(+VLOOKUP(A221,Key!$A$1:$C$219,2,FALSE),"NOT FOUND")</f>
        <v>NOT FOUND</v>
      </c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>
        <f t="shared" si="6"/>
        <v>0</v>
      </c>
    </row>
    <row r="222" ht="15.75" hidden="1" customHeight="1">
      <c r="A222" s="15" t="s">
        <v>608</v>
      </c>
      <c r="B222" s="15" t="s">
        <v>609</v>
      </c>
      <c r="C222" s="15" t="s">
        <v>119</v>
      </c>
      <c r="D222" s="56">
        <f>SUMIF('2015-16 12 Mnths'!$A:$A,'Detail 18-19'!$A222,'2015-16 12 Mnths'!C:C)-SUMIF('Budget 12 Mnths'!$A:$A,'Detail 18-19'!$A222,'Budget 12 Mnths'!D:D)</f>
        <v>0</v>
      </c>
      <c r="E222" s="56">
        <f>SUMIF('2015-16 12 Mnths'!$A:$A,'Detail 18-19'!$A222,'2015-16 12 Mnths'!D:D)-SUMIF('Budget 12 Mnths'!$A:$A,'Detail 18-19'!$A222,'Budget 12 Mnths'!E:E)</f>
        <v>0</v>
      </c>
      <c r="F222" s="56">
        <f>SUMIF('2015-16 12 Mnths'!$A:$A,'Detail 18-19'!$A222,'2015-16 12 Mnths'!E:E)-SUMIF('Budget 12 Mnths'!$A:$A,'Detail 18-19'!$A222,'Budget 12 Mnths'!F:F)</f>
        <v>0</v>
      </c>
      <c r="G222" s="56">
        <f>SUMIF('2015-16 12 Mnths'!$A:$A,'Detail 18-19'!$A222,'2015-16 12 Mnths'!F:F)-SUMIF('Budget 12 Mnths'!$A:$A,'Detail 18-19'!$A222,'Budget 12 Mnths'!G:G)</f>
        <v>0</v>
      </c>
      <c r="H222" s="56">
        <f>SUMIF('2015-16 12 Mnths'!$A:$A,'Detail 18-19'!$A222,'2015-16 12 Mnths'!G:G)-SUMIF('Budget 12 Mnths'!$A:$A,'Detail 18-19'!$A222,'Budget 12 Mnths'!H:H)</f>
        <v>0</v>
      </c>
      <c r="I222" s="56">
        <f>SUMIF('2015-16 12 Mnths'!$A:$A,'Detail 18-19'!$A222,'2015-16 12 Mnths'!H:H)-SUMIF('Budget 12 Mnths'!$A:$A,'Detail 18-19'!$A222,'Budget 12 Mnths'!I:I)</f>
        <v>0</v>
      </c>
      <c r="J222" s="56">
        <f>SUMIF('2015-16 12 Mnths'!$A:$A,'Detail 18-19'!$A222,'2015-16 12 Mnths'!I:I)-SUMIF('Budget 12 Mnths'!$A:$A,'Detail 18-19'!$A222,'Budget 12 Mnths'!J:J)</f>
        <v>0</v>
      </c>
      <c r="K222" s="56">
        <f>SUMIF('2015-16 12 Mnths'!$A:$A,'Detail 18-19'!$A222,'2015-16 12 Mnths'!J:J)-SUMIF('Budget 12 Mnths'!$A:$A,'Detail 18-19'!$A222,'Budget 12 Mnths'!K:K)</f>
        <v>0</v>
      </c>
      <c r="L222" s="56">
        <f>SUMIF('2015-16 12 Mnths'!$A:$A,'Detail 18-19'!$A222,'2015-16 12 Mnths'!K:K)-SUMIF('Budget 12 Mnths'!$A:$A,'Detail 18-19'!$A222,'Budget 12 Mnths'!L:L)</f>
        <v>0</v>
      </c>
      <c r="M222" s="56"/>
      <c r="N222" s="56"/>
      <c r="O222" s="56"/>
      <c r="P222" s="56">
        <f t="shared" si="1"/>
        <v>0</v>
      </c>
      <c r="Q222" s="14" t="str">
        <f>+VLOOKUP(A222,Mapping!$A$1:$E$443,5,FALSE)</f>
        <v>Fixed Occupancy</v>
      </c>
      <c r="R222" s="26">
        <f>+SUMIF('Budget 12 Mnths'!$A:$A,'Detail 18-19'!$A222,'Budget 12 Mnths'!$P:$P)</f>
        <v>0</v>
      </c>
      <c r="S222" s="26">
        <f>+SUMIF('2015-16 12 Mnths'!$A:$A,'Detail 18-19'!$A222,'2015-16 12 Mnths'!$O:$O)</f>
        <v>0</v>
      </c>
      <c r="T222" s="57">
        <f t="shared" si="2"/>
        <v>0</v>
      </c>
      <c r="U222" s="57">
        <f t="shared" si="3"/>
        <v>0</v>
      </c>
      <c r="W222" s="27"/>
      <c r="X222" s="27" t="str">
        <f t="shared" si="110"/>
        <v/>
      </c>
      <c r="Z222" s="57">
        <f t="shared" si="107"/>
        <v>0</v>
      </c>
      <c r="AA222" s="57" t="str">
        <f>IFERROR(+VLOOKUP(A222,Key!$A$1:$C$219,2,FALSE),"NOT FOUND")</f>
        <v>NOT FOUND</v>
      </c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>
        <f t="shared" si="6"/>
        <v>0</v>
      </c>
    </row>
    <row r="223" ht="15.75" hidden="1" customHeight="1">
      <c r="A223" s="15" t="s">
        <v>610</v>
      </c>
      <c r="B223" s="15" t="s">
        <v>611</v>
      </c>
      <c r="C223" s="15" t="s">
        <v>119</v>
      </c>
      <c r="D223" s="56">
        <f>SUMIF('2015-16 12 Mnths'!$A:$A,'Detail 18-19'!$A223,'2015-16 12 Mnths'!C:C)-SUMIF('Budget 12 Mnths'!$A:$A,'Detail 18-19'!$A223,'Budget 12 Mnths'!D:D)</f>
        <v>0</v>
      </c>
      <c r="E223" s="56">
        <f>SUMIF('2015-16 12 Mnths'!$A:$A,'Detail 18-19'!$A223,'2015-16 12 Mnths'!D:D)-SUMIF('Budget 12 Mnths'!$A:$A,'Detail 18-19'!$A223,'Budget 12 Mnths'!E:E)</f>
        <v>0</v>
      </c>
      <c r="F223" s="56">
        <f>SUMIF('2015-16 12 Mnths'!$A:$A,'Detail 18-19'!$A223,'2015-16 12 Mnths'!E:E)-SUMIF('Budget 12 Mnths'!$A:$A,'Detail 18-19'!$A223,'Budget 12 Mnths'!F:F)</f>
        <v>0</v>
      </c>
      <c r="G223" s="56">
        <f>SUMIF('2015-16 12 Mnths'!$A:$A,'Detail 18-19'!$A223,'2015-16 12 Mnths'!F:F)-SUMIF('Budget 12 Mnths'!$A:$A,'Detail 18-19'!$A223,'Budget 12 Mnths'!G:G)</f>
        <v>0</v>
      </c>
      <c r="H223" s="56">
        <f>SUMIF('2015-16 12 Mnths'!$A:$A,'Detail 18-19'!$A223,'2015-16 12 Mnths'!G:G)-SUMIF('Budget 12 Mnths'!$A:$A,'Detail 18-19'!$A223,'Budget 12 Mnths'!H:H)</f>
        <v>0</v>
      </c>
      <c r="I223" s="56">
        <f>SUMIF('2015-16 12 Mnths'!$A:$A,'Detail 18-19'!$A223,'2015-16 12 Mnths'!H:H)-SUMIF('Budget 12 Mnths'!$A:$A,'Detail 18-19'!$A223,'Budget 12 Mnths'!I:I)</f>
        <v>0</v>
      </c>
      <c r="J223" s="56">
        <f>SUMIF('2015-16 12 Mnths'!$A:$A,'Detail 18-19'!$A223,'2015-16 12 Mnths'!I:I)-SUMIF('Budget 12 Mnths'!$A:$A,'Detail 18-19'!$A223,'Budget 12 Mnths'!J:J)</f>
        <v>0</v>
      </c>
      <c r="K223" s="56">
        <f>SUMIF('2015-16 12 Mnths'!$A:$A,'Detail 18-19'!$A223,'2015-16 12 Mnths'!J:J)-SUMIF('Budget 12 Mnths'!$A:$A,'Detail 18-19'!$A223,'Budget 12 Mnths'!K:K)</f>
        <v>0</v>
      </c>
      <c r="L223" s="56">
        <f>SUMIF('2015-16 12 Mnths'!$A:$A,'Detail 18-19'!$A223,'2015-16 12 Mnths'!K:K)-SUMIF('Budget 12 Mnths'!$A:$A,'Detail 18-19'!$A223,'Budget 12 Mnths'!L:L)</f>
        <v>0</v>
      </c>
      <c r="M223" s="56"/>
      <c r="N223" s="56"/>
      <c r="O223" s="56"/>
      <c r="P223" s="56">
        <f t="shared" si="1"/>
        <v>0</v>
      </c>
      <c r="Q223" s="14" t="str">
        <f>+VLOOKUP(A223,Mapping!$A$1:$E$443,5,FALSE)</f>
        <v>Fixed Occupancy</v>
      </c>
      <c r="R223" s="26">
        <f>+SUMIF('Budget 12 Mnths'!$A:$A,'Detail 18-19'!$A223,'Budget 12 Mnths'!$P:$P)</f>
        <v>0</v>
      </c>
      <c r="S223" s="26">
        <f>+SUMIF('2015-16 12 Mnths'!$A:$A,'Detail 18-19'!$A223,'2015-16 12 Mnths'!$O:$O)</f>
        <v>0</v>
      </c>
      <c r="T223" s="57">
        <f t="shared" si="2"/>
        <v>0</v>
      </c>
      <c r="U223" s="57">
        <f t="shared" si="3"/>
        <v>0</v>
      </c>
      <c r="W223" s="27"/>
      <c r="X223" s="27" t="str">
        <f t="shared" si="110"/>
        <v/>
      </c>
      <c r="Z223" s="57">
        <f t="shared" si="107"/>
        <v>0</v>
      </c>
      <c r="AA223" s="57" t="str">
        <f>IFERROR(+VLOOKUP(A223,Key!$A$1:$C$219,2,FALSE),"NOT FOUND")</f>
        <v>NOT FOUND</v>
      </c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>
        <f t="shared" si="6"/>
        <v>0</v>
      </c>
    </row>
    <row r="224" ht="15.75" hidden="1" customHeight="1">
      <c r="A224" s="15" t="s">
        <v>612</v>
      </c>
      <c r="B224" s="15" t="s">
        <v>613</v>
      </c>
      <c r="C224" s="15" t="s">
        <v>119</v>
      </c>
      <c r="D224" s="56">
        <f>SUMIF('2015-16 12 Mnths'!$A:$A,'Detail 18-19'!$A224,'2015-16 12 Mnths'!C:C)-SUMIF('Budget 12 Mnths'!$A:$A,'Detail 18-19'!$A224,'Budget 12 Mnths'!D:D)</f>
        <v>0</v>
      </c>
      <c r="E224" s="56">
        <f>SUMIF('2015-16 12 Mnths'!$A:$A,'Detail 18-19'!$A224,'2015-16 12 Mnths'!D:D)-SUMIF('Budget 12 Mnths'!$A:$A,'Detail 18-19'!$A224,'Budget 12 Mnths'!E:E)</f>
        <v>0</v>
      </c>
      <c r="F224" s="56">
        <f>SUMIF('2015-16 12 Mnths'!$A:$A,'Detail 18-19'!$A224,'2015-16 12 Mnths'!E:E)-SUMIF('Budget 12 Mnths'!$A:$A,'Detail 18-19'!$A224,'Budget 12 Mnths'!F:F)</f>
        <v>0</v>
      </c>
      <c r="G224" s="56">
        <f>SUMIF('2015-16 12 Mnths'!$A:$A,'Detail 18-19'!$A224,'2015-16 12 Mnths'!F:F)-SUMIF('Budget 12 Mnths'!$A:$A,'Detail 18-19'!$A224,'Budget 12 Mnths'!G:G)</f>
        <v>0</v>
      </c>
      <c r="H224" s="56">
        <f>SUMIF('2015-16 12 Mnths'!$A:$A,'Detail 18-19'!$A224,'2015-16 12 Mnths'!G:G)-SUMIF('Budget 12 Mnths'!$A:$A,'Detail 18-19'!$A224,'Budget 12 Mnths'!H:H)</f>
        <v>0</v>
      </c>
      <c r="I224" s="56">
        <f>SUMIF('2015-16 12 Mnths'!$A:$A,'Detail 18-19'!$A224,'2015-16 12 Mnths'!H:H)-SUMIF('Budget 12 Mnths'!$A:$A,'Detail 18-19'!$A224,'Budget 12 Mnths'!I:I)</f>
        <v>0</v>
      </c>
      <c r="J224" s="56">
        <f>SUMIF('2015-16 12 Mnths'!$A:$A,'Detail 18-19'!$A224,'2015-16 12 Mnths'!I:I)-SUMIF('Budget 12 Mnths'!$A:$A,'Detail 18-19'!$A224,'Budget 12 Mnths'!J:J)</f>
        <v>0</v>
      </c>
      <c r="K224" s="56">
        <f>SUMIF('2015-16 12 Mnths'!$A:$A,'Detail 18-19'!$A224,'2015-16 12 Mnths'!J:J)-SUMIF('Budget 12 Mnths'!$A:$A,'Detail 18-19'!$A224,'Budget 12 Mnths'!K:K)</f>
        <v>0</v>
      </c>
      <c r="L224" s="56">
        <f>SUMIF('2015-16 12 Mnths'!$A:$A,'Detail 18-19'!$A224,'2015-16 12 Mnths'!K:K)-SUMIF('Budget 12 Mnths'!$A:$A,'Detail 18-19'!$A224,'Budget 12 Mnths'!L:L)</f>
        <v>0</v>
      </c>
      <c r="M224" s="56"/>
      <c r="N224" s="56"/>
      <c r="O224" s="56"/>
      <c r="P224" s="56">
        <f t="shared" si="1"/>
        <v>0</v>
      </c>
      <c r="Q224" s="14" t="str">
        <f>+VLOOKUP(A224,Mapping!$A$1:$E$443,5,FALSE)</f>
        <v>Fixed Occupancy</v>
      </c>
      <c r="R224" s="26">
        <f>+SUMIF('Budget 12 Mnths'!$A:$A,'Detail 18-19'!$A224,'Budget 12 Mnths'!$P:$P)</f>
        <v>0</v>
      </c>
      <c r="S224" s="26">
        <f>+SUMIF('2015-16 12 Mnths'!$A:$A,'Detail 18-19'!$A224,'2015-16 12 Mnths'!$O:$O)</f>
        <v>0</v>
      </c>
      <c r="T224" s="57">
        <f t="shared" si="2"/>
        <v>0</v>
      </c>
      <c r="U224" s="57">
        <f t="shared" si="3"/>
        <v>0</v>
      </c>
      <c r="W224" s="27"/>
      <c r="X224" s="27" t="str">
        <f t="shared" si="110"/>
        <v/>
      </c>
      <c r="Z224" s="57">
        <f t="shared" si="107"/>
        <v>0</v>
      </c>
      <c r="AA224" s="57" t="str">
        <f>IFERROR(+VLOOKUP(A224,Key!$A$1:$C$219,2,FALSE),"NOT FOUND")</f>
        <v>7005-1U</v>
      </c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>
        <f t="shared" si="6"/>
        <v>0</v>
      </c>
    </row>
    <row r="225" ht="15.75" hidden="1" customHeight="1">
      <c r="A225" s="15" t="s">
        <v>614</v>
      </c>
      <c r="B225" s="15" t="s">
        <v>615</v>
      </c>
      <c r="C225" s="15" t="s">
        <v>119</v>
      </c>
      <c r="D225" s="56">
        <f>SUMIF('2015-16 12 Mnths'!$A:$A,'Detail 18-19'!$A225,'2015-16 12 Mnths'!C:C)-SUMIF('Budget 12 Mnths'!$A:$A,'Detail 18-19'!$A225,'Budget 12 Mnths'!D:D)</f>
        <v>0</v>
      </c>
      <c r="E225" s="56">
        <f>SUMIF('2015-16 12 Mnths'!$A:$A,'Detail 18-19'!$A225,'2015-16 12 Mnths'!D:D)-SUMIF('Budget 12 Mnths'!$A:$A,'Detail 18-19'!$A225,'Budget 12 Mnths'!E:E)</f>
        <v>0</v>
      </c>
      <c r="F225" s="56">
        <f>SUMIF('2015-16 12 Mnths'!$A:$A,'Detail 18-19'!$A225,'2015-16 12 Mnths'!E:E)-SUMIF('Budget 12 Mnths'!$A:$A,'Detail 18-19'!$A225,'Budget 12 Mnths'!F:F)</f>
        <v>0</v>
      </c>
      <c r="G225" s="56">
        <f>SUMIF('2015-16 12 Mnths'!$A:$A,'Detail 18-19'!$A225,'2015-16 12 Mnths'!F:F)-SUMIF('Budget 12 Mnths'!$A:$A,'Detail 18-19'!$A225,'Budget 12 Mnths'!G:G)</f>
        <v>0</v>
      </c>
      <c r="H225" s="56">
        <f>SUMIF('2015-16 12 Mnths'!$A:$A,'Detail 18-19'!$A225,'2015-16 12 Mnths'!G:G)-SUMIF('Budget 12 Mnths'!$A:$A,'Detail 18-19'!$A225,'Budget 12 Mnths'!H:H)</f>
        <v>0</v>
      </c>
      <c r="I225" s="56">
        <f>SUMIF('2015-16 12 Mnths'!$A:$A,'Detail 18-19'!$A225,'2015-16 12 Mnths'!H:H)-SUMIF('Budget 12 Mnths'!$A:$A,'Detail 18-19'!$A225,'Budget 12 Mnths'!I:I)</f>
        <v>0</v>
      </c>
      <c r="J225" s="56">
        <f>SUMIF('2015-16 12 Mnths'!$A:$A,'Detail 18-19'!$A225,'2015-16 12 Mnths'!I:I)-SUMIF('Budget 12 Mnths'!$A:$A,'Detail 18-19'!$A225,'Budget 12 Mnths'!J:J)</f>
        <v>0</v>
      </c>
      <c r="K225" s="56">
        <f>SUMIF('2015-16 12 Mnths'!$A:$A,'Detail 18-19'!$A225,'2015-16 12 Mnths'!J:J)-SUMIF('Budget 12 Mnths'!$A:$A,'Detail 18-19'!$A225,'Budget 12 Mnths'!K:K)</f>
        <v>0</v>
      </c>
      <c r="L225" s="56">
        <f>SUMIF('2015-16 12 Mnths'!$A:$A,'Detail 18-19'!$A225,'2015-16 12 Mnths'!K:K)-SUMIF('Budget 12 Mnths'!$A:$A,'Detail 18-19'!$A225,'Budget 12 Mnths'!L:L)</f>
        <v>0</v>
      </c>
      <c r="M225" s="56"/>
      <c r="N225" s="56"/>
      <c r="O225" s="56"/>
      <c r="P225" s="56">
        <f t="shared" si="1"/>
        <v>0</v>
      </c>
      <c r="Q225" s="14" t="str">
        <f>+VLOOKUP(A225,Mapping!$A$1:$E$443,5,FALSE)</f>
        <v>Fixed Occupancy</v>
      </c>
      <c r="R225" s="26">
        <f>+SUMIF('Budget 12 Mnths'!$A:$A,'Detail 18-19'!$A225,'Budget 12 Mnths'!$P:$P)</f>
        <v>0</v>
      </c>
      <c r="S225" s="26">
        <f>+SUMIF('2015-16 12 Mnths'!$A:$A,'Detail 18-19'!$A225,'2015-16 12 Mnths'!$O:$O)</f>
        <v>0</v>
      </c>
      <c r="T225" s="57">
        <f t="shared" si="2"/>
        <v>0</v>
      </c>
      <c r="U225" s="57">
        <f t="shared" si="3"/>
        <v>0</v>
      </c>
      <c r="W225" s="27"/>
      <c r="X225" s="27" t="str">
        <f t="shared" si="110"/>
        <v/>
      </c>
      <c r="Z225" s="57">
        <f t="shared" si="107"/>
        <v>0</v>
      </c>
      <c r="AA225" s="57" t="str">
        <f>IFERROR(+VLOOKUP(A225,Key!$A$1:$C$219,2,FALSE),"NOT FOUND")</f>
        <v>NOT FOUND</v>
      </c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>
        <f t="shared" si="6"/>
        <v>0</v>
      </c>
    </row>
    <row r="226" ht="15.75" hidden="1" customHeight="1">
      <c r="A226" s="15" t="s">
        <v>616</v>
      </c>
      <c r="B226" s="15" t="s">
        <v>617</v>
      </c>
      <c r="C226" s="15" t="s">
        <v>119</v>
      </c>
      <c r="D226" s="56">
        <f>SUMIF('2015-16 12 Mnths'!$A:$A,'Detail 18-19'!$A226,'2015-16 12 Mnths'!C:C)-SUMIF('Budget 12 Mnths'!$A:$A,'Detail 18-19'!$A226,'Budget 12 Mnths'!D:D)</f>
        <v>-15.99</v>
      </c>
      <c r="E226" s="56">
        <f>SUMIF('2015-16 12 Mnths'!$A:$A,'Detail 18-19'!$A226,'2015-16 12 Mnths'!D:D)-SUMIF('Budget 12 Mnths'!$A:$A,'Detail 18-19'!$A226,'Budget 12 Mnths'!E:E)</f>
        <v>-15.99</v>
      </c>
      <c r="F226" s="56">
        <f>SUMIF('2015-16 12 Mnths'!$A:$A,'Detail 18-19'!$A226,'2015-16 12 Mnths'!E:E)-SUMIF('Budget 12 Mnths'!$A:$A,'Detail 18-19'!$A226,'Budget 12 Mnths'!F:F)</f>
        <v>-264.74</v>
      </c>
      <c r="G226" s="56">
        <f>SUMIF('2015-16 12 Mnths'!$A:$A,'Detail 18-19'!$A226,'2015-16 12 Mnths'!F:F)-SUMIF('Budget 12 Mnths'!$A:$A,'Detail 18-19'!$A226,'Budget 12 Mnths'!G:G)</f>
        <v>-210.28</v>
      </c>
      <c r="H226" s="56">
        <f>SUMIF('2015-16 12 Mnths'!$A:$A,'Detail 18-19'!$A226,'2015-16 12 Mnths'!G:G)-SUMIF('Budget 12 Mnths'!$A:$A,'Detail 18-19'!$A226,'Budget 12 Mnths'!H:H)</f>
        <v>-155.04</v>
      </c>
      <c r="I226" s="56">
        <f>SUMIF('2015-16 12 Mnths'!$A:$A,'Detail 18-19'!$A226,'2015-16 12 Mnths'!H:H)-SUMIF('Budget 12 Mnths'!$A:$A,'Detail 18-19'!$A226,'Budget 12 Mnths'!I:I)</f>
        <v>-155.04</v>
      </c>
      <c r="J226" s="56">
        <f>SUMIF('2015-16 12 Mnths'!$A:$A,'Detail 18-19'!$A226,'2015-16 12 Mnths'!I:I)-SUMIF('Budget 12 Mnths'!$A:$A,'Detail 18-19'!$A226,'Budget 12 Mnths'!J:J)</f>
        <v>-148.89</v>
      </c>
      <c r="K226" s="56">
        <f>SUMIF('2015-16 12 Mnths'!$A:$A,'Detail 18-19'!$A226,'2015-16 12 Mnths'!J:J)-SUMIF('Budget 12 Mnths'!$A:$A,'Detail 18-19'!$A226,'Budget 12 Mnths'!K:K)</f>
        <v>-140.24</v>
      </c>
      <c r="L226" s="56">
        <f>SUMIF('2015-16 12 Mnths'!$A:$A,'Detail 18-19'!$A226,'2015-16 12 Mnths'!K:K)-SUMIF('Budget 12 Mnths'!$A:$A,'Detail 18-19'!$A226,'Budget 12 Mnths'!L:L)</f>
        <v>52.85</v>
      </c>
      <c r="M226" s="56"/>
      <c r="N226" s="56"/>
      <c r="O226" s="56"/>
      <c r="P226" s="56">
        <f t="shared" si="1"/>
        <v>-1053.36</v>
      </c>
      <c r="Q226" s="14" t="str">
        <f>+VLOOKUP(A226,Mapping!$A$1:$E$443,5,FALSE)</f>
        <v>Variable Occupancy</v>
      </c>
      <c r="R226" s="26">
        <f>+SUMIF('Budget 12 Mnths'!$A:$A,'Detail 18-19'!$A226,'Budget 12 Mnths'!$P:$P)</f>
        <v>3999.96</v>
      </c>
      <c r="S226" s="26">
        <f>+SUMIF('2015-16 12 Mnths'!$A:$A,'Detail 18-19'!$A226,'2015-16 12 Mnths'!$O:$O)</f>
        <v>1946.61</v>
      </c>
      <c r="T226" s="57">
        <f t="shared" si="2"/>
        <v>-0.2633426334</v>
      </c>
      <c r="U226" s="57">
        <f t="shared" si="3"/>
        <v>-0.541125341</v>
      </c>
      <c r="V226" s="8" t="s">
        <v>594</v>
      </c>
      <c r="W226" s="27"/>
      <c r="X226" s="27" t="str">
        <f t="shared" si="110"/>
        <v/>
      </c>
      <c r="Z226" s="57">
        <f t="shared" si="107"/>
        <v>0</v>
      </c>
      <c r="AA226" s="57" t="str">
        <f>IFERROR(+VLOOKUP(A226,Key!$A$1:$C$219,2,FALSE),"NOT FOUND")</f>
        <v>NOT FOUND</v>
      </c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>
        <f t="shared" si="6"/>
        <v>0</v>
      </c>
    </row>
    <row r="227" ht="15.75" hidden="1" customHeight="1">
      <c r="A227" s="15" t="s">
        <v>618</v>
      </c>
      <c r="B227" s="15" t="s">
        <v>619</v>
      </c>
      <c r="C227" s="15" t="s">
        <v>119</v>
      </c>
      <c r="D227" s="56">
        <f>SUMIF('2015-16 12 Mnths'!$A:$A,'Detail 18-19'!$A227,'2015-16 12 Mnths'!C:C)-SUMIF('Budget 12 Mnths'!$A:$A,'Detail 18-19'!$A227,'Budget 12 Mnths'!D:D)</f>
        <v>8.48</v>
      </c>
      <c r="E227" s="56">
        <f>SUMIF('2015-16 12 Mnths'!$A:$A,'Detail 18-19'!$A227,'2015-16 12 Mnths'!D:D)-SUMIF('Budget 12 Mnths'!$A:$A,'Detail 18-19'!$A227,'Budget 12 Mnths'!E:E)</f>
        <v>30.74</v>
      </c>
      <c r="F227" s="56">
        <f>SUMIF('2015-16 12 Mnths'!$A:$A,'Detail 18-19'!$A227,'2015-16 12 Mnths'!E:E)-SUMIF('Budget 12 Mnths'!$A:$A,'Detail 18-19'!$A227,'Budget 12 Mnths'!F:F)</f>
        <v>-10.35</v>
      </c>
      <c r="G227" s="56">
        <f>SUMIF('2015-16 12 Mnths'!$A:$A,'Detail 18-19'!$A227,'2015-16 12 Mnths'!F:F)-SUMIF('Budget 12 Mnths'!$A:$A,'Detail 18-19'!$A227,'Budget 12 Mnths'!G:G)</f>
        <v>39.88</v>
      </c>
      <c r="H227" s="56">
        <f>SUMIF('2015-16 12 Mnths'!$A:$A,'Detail 18-19'!$A227,'2015-16 12 Mnths'!G:G)-SUMIF('Budget 12 Mnths'!$A:$A,'Detail 18-19'!$A227,'Budget 12 Mnths'!H:H)</f>
        <v>-7.27</v>
      </c>
      <c r="I227" s="56">
        <f>SUMIF('2015-16 12 Mnths'!$A:$A,'Detail 18-19'!$A227,'2015-16 12 Mnths'!H:H)-SUMIF('Budget 12 Mnths'!$A:$A,'Detail 18-19'!$A227,'Budget 12 Mnths'!I:I)</f>
        <v>42.38</v>
      </c>
      <c r="J227" s="56">
        <f>SUMIF('2015-16 12 Mnths'!$A:$A,'Detail 18-19'!$A227,'2015-16 12 Mnths'!I:I)-SUMIF('Budget 12 Mnths'!$A:$A,'Detail 18-19'!$A227,'Budget 12 Mnths'!J:J)</f>
        <v>-15.83</v>
      </c>
      <c r="K227" s="56">
        <f>SUMIF('2015-16 12 Mnths'!$A:$A,'Detail 18-19'!$A227,'2015-16 12 Mnths'!J:J)-SUMIF('Budget 12 Mnths'!$A:$A,'Detail 18-19'!$A227,'Budget 12 Mnths'!K:K)</f>
        <v>-4.87</v>
      </c>
      <c r="L227" s="56">
        <f>SUMIF('2015-16 12 Mnths'!$A:$A,'Detail 18-19'!$A227,'2015-16 12 Mnths'!K:K)-SUMIF('Budget 12 Mnths'!$A:$A,'Detail 18-19'!$A227,'Budget 12 Mnths'!L:L)</f>
        <v>89.04</v>
      </c>
      <c r="M227" s="56"/>
      <c r="N227" s="56"/>
      <c r="O227" s="56"/>
      <c r="P227" s="56">
        <f t="shared" si="1"/>
        <v>172.2</v>
      </c>
      <c r="Q227" s="14" t="str">
        <f>+VLOOKUP(A227,Mapping!$A$1:$E$443,5,FALSE)</f>
        <v>Variable Occupancy</v>
      </c>
      <c r="R227" s="26">
        <f>+SUMIF('Budget 12 Mnths'!$A:$A,'Detail 18-19'!$A227,'Budget 12 Mnths'!$P:$P)</f>
        <v>3000</v>
      </c>
      <c r="S227" s="26">
        <f>+SUMIF('2015-16 12 Mnths'!$A:$A,'Detail 18-19'!$A227,'2015-16 12 Mnths'!$O:$O)</f>
        <v>2422.2</v>
      </c>
      <c r="T227" s="57">
        <f t="shared" si="2"/>
        <v>0.0574</v>
      </c>
      <c r="U227" s="57">
        <f t="shared" si="3"/>
        <v>0.07109239534</v>
      </c>
      <c r="V227" s="8" t="s">
        <v>594</v>
      </c>
      <c r="W227" s="27"/>
      <c r="X227" s="27" t="str">
        <f t="shared" si="110"/>
        <v/>
      </c>
      <c r="Z227" s="57">
        <f t="shared" si="107"/>
        <v>0</v>
      </c>
      <c r="AA227" s="57" t="str">
        <f>IFERROR(+VLOOKUP(A227,Key!$A$1:$C$219,2,FALSE),"NOT FOUND")</f>
        <v>NOT FOUND</v>
      </c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>
        <f t="shared" si="6"/>
        <v>0</v>
      </c>
    </row>
    <row r="228" ht="15.75" hidden="1" customHeight="1">
      <c r="A228" s="15" t="s">
        <v>620</v>
      </c>
      <c r="B228" s="15" t="s">
        <v>621</v>
      </c>
      <c r="C228" s="15" t="s">
        <v>119</v>
      </c>
      <c r="D228" s="56">
        <f>SUMIF('2015-16 12 Mnths'!$A:$A,'Detail 18-19'!$A228,'2015-16 12 Mnths'!C:C)-SUMIF('Budget 12 Mnths'!$A:$A,'Detail 18-19'!$A228,'Budget 12 Mnths'!D:D)</f>
        <v>24.26</v>
      </c>
      <c r="E228" s="56">
        <f>SUMIF('2015-16 12 Mnths'!$A:$A,'Detail 18-19'!$A228,'2015-16 12 Mnths'!D:D)-SUMIF('Budget 12 Mnths'!$A:$A,'Detail 18-19'!$A228,'Budget 12 Mnths'!E:E)</f>
        <v>19.8</v>
      </c>
      <c r="F228" s="56">
        <f>SUMIF('2015-16 12 Mnths'!$A:$A,'Detail 18-19'!$A228,'2015-16 12 Mnths'!E:E)-SUMIF('Budget 12 Mnths'!$A:$A,'Detail 18-19'!$A228,'Budget 12 Mnths'!F:F)</f>
        <v>19.8</v>
      </c>
      <c r="G228" s="56">
        <f>SUMIF('2015-16 12 Mnths'!$A:$A,'Detail 18-19'!$A228,'2015-16 12 Mnths'!F:F)-SUMIF('Budget 12 Mnths'!$A:$A,'Detail 18-19'!$A228,'Budget 12 Mnths'!G:G)</f>
        <v>-811.82</v>
      </c>
      <c r="H228" s="56">
        <f>SUMIF('2015-16 12 Mnths'!$A:$A,'Detail 18-19'!$A228,'2015-16 12 Mnths'!G:G)-SUMIF('Budget 12 Mnths'!$A:$A,'Detail 18-19'!$A228,'Budget 12 Mnths'!H:H)</f>
        <v>-806.32</v>
      </c>
      <c r="I228" s="56">
        <f>SUMIF('2015-16 12 Mnths'!$A:$A,'Detail 18-19'!$A228,'2015-16 12 Mnths'!H:H)-SUMIF('Budget 12 Mnths'!$A:$A,'Detail 18-19'!$A228,'Budget 12 Mnths'!I:I)</f>
        <v>-677.54</v>
      </c>
      <c r="J228" s="56">
        <f>SUMIF('2015-16 12 Mnths'!$A:$A,'Detail 18-19'!$A228,'2015-16 12 Mnths'!I:I)-SUMIF('Budget 12 Mnths'!$A:$A,'Detail 18-19'!$A228,'Budget 12 Mnths'!J:J)</f>
        <v>-159.34</v>
      </c>
      <c r="K228" s="56">
        <f>SUMIF('2015-16 12 Mnths'!$A:$A,'Detail 18-19'!$A228,'2015-16 12 Mnths'!J:J)-SUMIF('Budget 12 Mnths'!$A:$A,'Detail 18-19'!$A228,'Budget 12 Mnths'!K:K)</f>
        <v>195.5</v>
      </c>
      <c r="L228" s="56">
        <f>SUMIF('2015-16 12 Mnths'!$A:$A,'Detail 18-19'!$A228,'2015-16 12 Mnths'!K:K)-SUMIF('Budget 12 Mnths'!$A:$A,'Detail 18-19'!$A228,'Budget 12 Mnths'!L:L)</f>
        <v>346.39</v>
      </c>
      <c r="M228" s="56"/>
      <c r="N228" s="56"/>
      <c r="O228" s="56"/>
      <c r="P228" s="56">
        <f t="shared" si="1"/>
        <v>-1849.27</v>
      </c>
      <c r="Q228" s="14" t="str">
        <f>+VLOOKUP(A228,Mapping!$A$1:$E$443,5,FALSE)</f>
        <v>Variable Occupancy</v>
      </c>
      <c r="R228" s="26">
        <f>+SUMIF('Budget 12 Mnths'!$A:$A,'Detail 18-19'!$A228,'Budget 12 Mnths'!$P:$P)</f>
        <v>4999.98</v>
      </c>
      <c r="S228" s="26">
        <f>+SUMIF('2015-16 12 Mnths'!$A:$A,'Detail 18-19'!$A228,'2015-16 12 Mnths'!$O:$O)</f>
        <v>3150.71</v>
      </c>
      <c r="T228" s="57">
        <f t="shared" si="2"/>
        <v>-0.3698554794</v>
      </c>
      <c r="U228" s="57">
        <f t="shared" si="3"/>
        <v>-0.5869375474</v>
      </c>
      <c r="V228" s="8" t="s">
        <v>594</v>
      </c>
      <c r="W228" s="27"/>
      <c r="X228" s="27" t="str">
        <f t="shared" si="110"/>
        <v/>
      </c>
      <c r="Z228" s="57">
        <f t="shared" si="107"/>
        <v>0</v>
      </c>
      <c r="AA228" s="57" t="str">
        <f>IFERROR(+VLOOKUP(A228,Key!$A$1:$C$219,2,FALSE),"NOT FOUND")</f>
        <v>NOT FOUND</v>
      </c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>
        <f t="shared" si="6"/>
        <v>0</v>
      </c>
    </row>
    <row r="229" ht="15.75" hidden="1" customHeight="1">
      <c r="A229" s="15" t="s">
        <v>622</v>
      </c>
      <c r="B229" s="15" t="s">
        <v>623</v>
      </c>
      <c r="C229" s="15" t="s">
        <v>119</v>
      </c>
      <c r="D229" s="56">
        <f>SUMIF('2015-16 12 Mnths'!$A:$A,'Detail 18-19'!$A229,'2015-16 12 Mnths'!C:C)-SUMIF('Budget 12 Mnths'!$A:$A,'Detail 18-19'!$A229,'Budget 12 Mnths'!D:D)</f>
        <v>-920.52</v>
      </c>
      <c r="E229" s="56">
        <f>SUMIF('2015-16 12 Mnths'!$A:$A,'Detail 18-19'!$A229,'2015-16 12 Mnths'!D:D)-SUMIF('Budget 12 Mnths'!$A:$A,'Detail 18-19'!$A229,'Budget 12 Mnths'!E:E)</f>
        <v>-327.43</v>
      </c>
      <c r="F229" s="56">
        <f>SUMIF('2015-16 12 Mnths'!$A:$A,'Detail 18-19'!$A229,'2015-16 12 Mnths'!E:E)-SUMIF('Budget 12 Mnths'!$A:$A,'Detail 18-19'!$A229,'Budget 12 Mnths'!F:F)</f>
        <v>-652.91</v>
      </c>
      <c r="G229" s="56">
        <f>SUMIF('2015-16 12 Mnths'!$A:$A,'Detail 18-19'!$A229,'2015-16 12 Mnths'!F:F)-SUMIF('Budget 12 Mnths'!$A:$A,'Detail 18-19'!$A229,'Budget 12 Mnths'!G:G)</f>
        <v>659</v>
      </c>
      <c r="H229" s="56">
        <f>SUMIF('2015-16 12 Mnths'!$A:$A,'Detail 18-19'!$A229,'2015-16 12 Mnths'!G:G)-SUMIF('Budget 12 Mnths'!$A:$A,'Detail 18-19'!$A229,'Budget 12 Mnths'!H:H)</f>
        <v>-113.21</v>
      </c>
      <c r="I229" s="56">
        <f>SUMIF('2015-16 12 Mnths'!$A:$A,'Detail 18-19'!$A229,'2015-16 12 Mnths'!H:H)-SUMIF('Budget 12 Mnths'!$A:$A,'Detail 18-19'!$A229,'Budget 12 Mnths'!I:I)</f>
        <v>-246.61</v>
      </c>
      <c r="J229" s="56">
        <f>SUMIF('2015-16 12 Mnths'!$A:$A,'Detail 18-19'!$A229,'2015-16 12 Mnths'!I:I)-SUMIF('Budget 12 Mnths'!$A:$A,'Detail 18-19'!$A229,'Budget 12 Mnths'!J:J)</f>
        <v>-295.11</v>
      </c>
      <c r="K229" s="56">
        <f>SUMIF('2015-16 12 Mnths'!$A:$A,'Detail 18-19'!$A229,'2015-16 12 Mnths'!J:J)-SUMIF('Budget 12 Mnths'!$A:$A,'Detail 18-19'!$A229,'Budget 12 Mnths'!K:K)</f>
        <v>169.47</v>
      </c>
      <c r="L229" s="56">
        <f>SUMIF('2015-16 12 Mnths'!$A:$A,'Detail 18-19'!$A229,'2015-16 12 Mnths'!K:K)-SUMIF('Budget 12 Mnths'!$A:$A,'Detail 18-19'!$A229,'Budget 12 Mnths'!L:L)</f>
        <v>124.08</v>
      </c>
      <c r="M229" s="56"/>
      <c r="N229" s="56"/>
      <c r="O229" s="56"/>
      <c r="P229" s="56">
        <f t="shared" si="1"/>
        <v>-1603.24</v>
      </c>
      <c r="Q229" s="14" t="str">
        <f>+VLOOKUP(A229,Mapping!$A$1:$E$443,5,FALSE)</f>
        <v>Variable Occupancy</v>
      </c>
      <c r="R229" s="26">
        <f>+SUMIF('Budget 12 Mnths'!$A:$A,'Detail 18-19'!$A229,'Budget 12 Mnths'!$P:$P)</f>
        <v>22999.98</v>
      </c>
      <c r="S229" s="26">
        <f>+SUMIF('2015-16 12 Mnths'!$A:$A,'Detail 18-19'!$A229,'2015-16 12 Mnths'!$O:$O)</f>
        <v>13346.75</v>
      </c>
      <c r="T229" s="57">
        <f t="shared" si="2"/>
        <v>-0.06970614757</v>
      </c>
      <c r="U229" s="57">
        <f t="shared" si="3"/>
        <v>-0.1201221271</v>
      </c>
      <c r="V229" s="8" t="s">
        <v>594</v>
      </c>
      <c r="W229" s="27"/>
      <c r="X229" s="27" t="str">
        <f t="shared" si="110"/>
        <v/>
      </c>
      <c r="Z229" s="57">
        <f t="shared" si="107"/>
        <v>0</v>
      </c>
      <c r="AA229" s="57" t="str">
        <f>IFERROR(+VLOOKUP(A229,Key!$A$1:$C$219,2,FALSE),"NOT FOUND")</f>
        <v>NOT FOUND</v>
      </c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>
        <f t="shared" si="6"/>
        <v>0</v>
      </c>
    </row>
    <row r="230" ht="15.75" hidden="1" customHeight="1">
      <c r="A230" s="15" t="s">
        <v>624</v>
      </c>
      <c r="B230" s="15" t="s">
        <v>625</v>
      </c>
      <c r="C230" s="15" t="s">
        <v>119</v>
      </c>
      <c r="D230" s="56">
        <f>SUMIF('2015-16 12 Mnths'!$A:$A,'Detail 18-19'!$A230,'2015-16 12 Mnths'!C:C)-SUMIF('Budget 12 Mnths'!$A:$A,'Detail 18-19'!$A230,'Budget 12 Mnths'!D:D)</f>
        <v>0</v>
      </c>
      <c r="E230" s="56">
        <f>SUMIF('2015-16 12 Mnths'!$A:$A,'Detail 18-19'!$A230,'2015-16 12 Mnths'!D:D)-SUMIF('Budget 12 Mnths'!$A:$A,'Detail 18-19'!$A230,'Budget 12 Mnths'!E:E)</f>
        <v>0</v>
      </c>
      <c r="F230" s="56">
        <f>SUMIF('2015-16 12 Mnths'!$A:$A,'Detail 18-19'!$A230,'2015-16 12 Mnths'!E:E)-SUMIF('Budget 12 Mnths'!$A:$A,'Detail 18-19'!$A230,'Budget 12 Mnths'!F:F)</f>
        <v>0</v>
      </c>
      <c r="G230" s="56">
        <f>SUMIF('2015-16 12 Mnths'!$A:$A,'Detail 18-19'!$A230,'2015-16 12 Mnths'!F:F)-SUMIF('Budget 12 Mnths'!$A:$A,'Detail 18-19'!$A230,'Budget 12 Mnths'!G:G)</f>
        <v>0</v>
      </c>
      <c r="H230" s="56">
        <f>SUMIF('2015-16 12 Mnths'!$A:$A,'Detail 18-19'!$A230,'2015-16 12 Mnths'!G:G)-SUMIF('Budget 12 Mnths'!$A:$A,'Detail 18-19'!$A230,'Budget 12 Mnths'!H:H)</f>
        <v>0</v>
      </c>
      <c r="I230" s="56">
        <f>SUMIF('2015-16 12 Mnths'!$A:$A,'Detail 18-19'!$A230,'2015-16 12 Mnths'!H:H)-SUMIF('Budget 12 Mnths'!$A:$A,'Detail 18-19'!$A230,'Budget 12 Mnths'!I:I)</f>
        <v>0</v>
      </c>
      <c r="J230" s="56">
        <f>SUMIF('2015-16 12 Mnths'!$A:$A,'Detail 18-19'!$A230,'2015-16 12 Mnths'!I:I)-SUMIF('Budget 12 Mnths'!$A:$A,'Detail 18-19'!$A230,'Budget 12 Mnths'!J:J)</f>
        <v>0</v>
      </c>
      <c r="K230" s="56">
        <f>SUMIF('2015-16 12 Mnths'!$A:$A,'Detail 18-19'!$A230,'2015-16 12 Mnths'!J:J)-SUMIF('Budget 12 Mnths'!$A:$A,'Detail 18-19'!$A230,'Budget 12 Mnths'!K:K)</f>
        <v>0</v>
      </c>
      <c r="L230" s="56">
        <f>SUMIF('2015-16 12 Mnths'!$A:$A,'Detail 18-19'!$A230,'2015-16 12 Mnths'!K:K)-SUMIF('Budget 12 Mnths'!$A:$A,'Detail 18-19'!$A230,'Budget 12 Mnths'!L:L)</f>
        <v>0</v>
      </c>
      <c r="M230" s="56"/>
      <c r="N230" s="56"/>
      <c r="O230" s="56"/>
      <c r="P230" s="56">
        <f t="shared" si="1"/>
        <v>0</v>
      </c>
      <c r="Q230" s="14" t="str">
        <f>+VLOOKUP(A230,Mapping!$A$1:$E$443,5,FALSE)</f>
        <v>Variable Occupancy</v>
      </c>
      <c r="R230" s="26">
        <f>+SUMIF('Budget 12 Mnths'!$A:$A,'Detail 18-19'!$A230,'Budget 12 Mnths'!$P:$P)</f>
        <v>0</v>
      </c>
      <c r="S230" s="26">
        <f>+SUMIF('2015-16 12 Mnths'!$A:$A,'Detail 18-19'!$A230,'2015-16 12 Mnths'!$O:$O)</f>
        <v>0</v>
      </c>
      <c r="T230" s="57">
        <f t="shared" si="2"/>
        <v>0</v>
      </c>
      <c r="U230" s="57">
        <f t="shared" si="3"/>
        <v>0</v>
      </c>
      <c r="W230" s="27"/>
      <c r="X230" s="27" t="str">
        <f t="shared" si="110"/>
        <v/>
      </c>
      <c r="Z230" s="57">
        <f t="shared" si="107"/>
        <v>0</v>
      </c>
      <c r="AA230" s="57" t="str">
        <f>IFERROR(+VLOOKUP(A230,Key!$A$1:$C$219,2,FALSE),"NOT FOUND")</f>
        <v>NOT FOUND</v>
      </c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>
        <f t="shared" si="6"/>
        <v>0</v>
      </c>
    </row>
    <row r="231" ht="15.75" customHeight="1">
      <c r="A231" s="15" t="s">
        <v>628</v>
      </c>
      <c r="B231" s="15" t="s">
        <v>629</v>
      </c>
      <c r="C231" s="15" t="s">
        <v>119</v>
      </c>
      <c r="D231" s="56">
        <f>SUMIF('2015-16 12 Mnths'!$A:$A,'Detail 18-19'!$A231,'2015-16 12 Mnths'!C:C)-SUMIF('Budget 12 Mnths'!$A:$A,'Detail 18-19'!$A231,'Budget 12 Mnths'!D:D)</f>
        <v>-69.19</v>
      </c>
      <c r="E231" s="56">
        <f>SUMIF('2015-16 12 Mnths'!$A:$A,'Detail 18-19'!$A231,'2015-16 12 Mnths'!D:D)-SUMIF('Budget 12 Mnths'!$A:$A,'Detail 18-19'!$A231,'Budget 12 Mnths'!E:E)</f>
        <v>-70.54</v>
      </c>
      <c r="F231" s="56">
        <f>SUMIF('2015-16 12 Mnths'!$A:$A,'Detail 18-19'!$A231,'2015-16 12 Mnths'!E:E)-SUMIF('Budget 12 Mnths'!$A:$A,'Detail 18-19'!$A231,'Budget 12 Mnths'!F:F)</f>
        <v>19.05</v>
      </c>
      <c r="G231" s="56">
        <f>SUMIF('2015-16 12 Mnths'!$A:$A,'Detail 18-19'!$A231,'2015-16 12 Mnths'!F:F)-SUMIF('Budget 12 Mnths'!$A:$A,'Detail 18-19'!$A231,'Budget 12 Mnths'!G:G)</f>
        <v>27.26</v>
      </c>
      <c r="H231" s="56">
        <f>SUMIF('2015-16 12 Mnths'!$A:$A,'Detail 18-19'!$A231,'2015-16 12 Mnths'!G:G)-SUMIF('Budget 12 Mnths'!$A:$A,'Detail 18-19'!$A231,'Budget 12 Mnths'!H:H)</f>
        <v>-7.81</v>
      </c>
      <c r="I231" s="56">
        <f>SUMIF('2015-16 12 Mnths'!$A:$A,'Detail 18-19'!$A231,'2015-16 12 Mnths'!H:H)-SUMIF('Budget 12 Mnths'!$A:$A,'Detail 18-19'!$A231,'Budget 12 Mnths'!I:I)</f>
        <v>35.52</v>
      </c>
      <c r="J231" s="56">
        <f>SUMIF('2015-16 12 Mnths'!$A:$A,'Detail 18-19'!$A231,'2015-16 12 Mnths'!I:I)-SUMIF('Budget 12 Mnths'!$A:$A,'Detail 18-19'!$A231,'Budget 12 Mnths'!J:J)</f>
        <v>-27.88</v>
      </c>
      <c r="K231" s="56">
        <f>SUMIF('2015-16 12 Mnths'!$A:$A,'Detail 18-19'!$A231,'2015-16 12 Mnths'!J:J)-SUMIF('Budget 12 Mnths'!$A:$A,'Detail 18-19'!$A231,'Budget 12 Mnths'!K:K)</f>
        <v>-9.26</v>
      </c>
      <c r="L231" s="56">
        <f>SUMIF('2015-16 12 Mnths'!$A:$A,'Detail 18-19'!$A231,'2015-16 12 Mnths'!K:K)-SUMIF('Budget 12 Mnths'!$A:$A,'Detail 18-19'!$A231,'Budget 12 Mnths'!L:L)</f>
        <v>10.66</v>
      </c>
      <c r="M231" s="56"/>
      <c r="N231" s="56"/>
      <c r="O231" s="56"/>
      <c r="P231" s="56">
        <f t="shared" si="1"/>
        <v>-92.19</v>
      </c>
      <c r="Q231" s="14" t="str">
        <f>+VLOOKUP(A231,Mapping!$A$1:$E$443,5,FALSE)</f>
        <v>Equipment</v>
      </c>
      <c r="R231" s="26">
        <f>+SUMIF('Budget 12 Mnths'!$A:$A,'Detail 18-19'!$A231,'Budget 12 Mnths'!$P:$P)</f>
        <v>3500.04</v>
      </c>
      <c r="S231" s="26">
        <f>+SUMIF('2015-16 12 Mnths'!$A:$A,'Detail 18-19'!$A231,'2015-16 12 Mnths'!$O:$O)</f>
        <v>2812.91</v>
      </c>
      <c r="T231" s="57">
        <f t="shared" si="2"/>
        <v>-0.02633969897</v>
      </c>
      <c r="U231" s="57">
        <f t="shared" si="3"/>
        <v>-0.03277388896</v>
      </c>
      <c r="V231" s="8" t="s">
        <v>594</v>
      </c>
      <c r="W231" s="27"/>
      <c r="X231" s="27">
        <v>4500.0</v>
      </c>
      <c r="Z231" s="57">
        <f t="shared" si="107"/>
        <v>2250</v>
      </c>
      <c r="AA231" s="57" t="str">
        <f>IFERROR(+VLOOKUP(A231,Key!$A$1:$C$219,2,FALSE),"NOT FOUND")</f>
        <v>7100-1U</v>
      </c>
      <c r="AB231" s="27">
        <v>4000.0</v>
      </c>
      <c r="AC231" s="57">
        <f t="shared" ref="AC231:AN231" si="113">+$AB231/12</f>
        <v>333.3333333</v>
      </c>
      <c r="AD231" s="57">
        <f t="shared" si="113"/>
        <v>333.3333333</v>
      </c>
      <c r="AE231" s="57">
        <f t="shared" si="113"/>
        <v>333.3333333</v>
      </c>
      <c r="AF231" s="57">
        <f t="shared" si="113"/>
        <v>333.3333333</v>
      </c>
      <c r="AG231" s="57">
        <f t="shared" si="113"/>
        <v>333.3333333</v>
      </c>
      <c r="AH231" s="57">
        <f t="shared" si="113"/>
        <v>333.3333333</v>
      </c>
      <c r="AI231" s="57">
        <f t="shared" si="113"/>
        <v>333.3333333</v>
      </c>
      <c r="AJ231" s="57">
        <f t="shared" si="113"/>
        <v>333.3333333</v>
      </c>
      <c r="AK231" s="57">
        <f t="shared" si="113"/>
        <v>333.3333333</v>
      </c>
      <c r="AL231" s="57">
        <f t="shared" si="113"/>
        <v>333.3333333</v>
      </c>
      <c r="AM231" s="57">
        <f t="shared" si="113"/>
        <v>333.3333333</v>
      </c>
      <c r="AN231" s="57">
        <f t="shared" si="113"/>
        <v>333.3333333</v>
      </c>
      <c r="AO231" s="27">
        <f t="shared" si="6"/>
        <v>0</v>
      </c>
    </row>
    <row r="232" ht="15.75" hidden="1" customHeight="1">
      <c r="A232" s="15" t="s">
        <v>630</v>
      </c>
      <c r="B232" s="15" t="s">
        <v>631</v>
      </c>
      <c r="C232" s="15" t="s">
        <v>119</v>
      </c>
      <c r="D232" s="56">
        <f>SUMIF('2015-16 12 Mnths'!$A:$A,'Detail 18-19'!$A232,'2015-16 12 Mnths'!C:C)-SUMIF('Budget 12 Mnths'!$A:$A,'Detail 18-19'!$A232,'Budget 12 Mnths'!D:D)</f>
        <v>-150</v>
      </c>
      <c r="E232" s="56">
        <f>SUMIF('2015-16 12 Mnths'!$A:$A,'Detail 18-19'!$A232,'2015-16 12 Mnths'!D:D)-SUMIF('Budget 12 Mnths'!$A:$A,'Detail 18-19'!$A232,'Budget 12 Mnths'!E:E)</f>
        <v>-150</v>
      </c>
      <c r="F232" s="56">
        <f>SUMIF('2015-16 12 Mnths'!$A:$A,'Detail 18-19'!$A232,'2015-16 12 Mnths'!E:E)-SUMIF('Budget 12 Mnths'!$A:$A,'Detail 18-19'!$A232,'Budget 12 Mnths'!F:F)</f>
        <v>-150</v>
      </c>
      <c r="G232" s="56">
        <f>SUMIF('2015-16 12 Mnths'!$A:$A,'Detail 18-19'!$A232,'2015-16 12 Mnths'!F:F)-SUMIF('Budget 12 Mnths'!$A:$A,'Detail 18-19'!$A232,'Budget 12 Mnths'!G:G)</f>
        <v>0</v>
      </c>
      <c r="H232" s="56">
        <f>SUMIF('2015-16 12 Mnths'!$A:$A,'Detail 18-19'!$A232,'2015-16 12 Mnths'!G:G)-SUMIF('Budget 12 Mnths'!$A:$A,'Detail 18-19'!$A232,'Budget 12 Mnths'!H:H)</f>
        <v>0</v>
      </c>
      <c r="I232" s="56">
        <f>SUMIF('2015-16 12 Mnths'!$A:$A,'Detail 18-19'!$A232,'2015-16 12 Mnths'!H:H)-SUMIF('Budget 12 Mnths'!$A:$A,'Detail 18-19'!$A232,'Budget 12 Mnths'!I:I)</f>
        <v>0</v>
      </c>
      <c r="J232" s="56">
        <f>SUMIF('2015-16 12 Mnths'!$A:$A,'Detail 18-19'!$A232,'2015-16 12 Mnths'!I:I)-SUMIF('Budget 12 Mnths'!$A:$A,'Detail 18-19'!$A232,'Budget 12 Mnths'!J:J)</f>
        <v>0</v>
      </c>
      <c r="K232" s="56">
        <f>SUMIF('2015-16 12 Mnths'!$A:$A,'Detail 18-19'!$A232,'2015-16 12 Mnths'!J:J)-SUMIF('Budget 12 Mnths'!$A:$A,'Detail 18-19'!$A232,'Budget 12 Mnths'!K:K)</f>
        <v>0</v>
      </c>
      <c r="L232" s="56">
        <f>SUMIF('2015-16 12 Mnths'!$A:$A,'Detail 18-19'!$A232,'2015-16 12 Mnths'!K:K)-SUMIF('Budget 12 Mnths'!$A:$A,'Detail 18-19'!$A232,'Budget 12 Mnths'!L:L)</f>
        <v>0</v>
      </c>
      <c r="M232" s="56"/>
      <c r="N232" s="56"/>
      <c r="O232" s="56"/>
      <c r="P232" s="56">
        <f t="shared" si="1"/>
        <v>-450</v>
      </c>
      <c r="Q232" s="14" t="str">
        <f>+VLOOKUP(A232,Mapping!$A$1:$E$443,5,FALSE)</f>
        <v>Equipment</v>
      </c>
      <c r="R232" s="26">
        <f>+SUMIF('Budget 12 Mnths'!$A:$A,'Detail 18-19'!$A232,'Budget 12 Mnths'!$P:$P)</f>
        <v>500.01</v>
      </c>
      <c r="S232" s="26">
        <f>+SUMIF('2015-16 12 Mnths'!$A:$A,'Detail 18-19'!$A232,'2015-16 12 Mnths'!$O:$O)</f>
        <v>0</v>
      </c>
      <c r="T232" s="57">
        <f t="shared" si="2"/>
        <v>-0.8999820004</v>
      </c>
      <c r="U232" s="57">
        <f t="shared" si="3"/>
        <v>0</v>
      </c>
      <c r="V232" s="8" t="s">
        <v>594</v>
      </c>
      <c r="W232" s="27"/>
      <c r="X232" s="27" t="str">
        <f t="shared" ref="X232:X244" si="114">+W232</f>
        <v/>
      </c>
      <c r="Z232" s="57">
        <f t="shared" si="107"/>
        <v>0</v>
      </c>
      <c r="AA232" s="57" t="str">
        <f>IFERROR(+VLOOKUP(A232,Key!$A$1:$C$219,2,FALSE),"NOT FOUND")</f>
        <v>7105-1U</v>
      </c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>
        <f t="shared" si="6"/>
        <v>0</v>
      </c>
    </row>
    <row r="233" ht="15.75" hidden="1" customHeight="1">
      <c r="A233" s="15" t="s">
        <v>632</v>
      </c>
      <c r="B233" s="15" t="s">
        <v>633</v>
      </c>
      <c r="C233" s="15" t="s">
        <v>119</v>
      </c>
      <c r="D233" s="56">
        <f>SUMIF('2015-16 12 Mnths'!$A:$A,'Detail 18-19'!$A233,'2015-16 12 Mnths'!C:C)-SUMIF('Budget 12 Mnths'!$A:$A,'Detail 18-19'!$A233,'Budget 12 Mnths'!D:D)</f>
        <v>0</v>
      </c>
      <c r="E233" s="56">
        <f>SUMIF('2015-16 12 Mnths'!$A:$A,'Detail 18-19'!$A233,'2015-16 12 Mnths'!D:D)-SUMIF('Budget 12 Mnths'!$A:$A,'Detail 18-19'!$A233,'Budget 12 Mnths'!E:E)</f>
        <v>0</v>
      </c>
      <c r="F233" s="56">
        <f>SUMIF('2015-16 12 Mnths'!$A:$A,'Detail 18-19'!$A233,'2015-16 12 Mnths'!E:E)-SUMIF('Budget 12 Mnths'!$A:$A,'Detail 18-19'!$A233,'Budget 12 Mnths'!F:F)</f>
        <v>0</v>
      </c>
      <c r="G233" s="56">
        <f>SUMIF('2015-16 12 Mnths'!$A:$A,'Detail 18-19'!$A233,'2015-16 12 Mnths'!F:F)-SUMIF('Budget 12 Mnths'!$A:$A,'Detail 18-19'!$A233,'Budget 12 Mnths'!G:G)</f>
        <v>0</v>
      </c>
      <c r="H233" s="56">
        <f>SUMIF('2015-16 12 Mnths'!$A:$A,'Detail 18-19'!$A233,'2015-16 12 Mnths'!G:G)-SUMIF('Budget 12 Mnths'!$A:$A,'Detail 18-19'!$A233,'Budget 12 Mnths'!H:H)</f>
        <v>0</v>
      </c>
      <c r="I233" s="56">
        <f>SUMIF('2015-16 12 Mnths'!$A:$A,'Detail 18-19'!$A233,'2015-16 12 Mnths'!H:H)-SUMIF('Budget 12 Mnths'!$A:$A,'Detail 18-19'!$A233,'Budget 12 Mnths'!I:I)</f>
        <v>0</v>
      </c>
      <c r="J233" s="56">
        <f>SUMIF('2015-16 12 Mnths'!$A:$A,'Detail 18-19'!$A233,'2015-16 12 Mnths'!I:I)-SUMIF('Budget 12 Mnths'!$A:$A,'Detail 18-19'!$A233,'Budget 12 Mnths'!J:J)</f>
        <v>0</v>
      </c>
      <c r="K233" s="56">
        <f>SUMIF('2015-16 12 Mnths'!$A:$A,'Detail 18-19'!$A233,'2015-16 12 Mnths'!J:J)-SUMIF('Budget 12 Mnths'!$A:$A,'Detail 18-19'!$A233,'Budget 12 Mnths'!K:K)</f>
        <v>0</v>
      </c>
      <c r="L233" s="56">
        <f>SUMIF('2015-16 12 Mnths'!$A:$A,'Detail 18-19'!$A233,'2015-16 12 Mnths'!K:K)-SUMIF('Budget 12 Mnths'!$A:$A,'Detail 18-19'!$A233,'Budget 12 Mnths'!L:L)</f>
        <v>0</v>
      </c>
      <c r="M233" s="56"/>
      <c r="N233" s="56"/>
      <c r="O233" s="56"/>
      <c r="P233" s="56">
        <f t="shared" si="1"/>
        <v>0</v>
      </c>
      <c r="Q233" s="14" t="str">
        <f>+VLOOKUP(A233,Mapping!$A$1:$E$443,5,FALSE)</f>
        <v>Equipment</v>
      </c>
      <c r="R233" s="26">
        <f>+SUMIF('Budget 12 Mnths'!$A:$A,'Detail 18-19'!$A233,'Budget 12 Mnths'!$P:$P)</f>
        <v>0</v>
      </c>
      <c r="S233" s="26">
        <f>+SUMIF('2015-16 12 Mnths'!$A:$A,'Detail 18-19'!$A233,'2015-16 12 Mnths'!$O:$O)</f>
        <v>0</v>
      </c>
      <c r="T233" s="57">
        <f t="shared" si="2"/>
        <v>0</v>
      </c>
      <c r="U233" s="57">
        <f t="shared" si="3"/>
        <v>0</v>
      </c>
      <c r="W233" s="27"/>
      <c r="X233" s="27" t="str">
        <f t="shared" si="114"/>
        <v/>
      </c>
      <c r="Z233" s="57">
        <f t="shared" si="107"/>
        <v>0</v>
      </c>
      <c r="AA233" s="57" t="str">
        <f>IFERROR(+VLOOKUP(A233,Key!$A$1:$C$219,2,FALSE),"NOT FOUND")</f>
        <v>7110-1U</v>
      </c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>
        <f t="shared" si="6"/>
        <v>0</v>
      </c>
    </row>
    <row r="234" ht="15.75" hidden="1" customHeight="1">
      <c r="A234" s="15" t="s">
        <v>634</v>
      </c>
      <c r="B234" s="15" t="s">
        <v>635</v>
      </c>
      <c r="C234" s="15" t="s">
        <v>119</v>
      </c>
      <c r="D234" s="56">
        <f>SUMIF('2015-16 12 Mnths'!$A:$A,'Detail 18-19'!$A234,'2015-16 12 Mnths'!C:C)-SUMIF('Budget 12 Mnths'!$A:$A,'Detail 18-19'!$A234,'Budget 12 Mnths'!D:D)</f>
        <v>0</v>
      </c>
      <c r="E234" s="56">
        <f>SUMIF('2015-16 12 Mnths'!$A:$A,'Detail 18-19'!$A234,'2015-16 12 Mnths'!D:D)-SUMIF('Budget 12 Mnths'!$A:$A,'Detail 18-19'!$A234,'Budget 12 Mnths'!E:E)</f>
        <v>0</v>
      </c>
      <c r="F234" s="56">
        <f>SUMIF('2015-16 12 Mnths'!$A:$A,'Detail 18-19'!$A234,'2015-16 12 Mnths'!E:E)-SUMIF('Budget 12 Mnths'!$A:$A,'Detail 18-19'!$A234,'Budget 12 Mnths'!F:F)</f>
        <v>0</v>
      </c>
      <c r="G234" s="56">
        <f>SUMIF('2015-16 12 Mnths'!$A:$A,'Detail 18-19'!$A234,'2015-16 12 Mnths'!F:F)-SUMIF('Budget 12 Mnths'!$A:$A,'Detail 18-19'!$A234,'Budget 12 Mnths'!G:G)</f>
        <v>0</v>
      </c>
      <c r="H234" s="56">
        <f>SUMIF('2015-16 12 Mnths'!$A:$A,'Detail 18-19'!$A234,'2015-16 12 Mnths'!G:G)-SUMIF('Budget 12 Mnths'!$A:$A,'Detail 18-19'!$A234,'Budget 12 Mnths'!H:H)</f>
        <v>0</v>
      </c>
      <c r="I234" s="56">
        <f>SUMIF('2015-16 12 Mnths'!$A:$A,'Detail 18-19'!$A234,'2015-16 12 Mnths'!H:H)-SUMIF('Budget 12 Mnths'!$A:$A,'Detail 18-19'!$A234,'Budget 12 Mnths'!I:I)</f>
        <v>0</v>
      </c>
      <c r="J234" s="56">
        <f>SUMIF('2015-16 12 Mnths'!$A:$A,'Detail 18-19'!$A234,'2015-16 12 Mnths'!I:I)-SUMIF('Budget 12 Mnths'!$A:$A,'Detail 18-19'!$A234,'Budget 12 Mnths'!J:J)</f>
        <v>0</v>
      </c>
      <c r="K234" s="56">
        <f>SUMIF('2015-16 12 Mnths'!$A:$A,'Detail 18-19'!$A234,'2015-16 12 Mnths'!J:J)-SUMIF('Budget 12 Mnths'!$A:$A,'Detail 18-19'!$A234,'Budget 12 Mnths'!K:K)</f>
        <v>0</v>
      </c>
      <c r="L234" s="56">
        <f>SUMIF('2015-16 12 Mnths'!$A:$A,'Detail 18-19'!$A234,'2015-16 12 Mnths'!K:K)-SUMIF('Budget 12 Mnths'!$A:$A,'Detail 18-19'!$A234,'Budget 12 Mnths'!L:L)</f>
        <v>0</v>
      </c>
      <c r="M234" s="56"/>
      <c r="N234" s="56"/>
      <c r="O234" s="56"/>
      <c r="P234" s="56">
        <f t="shared" si="1"/>
        <v>0</v>
      </c>
      <c r="Q234" s="14" t="str">
        <f>+VLOOKUP(A234,Mapping!$A$1:$E$443,5,FALSE)</f>
        <v>Equipment</v>
      </c>
      <c r="R234" s="26">
        <f>+SUMIF('Budget 12 Mnths'!$A:$A,'Detail 18-19'!$A234,'Budget 12 Mnths'!$P:$P)</f>
        <v>0</v>
      </c>
      <c r="S234" s="26">
        <f>+SUMIF('2015-16 12 Mnths'!$A:$A,'Detail 18-19'!$A234,'2015-16 12 Mnths'!$O:$O)</f>
        <v>0</v>
      </c>
      <c r="T234" s="57">
        <f t="shared" si="2"/>
        <v>0</v>
      </c>
      <c r="U234" s="57">
        <f t="shared" si="3"/>
        <v>0</v>
      </c>
      <c r="W234" s="27"/>
      <c r="X234" s="27" t="str">
        <f t="shared" si="114"/>
        <v/>
      </c>
      <c r="Z234" s="57">
        <f t="shared" si="107"/>
        <v>0</v>
      </c>
      <c r="AA234" s="57" t="str">
        <f>IFERROR(+VLOOKUP(A234,Key!$A$1:$C$219,2,FALSE),"NOT FOUND")</f>
        <v>7110-2U</v>
      </c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>
        <f t="shared" si="6"/>
        <v>0</v>
      </c>
    </row>
    <row r="235" ht="15.75" hidden="1" customHeight="1">
      <c r="A235" s="15" t="s">
        <v>636</v>
      </c>
      <c r="B235" s="15" t="s">
        <v>635</v>
      </c>
      <c r="C235" s="15" t="s">
        <v>119</v>
      </c>
      <c r="D235" s="56">
        <f>SUMIF('2015-16 12 Mnths'!$A:$A,'Detail 18-19'!$A235,'2015-16 12 Mnths'!C:C)-SUMIF('Budget 12 Mnths'!$A:$A,'Detail 18-19'!$A235,'Budget 12 Mnths'!D:D)</f>
        <v>0</v>
      </c>
      <c r="E235" s="56">
        <f>SUMIF('2015-16 12 Mnths'!$A:$A,'Detail 18-19'!$A235,'2015-16 12 Mnths'!D:D)-SUMIF('Budget 12 Mnths'!$A:$A,'Detail 18-19'!$A235,'Budget 12 Mnths'!E:E)</f>
        <v>0</v>
      </c>
      <c r="F235" s="56">
        <f>SUMIF('2015-16 12 Mnths'!$A:$A,'Detail 18-19'!$A235,'2015-16 12 Mnths'!E:E)-SUMIF('Budget 12 Mnths'!$A:$A,'Detail 18-19'!$A235,'Budget 12 Mnths'!F:F)</f>
        <v>0</v>
      </c>
      <c r="G235" s="56">
        <f>SUMIF('2015-16 12 Mnths'!$A:$A,'Detail 18-19'!$A235,'2015-16 12 Mnths'!F:F)-SUMIF('Budget 12 Mnths'!$A:$A,'Detail 18-19'!$A235,'Budget 12 Mnths'!G:G)</f>
        <v>0</v>
      </c>
      <c r="H235" s="56">
        <f>SUMIF('2015-16 12 Mnths'!$A:$A,'Detail 18-19'!$A235,'2015-16 12 Mnths'!G:G)-SUMIF('Budget 12 Mnths'!$A:$A,'Detail 18-19'!$A235,'Budget 12 Mnths'!H:H)</f>
        <v>0</v>
      </c>
      <c r="I235" s="56">
        <f>SUMIF('2015-16 12 Mnths'!$A:$A,'Detail 18-19'!$A235,'2015-16 12 Mnths'!H:H)-SUMIF('Budget 12 Mnths'!$A:$A,'Detail 18-19'!$A235,'Budget 12 Mnths'!I:I)</f>
        <v>0</v>
      </c>
      <c r="J235" s="56">
        <f>SUMIF('2015-16 12 Mnths'!$A:$A,'Detail 18-19'!$A235,'2015-16 12 Mnths'!I:I)-SUMIF('Budget 12 Mnths'!$A:$A,'Detail 18-19'!$A235,'Budget 12 Mnths'!J:J)</f>
        <v>0</v>
      </c>
      <c r="K235" s="56">
        <f>SUMIF('2015-16 12 Mnths'!$A:$A,'Detail 18-19'!$A235,'2015-16 12 Mnths'!J:J)-SUMIF('Budget 12 Mnths'!$A:$A,'Detail 18-19'!$A235,'Budget 12 Mnths'!K:K)</f>
        <v>0</v>
      </c>
      <c r="L235" s="56">
        <f>SUMIF('2015-16 12 Mnths'!$A:$A,'Detail 18-19'!$A235,'2015-16 12 Mnths'!K:K)-SUMIF('Budget 12 Mnths'!$A:$A,'Detail 18-19'!$A235,'Budget 12 Mnths'!L:L)</f>
        <v>0</v>
      </c>
      <c r="M235" s="56"/>
      <c r="N235" s="56"/>
      <c r="O235" s="56"/>
      <c r="P235" s="56">
        <f t="shared" si="1"/>
        <v>0</v>
      </c>
      <c r="Q235" s="14" t="str">
        <f>+VLOOKUP(A235,Mapping!$A$1:$E$443,5,FALSE)</f>
        <v>Equipment</v>
      </c>
      <c r="R235" s="26">
        <f>+SUMIF('Budget 12 Mnths'!$A:$A,'Detail 18-19'!$A235,'Budget 12 Mnths'!$P:$P)</f>
        <v>0</v>
      </c>
      <c r="S235" s="26">
        <f>+SUMIF('2015-16 12 Mnths'!$A:$A,'Detail 18-19'!$A235,'2015-16 12 Mnths'!$O:$O)</f>
        <v>0</v>
      </c>
      <c r="T235" s="57">
        <f t="shared" si="2"/>
        <v>0</v>
      </c>
      <c r="U235" s="57">
        <f t="shared" si="3"/>
        <v>0</v>
      </c>
      <c r="W235" s="27"/>
      <c r="X235" s="27" t="str">
        <f t="shared" si="114"/>
        <v/>
      </c>
      <c r="Z235" s="57">
        <f t="shared" si="107"/>
        <v>0</v>
      </c>
      <c r="AA235" s="57" t="str">
        <f>IFERROR(+VLOOKUP(A235,Key!$A$1:$C$219,2,FALSE),"NOT FOUND")</f>
        <v>NOT FOUND</v>
      </c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>
        <f t="shared" si="6"/>
        <v>0</v>
      </c>
    </row>
    <row r="236" ht="15.75" customHeight="1">
      <c r="A236" s="15" t="s">
        <v>639</v>
      </c>
      <c r="B236" s="15" t="s">
        <v>640</v>
      </c>
      <c r="C236" s="15" t="s">
        <v>119</v>
      </c>
      <c r="D236" s="56">
        <f>SUMIF('2015-16 12 Mnths'!$A:$A,'Detail 18-19'!$A236,'2015-16 12 Mnths'!C:C)-SUMIF('Budget 12 Mnths'!$A:$A,'Detail 18-19'!$A236,'Budget 12 Mnths'!D:D)</f>
        <v>0</v>
      </c>
      <c r="E236" s="56">
        <f>SUMIF('2015-16 12 Mnths'!$A:$A,'Detail 18-19'!$A236,'2015-16 12 Mnths'!D:D)-SUMIF('Budget 12 Mnths'!$A:$A,'Detail 18-19'!$A236,'Budget 12 Mnths'!E:E)</f>
        <v>0</v>
      </c>
      <c r="F236" s="56">
        <f>SUMIF('2015-16 12 Mnths'!$A:$A,'Detail 18-19'!$A236,'2015-16 12 Mnths'!E:E)-SUMIF('Budget 12 Mnths'!$A:$A,'Detail 18-19'!$A236,'Budget 12 Mnths'!F:F)</f>
        <v>0</v>
      </c>
      <c r="G236" s="56">
        <f>SUMIF('2015-16 12 Mnths'!$A:$A,'Detail 18-19'!$A236,'2015-16 12 Mnths'!F:F)-SUMIF('Budget 12 Mnths'!$A:$A,'Detail 18-19'!$A236,'Budget 12 Mnths'!G:G)</f>
        <v>0</v>
      </c>
      <c r="H236" s="56">
        <f>SUMIF('2015-16 12 Mnths'!$A:$A,'Detail 18-19'!$A236,'2015-16 12 Mnths'!G:G)-SUMIF('Budget 12 Mnths'!$A:$A,'Detail 18-19'!$A236,'Budget 12 Mnths'!H:H)</f>
        <v>0</v>
      </c>
      <c r="I236" s="56">
        <f>SUMIF('2015-16 12 Mnths'!$A:$A,'Detail 18-19'!$A236,'2015-16 12 Mnths'!H:H)-SUMIF('Budget 12 Mnths'!$A:$A,'Detail 18-19'!$A236,'Budget 12 Mnths'!I:I)</f>
        <v>0</v>
      </c>
      <c r="J236" s="56">
        <f>SUMIF('2015-16 12 Mnths'!$A:$A,'Detail 18-19'!$A236,'2015-16 12 Mnths'!I:I)-SUMIF('Budget 12 Mnths'!$A:$A,'Detail 18-19'!$A236,'Budget 12 Mnths'!J:J)</f>
        <v>0</v>
      </c>
      <c r="K236" s="56">
        <f>SUMIF('2015-16 12 Mnths'!$A:$A,'Detail 18-19'!$A236,'2015-16 12 Mnths'!J:J)-SUMIF('Budget 12 Mnths'!$A:$A,'Detail 18-19'!$A236,'Budget 12 Mnths'!K:K)</f>
        <v>0</v>
      </c>
      <c r="L236" s="56">
        <f>SUMIF('2015-16 12 Mnths'!$A:$A,'Detail 18-19'!$A236,'2015-16 12 Mnths'!K:K)-SUMIF('Budget 12 Mnths'!$A:$A,'Detail 18-19'!$A236,'Budget 12 Mnths'!L:L)</f>
        <v>0</v>
      </c>
      <c r="M236" s="56"/>
      <c r="N236" s="56"/>
      <c r="O236" s="56"/>
      <c r="P236" s="56">
        <f t="shared" si="1"/>
        <v>0</v>
      </c>
      <c r="Q236" s="14" t="str">
        <f>+VLOOKUP(A236,Mapping!$A$1:$E$443,5,FALSE)</f>
        <v>Continuing Ed</v>
      </c>
      <c r="R236" s="26">
        <f>+SUMIF('Budget 12 Mnths'!$A:$A,'Detail 18-19'!$A236,'Budget 12 Mnths'!$P:$P)</f>
        <v>0</v>
      </c>
      <c r="S236" s="26">
        <f>+SUMIF('2015-16 12 Mnths'!$A:$A,'Detail 18-19'!$A236,'2015-16 12 Mnths'!$O:$O)</f>
        <v>0</v>
      </c>
      <c r="T236" s="57">
        <f t="shared" si="2"/>
        <v>0</v>
      </c>
      <c r="U236" s="57">
        <f t="shared" si="3"/>
        <v>0</v>
      </c>
      <c r="W236" s="27"/>
      <c r="X236" s="27" t="str">
        <f t="shared" si="114"/>
        <v/>
      </c>
      <c r="Z236" s="57">
        <f t="shared" si="107"/>
        <v>0</v>
      </c>
      <c r="AA236" s="57" t="str">
        <f>IFERROR(+VLOOKUP(A236,Key!$A$1:$C$219,2,FALSE),"NOT FOUND")</f>
        <v>7200-1U</v>
      </c>
      <c r="AB236" s="27">
        <v>100.0</v>
      </c>
      <c r="AC236" s="27"/>
      <c r="AD236" s="27">
        <v>100.0</v>
      </c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>
        <f t="shared" si="6"/>
        <v>0</v>
      </c>
    </row>
    <row r="237" ht="15.75" customHeight="1">
      <c r="A237" s="15" t="s">
        <v>642</v>
      </c>
      <c r="B237" s="15" t="s">
        <v>643</v>
      </c>
      <c r="C237" s="15" t="s">
        <v>119</v>
      </c>
      <c r="D237" s="56">
        <f>SUMIF('2015-16 12 Mnths'!$A:$A,'Detail 18-19'!$A237,'2015-16 12 Mnths'!C:C)-SUMIF('Budget 12 Mnths'!$A:$A,'Detail 18-19'!$A237,'Budget 12 Mnths'!D:D)</f>
        <v>0</v>
      </c>
      <c r="E237" s="56">
        <f>SUMIF('2015-16 12 Mnths'!$A:$A,'Detail 18-19'!$A237,'2015-16 12 Mnths'!D:D)-SUMIF('Budget 12 Mnths'!$A:$A,'Detail 18-19'!$A237,'Budget 12 Mnths'!E:E)</f>
        <v>0</v>
      </c>
      <c r="F237" s="56">
        <f>SUMIF('2015-16 12 Mnths'!$A:$A,'Detail 18-19'!$A237,'2015-16 12 Mnths'!E:E)-SUMIF('Budget 12 Mnths'!$A:$A,'Detail 18-19'!$A237,'Budget 12 Mnths'!F:F)</f>
        <v>0</v>
      </c>
      <c r="G237" s="56">
        <f>SUMIF('2015-16 12 Mnths'!$A:$A,'Detail 18-19'!$A237,'2015-16 12 Mnths'!F:F)-SUMIF('Budget 12 Mnths'!$A:$A,'Detail 18-19'!$A237,'Budget 12 Mnths'!G:G)</f>
        <v>-416.67</v>
      </c>
      <c r="H237" s="56">
        <f>SUMIF('2015-16 12 Mnths'!$A:$A,'Detail 18-19'!$A237,'2015-16 12 Mnths'!G:G)-SUMIF('Budget 12 Mnths'!$A:$A,'Detail 18-19'!$A237,'Budget 12 Mnths'!H:H)</f>
        <v>-416.67</v>
      </c>
      <c r="I237" s="56">
        <f>SUMIF('2015-16 12 Mnths'!$A:$A,'Detail 18-19'!$A237,'2015-16 12 Mnths'!H:H)-SUMIF('Budget 12 Mnths'!$A:$A,'Detail 18-19'!$A237,'Budget 12 Mnths'!I:I)</f>
        <v>-416.67</v>
      </c>
      <c r="J237" s="56">
        <f>SUMIF('2015-16 12 Mnths'!$A:$A,'Detail 18-19'!$A237,'2015-16 12 Mnths'!I:I)-SUMIF('Budget 12 Mnths'!$A:$A,'Detail 18-19'!$A237,'Budget 12 Mnths'!J:J)</f>
        <v>-416.67</v>
      </c>
      <c r="K237" s="56">
        <f>SUMIF('2015-16 12 Mnths'!$A:$A,'Detail 18-19'!$A237,'2015-16 12 Mnths'!J:J)-SUMIF('Budget 12 Mnths'!$A:$A,'Detail 18-19'!$A237,'Budget 12 Mnths'!K:K)</f>
        <v>-416.67</v>
      </c>
      <c r="L237" s="56">
        <f>SUMIF('2015-16 12 Mnths'!$A:$A,'Detail 18-19'!$A237,'2015-16 12 Mnths'!K:K)-SUMIF('Budget 12 Mnths'!$A:$A,'Detail 18-19'!$A237,'Budget 12 Mnths'!L:L)</f>
        <v>-416.67</v>
      </c>
      <c r="M237" s="56"/>
      <c r="N237" s="56"/>
      <c r="O237" s="56"/>
      <c r="P237" s="56">
        <f t="shared" si="1"/>
        <v>-2500.02</v>
      </c>
      <c r="Q237" s="14" t="str">
        <f>+VLOOKUP(A237,Mapping!$A$1:$E$443,5,FALSE)</f>
        <v>Continuing Ed</v>
      </c>
      <c r="R237" s="26">
        <f>+SUMIF('Budget 12 Mnths'!$A:$A,'Detail 18-19'!$A237,'Budget 12 Mnths'!$P:$P)</f>
        <v>2500.02</v>
      </c>
      <c r="S237" s="26">
        <f>+SUMIF('2015-16 12 Mnths'!$A:$A,'Detail 18-19'!$A237,'2015-16 12 Mnths'!$O:$O)</f>
        <v>0</v>
      </c>
      <c r="T237" s="57">
        <f t="shared" si="2"/>
        <v>-1</v>
      </c>
      <c r="U237" s="57">
        <f t="shared" si="3"/>
        <v>0</v>
      </c>
      <c r="V237" s="8" t="s">
        <v>641</v>
      </c>
      <c r="W237" s="27">
        <v>2500.0</v>
      </c>
      <c r="X237" s="27">
        <f t="shared" si="114"/>
        <v>2500</v>
      </c>
      <c r="Z237" s="57">
        <f t="shared" si="107"/>
        <v>1250</v>
      </c>
      <c r="AA237" s="57" t="str">
        <f>IFERROR(+VLOOKUP(A237,Key!$A$1:$C$219,2,FALSE),"NOT FOUND")</f>
        <v>7205-1U</v>
      </c>
      <c r="AB237" s="27">
        <v>2500.0</v>
      </c>
      <c r="AC237" s="27"/>
      <c r="AD237" s="27"/>
      <c r="AE237" s="27"/>
      <c r="AF237" s="27"/>
      <c r="AG237" s="27">
        <v>500.0</v>
      </c>
      <c r="AH237" s="27"/>
      <c r="AI237" s="27">
        <v>500.0</v>
      </c>
      <c r="AJ237" s="27">
        <v>500.0</v>
      </c>
      <c r="AK237" s="27">
        <v>500.0</v>
      </c>
      <c r="AL237" s="27">
        <v>500.0</v>
      </c>
      <c r="AM237" s="27"/>
      <c r="AN237" s="27"/>
      <c r="AO237" s="27">
        <f t="shared" si="6"/>
        <v>0</v>
      </c>
    </row>
    <row r="238" ht="15.75" hidden="1" customHeight="1">
      <c r="A238" s="15" t="s">
        <v>644</v>
      </c>
      <c r="B238" s="15" t="s">
        <v>643</v>
      </c>
      <c r="C238" s="15" t="s">
        <v>119</v>
      </c>
      <c r="D238" s="56">
        <f>SUMIF('2015-16 12 Mnths'!$A:$A,'Detail 18-19'!$A238,'2015-16 12 Mnths'!C:C)-SUMIF('Budget 12 Mnths'!$A:$A,'Detail 18-19'!$A238,'Budget 12 Mnths'!D:D)</f>
        <v>0</v>
      </c>
      <c r="E238" s="56">
        <f>SUMIF('2015-16 12 Mnths'!$A:$A,'Detail 18-19'!$A238,'2015-16 12 Mnths'!D:D)-SUMIF('Budget 12 Mnths'!$A:$A,'Detail 18-19'!$A238,'Budget 12 Mnths'!E:E)</f>
        <v>0</v>
      </c>
      <c r="F238" s="56">
        <f>SUMIF('2015-16 12 Mnths'!$A:$A,'Detail 18-19'!$A238,'2015-16 12 Mnths'!E:E)-SUMIF('Budget 12 Mnths'!$A:$A,'Detail 18-19'!$A238,'Budget 12 Mnths'!F:F)</f>
        <v>0</v>
      </c>
      <c r="G238" s="56">
        <f>SUMIF('2015-16 12 Mnths'!$A:$A,'Detail 18-19'!$A238,'2015-16 12 Mnths'!F:F)-SUMIF('Budget 12 Mnths'!$A:$A,'Detail 18-19'!$A238,'Budget 12 Mnths'!G:G)</f>
        <v>0</v>
      </c>
      <c r="H238" s="56">
        <f>SUMIF('2015-16 12 Mnths'!$A:$A,'Detail 18-19'!$A238,'2015-16 12 Mnths'!G:G)-SUMIF('Budget 12 Mnths'!$A:$A,'Detail 18-19'!$A238,'Budget 12 Mnths'!H:H)</f>
        <v>0</v>
      </c>
      <c r="I238" s="56">
        <f>SUMIF('2015-16 12 Mnths'!$A:$A,'Detail 18-19'!$A238,'2015-16 12 Mnths'!H:H)-SUMIF('Budget 12 Mnths'!$A:$A,'Detail 18-19'!$A238,'Budget 12 Mnths'!I:I)</f>
        <v>0</v>
      </c>
      <c r="J238" s="56">
        <f>SUMIF('2015-16 12 Mnths'!$A:$A,'Detail 18-19'!$A238,'2015-16 12 Mnths'!I:I)-SUMIF('Budget 12 Mnths'!$A:$A,'Detail 18-19'!$A238,'Budget 12 Mnths'!J:J)</f>
        <v>0</v>
      </c>
      <c r="K238" s="56">
        <f>SUMIF('2015-16 12 Mnths'!$A:$A,'Detail 18-19'!$A238,'2015-16 12 Mnths'!J:J)-SUMIF('Budget 12 Mnths'!$A:$A,'Detail 18-19'!$A238,'Budget 12 Mnths'!K:K)</f>
        <v>0</v>
      </c>
      <c r="L238" s="56">
        <f>SUMIF('2015-16 12 Mnths'!$A:$A,'Detail 18-19'!$A238,'2015-16 12 Mnths'!K:K)-SUMIF('Budget 12 Mnths'!$A:$A,'Detail 18-19'!$A238,'Budget 12 Mnths'!L:L)</f>
        <v>0</v>
      </c>
      <c r="M238" s="56"/>
      <c r="N238" s="56"/>
      <c r="O238" s="56"/>
      <c r="P238" s="56">
        <f t="shared" si="1"/>
        <v>0</v>
      </c>
      <c r="Q238" s="14" t="str">
        <f>+VLOOKUP(A238,Mapping!$A$1:$E$443,5,FALSE)</f>
        <v>Continuing Ed</v>
      </c>
      <c r="R238" s="26">
        <f>+SUMIF('Budget 12 Mnths'!$A:$A,'Detail 18-19'!$A238,'Budget 12 Mnths'!$P:$P)</f>
        <v>0</v>
      </c>
      <c r="S238" s="26">
        <f>+SUMIF('2015-16 12 Mnths'!$A:$A,'Detail 18-19'!$A238,'2015-16 12 Mnths'!$O:$O)</f>
        <v>0</v>
      </c>
      <c r="T238" s="57">
        <f t="shared" si="2"/>
        <v>0</v>
      </c>
      <c r="U238" s="57">
        <f t="shared" si="3"/>
        <v>0</v>
      </c>
      <c r="W238" s="27"/>
      <c r="X238" s="27" t="str">
        <f t="shared" si="114"/>
        <v/>
      </c>
      <c r="Z238" s="57">
        <f t="shared" si="107"/>
        <v>0</v>
      </c>
      <c r="AA238" s="57" t="str">
        <f>IFERROR(+VLOOKUP(A238,Key!$A$1:$C$219,2,FALSE),"NOT FOUND")</f>
        <v>7205-2U</v>
      </c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>
        <f t="shared" si="6"/>
        <v>0</v>
      </c>
    </row>
    <row r="239" ht="15.75" hidden="1" customHeight="1">
      <c r="A239" s="15" t="s">
        <v>645</v>
      </c>
      <c r="B239" s="15" t="s">
        <v>643</v>
      </c>
      <c r="C239" s="15" t="s">
        <v>119</v>
      </c>
      <c r="D239" s="56">
        <f>SUMIF('2015-16 12 Mnths'!$A:$A,'Detail 18-19'!$A239,'2015-16 12 Mnths'!C:C)-SUMIF('Budget 12 Mnths'!$A:$A,'Detail 18-19'!$A239,'Budget 12 Mnths'!D:D)</f>
        <v>0</v>
      </c>
      <c r="E239" s="56">
        <f>SUMIF('2015-16 12 Mnths'!$A:$A,'Detail 18-19'!$A239,'2015-16 12 Mnths'!D:D)-SUMIF('Budget 12 Mnths'!$A:$A,'Detail 18-19'!$A239,'Budget 12 Mnths'!E:E)</f>
        <v>0</v>
      </c>
      <c r="F239" s="56">
        <f>SUMIF('2015-16 12 Mnths'!$A:$A,'Detail 18-19'!$A239,'2015-16 12 Mnths'!E:E)-SUMIF('Budget 12 Mnths'!$A:$A,'Detail 18-19'!$A239,'Budget 12 Mnths'!F:F)</f>
        <v>0</v>
      </c>
      <c r="G239" s="56">
        <f>SUMIF('2015-16 12 Mnths'!$A:$A,'Detail 18-19'!$A239,'2015-16 12 Mnths'!F:F)-SUMIF('Budget 12 Mnths'!$A:$A,'Detail 18-19'!$A239,'Budget 12 Mnths'!G:G)</f>
        <v>0</v>
      </c>
      <c r="H239" s="56">
        <f>SUMIF('2015-16 12 Mnths'!$A:$A,'Detail 18-19'!$A239,'2015-16 12 Mnths'!G:G)-SUMIF('Budget 12 Mnths'!$A:$A,'Detail 18-19'!$A239,'Budget 12 Mnths'!H:H)</f>
        <v>0</v>
      </c>
      <c r="I239" s="56">
        <f>SUMIF('2015-16 12 Mnths'!$A:$A,'Detail 18-19'!$A239,'2015-16 12 Mnths'!H:H)-SUMIF('Budget 12 Mnths'!$A:$A,'Detail 18-19'!$A239,'Budget 12 Mnths'!I:I)</f>
        <v>0</v>
      </c>
      <c r="J239" s="56">
        <f>SUMIF('2015-16 12 Mnths'!$A:$A,'Detail 18-19'!$A239,'2015-16 12 Mnths'!I:I)-SUMIF('Budget 12 Mnths'!$A:$A,'Detail 18-19'!$A239,'Budget 12 Mnths'!J:J)</f>
        <v>0</v>
      </c>
      <c r="K239" s="56">
        <f>SUMIF('2015-16 12 Mnths'!$A:$A,'Detail 18-19'!$A239,'2015-16 12 Mnths'!J:J)-SUMIF('Budget 12 Mnths'!$A:$A,'Detail 18-19'!$A239,'Budget 12 Mnths'!K:K)</f>
        <v>0</v>
      </c>
      <c r="L239" s="56">
        <f>SUMIF('2015-16 12 Mnths'!$A:$A,'Detail 18-19'!$A239,'2015-16 12 Mnths'!K:K)-SUMIF('Budget 12 Mnths'!$A:$A,'Detail 18-19'!$A239,'Budget 12 Mnths'!L:L)</f>
        <v>0</v>
      </c>
      <c r="M239" s="56"/>
      <c r="N239" s="56"/>
      <c r="O239" s="56"/>
      <c r="P239" s="56">
        <f t="shared" si="1"/>
        <v>0</v>
      </c>
      <c r="Q239" s="14" t="str">
        <f>+VLOOKUP(A239,Mapping!$A$1:$E$443,5,FALSE)</f>
        <v>Continuing Ed</v>
      </c>
      <c r="R239" s="26">
        <f>+SUMIF('Budget 12 Mnths'!$A:$A,'Detail 18-19'!$A239,'Budget 12 Mnths'!$P:$P)</f>
        <v>0</v>
      </c>
      <c r="S239" s="26">
        <f>+SUMIF('2015-16 12 Mnths'!$A:$A,'Detail 18-19'!$A239,'2015-16 12 Mnths'!$O:$O)</f>
        <v>0</v>
      </c>
      <c r="T239" s="57">
        <f t="shared" si="2"/>
        <v>0</v>
      </c>
      <c r="U239" s="57">
        <f t="shared" si="3"/>
        <v>0</v>
      </c>
      <c r="W239" s="27"/>
      <c r="X239" s="27" t="str">
        <f t="shared" si="114"/>
        <v/>
      </c>
      <c r="Z239" s="57">
        <f t="shared" si="107"/>
        <v>0</v>
      </c>
      <c r="AA239" s="57" t="str">
        <f>IFERROR(+VLOOKUP(A239,Key!$A$1:$C$219,2,FALSE),"NOT FOUND")</f>
        <v>NOT FOUND</v>
      </c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>
        <f t="shared" si="6"/>
        <v>0</v>
      </c>
    </row>
    <row r="240" ht="15.75" customHeight="1">
      <c r="A240" s="15" t="s">
        <v>648</v>
      </c>
      <c r="B240" s="15" t="s">
        <v>649</v>
      </c>
      <c r="C240" s="15" t="s">
        <v>119</v>
      </c>
      <c r="D240" s="56">
        <f>SUMIF('2015-16 12 Mnths'!$A:$A,'Detail 18-19'!$A240,'2015-16 12 Mnths'!C:C)-SUMIF('Budget 12 Mnths'!$A:$A,'Detail 18-19'!$A240,'Budget 12 Mnths'!D:D)</f>
        <v>0</v>
      </c>
      <c r="E240" s="56">
        <f>SUMIF('2015-16 12 Mnths'!$A:$A,'Detail 18-19'!$A240,'2015-16 12 Mnths'!D:D)-SUMIF('Budget 12 Mnths'!$A:$A,'Detail 18-19'!$A240,'Budget 12 Mnths'!E:E)</f>
        <v>0</v>
      </c>
      <c r="F240" s="56">
        <f>SUMIF('2015-16 12 Mnths'!$A:$A,'Detail 18-19'!$A240,'2015-16 12 Mnths'!E:E)-SUMIF('Budget 12 Mnths'!$A:$A,'Detail 18-19'!$A240,'Budget 12 Mnths'!F:F)</f>
        <v>0</v>
      </c>
      <c r="G240" s="56">
        <f>SUMIF('2015-16 12 Mnths'!$A:$A,'Detail 18-19'!$A240,'2015-16 12 Mnths'!F:F)-SUMIF('Budget 12 Mnths'!$A:$A,'Detail 18-19'!$A240,'Budget 12 Mnths'!G:G)</f>
        <v>-50</v>
      </c>
      <c r="H240" s="56">
        <f>SUMIF('2015-16 12 Mnths'!$A:$A,'Detail 18-19'!$A240,'2015-16 12 Mnths'!G:G)-SUMIF('Budget 12 Mnths'!$A:$A,'Detail 18-19'!$A240,'Budget 12 Mnths'!H:H)</f>
        <v>-50</v>
      </c>
      <c r="I240" s="56">
        <f>SUMIF('2015-16 12 Mnths'!$A:$A,'Detail 18-19'!$A240,'2015-16 12 Mnths'!H:H)-SUMIF('Budget 12 Mnths'!$A:$A,'Detail 18-19'!$A240,'Budget 12 Mnths'!I:I)</f>
        <v>-50</v>
      </c>
      <c r="J240" s="56">
        <f>SUMIF('2015-16 12 Mnths'!$A:$A,'Detail 18-19'!$A240,'2015-16 12 Mnths'!I:I)-SUMIF('Budget 12 Mnths'!$A:$A,'Detail 18-19'!$A240,'Budget 12 Mnths'!J:J)</f>
        <v>-50</v>
      </c>
      <c r="K240" s="56">
        <f>SUMIF('2015-16 12 Mnths'!$A:$A,'Detail 18-19'!$A240,'2015-16 12 Mnths'!J:J)-SUMIF('Budget 12 Mnths'!$A:$A,'Detail 18-19'!$A240,'Budget 12 Mnths'!K:K)</f>
        <v>-50</v>
      </c>
      <c r="L240" s="56">
        <f>SUMIF('2015-16 12 Mnths'!$A:$A,'Detail 18-19'!$A240,'2015-16 12 Mnths'!K:K)-SUMIF('Budget 12 Mnths'!$A:$A,'Detail 18-19'!$A240,'Budget 12 Mnths'!L:L)</f>
        <v>-50</v>
      </c>
      <c r="M240" s="56"/>
      <c r="N240" s="56"/>
      <c r="O240" s="56"/>
      <c r="P240" s="56">
        <f t="shared" si="1"/>
        <v>-300</v>
      </c>
      <c r="Q240" s="14" t="str">
        <f>+VLOOKUP(A240,Mapping!$A$1:$E$443,5,FALSE)</f>
        <v>Travel</v>
      </c>
      <c r="R240" s="26">
        <f>+SUMIF('Budget 12 Mnths'!$A:$A,'Detail 18-19'!$A240,'Budget 12 Mnths'!$P:$P)</f>
        <v>300</v>
      </c>
      <c r="S240" s="26">
        <f>+SUMIF('2015-16 12 Mnths'!$A:$A,'Detail 18-19'!$A240,'2015-16 12 Mnths'!$O:$O)</f>
        <v>0</v>
      </c>
      <c r="T240" s="57">
        <f t="shared" si="2"/>
        <v>-1</v>
      </c>
      <c r="U240" s="57">
        <f t="shared" si="3"/>
        <v>0</v>
      </c>
      <c r="V240" s="8" t="s">
        <v>641</v>
      </c>
      <c r="W240" s="27">
        <v>300.0</v>
      </c>
      <c r="X240" s="27">
        <f t="shared" si="114"/>
        <v>300</v>
      </c>
      <c r="Z240" s="57">
        <f t="shared" si="107"/>
        <v>150</v>
      </c>
      <c r="AA240" s="57" t="str">
        <f>IFERROR(+VLOOKUP(A240,Key!$A$1:$C$219,2,FALSE),"NOT FOUND")</f>
        <v>7300-1U</v>
      </c>
      <c r="AB240" s="27">
        <v>300.0</v>
      </c>
      <c r="AC240" s="57">
        <f t="shared" ref="AC240:AN240" si="115">+$AB240/12</f>
        <v>25</v>
      </c>
      <c r="AD240" s="57">
        <f t="shared" si="115"/>
        <v>25</v>
      </c>
      <c r="AE240" s="57">
        <f t="shared" si="115"/>
        <v>25</v>
      </c>
      <c r="AF240" s="57">
        <f t="shared" si="115"/>
        <v>25</v>
      </c>
      <c r="AG240" s="57">
        <f t="shared" si="115"/>
        <v>25</v>
      </c>
      <c r="AH240" s="57">
        <f t="shared" si="115"/>
        <v>25</v>
      </c>
      <c r="AI240" s="57">
        <f t="shared" si="115"/>
        <v>25</v>
      </c>
      <c r="AJ240" s="57">
        <f t="shared" si="115"/>
        <v>25</v>
      </c>
      <c r="AK240" s="57">
        <f t="shared" si="115"/>
        <v>25</v>
      </c>
      <c r="AL240" s="57">
        <f t="shared" si="115"/>
        <v>25</v>
      </c>
      <c r="AM240" s="57">
        <f t="shared" si="115"/>
        <v>25</v>
      </c>
      <c r="AN240" s="57">
        <f t="shared" si="115"/>
        <v>25</v>
      </c>
      <c r="AO240" s="27">
        <f t="shared" si="6"/>
        <v>0</v>
      </c>
    </row>
    <row r="241" ht="15.75" hidden="1" customHeight="1">
      <c r="A241" s="15" t="s">
        <v>650</v>
      </c>
      <c r="B241" s="15" t="s">
        <v>649</v>
      </c>
      <c r="C241" s="15" t="s">
        <v>119</v>
      </c>
      <c r="D241" s="56">
        <f>SUMIF('2015-16 12 Mnths'!$A:$A,'Detail 18-19'!$A241,'2015-16 12 Mnths'!C:C)-SUMIF('Budget 12 Mnths'!$A:$A,'Detail 18-19'!$A241,'Budget 12 Mnths'!D:D)</f>
        <v>0</v>
      </c>
      <c r="E241" s="56">
        <f>SUMIF('2015-16 12 Mnths'!$A:$A,'Detail 18-19'!$A241,'2015-16 12 Mnths'!D:D)-SUMIF('Budget 12 Mnths'!$A:$A,'Detail 18-19'!$A241,'Budget 12 Mnths'!E:E)</f>
        <v>0</v>
      </c>
      <c r="F241" s="56">
        <f>SUMIF('2015-16 12 Mnths'!$A:$A,'Detail 18-19'!$A241,'2015-16 12 Mnths'!E:E)-SUMIF('Budget 12 Mnths'!$A:$A,'Detail 18-19'!$A241,'Budget 12 Mnths'!F:F)</f>
        <v>0</v>
      </c>
      <c r="G241" s="56">
        <f>SUMIF('2015-16 12 Mnths'!$A:$A,'Detail 18-19'!$A241,'2015-16 12 Mnths'!F:F)-SUMIF('Budget 12 Mnths'!$A:$A,'Detail 18-19'!$A241,'Budget 12 Mnths'!G:G)</f>
        <v>0</v>
      </c>
      <c r="H241" s="56">
        <f>SUMIF('2015-16 12 Mnths'!$A:$A,'Detail 18-19'!$A241,'2015-16 12 Mnths'!G:G)-SUMIF('Budget 12 Mnths'!$A:$A,'Detail 18-19'!$A241,'Budget 12 Mnths'!H:H)</f>
        <v>0</v>
      </c>
      <c r="I241" s="56">
        <f>SUMIF('2015-16 12 Mnths'!$A:$A,'Detail 18-19'!$A241,'2015-16 12 Mnths'!H:H)-SUMIF('Budget 12 Mnths'!$A:$A,'Detail 18-19'!$A241,'Budget 12 Mnths'!I:I)</f>
        <v>0</v>
      </c>
      <c r="J241" s="56">
        <f>SUMIF('2015-16 12 Mnths'!$A:$A,'Detail 18-19'!$A241,'2015-16 12 Mnths'!I:I)-SUMIF('Budget 12 Mnths'!$A:$A,'Detail 18-19'!$A241,'Budget 12 Mnths'!J:J)</f>
        <v>0</v>
      </c>
      <c r="K241" s="56">
        <f>SUMIF('2015-16 12 Mnths'!$A:$A,'Detail 18-19'!$A241,'2015-16 12 Mnths'!J:J)-SUMIF('Budget 12 Mnths'!$A:$A,'Detail 18-19'!$A241,'Budget 12 Mnths'!K:K)</f>
        <v>0</v>
      </c>
      <c r="L241" s="56">
        <f>SUMIF('2015-16 12 Mnths'!$A:$A,'Detail 18-19'!$A241,'2015-16 12 Mnths'!K:K)-SUMIF('Budget 12 Mnths'!$A:$A,'Detail 18-19'!$A241,'Budget 12 Mnths'!L:L)</f>
        <v>0</v>
      </c>
      <c r="M241" s="56"/>
      <c r="N241" s="56"/>
      <c r="O241" s="56"/>
      <c r="P241" s="56">
        <f t="shared" si="1"/>
        <v>0</v>
      </c>
      <c r="Q241" s="14" t="str">
        <f>+VLOOKUP(A241,Mapping!$A$1:$E$443,5,FALSE)</f>
        <v>Travel</v>
      </c>
      <c r="R241" s="26">
        <f>+SUMIF('Budget 12 Mnths'!$A:$A,'Detail 18-19'!$A241,'Budget 12 Mnths'!$P:$P)</f>
        <v>0</v>
      </c>
      <c r="S241" s="26">
        <f>+SUMIF('2015-16 12 Mnths'!$A:$A,'Detail 18-19'!$A241,'2015-16 12 Mnths'!$O:$O)</f>
        <v>0</v>
      </c>
      <c r="T241" s="57">
        <f t="shared" si="2"/>
        <v>0</v>
      </c>
      <c r="U241" s="57">
        <f t="shared" si="3"/>
        <v>0</v>
      </c>
      <c r="W241" s="27"/>
      <c r="X241" s="27" t="str">
        <f t="shared" si="114"/>
        <v/>
      </c>
      <c r="Z241" s="57">
        <f t="shared" si="107"/>
        <v>0</v>
      </c>
      <c r="AA241" s="57" t="str">
        <f>IFERROR(+VLOOKUP(A241,Key!$A$1:$C$219,2,FALSE),"NOT FOUND")</f>
        <v>NOT FOUND</v>
      </c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>
        <f t="shared" si="6"/>
        <v>0</v>
      </c>
    </row>
    <row r="242" ht="15.75" hidden="1" customHeight="1">
      <c r="A242" s="15" t="s">
        <v>651</v>
      </c>
      <c r="B242" s="15" t="s">
        <v>649</v>
      </c>
      <c r="C242" s="15" t="s">
        <v>119</v>
      </c>
      <c r="D242" s="56">
        <f>SUMIF('2015-16 12 Mnths'!$A:$A,'Detail 18-19'!$A242,'2015-16 12 Mnths'!C:C)-SUMIF('Budget 12 Mnths'!$A:$A,'Detail 18-19'!$A242,'Budget 12 Mnths'!D:D)</f>
        <v>0</v>
      </c>
      <c r="E242" s="56">
        <f>SUMIF('2015-16 12 Mnths'!$A:$A,'Detail 18-19'!$A242,'2015-16 12 Mnths'!D:D)-SUMIF('Budget 12 Mnths'!$A:$A,'Detail 18-19'!$A242,'Budget 12 Mnths'!E:E)</f>
        <v>0</v>
      </c>
      <c r="F242" s="56">
        <f>SUMIF('2015-16 12 Mnths'!$A:$A,'Detail 18-19'!$A242,'2015-16 12 Mnths'!E:E)-SUMIF('Budget 12 Mnths'!$A:$A,'Detail 18-19'!$A242,'Budget 12 Mnths'!F:F)</f>
        <v>0</v>
      </c>
      <c r="G242" s="56">
        <f>SUMIF('2015-16 12 Mnths'!$A:$A,'Detail 18-19'!$A242,'2015-16 12 Mnths'!F:F)-SUMIF('Budget 12 Mnths'!$A:$A,'Detail 18-19'!$A242,'Budget 12 Mnths'!G:G)</f>
        <v>0</v>
      </c>
      <c r="H242" s="56">
        <f>SUMIF('2015-16 12 Mnths'!$A:$A,'Detail 18-19'!$A242,'2015-16 12 Mnths'!G:G)-SUMIF('Budget 12 Mnths'!$A:$A,'Detail 18-19'!$A242,'Budget 12 Mnths'!H:H)</f>
        <v>0</v>
      </c>
      <c r="I242" s="56">
        <f>SUMIF('2015-16 12 Mnths'!$A:$A,'Detail 18-19'!$A242,'2015-16 12 Mnths'!H:H)-SUMIF('Budget 12 Mnths'!$A:$A,'Detail 18-19'!$A242,'Budget 12 Mnths'!I:I)</f>
        <v>0</v>
      </c>
      <c r="J242" s="56">
        <f>SUMIF('2015-16 12 Mnths'!$A:$A,'Detail 18-19'!$A242,'2015-16 12 Mnths'!I:I)-SUMIF('Budget 12 Mnths'!$A:$A,'Detail 18-19'!$A242,'Budget 12 Mnths'!J:J)</f>
        <v>0</v>
      </c>
      <c r="K242" s="56">
        <f>SUMIF('2015-16 12 Mnths'!$A:$A,'Detail 18-19'!$A242,'2015-16 12 Mnths'!J:J)-SUMIF('Budget 12 Mnths'!$A:$A,'Detail 18-19'!$A242,'Budget 12 Mnths'!K:K)</f>
        <v>0</v>
      </c>
      <c r="L242" s="56">
        <f>SUMIF('2015-16 12 Mnths'!$A:$A,'Detail 18-19'!$A242,'2015-16 12 Mnths'!K:K)-SUMIF('Budget 12 Mnths'!$A:$A,'Detail 18-19'!$A242,'Budget 12 Mnths'!L:L)</f>
        <v>0</v>
      </c>
      <c r="M242" s="56"/>
      <c r="N242" s="56"/>
      <c r="O242" s="56"/>
      <c r="P242" s="56">
        <f t="shared" si="1"/>
        <v>0</v>
      </c>
      <c r="Q242" s="14" t="str">
        <f>+VLOOKUP(A242,Mapping!$A$1:$E$443,5,FALSE)</f>
        <v>Travel</v>
      </c>
      <c r="R242" s="26">
        <f>+SUMIF('Budget 12 Mnths'!$A:$A,'Detail 18-19'!$A242,'Budget 12 Mnths'!$P:$P)</f>
        <v>0</v>
      </c>
      <c r="S242" s="26">
        <f>+SUMIF('2015-16 12 Mnths'!$A:$A,'Detail 18-19'!$A242,'2015-16 12 Mnths'!$O:$O)</f>
        <v>0</v>
      </c>
      <c r="T242" s="57">
        <f t="shared" si="2"/>
        <v>0</v>
      </c>
      <c r="U242" s="57">
        <f t="shared" si="3"/>
        <v>0</v>
      </c>
      <c r="W242" s="27"/>
      <c r="X242" s="27" t="str">
        <f t="shared" si="114"/>
        <v/>
      </c>
      <c r="Z242" s="57">
        <f t="shared" si="107"/>
        <v>0</v>
      </c>
      <c r="AA242" s="57" t="str">
        <f>IFERROR(+VLOOKUP(A242,Key!$A$1:$C$219,2,FALSE),"NOT FOUND")</f>
        <v>NOT FOUND</v>
      </c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>
        <f t="shared" si="6"/>
        <v>0</v>
      </c>
    </row>
    <row r="243" ht="15.75" hidden="1" customHeight="1">
      <c r="A243" s="15" t="s">
        <v>652</v>
      </c>
      <c r="B243" s="15" t="s">
        <v>653</v>
      </c>
      <c r="C243" s="15" t="s">
        <v>119</v>
      </c>
      <c r="D243" s="56">
        <f>SUMIF('2015-16 12 Mnths'!$A:$A,'Detail 18-19'!$A243,'2015-16 12 Mnths'!C:C)-SUMIF('Budget 12 Mnths'!$A:$A,'Detail 18-19'!$A243,'Budget 12 Mnths'!D:D)</f>
        <v>0</v>
      </c>
      <c r="E243" s="56">
        <f>SUMIF('2015-16 12 Mnths'!$A:$A,'Detail 18-19'!$A243,'2015-16 12 Mnths'!D:D)-SUMIF('Budget 12 Mnths'!$A:$A,'Detail 18-19'!$A243,'Budget 12 Mnths'!E:E)</f>
        <v>0</v>
      </c>
      <c r="F243" s="56">
        <f>SUMIF('2015-16 12 Mnths'!$A:$A,'Detail 18-19'!$A243,'2015-16 12 Mnths'!E:E)-SUMIF('Budget 12 Mnths'!$A:$A,'Detail 18-19'!$A243,'Budget 12 Mnths'!F:F)</f>
        <v>0</v>
      </c>
      <c r="G243" s="56">
        <f>SUMIF('2015-16 12 Mnths'!$A:$A,'Detail 18-19'!$A243,'2015-16 12 Mnths'!F:F)-SUMIF('Budget 12 Mnths'!$A:$A,'Detail 18-19'!$A243,'Budget 12 Mnths'!G:G)</f>
        <v>0</v>
      </c>
      <c r="H243" s="56">
        <f>SUMIF('2015-16 12 Mnths'!$A:$A,'Detail 18-19'!$A243,'2015-16 12 Mnths'!G:G)-SUMIF('Budget 12 Mnths'!$A:$A,'Detail 18-19'!$A243,'Budget 12 Mnths'!H:H)</f>
        <v>0</v>
      </c>
      <c r="I243" s="56">
        <f>SUMIF('2015-16 12 Mnths'!$A:$A,'Detail 18-19'!$A243,'2015-16 12 Mnths'!H:H)-SUMIF('Budget 12 Mnths'!$A:$A,'Detail 18-19'!$A243,'Budget 12 Mnths'!I:I)</f>
        <v>0</v>
      </c>
      <c r="J243" s="56">
        <f>SUMIF('2015-16 12 Mnths'!$A:$A,'Detail 18-19'!$A243,'2015-16 12 Mnths'!I:I)-SUMIF('Budget 12 Mnths'!$A:$A,'Detail 18-19'!$A243,'Budget 12 Mnths'!J:J)</f>
        <v>0</v>
      </c>
      <c r="K243" s="56">
        <f>SUMIF('2015-16 12 Mnths'!$A:$A,'Detail 18-19'!$A243,'2015-16 12 Mnths'!J:J)-SUMIF('Budget 12 Mnths'!$A:$A,'Detail 18-19'!$A243,'Budget 12 Mnths'!K:K)</f>
        <v>0</v>
      </c>
      <c r="L243" s="56">
        <f>SUMIF('2015-16 12 Mnths'!$A:$A,'Detail 18-19'!$A243,'2015-16 12 Mnths'!K:K)-SUMIF('Budget 12 Mnths'!$A:$A,'Detail 18-19'!$A243,'Budget 12 Mnths'!L:L)</f>
        <v>0</v>
      </c>
      <c r="M243" s="56"/>
      <c r="N243" s="56"/>
      <c r="O243" s="56"/>
      <c r="P243" s="56">
        <f t="shared" si="1"/>
        <v>0</v>
      </c>
      <c r="Q243" s="14" t="str">
        <f>+VLOOKUP(A243,Mapping!$A$1:$E$443,5,FALSE)</f>
        <v>Travel</v>
      </c>
      <c r="R243" s="26">
        <f>+SUMIF('Budget 12 Mnths'!$A:$A,'Detail 18-19'!$A243,'Budget 12 Mnths'!$P:$P)</f>
        <v>0</v>
      </c>
      <c r="S243" s="26">
        <f>+SUMIF('2015-16 12 Mnths'!$A:$A,'Detail 18-19'!$A243,'2015-16 12 Mnths'!$O:$O)</f>
        <v>0</v>
      </c>
      <c r="T243" s="57">
        <f t="shared" si="2"/>
        <v>0</v>
      </c>
      <c r="U243" s="57">
        <f t="shared" si="3"/>
        <v>0</v>
      </c>
      <c r="W243" s="27"/>
      <c r="X243" s="27" t="str">
        <f t="shared" si="114"/>
        <v/>
      </c>
      <c r="Z243" s="57">
        <f t="shared" si="107"/>
        <v>0</v>
      </c>
      <c r="AA243" s="57" t="str">
        <f>IFERROR(+VLOOKUP(A243,Key!$A$1:$C$219,2,FALSE),"NOT FOUND")</f>
        <v>NOT FOUND</v>
      </c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>
        <f t="shared" si="6"/>
        <v>0</v>
      </c>
    </row>
    <row r="244" ht="15.75" hidden="1" customHeight="1">
      <c r="A244" s="15" t="s">
        <v>654</v>
      </c>
      <c r="B244" s="15" t="s">
        <v>653</v>
      </c>
      <c r="C244" s="15" t="s">
        <v>119</v>
      </c>
      <c r="D244" s="56">
        <f>SUMIF('2015-16 12 Mnths'!$A:$A,'Detail 18-19'!$A244,'2015-16 12 Mnths'!C:C)-SUMIF('Budget 12 Mnths'!$A:$A,'Detail 18-19'!$A244,'Budget 12 Mnths'!D:D)</f>
        <v>0</v>
      </c>
      <c r="E244" s="56">
        <f>SUMIF('2015-16 12 Mnths'!$A:$A,'Detail 18-19'!$A244,'2015-16 12 Mnths'!D:D)-SUMIF('Budget 12 Mnths'!$A:$A,'Detail 18-19'!$A244,'Budget 12 Mnths'!E:E)</f>
        <v>0</v>
      </c>
      <c r="F244" s="56">
        <f>SUMIF('2015-16 12 Mnths'!$A:$A,'Detail 18-19'!$A244,'2015-16 12 Mnths'!E:E)-SUMIF('Budget 12 Mnths'!$A:$A,'Detail 18-19'!$A244,'Budget 12 Mnths'!F:F)</f>
        <v>0</v>
      </c>
      <c r="G244" s="56">
        <f>SUMIF('2015-16 12 Mnths'!$A:$A,'Detail 18-19'!$A244,'2015-16 12 Mnths'!F:F)-SUMIF('Budget 12 Mnths'!$A:$A,'Detail 18-19'!$A244,'Budget 12 Mnths'!G:G)</f>
        <v>0</v>
      </c>
      <c r="H244" s="56">
        <f>SUMIF('2015-16 12 Mnths'!$A:$A,'Detail 18-19'!$A244,'2015-16 12 Mnths'!G:G)-SUMIF('Budget 12 Mnths'!$A:$A,'Detail 18-19'!$A244,'Budget 12 Mnths'!H:H)</f>
        <v>0</v>
      </c>
      <c r="I244" s="56">
        <f>SUMIF('2015-16 12 Mnths'!$A:$A,'Detail 18-19'!$A244,'2015-16 12 Mnths'!H:H)-SUMIF('Budget 12 Mnths'!$A:$A,'Detail 18-19'!$A244,'Budget 12 Mnths'!I:I)</f>
        <v>0</v>
      </c>
      <c r="J244" s="56">
        <f>SUMIF('2015-16 12 Mnths'!$A:$A,'Detail 18-19'!$A244,'2015-16 12 Mnths'!I:I)-SUMIF('Budget 12 Mnths'!$A:$A,'Detail 18-19'!$A244,'Budget 12 Mnths'!J:J)</f>
        <v>0</v>
      </c>
      <c r="K244" s="56">
        <f>SUMIF('2015-16 12 Mnths'!$A:$A,'Detail 18-19'!$A244,'2015-16 12 Mnths'!J:J)-SUMIF('Budget 12 Mnths'!$A:$A,'Detail 18-19'!$A244,'Budget 12 Mnths'!K:K)</f>
        <v>0</v>
      </c>
      <c r="L244" s="56">
        <f>SUMIF('2015-16 12 Mnths'!$A:$A,'Detail 18-19'!$A244,'2015-16 12 Mnths'!K:K)-SUMIF('Budget 12 Mnths'!$A:$A,'Detail 18-19'!$A244,'Budget 12 Mnths'!L:L)</f>
        <v>0</v>
      </c>
      <c r="M244" s="56"/>
      <c r="N244" s="56"/>
      <c r="O244" s="56"/>
      <c r="P244" s="56">
        <f t="shared" si="1"/>
        <v>0</v>
      </c>
      <c r="Q244" s="14" t="str">
        <f>+VLOOKUP(A244,Mapping!$A$1:$E$443,5,FALSE)</f>
        <v>Travel</v>
      </c>
      <c r="R244" s="26">
        <f>+SUMIF('Budget 12 Mnths'!$A:$A,'Detail 18-19'!$A244,'Budget 12 Mnths'!$P:$P)</f>
        <v>0</v>
      </c>
      <c r="S244" s="26">
        <f>+SUMIF('2015-16 12 Mnths'!$A:$A,'Detail 18-19'!$A244,'2015-16 12 Mnths'!$O:$O)</f>
        <v>0</v>
      </c>
      <c r="T244" s="57">
        <f t="shared" si="2"/>
        <v>0</v>
      </c>
      <c r="U244" s="57">
        <f t="shared" si="3"/>
        <v>0</v>
      </c>
      <c r="W244" s="27"/>
      <c r="X244" s="27" t="str">
        <f t="shared" si="114"/>
        <v/>
      </c>
      <c r="Z244" s="57">
        <f t="shared" si="107"/>
        <v>0</v>
      </c>
      <c r="AA244" s="57" t="str">
        <f>IFERROR(+VLOOKUP(A244,Key!$A$1:$C$219,2,FALSE),"NOT FOUND")</f>
        <v>NOT FOUND</v>
      </c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>
        <f t="shared" si="6"/>
        <v>0</v>
      </c>
    </row>
    <row r="245" ht="15.75" customHeight="1">
      <c r="A245" s="15" t="s">
        <v>655</v>
      </c>
      <c r="B245" s="15" t="s">
        <v>653</v>
      </c>
      <c r="C245" s="15" t="s">
        <v>119</v>
      </c>
      <c r="D245" s="56">
        <f>SUMIF('2015-16 12 Mnths'!$A:$A,'Detail 18-19'!$A245,'2015-16 12 Mnths'!C:C)-SUMIF('Budget 12 Mnths'!$A:$A,'Detail 18-19'!$A245,'Budget 12 Mnths'!D:D)</f>
        <v>0</v>
      </c>
      <c r="E245" s="56">
        <f>SUMIF('2015-16 12 Mnths'!$A:$A,'Detail 18-19'!$A245,'2015-16 12 Mnths'!D:D)-SUMIF('Budget 12 Mnths'!$A:$A,'Detail 18-19'!$A245,'Budget 12 Mnths'!E:E)</f>
        <v>0</v>
      </c>
      <c r="F245" s="56">
        <f>SUMIF('2015-16 12 Mnths'!$A:$A,'Detail 18-19'!$A245,'2015-16 12 Mnths'!E:E)-SUMIF('Budget 12 Mnths'!$A:$A,'Detail 18-19'!$A245,'Budget 12 Mnths'!F:F)</f>
        <v>0</v>
      </c>
      <c r="G245" s="56">
        <f>SUMIF('2015-16 12 Mnths'!$A:$A,'Detail 18-19'!$A245,'2015-16 12 Mnths'!F:F)-SUMIF('Budget 12 Mnths'!$A:$A,'Detail 18-19'!$A245,'Budget 12 Mnths'!G:G)</f>
        <v>0</v>
      </c>
      <c r="H245" s="56">
        <f>SUMIF('2015-16 12 Mnths'!$A:$A,'Detail 18-19'!$A245,'2015-16 12 Mnths'!G:G)-SUMIF('Budget 12 Mnths'!$A:$A,'Detail 18-19'!$A245,'Budget 12 Mnths'!H:H)</f>
        <v>0</v>
      </c>
      <c r="I245" s="56">
        <f>SUMIF('2015-16 12 Mnths'!$A:$A,'Detail 18-19'!$A245,'2015-16 12 Mnths'!H:H)-SUMIF('Budget 12 Mnths'!$A:$A,'Detail 18-19'!$A245,'Budget 12 Mnths'!I:I)</f>
        <v>0</v>
      </c>
      <c r="J245" s="56">
        <f>SUMIF('2015-16 12 Mnths'!$A:$A,'Detail 18-19'!$A245,'2015-16 12 Mnths'!I:I)-SUMIF('Budget 12 Mnths'!$A:$A,'Detail 18-19'!$A245,'Budget 12 Mnths'!J:J)</f>
        <v>0</v>
      </c>
      <c r="K245" s="56">
        <f>SUMIF('2015-16 12 Mnths'!$A:$A,'Detail 18-19'!$A245,'2015-16 12 Mnths'!J:J)-SUMIF('Budget 12 Mnths'!$A:$A,'Detail 18-19'!$A245,'Budget 12 Mnths'!K:K)</f>
        <v>0</v>
      </c>
      <c r="L245" s="56">
        <f>SUMIF('2015-16 12 Mnths'!$A:$A,'Detail 18-19'!$A245,'2015-16 12 Mnths'!K:K)-SUMIF('Budget 12 Mnths'!$A:$A,'Detail 18-19'!$A245,'Budget 12 Mnths'!L:L)</f>
        <v>0</v>
      </c>
      <c r="M245" s="56"/>
      <c r="N245" s="56"/>
      <c r="O245" s="56"/>
      <c r="P245" s="56">
        <f t="shared" si="1"/>
        <v>0</v>
      </c>
      <c r="Q245" s="14" t="str">
        <f>+VLOOKUP(A245,Mapping!$A$1:$E$443,5,FALSE)</f>
        <v>Travel</v>
      </c>
      <c r="R245" s="26">
        <f>+SUMIF('Budget 12 Mnths'!$A:$A,'Detail 18-19'!$A245,'Budget 12 Mnths'!$P:$P)</f>
        <v>0</v>
      </c>
      <c r="S245" s="26">
        <f>+SUMIF('2015-16 12 Mnths'!$A:$A,'Detail 18-19'!$A245,'2015-16 12 Mnths'!$O:$O)</f>
        <v>0</v>
      </c>
      <c r="T245" s="57">
        <f t="shared" si="2"/>
        <v>0</v>
      </c>
      <c r="U245" s="57">
        <f t="shared" si="3"/>
        <v>0</v>
      </c>
      <c r="W245" s="27">
        <v>8000.0</v>
      </c>
      <c r="X245" s="27">
        <v>250.0</v>
      </c>
      <c r="Y245" s="8" t="s">
        <v>811</v>
      </c>
      <c r="Z245" s="57">
        <v>8000.0</v>
      </c>
      <c r="AA245" s="57" t="str">
        <f>IFERROR(+VLOOKUP(A245,Key!$A$1:$C$219,2,FALSE),"NOT FOUND")</f>
        <v>7300-1U</v>
      </c>
      <c r="AB245" s="27">
        <v>250.0</v>
      </c>
      <c r="AC245" s="57">
        <f t="shared" ref="AC245:AN245" si="116">+$AB245/12</f>
        <v>20.83333333</v>
      </c>
      <c r="AD245" s="57">
        <f t="shared" si="116"/>
        <v>20.83333333</v>
      </c>
      <c r="AE245" s="57">
        <f t="shared" si="116"/>
        <v>20.83333333</v>
      </c>
      <c r="AF245" s="57">
        <f t="shared" si="116"/>
        <v>20.83333333</v>
      </c>
      <c r="AG245" s="57">
        <f t="shared" si="116"/>
        <v>20.83333333</v>
      </c>
      <c r="AH245" s="57">
        <f t="shared" si="116"/>
        <v>20.83333333</v>
      </c>
      <c r="AI245" s="57">
        <f t="shared" si="116"/>
        <v>20.83333333</v>
      </c>
      <c r="AJ245" s="57">
        <f t="shared" si="116"/>
        <v>20.83333333</v>
      </c>
      <c r="AK245" s="57">
        <f t="shared" si="116"/>
        <v>20.83333333</v>
      </c>
      <c r="AL245" s="57">
        <f t="shared" si="116"/>
        <v>20.83333333</v>
      </c>
      <c r="AM245" s="57">
        <f t="shared" si="116"/>
        <v>20.83333333</v>
      </c>
      <c r="AN245" s="57">
        <f t="shared" si="116"/>
        <v>20.83333333</v>
      </c>
      <c r="AO245" s="27">
        <f t="shared" si="6"/>
        <v>0</v>
      </c>
    </row>
    <row r="246" ht="15.75" hidden="1" customHeight="1">
      <c r="A246" s="15" t="s">
        <v>656</v>
      </c>
      <c r="B246" s="15" t="s">
        <v>657</v>
      </c>
      <c r="C246" s="15" t="s">
        <v>119</v>
      </c>
      <c r="D246" s="56">
        <f>SUMIF('2015-16 12 Mnths'!$A:$A,'Detail 18-19'!$A246,'2015-16 12 Mnths'!C:C)-SUMIF('Budget 12 Mnths'!$A:$A,'Detail 18-19'!$A246,'Budget 12 Mnths'!D:D)</f>
        <v>0</v>
      </c>
      <c r="E246" s="56">
        <f>SUMIF('2015-16 12 Mnths'!$A:$A,'Detail 18-19'!$A246,'2015-16 12 Mnths'!D:D)-SUMIF('Budget 12 Mnths'!$A:$A,'Detail 18-19'!$A246,'Budget 12 Mnths'!E:E)</f>
        <v>0</v>
      </c>
      <c r="F246" s="56">
        <f>SUMIF('2015-16 12 Mnths'!$A:$A,'Detail 18-19'!$A246,'2015-16 12 Mnths'!E:E)-SUMIF('Budget 12 Mnths'!$A:$A,'Detail 18-19'!$A246,'Budget 12 Mnths'!F:F)</f>
        <v>0</v>
      </c>
      <c r="G246" s="56">
        <f>SUMIF('2015-16 12 Mnths'!$A:$A,'Detail 18-19'!$A246,'2015-16 12 Mnths'!F:F)-SUMIF('Budget 12 Mnths'!$A:$A,'Detail 18-19'!$A246,'Budget 12 Mnths'!G:G)</f>
        <v>0</v>
      </c>
      <c r="H246" s="56">
        <f>SUMIF('2015-16 12 Mnths'!$A:$A,'Detail 18-19'!$A246,'2015-16 12 Mnths'!G:G)-SUMIF('Budget 12 Mnths'!$A:$A,'Detail 18-19'!$A246,'Budget 12 Mnths'!H:H)</f>
        <v>0</v>
      </c>
      <c r="I246" s="56">
        <f>SUMIF('2015-16 12 Mnths'!$A:$A,'Detail 18-19'!$A246,'2015-16 12 Mnths'!H:H)-SUMIF('Budget 12 Mnths'!$A:$A,'Detail 18-19'!$A246,'Budget 12 Mnths'!I:I)</f>
        <v>0</v>
      </c>
      <c r="J246" s="56">
        <f>SUMIF('2015-16 12 Mnths'!$A:$A,'Detail 18-19'!$A246,'2015-16 12 Mnths'!I:I)-SUMIF('Budget 12 Mnths'!$A:$A,'Detail 18-19'!$A246,'Budget 12 Mnths'!J:J)</f>
        <v>0</v>
      </c>
      <c r="K246" s="56">
        <f>SUMIF('2015-16 12 Mnths'!$A:$A,'Detail 18-19'!$A246,'2015-16 12 Mnths'!J:J)-SUMIF('Budget 12 Mnths'!$A:$A,'Detail 18-19'!$A246,'Budget 12 Mnths'!K:K)</f>
        <v>0</v>
      </c>
      <c r="L246" s="56">
        <f>SUMIF('2015-16 12 Mnths'!$A:$A,'Detail 18-19'!$A246,'2015-16 12 Mnths'!K:K)-SUMIF('Budget 12 Mnths'!$A:$A,'Detail 18-19'!$A246,'Budget 12 Mnths'!L:L)</f>
        <v>0</v>
      </c>
      <c r="M246" s="56"/>
      <c r="N246" s="56"/>
      <c r="O246" s="56"/>
      <c r="P246" s="56">
        <f t="shared" si="1"/>
        <v>0</v>
      </c>
      <c r="Q246" s="14" t="str">
        <f>+VLOOKUP(A246,Mapping!$A$1:$E$443,5,FALSE)</f>
        <v>Travel</v>
      </c>
      <c r="R246" s="26">
        <f>+SUMIF('Budget 12 Mnths'!$A:$A,'Detail 18-19'!$A246,'Budget 12 Mnths'!$P:$P)</f>
        <v>0</v>
      </c>
      <c r="S246" s="26">
        <f>+SUMIF('2015-16 12 Mnths'!$A:$A,'Detail 18-19'!$A246,'2015-16 12 Mnths'!$O:$O)</f>
        <v>0</v>
      </c>
      <c r="T246" s="57">
        <f t="shared" si="2"/>
        <v>0</v>
      </c>
      <c r="U246" s="57">
        <f t="shared" si="3"/>
        <v>0</v>
      </c>
      <c r="W246" s="27"/>
      <c r="X246" s="27" t="str">
        <f t="shared" ref="X246:X271" si="117">+W246</f>
        <v/>
      </c>
      <c r="Z246" s="57">
        <f t="shared" ref="Z246:Z269" si="118">+X246/2</f>
        <v>0</v>
      </c>
      <c r="AA246" s="57" t="str">
        <f>IFERROR(+VLOOKUP(A246,Key!$A$1:$C$219,2,FALSE),"NOT FOUND")</f>
        <v>NOT FOUND</v>
      </c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>
        <f t="shared" si="6"/>
        <v>0</v>
      </c>
    </row>
    <row r="247" ht="15.75" hidden="1" customHeight="1">
      <c r="A247" s="15" t="s">
        <v>658</v>
      </c>
      <c r="B247" s="15" t="s">
        <v>657</v>
      </c>
      <c r="C247" s="15" t="s">
        <v>119</v>
      </c>
      <c r="D247" s="56">
        <f>SUMIF('2015-16 12 Mnths'!$A:$A,'Detail 18-19'!$A247,'2015-16 12 Mnths'!C:C)-SUMIF('Budget 12 Mnths'!$A:$A,'Detail 18-19'!$A247,'Budget 12 Mnths'!D:D)</f>
        <v>0</v>
      </c>
      <c r="E247" s="56">
        <f>SUMIF('2015-16 12 Mnths'!$A:$A,'Detail 18-19'!$A247,'2015-16 12 Mnths'!D:D)-SUMIF('Budget 12 Mnths'!$A:$A,'Detail 18-19'!$A247,'Budget 12 Mnths'!E:E)</f>
        <v>0</v>
      </c>
      <c r="F247" s="56">
        <f>SUMIF('2015-16 12 Mnths'!$A:$A,'Detail 18-19'!$A247,'2015-16 12 Mnths'!E:E)-SUMIF('Budget 12 Mnths'!$A:$A,'Detail 18-19'!$A247,'Budget 12 Mnths'!F:F)</f>
        <v>0</v>
      </c>
      <c r="G247" s="56">
        <f>SUMIF('2015-16 12 Mnths'!$A:$A,'Detail 18-19'!$A247,'2015-16 12 Mnths'!F:F)-SUMIF('Budget 12 Mnths'!$A:$A,'Detail 18-19'!$A247,'Budget 12 Mnths'!G:G)</f>
        <v>0</v>
      </c>
      <c r="H247" s="56">
        <f>SUMIF('2015-16 12 Mnths'!$A:$A,'Detail 18-19'!$A247,'2015-16 12 Mnths'!G:G)-SUMIF('Budget 12 Mnths'!$A:$A,'Detail 18-19'!$A247,'Budget 12 Mnths'!H:H)</f>
        <v>0</v>
      </c>
      <c r="I247" s="56">
        <f>SUMIF('2015-16 12 Mnths'!$A:$A,'Detail 18-19'!$A247,'2015-16 12 Mnths'!H:H)-SUMIF('Budget 12 Mnths'!$A:$A,'Detail 18-19'!$A247,'Budget 12 Mnths'!I:I)</f>
        <v>0</v>
      </c>
      <c r="J247" s="56">
        <f>SUMIF('2015-16 12 Mnths'!$A:$A,'Detail 18-19'!$A247,'2015-16 12 Mnths'!I:I)-SUMIF('Budget 12 Mnths'!$A:$A,'Detail 18-19'!$A247,'Budget 12 Mnths'!J:J)</f>
        <v>0</v>
      </c>
      <c r="K247" s="56">
        <f>SUMIF('2015-16 12 Mnths'!$A:$A,'Detail 18-19'!$A247,'2015-16 12 Mnths'!J:J)-SUMIF('Budget 12 Mnths'!$A:$A,'Detail 18-19'!$A247,'Budget 12 Mnths'!K:K)</f>
        <v>0</v>
      </c>
      <c r="L247" s="56">
        <f>SUMIF('2015-16 12 Mnths'!$A:$A,'Detail 18-19'!$A247,'2015-16 12 Mnths'!K:K)-SUMIF('Budget 12 Mnths'!$A:$A,'Detail 18-19'!$A247,'Budget 12 Mnths'!L:L)</f>
        <v>0</v>
      </c>
      <c r="M247" s="56"/>
      <c r="N247" s="56"/>
      <c r="O247" s="56"/>
      <c r="P247" s="56">
        <f t="shared" si="1"/>
        <v>0</v>
      </c>
      <c r="Q247" s="14" t="str">
        <f>+VLOOKUP(A247,Mapping!$A$1:$E$443,5,FALSE)</f>
        <v>Travel</v>
      </c>
      <c r="R247" s="26">
        <f>+SUMIF('Budget 12 Mnths'!$A:$A,'Detail 18-19'!$A247,'Budget 12 Mnths'!$P:$P)</f>
        <v>0</v>
      </c>
      <c r="S247" s="26">
        <f>+SUMIF('2015-16 12 Mnths'!$A:$A,'Detail 18-19'!$A247,'2015-16 12 Mnths'!$O:$O)</f>
        <v>0</v>
      </c>
      <c r="T247" s="57">
        <f t="shared" si="2"/>
        <v>0</v>
      </c>
      <c r="U247" s="57">
        <f t="shared" si="3"/>
        <v>0</v>
      </c>
      <c r="W247" s="27"/>
      <c r="X247" s="27" t="str">
        <f t="shared" si="117"/>
        <v/>
      </c>
      <c r="Z247" s="57">
        <f t="shared" si="118"/>
        <v>0</v>
      </c>
      <c r="AA247" s="57" t="str">
        <f>IFERROR(+VLOOKUP(A247,Key!$A$1:$C$219,2,FALSE),"NOT FOUND")</f>
        <v>NOT FOUND</v>
      </c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>
        <f t="shared" si="6"/>
        <v>0</v>
      </c>
    </row>
    <row r="248" ht="15.75" hidden="1" customHeight="1">
      <c r="A248" s="15" t="s">
        <v>659</v>
      </c>
      <c r="B248" s="15" t="s">
        <v>657</v>
      </c>
      <c r="C248" s="15" t="s">
        <v>119</v>
      </c>
      <c r="D248" s="56">
        <f>SUMIF('2015-16 12 Mnths'!$A:$A,'Detail 18-19'!$A248,'2015-16 12 Mnths'!C:C)-SUMIF('Budget 12 Mnths'!$A:$A,'Detail 18-19'!$A248,'Budget 12 Mnths'!D:D)</f>
        <v>0</v>
      </c>
      <c r="E248" s="56">
        <f>SUMIF('2015-16 12 Mnths'!$A:$A,'Detail 18-19'!$A248,'2015-16 12 Mnths'!D:D)-SUMIF('Budget 12 Mnths'!$A:$A,'Detail 18-19'!$A248,'Budget 12 Mnths'!E:E)</f>
        <v>0</v>
      </c>
      <c r="F248" s="56">
        <f>SUMIF('2015-16 12 Mnths'!$A:$A,'Detail 18-19'!$A248,'2015-16 12 Mnths'!E:E)-SUMIF('Budget 12 Mnths'!$A:$A,'Detail 18-19'!$A248,'Budget 12 Mnths'!F:F)</f>
        <v>0</v>
      </c>
      <c r="G248" s="56">
        <f>SUMIF('2015-16 12 Mnths'!$A:$A,'Detail 18-19'!$A248,'2015-16 12 Mnths'!F:F)-SUMIF('Budget 12 Mnths'!$A:$A,'Detail 18-19'!$A248,'Budget 12 Mnths'!G:G)</f>
        <v>0</v>
      </c>
      <c r="H248" s="56">
        <f>SUMIF('2015-16 12 Mnths'!$A:$A,'Detail 18-19'!$A248,'2015-16 12 Mnths'!G:G)-SUMIF('Budget 12 Mnths'!$A:$A,'Detail 18-19'!$A248,'Budget 12 Mnths'!H:H)</f>
        <v>0</v>
      </c>
      <c r="I248" s="56">
        <f>SUMIF('2015-16 12 Mnths'!$A:$A,'Detail 18-19'!$A248,'2015-16 12 Mnths'!H:H)-SUMIF('Budget 12 Mnths'!$A:$A,'Detail 18-19'!$A248,'Budget 12 Mnths'!I:I)</f>
        <v>0</v>
      </c>
      <c r="J248" s="56">
        <f>SUMIF('2015-16 12 Mnths'!$A:$A,'Detail 18-19'!$A248,'2015-16 12 Mnths'!I:I)-SUMIF('Budget 12 Mnths'!$A:$A,'Detail 18-19'!$A248,'Budget 12 Mnths'!J:J)</f>
        <v>0</v>
      </c>
      <c r="K248" s="56">
        <f>SUMIF('2015-16 12 Mnths'!$A:$A,'Detail 18-19'!$A248,'2015-16 12 Mnths'!J:J)-SUMIF('Budget 12 Mnths'!$A:$A,'Detail 18-19'!$A248,'Budget 12 Mnths'!K:K)</f>
        <v>0</v>
      </c>
      <c r="L248" s="56">
        <f>SUMIF('2015-16 12 Mnths'!$A:$A,'Detail 18-19'!$A248,'2015-16 12 Mnths'!K:K)-SUMIF('Budget 12 Mnths'!$A:$A,'Detail 18-19'!$A248,'Budget 12 Mnths'!L:L)</f>
        <v>0</v>
      </c>
      <c r="M248" s="56"/>
      <c r="N248" s="56"/>
      <c r="O248" s="56"/>
      <c r="P248" s="56">
        <f t="shared" si="1"/>
        <v>0</v>
      </c>
      <c r="Q248" s="14" t="str">
        <f>+VLOOKUP(A248,Mapping!$A$1:$E$443,5,FALSE)</f>
        <v>Travel</v>
      </c>
      <c r="R248" s="26">
        <f>+SUMIF('Budget 12 Mnths'!$A:$A,'Detail 18-19'!$A248,'Budget 12 Mnths'!$P:$P)</f>
        <v>0</v>
      </c>
      <c r="S248" s="26">
        <f>+SUMIF('2015-16 12 Mnths'!$A:$A,'Detail 18-19'!$A248,'2015-16 12 Mnths'!$O:$O)</f>
        <v>0</v>
      </c>
      <c r="T248" s="57">
        <f t="shared" si="2"/>
        <v>0</v>
      </c>
      <c r="U248" s="57">
        <f t="shared" si="3"/>
        <v>0</v>
      </c>
      <c r="W248" s="27"/>
      <c r="X248" s="27" t="str">
        <f t="shared" si="117"/>
        <v/>
      </c>
      <c r="Z248" s="57">
        <f t="shared" si="118"/>
        <v>0</v>
      </c>
      <c r="AA248" s="57" t="str">
        <f>IFERROR(+VLOOKUP(A248,Key!$A$1:$C$219,2,FALSE),"NOT FOUND")</f>
        <v>NOT FOUND</v>
      </c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>
        <f t="shared" si="6"/>
        <v>0</v>
      </c>
    </row>
    <row r="249" ht="15.75" customHeight="1">
      <c r="A249" s="15" t="s">
        <v>660</v>
      </c>
      <c r="B249" s="15" t="s">
        <v>661</v>
      </c>
      <c r="C249" s="15" t="s">
        <v>119</v>
      </c>
      <c r="D249" s="56">
        <f>SUMIF('2015-16 12 Mnths'!$A:$A,'Detail 18-19'!$A249,'2015-16 12 Mnths'!C:C)-SUMIF('Budget 12 Mnths'!$A:$A,'Detail 18-19'!$A249,'Budget 12 Mnths'!D:D)</f>
        <v>0</v>
      </c>
      <c r="E249" s="56">
        <f>SUMIF('2015-16 12 Mnths'!$A:$A,'Detail 18-19'!$A249,'2015-16 12 Mnths'!D:D)-SUMIF('Budget 12 Mnths'!$A:$A,'Detail 18-19'!$A249,'Budget 12 Mnths'!E:E)</f>
        <v>0</v>
      </c>
      <c r="F249" s="56">
        <f>SUMIF('2015-16 12 Mnths'!$A:$A,'Detail 18-19'!$A249,'2015-16 12 Mnths'!E:E)-SUMIF('Budget 12 Mnths'!$A:$A,'Detail 18-19'!$A249,'Budget 12 Mnths'!F:F)</f>
        <v>0</v>
      </c>
      <c r="G249" s="56">
        <f>SUMIF('2015-16 12 Mnths'!$A:$A,'Detail 18-19'!$A249,'2015-16 12 Mnths'!F:F)-SUMIF('Budget 12 Mnths'!$A:$A,'Detail 18-19'!$A249,'Budget 12 Mnths'!G:G)</f>
        <v>-83.33</v>
      </c>
      <c r="H249" s="56">
        <f>SUMIF('2015-16 12 Mnths'!$A:$A,'Detail 18-19'!$A249,'2015-16 12 Mnths'!G:G)-SUMIF('Budget 12 Mnths'!$A:$A,'Detail 18-19'!$A249,'Budget 12 Mnths'!H:H)</f>
        <v>-83.33</v>
      </c>
      <c r="I249" s="56">
        <f>SUMIF('2015-16 12 Mnths'!$A:$A,'Detail 18-19'!$A249,'2015-16 12 Mnths'!H:H)-SUMIF('Budget 12 Mnths'!$A:$A,'Detail 18-19'!$A249,'Budget 12 Mnths'!I:I)</f>
        <v>-83.33</v>
      </c>
      <c r="J249" s="56">
        <f>SUMIF('2015-16 12 Mnths'!$A:$A,'Detail 18-19'!$A249,'2015-16 12 Mnths'!I:I)-SUMIF('Budget 12 Mnths'!$A:$A,'Detail 18-19'!$A249,'Budget 12 Mnths'!J:J)</f>
        <v>-83.33</v>
      </c>
      <c r="K249" s="56">
        <f>SUMIF('2015-16 12 Mnths'!$A:$A,'Detail 18-19'!$A249,'2015-16 12 Mnths'!J:J)-SUMIF('Budget 12 Mnths'!$A:$A,'Detail 18-19'!$A249,'Budget 12 Mnths'!K:K)</f>
        <v>-83.33</v>
      </c>
      <c r="L249" s="56">
        <f>SUMIF('2015-16 12 Mnths'!$A:$A,'Detail 18-19'!$A249,'2015-16 12 Mnths'!K:K)-SUMIF('Budget 12 Mnths'!$A:$A,'Detail 18-19'!$A249,'Budget 12 Mnths'!L:L)</f>
        <v>-83.33</v>
      </c>
      <c r="M249" s="56"/>
      <c r="N249" s="56"/>
      <c r="O249" s="56"/>
      <c r="P249" s="56">
        <f t="shared" si="1"/>
        <v>-499.98</v>
      </c>
      <c r="Q249" s="14" t="str">
        <f>+VLOOKUP(A249,Mapping!$A$1:$E$443,5,FALSE)</f>
        <v>Travel</v>
      </c>
      <c r="R249" s="26">
        <f>+SUMIF('Budget 12 Mnths'!$A:$A,'Detail 18-19'!$A249,'Budget 12 Mnths'!$P:$P)</f>
        <v>499.98</v>
      </c>
      <c r="S249" s="26">
        <f>+SUMIF('2015-16 12 Mnths'!$A:$A,'Detail 18-19'!$A249,'2015-16 12 Mnths'!$O:$O)</f>
        <v>0</v>
      </c>
      <c r="T249" s="57">
        <f t="shared" si="2"/>
        <v>-1</v>
      </c>
      <c r="U249" s="57">
        <f t="shared" si="3"/>
        <v>0</v>
      </c>
      <c r="V249" s="8" t="s">
        <v>641</v>
      </c>
      <c r="W249" s="27">
        <v>500.0</v>
      </c>
      <c r="X249" s="27">
        <f t="shared" si="117"/>
        <v>500</v>
      </c>
      <c r="Z249" s="57">
        <f t="shared" si="118"/>
        <v>250</v>
      </c>
      <c r="AA249" s="57" t="str">
        <f>IFERROR(+VLOOKUP(A249,Key!$A$1:$C$219,2,FALSE),"NOT FOUND")</f>
        <v>7300-1U</v>
      </c>
      <c r="AB249" s="27">
        <v>500.0</v>
      </c>
      <c r="AC249" s="27"/>
      <c r="AD249" s="27"/>
      <c r="AE249" s="27"/>
      <c r="AF249" s="27"/>
      <c r="AG249" s="27">
        <v>250.0</v>
      </c>
      <c r="AH249" s="27"/>
      <c r="AI249" s="27">
        <v>125.0</v>
      </c>
      <c r="AJ249" s="27"/>
      <c r="AK249" s="27">
        <v>125.0</v>
      </c>
      <c r="AL249" s="27"/>
      <c r="AM249" s="27"/>
      <c r="AN249" s="27"/>
      <c r="AO249" s="27">
        <f t="shared" si="6"/>
        <v>0</v>
      </c>
    </row>
    <row r="250" ht="15.75" hidden="1" customHeight="1">
      <c r="A250" s="15" t="s">
        <v>662</v>
      </c>
      <c r="B250" s="15" t="s">
        <v>661</v>
      </c>
      <c r="C250" s="15" t="s">
        <v>119</v>
      </c>
      <c r="D250" s="56">
        <f>SUMIF('2015-16 12 Mnths'!$A:$A,'Detail 18-19'!$A250,'2015-16 12 Mnths'!C:C)-SUMIF('Budget 12 Mnths'!$A:$A,'Detail 18-19'!$A250,'Budget 12 Mnths'!D:D)</f>
        <v>0</v>
      </c>
      <c r="E250" s="56">
        <f>SUMIF('2015-16 12 Mnths'!$A:$A,'Detail 18-19'!$A250,'2015-16 12 Mnths'!D:D)-SUMIF('Budget 12 Mnths'!$A:$A,'Detail 18-19'!$A250,'Budget 12 Mnths'!E:E)</f>
        <v>0</v>
      </c>
      <c r="F250" s="56">
        <f>SUMIF('2015-16 12 Mnths'!$A:$A,'Detail 18-19'!$A250,'2015-16 12 Mnths'!E:E)-SUMIF('Budget 12 Mnths'!$A:$A,'Detail 18-19'!$A250,'Budget 12 Mnths'!F:F)</f>
        <v>0</v>
      </c>
      <c r="G250" s="56">
        <f>SUMIF('2015-16 12 Mnths'!$A:$A,'Detail 18-19'!$A250,'2015-16 12 Mnths'!F:F)-SUMIF('Budget 12 Mnths'!$A:$A,'Detail 18-19'!$A250,'Budget 12 Mnths'!G:G)</f>
        <v>0</v>
      </c>
      <c r="H250" s="56">
        <f>SUMIF('2015-16 12 Mnths'!$A:$A,'Detail 18-19'!$A250,'2015-16 12 Mnths'!G:G)-SUMIF('Budget 12 Mnths'!$A:$A,'Detail 18-19'!$A250,'Budget 12 Mnths'!H:H)</f>
        <v>0</v>
      </c>
      <c r="I250" s="56">
        <f>SUMIF('2015-16 12 Mnths'!$A:$A,'Detail 18-19'!$A250,'2015-16 12 Mnths'!H:H)-SUMIF('Budget 12 Mnths'!$A:$A,'Detail 18-19'!$A250,'Budget 12 Mnths'!I:I)</f>
        <v>0</v>
      </c>
      <c r="J250" s="56">
        <f>SUMIF('2015-16 12 Mnths'!$A:$A,'Detail 18-19'!$A250,'2015-16 12 Mnths'!I:I)-SUMIF('Budget 12 Mnths'!$A:$A,'Detail 18-19'!$A250,'Budget 12 Mnths'!J:J)</f>
        <v>0</v>
      </c>
      <c r="K250" s="56">
        <f>SUMIF('2015-16 12 Mnths'!$A:$A,'Detail 18-19'!$A250,'2015-16 12 Mnths'!J:J)-SUMIF('Budget 12 Mnths'!$A:$A,'Detail 18-19'!$A250,'Budget 12 Mnths'!K:K)</f>
        <v>0</v>
      </c>
      <c r="L250" s="56">
        <f>SUMIF('2015-16 12 Mnths'!$A:$A,'Detail 18-19'!$A250,'2015-16 12 Mnths'!K:K)-SUMIF('Budget 12 Mnths'!$A:$A,'Detail 18-19'!$A250,'Budget 12 Mnths'!L:L)</f>
        <v>0</v>
      </c>
      <c r="M250" s="56"/>
      <c r="N250" s="56"/>
      <c r="O250" s="56"/>
      <c r="P250" s="56">
        <f t="shared" si="1"/>
        <v>0</v>
      </c>
      <c r="Q250" s="14" t="str">
        <f>+VLOOKUP(A250,Mapping!$A$1:$E$443,5,FALSE)</f>
        <v>Travel</v>
      </c>
      <c r="R250" s="26">
        <f>+SUMIF('Budget 12 Mnths'!$A:$A,'Detail 18-19'!$A250,'Budget 12 Mnths'!$P:$P)</f>
        <v>0</v>
      </c>
      <c r="S250" s="26">
        <f>+SUMIF('2015-16 12 Mnths'!$A:$A,'Detail 18-19'!$A250,'2015-16 12 Mnths'!$O:$O)</f>
        <v>0</v>
      </c>
      <c r="T250" s="57">
        <f t="shared" si="2"/>
        <v>0</v>
      </c>
      <c r="U250" s="57">
        <f t="shared" si="3"/>
        <v>0</v>
      </c>
      <c r="W250" s="27"/>
      <c r="X250" s="27" t="str">
        <f t="shared" si="117"/>
        <v/>
      </c>
      <c r="Z250" s="57">
        <f t="shared" si="118"/>
        <v>0</v>
      </c>
      <c r="AA250" s="57" t="str">
        <f>IFERROR(+VLOOKUP(A250,Key!$A$1:$C$219,2,FALSE),"NOT FOUND")</f>
        <v>NOT FOUND</v>
      </c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>
        <f t="shared" si="6"/>
        <v>0</v>
      </c>
    </row>
    <row r="251" ht="15.75" hidden="1" customHeight="1">
      <c r="A251" s="15" t="s">
        <v>663</v>
      </c>
      <c r="B251" s="15" t="s">
        <v>661</v>
      </c>
      <c r="C251" s="15" t="s">
        <v>119</v>
      </c>
      <c r="D251" s="56">
        <f>SUMIF('2015-16 12 Mnths'!$A:$A,'Detail 18-19'!$A251,'2015-16 12 Mnths'!C:C)-SUMIF('Budget 12 Mnths'!$A:$A,'Detail 18-19'!$A251,'Budget 12 Mnths'!D:D)</f>
        <v>0</v>
      </c>
      <c r="E251" s="56">
        <f>SUMIF('2015-16 12 Mnths'!$A:$A,'Detail 18-19'!$A251,'2015-16 12 Mnths'!D:D)-SUMIF('Budget 12 Mnths'!$A:$A,'Detail 18-19'!$A251,'Budget 12 Mnths'!E:E)</f>
        <v>0</v>
      </c>
      <c r="F251" s="56">
        <f>SUMIF('2015-16 12 Mnths'!$A:$A,'Detail 18-19'!$A251,'2015-16 12 Mnths'!E:E)-SUMIF('Budget 12 Mnths'!$A:$A,'Detail 18-19'!$A251,'Budget 12 Mnths'!F:F)</f>
        <v>0</v>
      </c>
      <c r="G251" s="56">
        <f>SUMIF('2015-16 12 Mnths'!$A:$A,'Detail 18-19'!$A251,'2015-16 12 Mnths'!F:F)-SUMIF('Budget 12 Mnths'!$A:$A,'Detail 18-19'!$A251,'Budget 12 Mnths'!G:G)</f>
        <v>0</v>
      </c>
      <c r="H251" s="56">
        <f>SUMIF('2015-16 12 Mnths'!$A:$A,'Detail 18-19'!$A251,'2015-16 12 Mnths'!G:G)-SUMIF('Budget 12 Mnths'!$A:$A,'Detail 18-19'!$A251,'Budget 12 Mnths'!H:H)</f>
        <v>0</v>
      </c>
      <c r="I251" s="56">
        <f>SUMIF('2015-16 12 Mnths'!$A:$A,'Detail 18-19'!$A251,'2015-16 12 Mnths'!H:H)-SUMIF('Budget 12 Mnths'!$A:$A,'Detail 18-19'!$A251,'Budget 12 Mnths'!I:I)</f>
        <v>0</v>
      </c>
      <c r="J251" s="56">
        <f>SUMIF('2015-16 12 Mnths'!$A:$A,'Detail 18-19'!$A251,'2015-16 12 Mnths'!I:I)-SUMIF('Budget 12 Mnths'!$A:$A,'Detail 18-19'!$A251,'Budget 12 Mnths'!J:J)</f>
        <v>0</v>
      </c>
      <c r="K251" s="56">
        <f>SUMIF('2015-16 12 Mnths'!$A:$A,'Detail 18-19'!$A251,'2015-16 12 Mnths'!J:J)-SUMIF('Budget 12 Mnths'!$A:$A,'Detail 18-19'!$A251,'Budget 12 Mnths'!K:K)</f>
        <v>0</v>
      </c>
      <c r="L251" s="56">
        <f>SUMIF('2015-16 12 Mnths'!$A:$A,'Detail 18-19'!$A251,'2015-16 12 Mnths'!K:K)-SUMIF('Budget 12 Mnths'!$A:$A,'Detail 18-19'!$A251,'Budget 12 Mnths'!L:L)</f>
        <v>0</v>
      </c>
      <c r="M251" s="56"/>
      <c r="N251" s="56"/>
      <c r="O251" s="56"/>
      <c r="P251" s="56">
        <f t="shared" si="1"/>
        <v>0</v>
      </c>
      <c r="Q251" s="14" t="str">
        <f>+VLOOKUP(A251,Mapping!$A$1:$E$443,5,FALSE)</f>
        <v>Travel</v>
      </c>
      <c r="R251" s="26">
        <f>+SUMIF('Budget 12 Mnths'!$A:$A,'Detail 18-19'!$A251,'Budget 12 Mnths'!$P:$P)</f>
        <v>0</v>
      </c>
      <c r="S251" s="26">
        <f>+SUMIF('2015-16 12 Mnths'!$A:$A,'Detail 18-19'!$A251,'2015-16 12 Mnths'!$O:$O)</f>
        <v>0</v>
      </c>
      <c r="T251" s="57">
        <f t="shared" si="2"/>
        <v>0</v>
      </c>
      <c r="U251" s="57">
        <f t="shared" si="3"/>
        <v>0</v>
      </c>
      <c r="W251" s="27"/>
      <c r="X251" s="27" t="str">
        <f t="shared" si="117"/>
        <v/>
      </c>
      <c r="Z251" s="57">
        <f t="shared" si="118"/>
        <v>0</v>
      </c>
      <c r="AA251" s="57" t="str">
        <f>IFERROR(+VLOOKUP(A251,Key!$A$1:$C$219,2,FALSE),"NOT FOUND")</f>
        <v>NOT FOUND</v>
      </c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>
        <f t="shared" si="6"/>
        <v>0</v>
      </c>
    </row>
    <row r="252" ht="15.75" customHeight="1">
      <c r="A252" s="15" t="s">
        <v>664</v>
      </c>
      <c r="B252" s="15" t="s">
        <v>665</v>
      </c>
      <c r="C252" s="15" t="s">
        <v>119</v>
      </c>
      <c r="D252" s="56">
        <f>SUMIF('2015-16 12 Mnths'!$A:$A,'Detail 18-19'!$A252,'2015-16 12 Mnths'!C:C)-SUMIF('Budget 12 Mnths'!$A:$A,'Detail 18-19'!$A252,'Budget 12 Mnths'!D:D)</f>
        <v>0</v>
      </c>
      <c r="E252" s="56">
        <f>SUMIF('2015-16 12 Mnths'!$A:$A,'Detail 18-19'!$A252,'2015-16 12 Mnths'!D:D)-SUMIF('Budget 12 Mnths'!$A:$A,'Detail 18-19'!$A252,'Budget 12 Mnths'!E:E)</f>
        <v>0</v>
      </c>
      <c r="F252" s="56">
        <f>SUMIF('2015-16 12 Mnths'!$A:$A,'Detail 18-19'!$A252,'2015-16 12 Mnths'!E:E)-SUMIF('Budget 12 Mnths'!$A:$A,'Detail 18-19'!$A252,'Budget 12 Mnths'!F:F)</f>
        <v>0</v>
      </c>
      <c r="G252" s="56">
        <f>SUMIF('2015-16 12 Mnths'!$A:$A,'Detail 18-19'!$A252,'2015-16 12 Mnths'!F:F)-SUMIF('Budget 12 Mnths'!$A:$A,'Detail 18-19'!$A252,'Budget 12 Mnths'!G:G)</f>
        <v>-25</v>
      </c>
      <c r="H252" s="56">
        <f>SUMIF('2015-16 12 Mnths'!$A:$A,'Detail 18-19'!$A252,'2015-16 12 Mnths'!G:G)-SUMIF('Budget 12 Mnths'!$A:$A,'Detail 18-19'!$A252,'Budget 12 Mnths'!H:H)</f>
        <v>-25</v>
      </c>
      <c r="I252" s="56">
        <f>SUMIF('2015-16 12 Mnths'!$A:$A,'Detail 18-19'!$A252,'2015-16 12 Mnths'!H:H)-SUMIF('Budget 12 Mnths'!$A:$A,'Detail 18-19'!$A252,'Budget 12 Mnths'!I:I)</f>
        <v>-25</v>
      </c>
      <c r="J252" s="56">
        <f>SUMIF('2015-16 12 Mnths'!$A:$A,'Detail 18-19'!$A252,'2015-16 12 Mnths'!I:I)-SUMIF('Budget 12 Mnths'!$A:$A,'Detail 18-19'!$A252,'Budget 12 Mnths'!J:J)</f>
        <v>-25</v>
      </c>
      <c r="K252" s="56">
        <f>SUMIF('2015-16 12 Mnths'!$A:$A,'Detail 18-19'!$A252,'2015-16 12 Mnths'!J:J)-SUMIF('Budget 12 Mnths'!$A:$A,'Detail 18-19'!$A252,'Budget 12 Mnths'!K:K)</f>
        <v>-25</v>
      </c>
      <c r="L252" s="56">
        <f>SUMIF('2015-16 12 Mnths'!$A:$A,'Detail 18-19'!$A252,'2015-16 12 Mnths'!K:K)-SUMIF('Budget 12 Mnths'!$A:$A,'Detail 18-19'!$A252,'Budget 12 Mnths'!L:L)</f>
        <v>-25</v>
      </c>
      <c r="M252" s="56"/>
      <c r="N252" s="56"/>
      <c r="O252" s="56"/>
      <c r="P252" s="56">
        <f t="shared" si="1"/>
        <v>-150</v>
      </c>
      <c r="Q252" s="14" t="str">
        <f>+VLOOKUP(A252,Mapping!$A$1:$E$443,5,FALSE)</f>
        <v>Travel</v>
      </c>
      <c r="R252" s="26">
        <f>+SUMIF('Budget 12 Mnths'!$A:$A,'Detail 18-19'!$A252,'Budget 12 Mnths'!$P:$P)</f>
        <v>150</v>
      </c>
      <c r="S252" s="26">
        <f>+SUMIF('2015-16 12 Mnths'!$A:$A,'Detail 18-19'!$A252,'2015-16 12 Mnths'!$O:$O)</f>
        <v>0</v>
      </c>
      <c r="T252" s="57">
        <f t="shared" si="2"/>
        <v>-1</v>
      </c>
      <c r="U252" s="57">
        <f t="shared" si="3"/>
        <v>0</v>
      </c>
      <c r="V252" s="8" t="s">
        <v>641</v>
      </c>
      <c r="W252" s="27">
        <v>150.0</v>
      </c>
      <c r="X252" s="27">
        <f t="shared" si="117"/>
        <v>150</v>
      </c>
      <c r="Z252" s="57">
        <f t="shared" si="118"/>
        <v>75</v>
      </c>
      <c r="AA252" s="57" t="str">
        <f>IFERROR(+VLOOKUP(A252,Key!$A$1:$C$219,2,FALSE),"NOT FOUND")</f>
        <v>7300-1U</v>
      </c>
      <c r="AB252" s="27">
        <v>500.0</v>
      </c>
      <c r="AC252" s="27"/>
      <c r="AD252" s="27">
        <v>50.0</v>
      </c>
      <c r="AE252" s="27">
        <v>50.0</v>
      </c>
      <c r="AF252" s="27">
        <v>50.0</v>
      </c>
      <c r="AG252" s="27">
        <v>50.0</v>
      </c>
      <c r="AH252" s="27">
        <v>50.0</v>
      </c>
      <c r="AI252" s="27">
        <v>50.0</v>
      </c>
      <c r="AJ252" s="27">
        <v>50.0</v>
      </c>
      <c r="AK252" s="27">
        <v>50.0</v>
      </c>
      <c r="AL252" s="27">
        <v>50.0</v>
      </c>
      <c r="AM252" s="27">
        <v>50.0</v>
      </c>
      <c r="AN252" s="27"/>
      <c r="AO252" s="27">
        <f t="shared" si="6"/>
        <v>0</v>
      </c>
    </row>
    <row r="253" ht="15.75" hidden="1" customHeight="1">
      <c r="A253" s="15" t="s">
        <v>666</v>
      </c>
      <c r="B253" s="15" t="s">
        <v>665</v>
      </c>
      <c r="C253" s="15" t="s">
        <v>119</v>
      </c>
      <c r="D253" s="56">
        <f>SUMIF('2015-16 12 Mnths'!$A:$A,'Detail 18-19'!$A253,'2015-16 12 Mnths'!C:C)-SUMIF('Budget 12 Mnths'!$A:$A,'Detail 18-19'!$A253,'Budget 12 Mnths'!D:D)</f>
        <v>0</v>
      </c>
      <c r="E253" s="56">
        <f>SUMIF('2015-16 12 Mnths'!$A:$A,'Detail 18-19'!$A253,'2015-16 12 Mnths'!D:D)-SUMIF('Budget 12 Mnths'!$A:$A,'Detail 18-19'!$A253,'Budget 12 Mnths'!E:E)</f>
        <v>0</v>
      </c>
      <c r="F253" s="56">
        <f>SUMIF('2015-16 12 Mnths'!$A:$A,'Detail 18-19'!$A253,'2015-16 12 Mnths'!E:E)-SUMIF('Budget 12 Mnths'!$A:$A,'Detail 18-19'!$A253,'Budget 12 Mnths'!F:F)</f>
        <v>0</v>
      </c>
      <c r="G253" s="56">
        <f>SUMIF('2015-16 12 Mnths'!$A:$A,'Detail 18-19'!$A253,'2015-16 12 Mnths'!F:F)-SUMIF('Budget 12 Mnths'!$A:$A,'Detail 18-19'!$A253,'Budget 12 Mnths'!G:G)</f>
        <v>38</v>
      </c>
      <c r="H253" s="56">
        <f>SUMIF('2015-16 12 Mnths'!$A:$A,'Detail 18-19'!$A253,'2015-16 12 Mnths'!G:G)-SUMIF('Budget 12 Mnths'!$A:$A,'Detail 18-19'!$A253,'Budget 12 Mnths'!H:H)</f>
        <v>0</v>
      </c>
      <c r="I253" s="56">
        <f>SUMIF('2015-16 12 Mnths'!$A:$A,'Detail 18-19'!$A253,'2015-16 12 Mnths'!H:H)-SUMIF('Budget 12 Mnths'!$A:$A,'Detail 18-19'!$A253,'Budget 12 Mnths'!I:I)</f>
        <v>0</v>
      </c>
      <c r="J253" s="56">
        <f>SUMIF('2015-16 12 Mnths'!$A:$A,'Detail 18-19'!$A253,'2015-16 12 Mnths'!I:I)-SUMIF('Budget 12 Mnths'!$A:$A,'Detail 18-19'!$A253,'Budget 12 Mnths'!J:J)</f>
        <v>0</v>
      </c>
      <c r="K253" s="56">
        <f>SUMIF('2015-16 12 Mnths'!$A:$A,'Detail 18-19'!$A253,'2015-16 12 Mnths'!J:J)-SUMIF('Budget 12 Mnths'!$A:$A,'Detail 18-19'!$A253,'Budget 12 Mnths'!K:K)</f>
        <v>0</v>
      </c>
      <c r="L253" s="56">
        <f>SUMIF('2015-16 12 Mnths'!$A:$A,'Detail 18-19'!$A253,'2015-16 12 Mnths'!K:K)-SUMIF('Budget 12 Mnths'!$A:$A,'Detail 18-19'!$A253,'Budget 12 Mnths'!L:L)</f>
        <v>0</v>
      </c>
      <c r="M253" s="56"/>
      <c r="N253" s="56"/>
      <c r="O253" s="56"/>
      <c r="P253" s="56">
        <f t="shared" si="1"/>
        <v>38</v>
      </c>
      <c r="Q253" s="14" t="str">
        <f>+VLOOKUP(A253,Mapping!$A$1:$E$443,5,FALSE)</f>
        <v>Travel</v>
      </c>
      <c r="R253" s="26">
        <f>+SUMIF('Budget 12 Mnths'!$A:$A,'Detail 18-19'!$A253,'Budget 12 Mnths'!$P:$P)</f>
        <v>0</v>
      </c>
      <c r="S253" s="26">
        <f>+SUMIF('2015-16 12 Mnths'!$A:$A,'Detail 18-19'!$A253,'2015-16 12 Mnths'!$O:$O)</f>
        <v>38</v>
      </c>
      <c r="T253" s="57">
        <f t="shared" si="2"/>
        <v>0</v>
      </c>
      <c r="U253" s="57">
        <f t="shared" si="3"/>
        <v>1</v>
      </c>
      <c r="W253" s="27"/>
      <c r="X253" s="27" t="str">
        <f t="shared" si="117"/>
        <v/>
      </c>
      <c r="Z253" s="57">
        <f t="shared" si="118"/>
        <v>0</v>
      </c>
      <c r="AA253" s="57" t="str">
        <f>IFERROR(+VLOOKUP(A253,Key!$A$1:$C$219,2,FALSE),"NOT FOUND")</f>
        <v>NOT FOUND</v>
      </c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>
        <f t="shared" si="6"/>
        <v>0</v>
      </c>
    </row>
    <row r="254" ht="15.75" hidden="1" customHeight="1">
      <c r="A254" s="15" t="s">
        <v>667</v>
      </c>
      <c r="B254" s="15" t="s">
        <v>665</v>
      </c>
      <c r="C254" s="15" t="s">
        <v>119</v>
      </c>
      <c r="D254" s="56">
        <f>SUMIF('2015-16 12 Mnths'!$A:$A,'Detail 18-19'!$A254,'2015-16 12 Mnths'!C:C)-SUMIF('Budget 12 Mnths'!$A:$A,'Detail 18-19'!$A254,'Budget 12 Mnths'!D:D)</f>
        <v>0</v>
      </c>
      <c r="E254" s="56">
        <f>SUMIF('2015-16 12 Mnths'!$A:$A,'Detail 18-19'!$A254,'2015-16 12 Mnths'!D:D)-SUMIF('Budget 12 Mnths'!$A:$A,'Detail 18-19'!$A254,'Budget 12 Mnths'!E:E)</f>
        <v>0</v>
      </c>
      <c r="F254" s="56">
        <f>SUMIF('2015-16 12 Mnths'!$A:$A,'Detail 18-19'!$A254,'2015-16 12 Mnths'!E:E)-SUMIF('Budget 12 Mnths'!$A:$A,'Detail 18-19'!$A254,'Budget 12 Mnths'!F:F)</f>
        <v>0</v>
      </c>
      <c r="G254" s="56">
        <f>SUMIF('2015-16 12 Mnths'!$A:$A,'Detail 18-19'!$A254,'2015-16 12 Mnths'!F:F)-SUMIF('Budget 12 Mnths'!$A:$A,'Detail 18-19'!$A254,'Budget 12 Mnths'!G:G)</f>
        <v>0</v>
      </c>
      <c r="H254" s="56">
        <f>SUMIF('2015-16 12 Mnths'!$A:$A,'Detail 18-19'!$A254,'2015-16 12 Mnths'!G:G)-SUMIF('Budget 12 Mnths'!$A:$A,'Detail 18-19'!$A254,'Budget 12 Mnths'!H:H)</f>
        <v>0</v>
      </c>
      <c r="I254" s="56">
        <f>SUMIF('2015-16 12 Mnths'!$A:$A,'Detail 18-19'!$A254,'2015-16 12 Mnths'!H:H)-SUMIF('Budget 12 Mnths'!$A:$A,'Detail 18-19'!$A254,'Budget 12 Mnths'!I:I)</f>
        <v>0</v>
      </c>
      <c r="J254" s="56">
        <f>SUMIF('2015-16 12 Mnths'!$A:$A,'Detail 18-19'!$A254,'2015-16 12 Mnths'!I:I)-SUMIF('Budget 12 Mnths'!$A:$A,'Detail 18-19'!$A254,'Budget 12 Mnths'!J:J)</f>
        <v>0</v>
      </c>
      <c r="K254" s="56">
        <f>SUMIF('2015-16 12 Mnths'!$A:$A,'Detail 18-19'!$A254,'2015-16 12 Mnths'!J:J)-SUMIF('Budget 12 Mnths'!$A:$A,'Detail 18-19'!$A254,'Budget 12 Mnths'!K:K)</f>
        <v>0</v>
      </c>
      <c r="L254" s="56">
        <f>SUMIF('2015-16 12 Mnths'!$A:$A,'Detail 18-19'!$A254,'2015-16 12 Mnths'!K:K)-SUMIF('Budget 12 Mnths'!$A:$A,'Detail 18-19'!$A254,'Budget 12 Mnths'!L:L)</f>
        <v>0</v>
      </c>
      <c r="M254" s="56"/>
      <c r="N254" s="56"/>
      <c r="O254" s="56"/>
      <c r="P254" s="56">
        <f t="shared" si="1"/>
        <v>0</v>
      </c>
      <c r="Q254" s="14" t="str">
        <f>+VLOOKUP(A254,Mapping!$A$1:$E$443,5,FALSE)</f>
        <v>Travel</v>
      </c>
      <c r="R254" s="26">
        <f>+SUMIF('Budget 12 Mnths'!$A:$A,'Detail 18-19'!$A254,'Budget 12 Mnths'!$P:$P)</f>
        <v>0</v>
      </c>
      <c r="S254" s="26">
        <f>+SUMIF('2015-16 12 Mnths'!$A:$A,'Detail 18-19'!$A254,'2015-16 12 Mnths'!$O:$O)</f>
        <v>0</v>
      </c>
      <c r="T254" s="57">
        <f t="shared" si="2"/>
        <v>0</v>
      </c>
      <c r="U254" s="57">
        <f t="shared" si="3"/>
        <v>0</v>
      </c>
      <c r="W254" s="27"/>
      <c r="X254" s="27" t="str">
        <f t="shared" si="117"/>
        <v/>
      </c>
      <c r="Z254" s="57">
        <f t="shared" si="118"/>
        <v>0</v>
      </c>
      <c r="AA254" s="57" t="str">
        <f>IFERROR(+VLOOKUP(A254,Key!$A$1:$C$219,2,FALSE),"NOT FOUND")</f>
        <v>NOT FOUND</v>
      </c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>
        <f t="shared" si="6"/>
        <v>0</v>
      </c>
    </row>
    <row r="255" ht="15.75" customHeight="1">
      <c r="A255" s="15" t="s">
        <v>668</v>
      </c>
      <c r="B255" s="15" t="s">
        <v>669</v>
      </c>
      <c r="C255" s="15" t="s">
        <v>119</v>
      </c>
      <c r="D255" s="56">
        <f>SUMIF('2015-16 12 Mnths'!$A:$A,'Detail 18-19'!$A255,'2015-16 12 Mnths'!C:C)-SUMIF('Budget 12 Mnths'!$A:$A,'Detail 18-19'!$A255,'Budget 12 Mnths'!D:D)</f>
        <v>0</v>
      </c>
      <c r="E255" s="56">
        <f>SUMIF('2015-16 12 Mnths'!$A:$A,'Detail 18-19'!$A255,'2015-16 12 Mnths'!D:D)-SUMIF('Budget 12 Mnths'!$A:$A,'Detail 18-19'!$A255,'Budget 12 Mnths'!E:E)</f>
        <v>8.92</v>
      </c>
      <c r="F255" s="56">
        <f>SUMIF('2015-16 12 Mnths'!$A:$A,'Detail 18-19'!$A255,'2015-16 12 Mnths'!E:E)-SUMIF('Budget 12 Mnths'!$A:$A,'Detail 18-19'!$A255,'Budget 12 Mnths'!F:F)</f>
        <v>-158.94</v>
      </c>
      <c r="G255" s="56">
        <f>SUMIF('2015-16 12 Mnths'!$A:$A,'Detail 18-19'!$A255,'2015-16 12 Mnths'!F:F)-SUMIF('Budget 12 Mnths'!$A:$A,'Detail 18-19'!$A255,'Budget 12 Mnths'!G:G)</f>
        <v>-148.82</v>
      </c>
      <c r="H255" s="56">
        <f>SUMIF('2015-16 12 Mnths'!$A:$A,'Detail 18-19'!$A255,'2015-16 12 Mnths'!G:G)-SUMIF('Budget 12 Mnths'!$A:$A,'Detail 18-19'!$A255,'Budget 12 Mnths'!H:H)</f>
        <v>-268.84</v>
      </c>
      <c r="I255" s="56">
        <f>SUMIF('2015-16 12 Mnths'!$A:$A,'Detail 18-19'!$A255,'2015-16 12 Mnths'!H:H)-SUMIF('Budget 12 Mnths'!$A:$A,'Detail 18-19'!$A255,'Budget 12 Mnths'!I:I)</f>
        <v>-171.91</v>
      </c>
      <c r="J255" s="56">
        <f>SUMIF('2015-16 12 Mnths'!$A:$A,'Detail 18-19'!$A255,'2015-16 12 Mnths'!I:I)-SUMIF('Budget 12 Mnths'!$A:$A,'Detail 18-19'!$A255,'Budget 12 Mnths'!J:J)</f>
        <v>-271.49</v>
      </c>
      <c r="K255" s="56">
        <f>SUMIF('2015-16 12 Mnths'!$A:$A,'Detail 18-19'!$A255,'2015-16 12 Mnths'!J:J)-SUMIF('Budget 12 Mnths'!$A:$A,'Detail 18-19'!$A255,'Budget 12 Mnths'!K:K)</f>
        <v>-189.6</v>
      </c>
      <c r="L255" s="56">
        <f>SUMIF('2015-16 12 Mnths'!$A:$A,'Detail 18-19'!$A255,'2015-16 12 Mnths'!K:K)-SUMIF('Budget 12 Mnths'!$A:$A,'Detail 18-19'!$A255,'Budget 12 Mnths'!L:L)</f>
        <v>-188.25</v>
      </c>
      <c r="M255" s="56"/>
      <c r="N255" s="56"/>
      <c r="O255" s="56"/>
      <c r="P255" s="56">
        <f t="shared" si="1"/>
        <v>-1388.93</v>
      </c>
      <c r="Q255" s="14" t="str">
        <f>+VLOOKUP(A255,Mapping!$A$1:$E$443,5,FALSE)</f>
        <v>Transportation Exp</v>
      </c>
      <c r="R255" s="26">
        <f>+SUMIF('Budget 12 Mnths'!$A:$A,'Detail 18-19'!$A255,'Budget 12 Mnths'!$P:$P)</f>
        <v>3000</v>
      </c>
      <c r="S255" s="26">
        <f>+SUMIF('2015-16 12 Mnths'!$A:$A,'Detail 18-19'!$A255,'2015-16 12 Mnths'!$O:$O)</f>
        <v>1062.67</v>
      </c>
      <c r="T255" s="57">
        <f t="shared" si="2"/>
        <v>-0.4629766667</v>
      </c>
      <c r="U255" s="57">
        <f t="shared" si="3"/>
        <v>-1.307019112</v>
      </c>
      <c r="V255" s="8" t="s">
        <v>641</v>
      </c>
      <c r="W255" s="27">
        <v>3000.0</v>
      </c>
      <c r="X255" s="27">
        <f t="shared" si="117"/>
        <v>3000</v>
      </c>
      <c r="Z255" s="57">
        <f t="shared" si="118"/>
        <v>1500</v>
      </c>
      <c r="AA255" s="57" t="str">
        <f>IFERROR(+VLOOKUP(A255,Key!$A$1:$C$219,2,FALSE),"NOT FOUND")</f>
        <v>7305-1U</v>
      </c>
      <c r="AB255" s="27">
        <v>1000.0</v>
      </c>
      <c r="AC255" s="57">
        <f t="shared" ref="AC255:AN255" si="119">+$AB255/12</f>
        <v>83.33333333</v>
      </c>
      <c r="AD255" s="57">
        <f t="shared" si="119"/>
        <v>83.33333333</v>
      </c>
      <c r="AE255" s="57">
        <f t="shared" si="119"/>
        <v>83.33333333</v>
      </c>
      <c r="AF255" s="57">
        <f t="shared" si="119"/>
        <v>83.33333333</v>
      </c>
      <c r="AG255" s="57">
        <f t="shared" si="119"/>
        <v>83.33333333</v>
      </c>
      <c r="AH255" s="57">
        <f t="shared" si="119"/>
        <v>83.33333333</v>
      </c>
      <c r="AI255" s="57">
        <f t="shared" si="119"/>
        <v>83.33333333</v>
      </c>
      <c r="AJ255" s="57">
        <f t="shared" si="119"/>
        <v>83.33333333</v>
      </c>
      <c r="AK255" s="57">
        <f t="shared" si="119"/>
        <v>83.33333333</v>
      </c>
      <c r="AL255" s="57">
        <f t="shared" si="119"/>
        <v>83.33333333</v>
      </c>
      <c r="AM255" s="57">
        <f t="shared" si="119"/>
        <v>83.33333333</v>
      </c>
      <c r="AN255" s="57">
        <f t="shared" si="119"/>
        <v>83.33333333</v>
      </c>
      <c r="AO255" s="27">
        <f t="shared" si="6"/>
        <v>0</v>
      </c>
    </row>
    <row r="256" ht="15.75" customHeight="1">
      <c r="A256" s="15" t="s">
        <v>670</v>
      </c>
      <c r="B256" s="15" t="s">
        <v>671</v>
      </c>
      <c r="C256" s="15" t="s">
        <v>119</v>
      </c>
      <c r="D256" s="56">
        <f>SUMIF('2015-16 12 Mnths'!$A:$A,'Detail 18-19'!$A256,'2015-16 12 Mnths'!C:C)-SUMIF('Budget 12 Mnths'!$A:$A,'Detail 18-19'!$A256,'Budget 12 Mnths'!D:D)</f>
        <v>-41.67</v>
      </c>
      <c r="E256" s="56">
        <f>SUMIF('2015-16 12 Mnths'!$A:$A,'Detail 18-19'!$A256,'2015-16 12 Mnths'!D:D)-SUMIF('Budget 12 Mnths'!$A:$A,'Detail 18-19'!$A256,'Budget 12 Mnths'!E:E)</f>
        <v>1007.02</v>
      </c>
      <c r="F256" s="56">
        <f>SUMIF('2015-16 12 Mnths'!$A:$A,'Detail 18-19'!$A256,'2015-16 12 Mnths'!E:E)-SUMIF('Budget 12 Mnths'!$A:$A,'Detail 18-19'!$A256,'Budget 12 Mnths'!F:F)</f>
        <v>-41.67</v>
      </c>
      <c r="G256" s="56">
        <f>SUMIF('2015-16 12 Mnths'!$A:$A,'Detail 18-19'!$A256,'2015-16 12 Mnths'!F:F)-SUMIF('Budget 12 Mnths'!$A:$A,'Detail 18-19'!$A256,'Budget 12 Mnths'!G:G)</f>
        <v>78.28</v>
      </c>
      <c r="H256" s="56">
        <f>SUMIF('2015-16 12 Mnths'!$A:$A,'Detail 18-19'!$A256,'2015-16 12 Mnths'!G:G)-SUMIF('Budget 12 Mnths'!$A:$A,'Detail 18-19'!$A256,'Budget 12 Mnths'!H:H)</f>
        <v>-41.67</v>
      </c>
      <c r="I256" s="56">
        <f>SUMIF('2015-16 12 Mnths'!$A:$A,'Detail 18-19'!$A256,'2015-16 12 Mnths'!H:H)-SUMIF('Budget 12 Mnths'!$A:$A,'Detail 18-19'!$A256,'Budget 12 Mnths'!I:I)</f>
        <v>-41.67</v>
      </c>
      <c r="J256" s="56">
        <f>SUMIF('2015-16 12 Mnths'!$A:$A,'Detail 18-19'!$A256,'2015-16 12 Mnths'!I:I)-SUMIF('Budget 12 Mnths'!$A:$A,'Detail 18-19'!$A256,'Budget 12 Mnths'!J:J)</f>
        <v>-41.67</v>
      </c>
      <c r="K256" s="56">
        <f>SUMIF('2015-16 12 Mnths'!$A:$A,'Detail 18-19'!$A256,'2015-16 12 Mnths'!J:J)-SUMIF('Budget 12 Mnths'!$A:$A,'Detail 18-19'!$A256,'Budget 12 Mnths'!K:K)</f>
        <v>84.78</v>
      </c>
      <c r="L256" s="56">
        <f>SUMIF('2015-16 12 Mnths'!$A:$A,'Detail 18-19'!$A256,'2015-16 12 Mnths'!K:K)-SUMIF('Budget 12 Mnths'!$A:$A,'Detail 18-19'!$A256,'Budget 12 Mnths'!L:L)</f>
        <v>-41.67</v>
      </c>
      <c r="M256" s="56"/>
      <c r="N256" s="56"/>
      <c r="O256" s="56"/>
      <c r="P256" s="56">
        <f t="shared" si="1"/>
        <v>920.06</v>
      </c>
      <c r="Q256" s="14" t="str">
        <f>+VLOOKUP(A256,Mapping!$A$1:$E$443,5,FALSE)</f>
        <v>Transportation Exp</v>
      </c>
      <c r="R256" s="26">
        <f>+SUMIF('Budget 12 Mnths'!$A:$A,'Detail 18-19'!$A256,'Budget 12 Mnths'!$P:$P)</f>
        <v>500.04</v>
      </c>
      <c r="S256" s="26">
        <f>+SUMIF('2015-16 12 Mnths'!$A:$A,'Detail 18-19'!$A256,'2015-16 12 Mnths'!$O:$O)</f>
        <v>1295.09</v>
      </c>
      <c r="T256" s="57">
        <f t="shared" si="2"/>
        <v>1.839972802</v>
      </c>
      <c r="U256" s="57">
        <f t="shared" si="3"/>
        <v>0.7104216695</v>
      </c>
      <c r="V256" s="8" t="s">
        <v>641</v>
      </c>
      <c r="W256" s="27">
        <v>500.0</v>
      </c>
      <c r="X256" s="27">
        <f t="shared" si="117"/>
        <v>500</v>
      </c>
      <c r="Z256" s="57">
        <f t="shared" si="118"/>
        <v>250</v>
      </c>
      <c r="AA256" s="57" t="str">
        <f>IFERROR(+VLOOKUP(A256,Key!$A$1:$C$219,2,FALSE),"NOT FOUND")</f>
        <v>7310-1U</v>
      </c>
      <c r="AB256" s="27">
        <v>1000.0</v>
      </c>
      <c r="AC256" s="57">
        <f t="shared" ref="AC256:AN256" si="120">+$AB256/12</f>
        <v>83.33333333</v>
      </c>
      <c r="AD256" s="57">
        <f t="shared" si="120"/>
        <v>83.33333333</v>
      </c>
      <c r="AE256" s="57">
        <f t="shared" si="120"/>
        <v>83.33333333</v>
      </c>
      <c r="AF256" s="57">
        <f t="shared" si="120"/>
        <v>83.33333333</v>
      </c>
      <c r="AG256" s="57">
        <f t="shared" si="120"/>
        <v>83.33333333</v>
      </c>
      <c r="AH256" s="57">
        <f t="shared" si="120"/>
        <v>83.33333333</v>
      </c>
      <c r="AI256" s="57">
        <f t="shared" si="120"/>
        <v>83.33333333</v>
      </c>
      <c r="AJ256" s="57">
        <f t="shared" si="120"/>
        <v>83.33333333</v>
      </c>
      <c r="AK256" s="57">
        <f t="shared" si="120"/>
        <v>83.33333333</v>
      </c>
      <c r="AL256" s="57">
        <f t="shared" si="120"/>
        <v>83.33333333</v>
      </c>
      <c r="AM256" s="57">
        <f t="shared" si="120"/>
        <v>83.33333333</v>
      </c>
      <c r="AN256" s="57">
        <f t="shared" si="120"/>
        <v>83.33333333</v>
      </c>
      <c r="AO256" s="27">
        <f t="shared" si="6"/>
        <v>0</v>
      </c>
    </row>
    <row r="257" ht="15.75" customHeight="1">
      <c r="A257" s="15" t="s">
        <v>672</v>
      </c>
      <c r="B257" s="15" t="s">
        <v>673</v>
      </c>
      <c r="C257" s="15" t="s">
        <v>119</v>
      </c>
      <c r="D257" s="56">
        <f>SUMIF('2015-16 12 Mnths'!$A:$A,'Detail 18-19'!$A257,'2015-16 12 Mnths'!C:C)-SUMIF('Budget 12 Mnths'!$A:$A,'Detail 18-19'!$A257,'Budget 12 Mnths'!D:D)</f>
        <v>-41.67</v>
      </c>
      <c r="E257" s="56">
        <f>SUMIF('2015-16 12 Mnths'!$A:$A,'Detail 18-19'!$A257,'2015-16 12 Mnths'!D:D)-SUMIF('Budget 12 Mnths'!$A:$A,'Detail 18-19'!$A257,'Budget 12 Mnths'!E:E)</f>
        <v>77.83</v>
      </c>
      <c r="F257" s="56">
        <f>SUMIF('2015-16 12 Mnths'!$A:$A,'Detail 18-19'!$A257,'2015-16 12 Mnths'!E:E)-SUMIF('Budget 12 Mnths'!$A:$A,'Detail 18-19'!$A257,'Budget 12 Mnths'!F:F)</f>
        <v>-8.47</v>
      </c>
      <c r="G257" s="56">
        <f>SUMIF('2015-16 12 Mnths'!$A:$A,'Detail 18-19'!$A257,'2015-16 12 Mnths'!F:F)-SUMIF('Budget 12 Mnths'!$A:$A,'Detail 18-19'!$A257,'Budget 12 Mnths'!G:G)</f>
        <v>-41.67</v>
      </c>
      <c r="H257" s="56">
        <f>SUMIF('2015-16 12 Mnths'!$A:$A,'Detail 18-19'!$A257,'2015-16 12 Mnths'!G:G)-SUMIF('Budget 12 Mnths'!$A:$A,'Detail 18-19'!$A257,'Budget 12 Mnths'!H:H)</f>
        <v>-41.67</v>
      </c>
      <c r="I257" s="56">
        <f>SUMIF('2015-16 12 Mnths'!$A:$A,'Detail 18-19'!$A257,'2015-16 12 Mnths'!H:H)-SUMIF('Budget 12 Mnths'!$A:$A,'Detail 18-19'!$A257,'Budget 12 Mnths'!I:I)</f>
        <v>26.73</v>
      </c>
      <c r="J257" s="56">
        <f>SUMIF('2015-16 12 Mnths'!$A:$A,'Detail 18-19'!$A257,'2015-16 12 Mnths'!I:I)-SUMIF('Budget 12 Mnths'!$A:$A,'Detail 18-19'!$A257,'Budget 12 Mnths'!J:J)</f>
        <v>-41.67</v>
      </c>
      <c r="K257" s="56">
        <f>SUMIF('2015-16 12 Mnths'!$A:$A,'Detail 18-19'!$A257,'2015-16 12 Mnths'!J:J)-SUMIF('Budget 12 Mnths'!$A:$A,'Detail 18-19'!$A257,'Budget 12 Mnths'!K:K)</f>
        <v>210.33</v>
      </c>
      <c r="L257" s="56">
        <f>SUMIF('2015-16 12 Mnths'!$A:$A,'Detail 18-19'!$A257,'2015-16 12 Mnths'!K:K)-SUMIF('Budget 12 Mnths'!$A:$A,'Detail 18-19'!$A257,'Budget 12 Mnths'!L:L)</f>
        <v>53.91</v>
      </c>
      <c r="M257" s="56"/>
      <c r="N257" s="56"/>
      <c r="O257" s="56"/>
      <c r="P257" s="56">
        <f t="shared" si="1"/>
        <v>193.65</v>
      </c>
      <c r="Q257" s="14" t="str">
        <f>+VLOOKUP(A257,Mapping!$A$1:$E$443,5,FALSE)</f>
        <v>Transportation Exp</v>
      </c>
      <c r="R257" s="26">
        <f>+SUMIF('Budget 12 Mnths'!$A:$A,'Detail 18-19'!$A257,'Budget 12 Mnths'!$P:$P)</f>
        <v>500.04</v>
      </c>
      <c r="S257" s="26">
        <f>+SUMIF('2015-16 12 Mnths'!$A:$A,'Detail 18-19'!$A257,'2015-16 12 Mnths'!$O:$O)</f>
        <v>568.68</v>
      </c>
      <c r="T257" s="57">
        <f t="shared" si="2"/>
        <v>0.3872690185</v>
      </c>
      <c r="U257" s="57">
        <f t="shared" si="3"/>
        <v>0.3405254273</v>
      </c>
      <c r="V257" s="8" t="s">
        <v>641</v>
      </c>
      <c r="W257" s="27">
        <v>500.0</v>
      </c>
      <c r="X257" s="27">
        <f t="shared" si="117"/>
        <v>500</v>
      </c>
      <c r="Z257" s="57">
        <f t="shared" si="118"/>
        <v>250</v>
      </c>
      <c r="AA257" s="57" t="str">
        <f>IFERROR(+VLOOKUP(A257,Key!$A$1:$C$219,2,FALSE),"NOT FOUND")</f>
        <v>7315-1U</v>
      </c>
      <c r="AB257" s="27">
        <v>500.0</v>
      </c>
      <c r="AC257" s="57">
        <f t="shared" ref="AC257:AN257" si="121">+$AB257/12</f>
        <v>41.66666667</v>
      </c>
      <c r="AD257" s="57">
        <f t="shared" si="121"/>
        <v>41.66666667</v>
      </c>
      <c r="AE257" s="57">
        <f t="shared" si="121"/>
        <v>41.66666667</v>
      </c>
      <c r="AF257" s="57">
        <f t="shared" si="121"/>
        <v>41.66666667</v>
      </c>
      <c r="AG257" s="57">
        <f t="shared" si="121"/>
        <v>41.66666667</v>
      </c>
      <c r="AH257" s="57">
        <f t="shared" si="121"/>
        <v>41.66666667</v>
      </c>
      <c r="AI257" s="57">
        <f t="shared" si="121"/>
        <v>41.66666667</v>
      </c>
      <c r="AJ257" s="57">
        <f t="shared" si="121"/>
        <v>41.66666667</v>
      </c>
      <c r="AK257" s="57">
        <f t="shared" si="121"/>
        <v>41.66666667</v>
      </c>
      <c r="AL257" s="57">
        <f t="shared" si="121"/>
        <v>41.66666667</v>
      </c>
      <c r="AM257" s="57">
        <f t="shared" si="121"/>
        <v>41.66666667</v>
      </c>
      <c r="AN257" s="57">
        <f t="shared" si="121"/>
        <v>41.66666667</v>
      </c>
      <c r="AO257" s="27">
        <f t="shared" si="6"/>
        <v>0</v>
      </c>
    </row>
    <row r="258" ht="15.75" customHeight="1">
      <c r="A258" s="15" t="s">
        <v>674</v>
      </c>
      <c r="B258" s="15" t="s">
        <v>675</v>
      </c>
      <c r="C258" s="15" t="s">
        <v>119</v>
      </c>
      <c r="D258" s="56">
        <f>SUMIF('2015-16 12 Mnths'!$A:$A,'Detail 18-19'!$A258,'2015-16 12 Mnths'!C:C)-SUMIF('Budget 12 Mnths'!$A:$A,'Detail 18-19'!$A258,'Budget 12 Mnths'!D:D)</f>
        <v>-20.83</v>
      </c>
      <c r="E258" s="56">
        <f>SUMIF('2015-16 12 Mnths'!$A:$A,'Detail 18-19'!$A258,'2015-16 12 Mnths'!D:D)-SUMIF('Budget 12 Mnths'!$A:$A,'Detail 18-19'!$A258,'Budget 12 Mnths'!E:E)</f>
        <v>-20.83</v>
      </c>
      <c r="F258" s="56">
        <f>SUMIF('2015-16 12 Mnths'!$A:$A,'Detail 18-19'!$A258,'2015-16 12 Mnths'!E:E)-SUMIF('Budget 12 Mnths'!$A:$A,'Detail 18-19'!$A258,'Budget 12 Mnths'!F:F)</f>
        <v>-20.83</v>
      </c>
      <c r="G258" s="56">
        <f>SUMIF('2015-16 12 Mnths'!$A:$A,'Detail 18-19'!$A258,'2015-16 12 Mnths'!F:F)-SUMIF('Budget 12 Mnths'!$A:$A,'Detail 18-19'!$A258,'Budget 12 Mnths'!G:G)</f>
        <v>-20.83</v>
      </c>
      <c r="H258" s="56">
        <f>SUMIF('2015-16 12 Mnths'!$A:$A,'Detail 18-19'!$A258,'2015-16 12 Mnths'!G:G)-SUMIF('Budget 12 Mnths'!$A:$A,'Detail 18-19'!$A258,'Budget 12 Mnths'!H:H)</f>
        <v>-20.83</v>
      </c>
      <c r="I258" s="56">
        <f>SUMIF('2015-16 12 Mnths'!$A:$A,'Detail 18-19'!$A258,'2015-16 12 Mnths'!H:H)-SUMIF('Budget 12 Mnths'!$A:$A,'Detail 18-19'!$A258,'Budget 12 Mnths'!I:I)</f>
        <v>-20.83</v>
      </c>
      <c r="J258" s="56">
        <f>SUMIF('2015-16 12 Mnths'!$A:$A,'Detail 18-19'!$A258,'2015-16 12 Mnths'!I:I)-SUMIF('Budget 12 Mnths'!$A:$A,'Detail 18-19'!$A258,'Budget 12 Mnths'!J:J)</f>
        <v>-20.83</v>
      </c>
      <c r="K258" s="56">
        <f>SUMIF('2015-16 12 Mnths'!$A:$A,'Detail 18-19'!$A258,'2015-16 12 Mnths'!J:J)-SUMIF('Budget 12 Mnths'!$A:$A,'Detail 18-19'!$A258,'Budget 12 Mnths'!K:K)</f>
        <v>195.72</v>
      </c>
      <c r="L258" s="56">
        <f>SUMIF('2015-16 12 Mnths'!$A:$A,'Detail 18-19'!$A258,'2015-16 12 Mnths'!K:K)-SUMIF('Budget 12 Mnths'!$A:$A,'Detail 18-19'!$A258,'Budget 12 Mnths'!L:L)</f>
        <v>-20.83</v>
      </c>
      <c r="M258" s="56"/>
      <c r="N258" s="56"/>
      <c r="O258" s="56"/>
      <c r="P258" s="56">
        <f t="shared" si="1"/>
        <v>29.08</v>
      </c>
      <c r="Q258" s="14" t="str">
        <f>+VLOOKUP(A258,Mapping!$A$1:$E$443,5,FALSE)</f>
        <v>Transportation Exp</v>
      </c>
      <c r="R258" s="26">
        <f>+SUMIF('Budget 12 Mnths'!$A:$A,'Detail 18-19'!$A258,'Budget 12 Mnths'!$P:$P)</f>
        <v>249.96</v>
      </c>
      <c r="S258" s="26">
        <f>+SUMIF('2015-16 12 Mnths'!$A:$A,'Detail 18-19'!$A258,'2015-16 12 Mnths'!$O:$O)</f>
        <v>216.55</v>
      </c>
      <c r="T258" s="57">
        <f t="shared" si="2"/>
        <v>0.1163386142</v>
      </c>
      <c r="U258" s="57">
        <f t="shared" si="3"/>
        <v>0.1342876934</v>
      </c>
      <c r="V258" s="8" t="s">
        <v>641</v>
      </c>
      <c r="W258" s="27">
        <v>250.0</v>
      </c>
      <c r="X258" s="27">
        <f t="shared" si="117"/>
        <v>250</v>
      </c>
      <c r="Z258" s="57">
        <f t="shared" si="118"/>
        <v>125</v>
      </c>
      <c r="AA258" s="57" t="str">
        <f>IFERROR(+VLOOKUP(A258,Key!$A$1:$C$219,2,FALSE),"NOT FOUND")</f>
        <v>7320-1U</v>
      </c>
      <c r="AB258" s="27">
        <v>500.0</v>
      </c>
      <c r="AC258" s="57">
        <f t="shared" ref="AC258:AN258" si="122">+$AB258/12</f>
        <v>41.66666667</v>
      </c>
      <c r="AD258" s="57">
        <f t="shared" si="122"/>
        <v>41.66666667</v>
      </c>
      <c r="AE258" s="57">
        <f t="shared" si="122"/>
        <v>41.66666667</v>
      </c>
      <c r="AF258" s="57">
        <f t="shared" si="122"/>
        <v>41.66666667</v>
      </c>
      <c r="AG258" s="57">
        <f t="shared" si="122"/>
        <v>41.66666667</v>
      </c>
      <c r="AH258" s="57">
        <f t="shared" si="122"/>
        <v>41.66666667</v>
      </c>
      <c r="AI258" s="57">
        <f t="shared" si="122"/>
        <v>41.66666667</v>
      </c>
      <c r="AJ258" s="57">
        <f t="shared" si="122"/>
        <v>41.66666667</v>
      </c>
      <c r="AK258" s="57">
        <f t="shared" si="122"/>
        <v>41.66666667</v>
      </c>
      <c r="AL258" s="57">
        <f t="shared" si="122"/>
        <v>41.66666667</v>
      </c>
      <c r="AM258" s="57">
        <f t="shared" si="122"/>
        <v>41.66666667</v>
      </c>
      <c r="AN258" s="57">
        <f t="shared" si="122"/>
        <v>41.66666667</v>
      </c>
      <c r="AO258" s="27">
        <f t="shared" si="6"/>
        <v>0</v>
      </c>
    </row>
    <row r="259" ht="15.75" customHeight="1">
      <c r="A259" s="15" t="s">
        <v>676</v>
      </c>
      <c r="B259" s="15" t="s">
        <v>677</v>
      </c>
      <c r="C259" s="15" t="s">
        <v>119</v>
      </c>
      <c r="D259" s="56">
        <f>SUMIF('2015-16 12 Mnths'!$A:$A,'Detail 18-19'!$A259,'2015-16 12 Mnths'!C:C)-SUMIF('Budget 12 Mnths'!$A:$A,'Detail 18-19'!$A259,'Budget 12 Mnths'!D:D)</f>
        <v>-26.62</v>
      </c>
      <c r="E259" s="56">
        <f>SUMIF('2015-16 12 Mnths'!$A:$A,'Detail 18-19'!$A259,'2015-16 12 Mnths'!D:D)-SUMIF('Budget 12 Mnths'!$A:$A,'Detail 18-19'!$A259,'Budget 12 Mnths'!E:E)</f>
        <v>-23.65</v>
      </c>
      <c r="F259" s="56">
        <f>SUMIF('2015-16 12 Mnths'!$A:$A,'Detail 18-19'!$A259,'2015-16 12 Mnths'!E:E)-SUMIF('Budget 12 Mnths'!$A:$A,'Detail 18-19'!$A259,'Budget 12 Mnths'!F:F)</f>
        <v>-26.62</v>
      </c>
      <c r="G259" s="56">
        <f>SUMIF('2015-16 12 Mnths'!$A:$A,'Detail 18-19'!$A259,'2015-16 12 Mnths'!F:F)-SUMIF('Budget 12 Mnths'!$A:$A,'Detail 18-19'!$A259,'Budget 12 Mnths'!G:G)</f>
        <v>-35.38</v>
      </c>
      <c r="H259" s="56">
        <f>SUMIF('2015-16 12 Mnths'!$A:$A,'Detail 18-19'!$A259,'2015-16 12 Mnths'!G:G)-SUMIF('Budget 12 Mnths'!$A:$A,'Detail 18-19'!$A259,'Budget 12 Mnths'!H:H)</f>
        <v>-32.64</v>
      </c>
      <c r="I259" s="56">
        <f>SUMIF('2015-16 12 Mnths'!$A:$A,'Detail 18-19'!$A259,'2015-16 12 Mnths'!H:H)-SUMIF('Budget 12 Mnths'!$A:$A,'Detail 18-19'!$A259,'Budget 12 Mnths'!I:I)</f>
        <v>-41.02</v>
      </c>
      <c r="J259" s="56">
        <f>SUMIF('2015-16 12 Mnths'!$A:$A,'Detail 18-19'!$A259,'2015-16 12 Mnths'!I:I)-SUMIF('Budget 12 Mnths'!$A:$A,'Detail 18-19'!$A259,'Budget 12 Mnths'!J:J)</f>
        <v>-38.7</v>
      </c>
      <c r="K259" s="56">
        <f>SUMIF('2015-16 12 Mnths'!$A:$A,'Detail 18-19'!$A259,'2015-16 12 Mnths'!J:J)-SUMIF('Budget 12 Mnths'!$A:$A,'Detail 18-19'!$A259,'Budget 12 Mnths'!K:K)</f>
        <v>-41.74</v>
      </c>
      <c r="L259" s="56">
        <f>SUMIF('2015-16 12 Mnths'!$A:$A,'Detail 18-19'!$A259,'2015-16 12 Mnths'!K:K)-SUMIF('Budget 12 Mnths'!$A:$A,'Detail 18-19'!$A259,'Budget 12 Mnths'!L:L)</f>
        <v>-55.25</v>
      </c>
      <c r="M259" s="56"/>
      <c r="N259" s="56"/>
      <c r="O259" s="56"/>
      <c r="P259" s="56">
        <f t="shared" si="1"/>
        <v>-321.62</v>
      </c>
      <c r="Q259" s="14" t="str">
        <f>+VLOOKUP(A259,Mapping!$A$1:$E$443,5,FALSE)</f>
        <v>Interest Exp</v>
      </c>
      <c r="R259" s="26">
        <f>+SUMIF('Budget 12 Mnths'!$A:$A,'Detail 18-19'!$A259,'Budget 12 Mnths'!$P:$P)</f>
        <v>2500</v>
      </c>
      <c r="S259" s="26">
        <f>+SUMIF('2015-16 12 Mnths'!$A:$A,'Detail 18-19'!$A259,'2015-16 12 Mnths'!$O:$O)</f>
        <v>1553.35</v>
      </c>
      <c r="T259" s="57">
        <f t="shared" si="2"/>
        <v>-0.128648</v>
      </c>
      <c r="U259" s="57">
        <f t="shared" si="3"/>
        <v>-0.2070492806</v>
      </c>
      <c r="V259" s="8" t="s">
        <v>594</v>
      </c>
      <c r="W259" s="27">
        <v>1575.0</v>
      </c>
      <c r="X259" s="27">
        <f t="shared" si="117"/>
        <v>1575</v>
      </c>
      <c r="Z259" s="57">
        <f t="shared" si="118"/>
        <v>787.5</v>
      </c>
      <c r="AA259" s="57" t="str">
        <f>IFERROR(+VLOOKUP(A259,Key!$A$1:$C$219,2,FALSE),"NOT FOUND")</f>
        <v>7500-1U</v>
      </c>
      <c r="AB259" s="27">
        <v>1200.0</v>
      </c>
      <c r="AC259" s="57">
        <f t="shared" ref="AC259:AN259" si="123">+$AB259/12</f>
        <v>100</v>
      </c>
      <c r="AD259" s="57">
        <f t="shared" si="123"/>
        <v>100</v>
      </c>
      <c r="AE259" s="57">
        <f t="shared" si="123"/>
        <v>100</v>
      </c>
      <c r="AF259" s="57">
        <f t="shared" si="123"/>
        <v>100</v>
      </c>
      <c r="AG259" s="57">
        <f t="shared" si="123"/>
        <v>100</v>
      </c>
      <c r="AH259" s="57">
        <f t="shared" si="123"/>
        <v>100</v>
      </c>
      <c r="AI259" s="57">
        <f t="shared" si="123"/>
        <v>100</v>
      </c>
      <c r="AJ259" s="57">
        <f t="shared" si="123"/>
        <v>100</v>
      </c>
      <c r="AK259" s="57">
        <f t="shared" si="123"/>
        <v>100</v>
      </c>
      <c r="AL259" s="57">
        <f t="shared" si="123"/>
        <v>100</v>
      </c>
      <c r="AM259" s="57">
        <f t="shared" si="123"/>
        <v>100</v>
      </c>
      <c r="AN259" s="57">
        <f t="shared" si="123"/>
        <v>100</v>
      </c>
      <c r="AO259" s="27">
        <f t="shared" si="6"/>
        <v>0</v>
      </c>
    </row>
    <row r="260" ht="15.75" hidden="1" customHeight="1">
      <c r="A260" s="15" t="s">
        <v>678</v>
      </c>
      <c r="B260" s="15" t="s">
        <v>255</v>
      </c>
      <c r="C260" s="15" t="s">
        <v>119</v>
      </c>
      <c r="D260" s="56">
        <f>SUMIF('2015-16 12 Mnths'!$A:$A,'Detail 18-19'!$A260,'2015-16 12 Mnths'!C:C)-SUMIF('Budget 12 Mnths'!$A:$A,'Detail 18-19'!$A260,'Budget 12 Mnths'!D:D)</f>
        <v>0</v>
      </c>
      <c r="E260" s="56">
        <f>SUMIF('2015-16 12 Mnths'!$A:$A,'Detail 18-19'!$A260,'2015-16 12 Mnths'!D:D)-SUMIF('Budget 12 Mnths'!$A:$A,'Detail 18-19'!$A260,'Budget 12 Mnths'!E:E)</f>
        <v>0</v>
      </c>
      <c r="F260" s="56">
        <f>SUMIF('2015-16 12 Mnths'!$A:$A,'Detail 18-19'!$A260,'2015-16 12 Mnths'!E:E)-SUMIF('Budget 12 Mnths'!$A:$A,'Detail 18-19'!$A260,'Budget 12 Mnths'!F:F)</f>
        <v>0</v>
      </c>
      <c r="G260" s="56">
        <f>SUMIF('2015-16 12 Mnths'!$A:$A,'Detail 18-19'!$A260,'2015-16 12 Mnths'!F:F)-SUMIF('Budget 12 Mnths'!$A:$A,'Detail 18-19'!$A260,'Budget 12 Mnths'!G:G)</f>
        <v>0</v>
      </c>
      <c r="H260" s="56">
        <f>SUMIF('2015-16 12 Mnths'!$A:$A,'Detail 18-19'!$A260,'2015-16 12 Mnths'!G:G)-SUMIF('Budget 12 Mnths'!$A:$A,'Detail 18-19'!$A260,'Budget 12 Mnths'!H:H)</f>
        <v>0</v>
      </c>
      <c r="I260" s="56">
        <f>SUMIF('2015-16 12 Mnths'!$A:$A,'Detail 18-19'!$A260,'2015-16 12 Mnths'!H:H)-SUMIF('Budget 12 Mnths'!$A:$A,'Detail 18-19'!$A260,'Budget 12 Mnths'!I:I)</f>
        <v>0</v>
      </c>
      <c r="J260" s="56">
        <f>SUMIF('2015-16 12 Mnths'!$A:$A,'Detail 18-19'!$A260,'2015-16 12 Mnths'!I:I)-SUMIF('Budget 12 Mnths'!$A:$A,'Detail 18-19'!$A260,'Budget 12 Mnths'!J:J)</f>
        <v>0</v>
      </c>
      <c r="K260" s="56">
        <f>SUMIF('2015-16 12 Mnths'!$A:$A,'Detail 18-19'!$A260,'2015-16 12 Mnths'!J:J)-SUMIF('Budget 12 Mnths'!$A:$A,'Detail 18-19'!$A260,'Budget 12 Mnths'!K:K)</f>
        <v>0</v>
      </c>
      <c r="L260" s="56">
        <f>SUMIF('2015-16 12 Mnths'!$A:$A,'Detail 18-19'!$A260,'2015-16 12 Mnths'!K:K)-SUMIF('Budget 12 Mnths'!$A:$A,'Detail 18-19'!$A260,'Budget 12 Mnths'!L:L)</f>
        <v>0</v>
      </c>
      <c r="M260" s="56"/>
      <c r="N260" s="56"/>
      <c r="O260" s="56"/>
      <c r="P260" s="56">
        <f t="shared" si="1"/>
        <v>0</v>
      </c>
      <c r="Q260" s="14" t="str">
        <f>+VLOOKUP(A260,Mapping!$A$1:$E$443,5,FALSE)</f>
        <v>Interest Exp</v>
      </c>
      <c r="R260" s="26">
        <f>+SUMIF('Budget 12 Mnths'!$A:$A,'Detail 18-19'!$A260,'Budget 12 Mnths'!$P:$P)</f>
        <v>0</v>
      </c>
      <c r="S260" s="26">
        <f>+SUMIF('2015-16 12 Mnths'!$A:$A,'Detail 18-19'!$A260,'2015-16 12 Mnths'!$O:$O)</f>
        <v>0</v>
      </c>
      <c r="T260" s="57">
        <f t="shared" si="2"/>
        <v>0</v>
      </c>
      <c r="U260" s="57">
        <f t="shared" si="3"/>
        <v>0</v>
      </c>
      <c r="W260" s="27"/>
      <c r="X260" s="27" t="str">
        <f t="shared" si="117"/>
        <v/>
      </c>
      <c r="Z260" s="57">
        <f t="shared" si="118"/>
        <v>0</v>
      </c>
      <c r="AA260" s="57" t="str">
        <f>IFERROR(+VLOOKUP(A260,Key!$A$1:$C$219,2,FALSE),"NOT FOUND")</f>
        <v>7500-2U</v>
      </c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>
        <f t="shared" si="6"/>
        <v>0</v>
      </c>
    </row>
    <row r="261" ht="15.75" hidden="1" customHeight="1">
      <c r="A261" s="15" t="s">
        <v>679</v>
      </c>
      <c r="B261" s="15" t="s">
        <v>255</v>
      </c>
      <c r="C261" s="15" t="s">
        <v>119</v>
      </c>
      <c r="D261" s="56">
        <f>SUMIF('2015-16 12 Mnths'!$A:$A,'Detail 18-19'!$A261,'2015-16 12 Mnths'!C:C)-SUMIF('Budget 12 Mnths'!$A:$A,'Detail 18-19'!$A261,'Budget 12 Mnths'!D:D)</f>
        <v>0</v>
      </c>
      <c r="E261" s="56">
        <f>SUMIF('2015-16 12 Mnths'!$A:$A,'Detail 18-19'!$A261,'2015-16 12 Mnths'!D:D)-SUMIF('Budget 12 Mnths'!$A:$A,'Detail 18-19'!$A261,'Budget 12 Mnths'!E:E)</f>
        <v>0</v>
      </c>
      <c r="F261" s="56">
        <f>SUMIF('2015-16 12 Mnths'!$A:$A,'Detail 18-19'!$A261,'2015-16 12 Mnths'!E:E)-SUMIF('Budget 12 Mnths'!$A:$A,'Detail 18-19'!$A261,'Budget 12 Mnths'!F:F)</f>
        <v>0</v>
      </c>
      <c r="G261" s="56">
        <f>SUMIF('2015-16 12 Mnths'!$A:$A,'Detail 18-19'!$A261,'2015-16 12 Mnths'!F:F)-SUMIF('Budget 12 Mnths'!$A:$A,'Detail 18-19'!$A261,'Budget 12 Mnths'!G:G)</f>
        <v>0</v>
      </c>
      <c r="H261" s="56">
        <f>SUMIF('2015-16 12 Mnths'!$A:$A,'Detail 18-19'!$A261,'2015-16 12 Mnths'!G:G)-SUMIF('Budget 12 Mnths'!$A:$A,'Detail 18-19'!$A261,'Budget 12 Mnths'!H:H)</f>
        <v>0</v>
      </c>
      <c r="I261" s="56">
        <f>SUMIF('2015-16 12 Mnths'!$A:$A,'Detail 18-19'!$A261,'2015-16 12 Mnths'!H:H)-SUMIF('Budget 12 Mnths'!$A:$A,'Detail 18-19'!$A261,'Budget 12 Mnths'!I:I)</f>
        <v>0</v>
      </c>
      <c r="J261" s="56">
        <f>SUMIF('2015-16 12 Mnths'!$A:$A,'Detail 18-19'!$A261,'2015-16 12 Mnths'!I:I)-SUMIF('Budget 12 Mnths'!$A:$A,'Detail 18-19'!$A261,'Budget 12 Mnths'!J:J)</f>
        <v>0</v>
      </c>
      <c r="K261" s="56">
        <f>SUMIF('2015-16 12 Mnths'!$A:$A,'Detail 18-19'!$A261,'2015-16 12 Mnths'!J:J)-SUMIF('Budget 12 Mnths'!$A:$A,'Detail 18-19'!$A261,'Budget 12 Mnths'!K:K)</f>
        <v>0</v>
      </c>
      <c r="L261" s="56">
        <f>SUMIF('2015-16 12 Mnths'!$A:$A,'Detail 18-19'!$A261,'2015-16 12 Mnths'!K:K)-SUMIF('Budget 12 Mnths'!$A:$A,'Detail 18-19'!$A261,'Budget 12 Mnths'!L:L)</f>
        <v>0</v>
      </c>
      <c r="M261" s="56"/>
      <c r="N261" s="56"/>
      <c r="O261" s="56"/>
      <c r="P261" s="56">
        <f t="shared" si="1"/>
        <v>0</v>
      </c>
      <c r="Q261" s="14" t="str">
        <f>+VLOOKUP(A261,Mapping!$A$1:$E$443,5,FALSE)</f>
        <v>Interest Exp</v>
      </c>
      <c r="R261" s="26">
        <f>+SUMIF('Budget 12 Mnths'!$A:$A,'Detail 18-19'!$A261,'Budget 12 Mnths'!$P:$P)</f>
        <v>0</v>
      </c>
      <c r="S261" s="26">
        <f>+SUMIF('2015-16 12 Mnths'!$A:$A,'Detail 18-19'!$A261,'2015-16 12 Mnths'!$O:$O)</f>
        <v>0</v>
      </c>
      <c r="T261" s="57">
        <f t="shared" si="2"/>
        <v>0</v>
      </c>
      <c r="U261" s="57">
        <f t="shared" si="3"/>
        <v>0</v>
      </c>
      <c r="W261" s="27"/>
      <c r="X261" s="27" t="str">
        <f t="shared" si="117"/>
        <v/>
      </c>
      <c r="Z261" s="57">
        <f t="shared" si="118"/>
        <v>0</v>
      </c>
      <c r="AA261" s="57" t="str">
        <f>IFERROR(+VLOOKUP(A261,Key!$A$1:$C$219,2,FALSE),"NOT FOUND")</f>
        <v>7500-3U</v>
      </c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>
        <f t="shared" si="6"/>
        <v>0</v>
      </c>
    </row>
    <row r="262" ht="15.75" customHeight="1">
      <c r="A262" s="15" t="s">
        <v>680</v>
      </c>
      <c r="B262" s="15" t="s">
        <v>681</v>
      </c>
      <c r="C262" s="15" t="s">
        <v>119</v>
      </c>
      <c r="D262" s="56">
        <f>SUMIF('2015-16 12 Mnths'!$A:$A,'Detail 18-19'!$A262,'2015-16 12 Mnths'!C:C)-SUMIF('Budget 12 Mnths'!$A:$A,'Detail 18-19'!$A262,'Budget 12 Mnths'!D:D)</f>
        <v>309.65</v>
      </c>
      <c r="E262" s="56">
        <f>SUMIF('2015-16 12 Mnths'!$A:$A,'Detail 18-19'!$A262,'2015-16 12 Mnths'!D:D)-SUMIF('Budget 12 Mnths'!$A:$A,'Detail 18-19'!$A262,'Budget 12 Mnths'!E:E)</f>
        <v>340.26</v>
      </c>
      <c r="F262" s="56">
        <f>SUMIF('2015-16 12 Mnths'!$A:$A,'Detail 18-19'!$A262,'2015-16 12 Mnths'!E:E)-SUMIF('Budget 12 Mnths'!$A:$A,'Detail 18-19'!$A262,'Budget 12 Mnths'!F:F)</f>
        <v>340.26</v>
      </c>
      <c r="G262" s="56">
        <f>SUMIF('2015-16 12 Mnths'!$A:$A,'Detail 18-19'!$A262,'2015-16 12 Mnths'!F:F)-SUMIF('Budget 12 Mnths'!$A:$A,'Detail 18-19'!$A262,'Budget 12 Mnths'!G:G)</f>
        <v>340.26</v>
      </c>
      <c r="H262" s="56">
        <f>SUMIF('2015-16 12 Mnths'!$A:$A,'Detail 18-19'!$A262,'2015-16 12 Mnths'!G:G)-SUMIF('Budget 12 Mnths'!$A:$A,'Detail 18-19'!$A262,'Budget 12 Mnths'!H:H)</f>
        <v>340.26</v>
      </c>
      <c r="I262" s="56">
        <f>SUMIF('2015-16 12 Mnths'!$A:$A,'Detail 18-19'!$A262,'2015-16 12 Mnths'!H:H)-SUMIF('Budget 12 Mnths'!$A:$A,'Detail 18-19'!$A262,'Budget 12 Mnths'!I:I)</f>
        <v>340.26</v>
      </c>
      <c r="J262" s="56">
        <f>SUMIF('2015-16 12 Mnths'!$A:$A,'Detail 18-19'!$A262,'2015-16 12 Mnths'!I:I)-SUMIF('Budget 12 Mnths'!$A:$A,'Detail 18-19'!$A262,'Budget 12 Mnths'!J:J)</f>
        <v>340.26</v>
      </c>
      <c r="K262" s="56">
        <f>SUMIF('2015-16 12 Mnths'!$A:$A,'Detail 18-19'!$A262,'2015-16 12 Mnths'!J:J)-SUMIF('Budget 12 Mnths'!$A:$A,'Detail 18-19'!$A262,'Budget 12 Mnths'!K:K)</f>
        <v>357.45</v>
      </c>
      <c r="L262" s="56">
        <f>SUMIF('2015-16 12 Mnths'!$A:$A,'Detail 18-19'!$A262,'2015-16 12 Mnths'!K:K)-SUMIF('Budget 12 Mnths'!$A:$A,'Detail 18-19'!$A262,'Budget 12 Mnths'!L:L)</f>
        <v>211.85</v>
      </c>
      <c r="M262" s="56"/>
      <c r="N262" s="56"/>
      <c r="O262" s="56"/>
      <c r="P262" s="56">
        <f t="shared" si="1"/>
        <v>2920.51</v>
      </c>
      <c r="Q262" s="14" t="str">
        <f>+VLOOKUP(A262,Mapping!$A$1:$E$443,5,FALSE)</f>
        <v>Depreciation</v>
      </c>
      <c r="R262" s="26">
        <f>+SUMIF('Budget 12 Mnths'!$A:$A,'Detail 18-19'!$A262,'Budget 12 Mnths'!$P:$P)</f>
        <v>17000</v>
      </c>
      <c r="S262" s="26">
        <f>+SUMIF('2015-16 12 Mnths'!$A:$A,'Detail 18-19'!$A262,'2015-16 12 Mnths'!$O:$O)</f>
        <v>15670.54</v>
      </c>
      <c r="T262" s="57">
        <f t="shared" si="2"/>
        <v>0.1717947059</v>
      </c>
      <c r="U262" s="57">
        <f t="shared" si="3"/>
        <v>0.186369455</v>
      </c>
      <c r="V262" s="8" t="s">
        <v>594</v>
      </c>
      <c r="W262" s="27">
        <v>25000.0</v>
      </c>
      <c r="X262" s="27">
        <f t="shared" si="117"/>
        <v>25000</v>
      </c>
      <c r="Z262" s="57">
        <f t="shared" si="118"/>
        <v>12500</v>
      </c>
      <c r="AA262" s="57" t="str">
        <f>IFERROR(+VLOOKUP(A262,Key!$A$1:$C$219,2,FALSE),"NOT FOUND")</f>
        <v>7600-1U</v>
      </c>
      <c r="AB262" s="27">
        <v>25000.0</v>
      </c>
      <c r="AC262" s="57">
        <f t="shared" ref="AC262:AN262" si="124">+$AB262/12</f>
        <v>2083.333333</v>
      </c>
      <c r="AD262" s="57">
        <f t="shared" si="124"/>
        <v>2083.333333</v>
      </c>
      <c r="AE262" s="57">
        <f t="shared" si="124"/>
        <v>2083.333333</v>
      </c>
      <c r="AF262" s="57">
        <f t="shared" si="124"/>
        <v>2083.333333</v>
      </c>
      <c r="AG262" s="57">
        <f t="shared" si="124"/>
        <v>2083.333333</v>
      </c>
      <c r="AH262" s="57">
        <f t="shared" si="124"/>
        <v>2083.333333</v>
      </c>
      <c r="AI262" s="57">
        <f t="shared" si="124"/>
        <v>2083.333333</v>
      </c>
      <c r="AJ262" s="57">
        <f t="shared" si="124"/>
        <v>2083.333333</v>
      </c>
      <c r="AK262" s="57">
        <f t="shared" si="124"/>
        <v>2083.333333</v>
      </c>
      <c r="AL262" s="57">
        <f t="shared" si="124"/>
        <v>2083.333333</v>
      </c>
      <c r="AM262" s="57">
        <f t="shared" si="124"/>
        <v>2083.333333</v>
      </c>
      <c r="AN262" s="57">
        <f t="shared" si="124"/>
        <v>2083.333333</v>
      </c>
      <c r="AO262" s="27">
        <f t="shared" si="6"/>
        <v>0</v>
      </c>
    </row>
    <row r="263" ht="15.75" hidden="1" customHeight="1">
      <c r="A263" s="15" t="s">
        <v>682</v>
      </c>
      <c r="B263" s="15" t="s">
        <v>681</v>
      </c>
      <c r="C263" s="15" t="s">
        <v>119</v>
      </c>
      <c r="D263" s="56">
        <f>SUMIF('2015-16 12 Mnths'!$A:$A,'Detail 18-19'!$A263,'2015-16 12 Mnths'!C:C)-SUMIF('Budget 12 Mnths'!$A:$A,'Detail 18-19'!$A263,'Budget 12 Mnths'!D:D)</f>
        <v>0</v>
      </c>
      <c r="E263" s="56">
        <f>SUMIF('2015-16 12 Mnths'!$A:$A,'Detail 18-19'!$A263,'2015-16 12 Mnths'!D:D)-SUMIF('Budget 12 Mnths'!$A:$A,'Detail 18-19'!$A263,'Budget 12 Mnths'!E:E)</f>
        <v>0</v>
      </c>
      <c r="F263" s="56">
        <f>SUMIF('2015-16 12 Mnths'!$A:$A,'Detail 18-19'!$A263,'2015-16 12 Mnths'!E:E)-SUMIF('Budget 12 Mnths'!$A:$A,'Detail 18-19'!$A263,'Budget 12 Mnths'!F:F)</f>
        <v>0</v>
      </c>
      <c r="G263" s="56">
        <f>SUMIF('2015-16 12 Mnths'!$A:$A,'Detail 18-19'!$A263,'2015-16 12 Mnths'!F:F)-SUMIF('Budget 12 Mnths'!$A:$A,'Detail 18-19'!$A263,'Budget 12 Mnths'!G:G)</f>
        <v>0</v>
      </c>
      <c r="H263" s="56">
        <f>SUMIF('2015-16 12 Mnths'!$A:$A,'Detail 18-19'!$A263,'2015-16 12 Mnths'!G:G)-SUMIF('Budget 12 Mnths'!$A:$A,'Detail 18-19'!$A263,'Budget 12 Mnths'!H:H)</f>
        <v>0</v>
      </c>
      <c r="I263" s="56">
        <f>SUMIF('2015-16 12 Mnths'!$A:$A,'Detail 18-19'!$A263,'2015-16 12 Mnths'!H:H)-SUMIF('Budget 12 Mnths'!$A:$A,'Detail 18-19'!$A263,'Budget 12 Mnths'!I:I)</f>
        <v>0</v>
      </c>
      <c r="J263" s="56">
        <f>SUMIF('2015-16 12 Mnths'!$A:$A,'Detail 18-19'!$A263,'2015-16 12 Mnths'!I:I)-SUMIF('Budget 12 Mnths'!$A:$A,'Detail 18-19'!$A263,'Budget 12 Mnths'!J:J)</f>
        <v>0</v>
      </c>
      <c r="K263" s="56">
        <f>SUMIF('2015-16 12 Mnths'!$A:$A,'Detail 18-19'!$A263,'2015-16 12 Mnths'!J:J)-SUMIF('Budget 12 Mnths'!$A:$A,'Detail 18-19'!$A263,'Budget 12 Mnths'!K:K)</f>
        <v>0</v>
      </c>
      <c r="L263" s="56">
        <f>SUMIF('2015-16 12 Mnths'!$A:$A,'Detail 18-19'!$A263,'2015-16 12 Mnths'!K:K)-SUMIF('Budget 12 Mnths'!$A:$A,'Detail 18-19'!$A263,'Budget 12 Mnths'!L:L)</f>
        <v>0</v>
      </c>
      <c r="M263" s="56"/>
      <c r="N263" s="56"/>
      <c r="O263" s="56"/>
      <c r="P263" s="56">
        <f t="shared" si="1"/>
        <v>0</v>
      </c>
      <c r="Q263" s="14" t="str">
        <f>+VLOOKUP(A263,Mapping!$A$1:$E$443,5,FALSE)</f>
        <v>Depreciation</v>
      </c>
      <c r="R263" s="26">
        <f>+SUMIF('Budget 12 Mnths'!$A:$A,'Detail 18-19'!$A263,'Budget 12 Mnths'!$P:$P)</f>
        <v>0</v>
      </c>
      <c r="S263" s="26">
        <f>+SUMIF('2015-16 12 Mnths'!$A:$A,'Detail 18-19'!$A263,'2015-16 12 Mnths'!$O:$O)</f>
        <v>0</v>
      </c>
      <c r="T263" s="57">
        <f t="shared" si="2"/>
        <v>0</v>
      </c>
      <c r="U263" s="57">
        <f t="shared" si="3"/>
        <v>0</v>
      </c>
      <c r="W263" s="27"/>
      <c r="X263" s="27" t="str">
        <f t="shared" si="117"/>
        <v/>
      </c>
      <c r="Z263" s="57">
        <f t="shared" si="118"/>
        <v>0</v>
      </c>
      <c r="AA263" s="57" t="str">
        <f>IFERROR(+VLOOKUP(A263,Key!$A$1:$C$219,2,FALSE),"NOT FOUND")</f>
        <v>7600-2U</v>
      </c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>
        <f t="shared" si="6"/>
        <v>0</v>
      </c>
    </row>
    <row r="264" ht="15.75" hidden="1" customHeight="1">
      <c r="A264" s="15" t="s">
        <v>683</v>
      </c>
      <c r="B264" s="15" t="s">
        <v>681</v>
      </c>
      <c r="C264" s="15" t="s">
        <v>119</v>
      </c>
      <c r="D264" s="56">
        <f>SUMIF('2015-16 12 Mnths'!$A:$A,'Detail 18-19'!$A264,'2015-16 12 Mnths'!C:C)-SUMIF('Budget 12 Mnths'!$A:$A,'Detail 18-19'!$A264,'Budget 12 Mnths'!D:D)</f>
        <v>0</v>
      </c>
      <c r="E264" s="56">
        <f>SUMIF('2015-16 12 Mnths'!$A:$A,'Detail 18-19'!$A264,'2015-16 12 Mnths'!D:D)-SUMIF('Budget 12 Mnths'!$A:$A,'Detail 18-19'!$A264,'Budget 12 Mnths'!E:E)</f>
        <v>0</v>
      </c>
      <c r="F264" s="56">
        <f>SUMIF('2015-16 12 Mnths'!$A:$A,'Detail 18-19'!$A264,'2015-16 12 Mnths'!E:E)-SUMIF('Budget 12 Mnths'!$A:$A,'Detail 18-19'!$A264,'Budget 12 Mnths'!F:F)</f>
        <v>0</v>
      </c>
      <c r="G264" s="56">
        <f>SUMIF('2015-16 12 Mnths'!$A:$A,'Detail 18-19'!$A264,'2015-16 12 Mnths'!F:F)-SUMIF('Budget 12 Mnths'!$A:$A,'Detail 18-19'!$A264,'Budget 12 Mnths'!G:G)</f>
        <v>0</v>
      </c>
      <c r="H264" s="56">
        <f>SUMIF('2015-16 12 Mnths'!$A:$A,'Detail 18-19'!$A264,'2015-16 12 Mnths'!G:G)-SUMIF('Budget 12 Mnths'!$A:$A,'Detail 18-19'!$A264,'Budget 12 Mnths'!H:H)</f>
        <v>0</v>
      </c>
      <c r="I264" s="56">
        <f>SUMIF('2015-16 12 Mnths'!$A:$A,'Detail 18-19'!$A264,'2015-16 12 Mnths'!H:H)-SUMIF('Budget 12 Mnths'!$A:$A,'Detail 18-19'!$A264,'Budget 12 Mnths'!I:I)</f>
        <v>0</v>
      </c>
      <c r="J264" s="56">
        <f>SUMIF('2015-16 12 Mnths'!$A:$A,'Detail 18-19'!$A264,'2015-16 12 Mnths'!I:I)-SUMIF('Budget 12 Mnths'!$A:$A,'Detail 18-19'!$A264,'Budget 12 Mnths'!J:J)</f>
        <v>0</v>
      </c>
      <c r="K264" s="56">
        <f>SUMIF('2015-16 12 Mnths'!$A:$A,'Detail 18-19'!$A264,'2015-16 12 Mnths'!J:J)-SUMIF('Budget 12 Mnths'!$A:$A,'Detail 18-19'!$A264,'Budget 12 Mnths'!K:K)</f>
        <v>0</v>
      </c>
      <c r="L264" s="56">
        <f>SUMIF('2015-16 12 Mnths'!$A:$A,'Detail 18-19'!$A264,'2015-16 12 Mnths'!K:K)-SUMIF('Budget 12 Mnths'!$A:$A,'Detail 18-19'!$A264,'Budget 12 Mnths'!L:L)</f>
        <v>0</v>
      </c>
      <c r="M264" s="56"/>
      <c r="N264" s="56"/>
      <c r="O264" s="56"/>
      <c r="P264" s="56">
        <f t="shared" si="1"/>
        <v>0</v>
      </c>
      <c r="Q264" s="14" t="str">
        <f>+VLOOKUP(A264,Mapping!$A$1:$E$443,5,FALSE)</f>
        <v>Depreciation</v>
      </c>
      <c r="R264" s="26">
        <f>+SUMIF('Budget 12 Mnths'!$A:$A,'Detail 18-19'!$A264,'Budget 12 Mnths'!$P:$P)</f>
        <v>0</v>
      </c>
      <c r="S264" s="26">
        <f>+SUMIF('2015-16 12 Mnths'!$A:$A,'Detail 18-19'!$A264,'2015-16 12 Mnths'!$O:$O)</f>
        <v>0</v>
      </c>
      <c r="T264" s="57">
        <f t="shared" si="2"/>
        <v>0</v>
      </c>
      <c r="U264" s="57">
        <f t="shared" si="3"/>
        <v>0</v>
      </c>
      <c r="W264" s="27"/>
      <c r="X264" s="27" t="str">
        <f t="shared" si="117"/>
        <v/>
      </c>
      <c r="Z264" s="57">
        <f t="shared" si="118"/>
        <v>0</v>
      </c>
      <c r="AA264" s="57" t="str">
        <f>IFERROR(+VLOOKUP(A264,Key!$A$1:$C$219,2,FALSE),"NOT FOUND")</f>
        <v>7600-3U</v>
      </c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>
        <f t="shared" si="6"/>
        <v>0</v>
      </c>
    </row>
    <row r="265" ht="15.75" customHeight="1">
      <c r="A265" s="15" t="s">
        <v>684</v>
      </c>
      <c r="B265" s="15" t="s">
        <v>685</v>
      </c>
      <c r="C265" s="15" t="s">
        <v>119</v>
      </c>
      <c r="D265" s="56">
        <f>SUMIF('2015-16 12 Mnths'!$A:$A,'Detail 18-19'!$A265,'2015-16 12 Mnths'!C:C)-SUMIF('Budget 12 Mnths'!$A:$A,'Detail 18-19'!$A265,'Budget 12 Mnths'!D:D)</f>
        <v>-1055.81</v>
      </c>
      <c r="E265" s="56">
        <f>SUMIF('2015-16 12 Mnths'!$A:$A,'Detail 18-19'!$A265,'2015-16 12 Mnths'!D:D)-SUMIF('Budget 12 Mnths'!$A:$A,'Detail 18-19'!$A265,'Budget 12 Mnths'!E:E)</f>
        <v>-171</v>
      </c>
      <c r="F265" s="56">
        <f>SUMIF('2015-16 12 Mnths'!$A:$A,'Detail 18-19'!$A265,'2015-16 12 Mnths'!E:E)-SUMIF('Budget 12 Mnths'!$A:$A,'Detail 18-19'!$A265,'Budget 12 Mnths'!F:F)</f>
        <v>-166.67</v>
      </c>
      <c r="G265" s="56">
        <f>SUMIF('2015-16 12 Mnths'!$A:$A,'Detail 18-19'!$A265,'2015-16 12 Mnths'!F:F)-SUMIF('Budget 12 Mnths'!$A:$A,'Detail 18-19'!$A265,'Budget 12 Mnths'!G:G)</f>
        <v>-1455.88</v>
      </c>
      <c r="H265" s="56">
        <f>SUMIF('2015-16 12 Mnths'!$A:$A,'Detail 18-19'!$A265,'2015-16 12 Mnths'!G:G)-SUMIF('Budget 12 Mnths'!$A:$A,'Detail 18-19'!$A265,'Budget 12 Mnths'!H:H)</f>
        <v>-242.17</v>
      </c>
      <c r="I265" s="56">
        <f>SUMIF('2015-16 12 Mnths'!$A:$A,'Detail 18-19'!$A265,'2015-16 12 Mnths'!H:H)-SUMIF('Budget 12 Mnths'!$A:$A,'Detail 18-19'!$A265,'Budget 12 Mnths'!I:I)</f>
        <v>-81.67</v>
      </c>
      <c r="J265" s="56">
        <f>SUMIF('2015-16 12 Mnths'!$A:$A,'Detail 18-19'!$A265,'2015-16 12 Mnths'!I:I)-SUMIF('Budget 12 Mnths'!$A:$A,'Detail 18-19'!$A265,'Budget 12 Mnths'!J:J)</f>
        <v>-251.67</v>
      </c>
      <c r="K265" s="56">
        <f>SUMIF('2015-16 12 Mnths'!$A:$A,'Detail 18-19'!$A265,'2015-16 12 Mnths'!J:J)-SUMIF('Budget 12 Mnths'!$A:$A,'Detail 18-19'!$A265,'Budget 12 Mnths'!K:K)</f>
        <v>-166.67</v>
      </c>
      <c r="L265" s="56">
        <f>SUMIF('2015-16 12 Mnths'!$A:$A,'Detail 18-19'!$A265,'2015-16 12 Mnths'!K:K)-SUMIF('Budget 12 Mnths'!$A:$A,'Detail 18-19'!$A265,'Budget 12 Mnths'!L:L)</f>
        <v>6086.28</v>
      </c>
      <c r="M265" s="56"/>
      <c r="N265" s="56"/>
      <c r="O265" s="56"/>
      <c r="P265" s="56">
        <f t="shared" si="1"/>
        <v>2494.74</v>
      </c>
      <c r="Q265" s="14" t="str">
        <f>+VLOOKUP(A265,Mapping!$A$1:$E$443,5,FALSE)</f>
        <v>Misc Exp</v>
      </c>
      <c r="R265" s="26">
        <f>+SUMIF('Budget 12 Mnths'!$A:$A,'Detail 18-19'!$A265,'Budget 12 Mnths'!$P:$P)</f>
        <v>2000.04</v>
      </c>
      <c r="S265" s="26">
        <f>+SUMIF('2015-16 12 Mnths'!$A:$A,'Detail 18-19'!$A265,'2015-16 12 Mnths'!$O:$O)</f>
        <v>3994.77</v>
      </c>
      <c r="T265" s="57">
        <f t="shared" si="2"/>
        <v>1.247345053</v>
      </c>
      <c r="U265" s="57">
        <f t="shared" si="3"/>
        <v>0.6245015358</v>
      </c>
      <c r="V265" s="8" t="s">
        <v>641</v>
      </c>
      <c r="W265" s="27">
        <v>2000.0</v>
      </c>
      <c r="X265" s="27">
        <f t="shared" si="117"/>
        <v>2000</v>
      </c>
      <c r="Z265" s="57">
        <f t="shared" si="118"/>
        <v>1000</v>
      </c>
      <c r="AA265" s="57" t="str">
        <f>IFERROR(+VLOOKUP(A265,Key!$A$1:$C$219,2,FALSE),"NOT FOUND")</f>
        <v>8000-1U</v>
      </c>
      <c r="AB265" s="27">
        <v>3250.0</v>
      </c>
      <c r="AC265" s="57">
        <f t="shared" ref="AC265:AN265" si="125">+$AB265/12</f>
        <v>270.8333333</v>
      </c>
      <c r="AD265" s="57">
        <f t="shared" si="125"/>
        <v>270.8333333</v>
      </c>
      <c r="AE265" s="57">
        <f t="shared" si="125"/>
        <v>270.8333333</v>
      </c>
      <c r="AF265" s="57">
        <f t="shared" si="125"/>
        <v>270.8333333</v>
      </c>
      <c r="AG265" s="57">
        <f t="shared" si="125"/>
        <v>270.8333333</v>
      </c>
      <c r="AH265" s="57">
        <f t="shared" si="125"/>
        <v>270.8333333</v>
      </c>
      <c r="AI265" s="57">
        <f t="shared" si="125"/>
        <v>270.8333333</v>
      </c>
      <c r="AJ265" s="57">
        <f t="shared" si="125"/>
        <v>270.8333333</v>
      </c>
      <c r="AK265" s="57">
        <f t="shared" si="125"/>
        <v>270.8333333</v>
      </c>
      <c r="AL265" s="57">
        <f t="shared" si="125"/>
        <v>270.8333333</v>
      </c>
      <c r="AM265" s="57">
        <f t="shared" si="125"/>
        <v>270.8333333</v>
      </c>
      <c r="AN265" s="57">
        <f t="shared" si="125"/>
        <v>270.8333333</v>
      </c>
      <c r="AO265" s="27">
        <f t="shared" si="6"/>
        <v>0</v>
      </c>
    </row>
    <row r="266" ht="15.75" hidden="1" customHeight="1">
      <c r="A266" s="15" t="s">
        <v>686</v>
      </c>
      <c r="B266" s="15" t="s">
        <v>685</v>
      </c>
      <c r="C266" s="15" t="s">
        <v>119</v>
      </c>
      <c r="D266" s="56">
        <f>SUMIF('2015-16 12 Mnths'!$A:$A,'Detail 18-19'!$A266,'2015-16 12 Mnths'!C:C)-SUMIF('Budget 12 Mnths'!$A:$A,'Detail 18-19'!$A266,'Budget 12 Mnths'!D:D)</f>
        <v>0</v>
      </c>
      <c r="E266" s="56">
        <f>SUMIF('2015-16 12 Mnths'!$A:$A,'Detail 18-19'!$A266,'2015-16 12 Mnths'!D:D)-SUMIF('Budget 12 Mnths'!$A:$A,'Detail 18-19'!$A266,'Budget 12 Mnths'!E:E)</f>
        <v>0</v>
      </c>
      <c r="F266" s="56">
        <f>SUMIF('2015-16 12 Mnths'!$A:$A,'Detail 18-19'!$A266,'2015-16 12 Mnths'!E:E)-SUMIF('Budget 12 Mnths'!$A:$A,'Detail 18-19'!$A266,'Budget 12 Mnths'!F:F)</f>
        <v>0</v>
      </c>
      <c r="G266" s="56">
        <f>SUMIF('2015-16 12 Mnths'!$A:$A,'Detail 18-19'!$A266,'2015-16 12 Mnths'!F:F)-SUMIF('Budget 12 Mnths'!$A:$A,'Detail 18-19'!$A266,'Budget 12 Mnths'!G:G)</f>
        <v>0</v>
      </c>
      <c r="H266" s="56">
        <f>SUMIF('2015-16 12 Mnths'!$A:$A,'Detail 18-19'!$A266,'2015-16 12 Mnths'!G:G)-SUMIF('Budget 12 Mnths'!$A:$A,'Detail 18-19'!$A266,'Budget 12 Mnths'!H:H)</f>
        <v>0</v>
      </c>
      <c r="I266" s="56">
        <f>SUMIF('2015-16 12 Mnths'!$A:$A,'Detail 18-19'!$A266,'2015-16 12 Mnths'!H:H)-SUMIF('Budget 12 Mnths'!$A:$A,'Detail 18-19'!$A266,'Budget 12 Mnths'!I:I)</f>
        <v>0</v>
      </c>
      <c r="J266" s="56">
        <f>SUMIF('2015-16 12 Mnths'!$A:$A,'Detail 18-19'!$A266,'2015-16 12 Mnths'!I:I)-SUMIF('Budget 12 Mnths'!$A:$A,'Detail 18-19'!$A266,'Budget 12 Mnths'!J:J)</f>
        <v>0</v>
      </c>
      <c r="K266" s="56">
        <f>SUMIF('2015-16 12 Mnths'!$A:$A,'Detail 18-19'!$A266,'2015-16 12 Mnths'!J:J)-SUMIF('Budget 12 Mnths'!$A:$A,'Detail 18-19'!$A266,'Budget 12 Mnths'!K:K)</f>
        <v>0</v>
      </c>
      <c r="L266" s="56">
        <f>SUMIF('2015-16 12 Mnths'!$A:$A,'Detail 18-19'!$A266,'2015-16 12 Mnths'!K:K)-SUMIF('Budget 12 Mnths'!$A:$A,'Detail 18-19'!$A266,'Budget 12 Mnths'!L:L)</f>
        <v>0</v>
      </c>
      <c r="M266" s="56"/>
      <c r="N266" s="56"/>
      <c r="O266" s="56"/>
      <c r="P266" s="56">
        <f t="shared" si="1"/>
        <v>0</v>
      </c>
      <c r="Q266" s="14" t="str">
        <f>+VLOOKUP(A266,Mapping!$A$1:$E$443,5,FALSE)</f>
        <v>Misc Exp</v>
      </c>
      <c r="R266" s="26">
        <f>+SUMIF('Budget 12 Mnths'!$A:$A,'Detail 18-19'!$A266,'Budget 12 Mnths'!$P:$P)</f>
        <v>0</v>
      </c>
      <c r="S266" s="26">
        <f>+SUMIF('2015-16 12 Mnths'!$A:$A,'Detail 18-19'!$A266,'2015-16 12 Mnths'!$O:$O)</f>
        <v>0</v>
      </c>
      <c r="T266" s="57">
        <f t="shared" si="2"/>
        <v>0</v>
      </c>
      <c r="U266" s="57">
        <f t="shared" si="3"/>
        <v>0</v>
      </c>
      <c r="W266" s="27"/>
      <c r="X266" s="27" t="str">
        <f t="shared" si="117"/>
        <v/>
      </c>
      <c r="Z266" s="57">
        <f t="shared" si="118"/>
        <v>0</v>
      </c>
      <c r="AA266" s="57" t="str">
        <f>IFERROR(+VLOOKUP(A266,Key!$A$1:$C$219,2,FALSE),"NOT FOUND")</f>
        <v>8000-2U</v>
      </c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>
        <f t="shared" si="6"/>
        <v>0</v>
      </c>
    </row>
    <row r="267" ht="15.75" hidden="1" customHeight="1">
      <c r="A267" s="15" t="s">
        <v>687</v>
      </c>
      <c r="B267" s="15" t="s">
        <v>685</v>
      </c>
      <c r="C267" s="15" t="s">
        <v>119</v>
      </c>
      <c r="D267" s="56">
        <f>SUMIF('2015-16 12 Mnths'!$A:$A,'Detail 18-19'!$A267,'2015-16 12 Mnths'!C:C)-SUMIF('Budget 12 Mnths'!$A:$A,'Detail 18-19'!$A267,'Budget 12 Mnths'!D:D)</f>
        <v>0</v>
      </c>
      <c r="E267" s="56">
        <f>SUMIF('2015-16 12 Mnths'!$A:$A,'Detail 18-19'!$A267,'2015-16 12 Mnths'!D:D)-SUMIF('Budget 12 Mnths'!$A:$A,'Detail 18-19'!$A267,'Budget 12 Mnths'!E:E)</f>
        <v>0</v>
      </c>
      <c r="F267" s="56">
        <f>SUMIF('2015-16 12 Mnths'!$A:$A,'Detail 18-19'!$A267,'2015-16 12 Mnths'!E:E)-SUMIF('Budget 12 Mnths'!$A:$A,'Detail 18-19'!$A267,'Budget 12 Mnths'!F:F)</f>
        <v>0</v>
      </c>
      <c r="G267" s="56">
        <f>SUMIF('2015-16 12 Mnths'!$A:$A,'Detail 18-19'!$A267,'2015-16 12 Mnths'!F:F)-SUMIF('Budget 12 Mnths'!$A:$A,'Detail 18-19'!$A267,'Budget 12 Mnths'!G:G)</f>
        <v>0</v>
      </c>
      <c r="H267" s="56">
        <f>SUMIF('2015-16 12 Mnths'!$A:$A,'Detail 18-19'!$A267,'2015-16 12 Mnths'!G:G)-SUMIF('Budget 12 Mnths'!$A:$A,'Detail 18-19'!$A267,'Budget 12 Mnths'!H:H)</f>
        <v>0</v>
      </c>
      <c r="I267" s="56">
        <f>SUMIF('2015-16 12 Mnths'!$A:$A,'Detail 18-19'!$A267,'2015-16 12 Mnths'!H:H)-SUMIF('Budget 12 Mnths'!$A:$A,'Detail 18-19'!$A267,'Budget 12 Mnths'!I:I)</f>
        <v>0</v>
      </c>
      <c r="J267" s="56">
        <f>SUMIF('2015-16 12 Mnths'!$A:$A,'Detail 18-19'!$A267,'2015-16 12 Mnths'!I:I)-SUMIF('Budget 12 Mnths'!$A:$A,'Detail 18-19'!$A267,'Budget 12 Mnths'!J:J)</f>
        <v>0</v>
      </c>
      <c r="K267" s="56">
        <f>SUMIF('2015-16 12 Mnths'!$A:$A,'Detail 18-19'!$A267,'2015-16 12 Mnths'!J:J)-SUMIF('Budget 12 Mnths'!$A:$A,'Detail 18-19'!$A267,'Budget 12 Mnths'!K:K)</f>
        <v>0</v>
      </c>
      <c r="L267" s="56">
        <f>SUMIF('2015-16 12 Mnths'!$A:$A,'Detail 18-19'!$A267,'2015-16 12 Mnths'!K:K)-SUMIF('Budget 12 Mnths'!$A:$A,'Detail 18-19'!$A267,'Budget 12 Mnths'!L:L)</f>
        <v>0</v>
      </c>
      <c r="M267" s="56"/>
      <c r="N267" s="56"/>
      <c r="O267" s="56"/>
      <c r="P267" s="56">
        <f t="shared" si="1"/>
        <v>0</v>
      </c>
      <c r="Q267" s="14" t="str">
        <f>+VLOOKUP(A267,Mapping!$A$1:$E$443,5,FALSE)</f>
        <v>Misc Exp</v>
      </c>
      <c r="R267" s="26">
        <f>+SUMIF('Budget 12 Mnths'!$A:$A,'Detail 18-19'!$A267,'Budget 12 Mnths'!$P:$P)</f>
        <v>0</v>
      </c>
      <c r="S267" s="26">
        <f>+SUMIF('2015-16 12 Mnths'!$A:$A,'Detail 18-19'!$A267,'2015-16 12 Mnths'!$O:$O)</f>
        <v>0</v>
      </c>
      <c r="T267" s="57">
        <f t="shared" si="2"/>
        <v>0</v>
      </c>
      <c r="U267" s="57">
        <f t="shared" si="3"/>
        <v>0</v>
      </c>
      <c r="W267" s="27"/>
      <c r="X267" s="27" t="str">
        <f t="shared" si="117"/>
        <v/>
      </c>
      <c r="Z267" s="57">
        <f t="shared" si="118"/>
        <v>0</v>
      </c>
      <c r="AA267" s="57" t="str">
        <f>IFERROR(+VLOOKUP(A267,Key!$A$1:$C$219,2,FALSE),"NOT FOUND")</f>
        <v>8000-3U</v>
      </c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>
        <f t="shared" si="6"/>
        <v>0</v>
      </c>
    </row>
    <row r="268" ht="15.75" hidden="1" customHeight="1">
      <c r="A268" s="15" t="s">
        <v>688</v>
      </c>
      <c r="B268" s="15" t="s">
        <v>689</v>
      </c>
      <c r="C268" s="15" t="s">
        <v>119</v>
      </c>
      <c r="D268" s="56">
        <f>SUMIF('2015-16 12 Mnths'!$A:$A,'Detail 18-19'!$A268,'2015-16 12 Mnths'!C:C)-SUMIF('Budget 12 Mnths'!$A:$A,'Detail 18-19'!$A268,'Budget 12 Mnths'!D:D)</f>
        <v>0</v>
      </c>
      <c r="E268" s="56">
        <f>SUMIF('2015-16 12 Mnths'!$A:$A,'Detail 18-19'!$A268,'2015-16 12 Mnths'!D:D)-SUMIF('Budget 12 Mnths'!$A:$A,'Detail 18-19'!$A268,'Budget 12 Mnths'!E:E)</f>
        <v>0</v>
      </c>
      <c r="F268" s="56">
        <f>SUMIF('2015-16 12 Mnths'!$A:$A,'Detail 18-19'!$A268,'2015-16 12 Mnths'!E:E)-SUMIF('Budget 12 Mnths'!$A:$A,'Detail 18-19'!$A268,'Budget 12 Mnths'!F:F)</f>
        <v>0</v>
      </c>
      <c r="G268" s="56">
        <f>SUMIF('2015-16 12 Mnths'!$A:$A,'Detail 18-19'!$A268,'2015-16 12 Mnths'!F:F)-SUMIF('Budget 12 Mnths'!$A:$A,'Detail 18-19'!$A268,'Budget 12 Mnths'!G:G)</f>
        <v>0</v>
      </c>
      <c r="H268" s="56">
        <f>SUMIF('2015-16 12 Mnths'!$A:$A,'Detail 18-19'!$A268,'2015-16 12 Mnths'!G:G)-SUMIF('Budget 12 Mnths'!$A:$A,'Detail 18-19'!$A268,'Budget 12 Mnths'!H:H)</f>
        <v>0</v>
      </c>
      <c r="I268" s="56">
        <f>SUMIF('2015-16 12 Mnths'!$A:$A,'Detail 18-19'!$A268,'2015-16 12 Mnths'!H:H)-SUMIF('Budget 12 Mnths'!$A:$A,'Detail 18-19'!$A268,'Budget 12 Mnths'!I:I)</f>
        <v>0</v>
      </c>
      <c r="J268" s="56">
        <f>SUMIF('2015-16 12 Mnths'!$A:$A,'Detail 18-19'!$A268,'2015-16 12 Mnths'!I:I)-SUMIF('Budget 12 Mnths'!$A:$A,'Detail 18-19'!$A268,'Budget 12 Mnths'!J:J)</f>
        <v>0</v>
      </c>
      <c r="K268" s="56">
        <f>SUMIF('2015-16 12 Mnths'!$A:$A,'Detail 18-19'!$A268,'2015-16 12 Mnths'!J:J)-SUMIF('Budget 12 Mnths'!$A:$A,'Detail 18-19'!$A268,'Budget 12 Mnths'!K:K)</f>
        <v>0</v>
      </c>
      <c r="L268" s="56">
        <f>SUMIF('2015-16 12 Mnths'!$A:$A,'Detail 18-19'!$A268,'2015-16 12 Mnths'!K:K)-SUMIF('Budget 12 Mnths'!$A:$A,'Detail 18-19'!$A268,'Budget 12 Mnths'!L:L)</f>
        <v>0</v>
      </c>
      <c r="M268" s="56"/>
      <c r="N268" s="56"/>
      <c r="O268" s="56"/>
      <c r="P268" s="56">
        <f t="shared" si="1"/>
        <v>0</v>
      </c>
      <c r="Q268" s="14" t="str">
        <f>+VLOOKUP(A268,Mapping!$A$1:$E$443,5,FALSE)</f>
        <v>Bad Debt</v>
      </c>
      <c r="R268" s="26">
        <f>+SUMIF('Budget 12 Mnths'!$A:$A,'Detail 18-19'!$A268,'Budget 12 Mnths'!$P:$P)</f>
        <v>0</v>
      </c>
      <c r="S268" s="26">
        <f>+SUMIF('2015-16 12 Mnths'!$A:$A,'Detail 18-19'!$A268,'2015-16 12 Mnths'!$O:$O)</f>
        <v>0</v>
      </c>
      <c r="T268" s="57">
        <f t="shared" si="2"/>
        <v>0</v>
      </c>
      <c r="U268" s="57">
        <f t="shared" si="3"/>
        <v>0</v>
      </c>
      <c r="W268" s="27"/>
      <c r="X268" s="27" t="str">
        <f t="shared" si="117"/>
        <v/>
      </c>
      <c r="Z268" s="57">
        <f t="shared" si="118"/>
        <v>0</v>
      </c>
      <c r="AA268" s="57" t="str">
        <f>IFERROR(+VLOOKUP(A268,Key!$A$1:$C$219,2,FALSE),"NOT FOUND")</f>
        <v>NOT FOUND</v>
      </c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>
        <f t="shared" si="6"/>
        <v>0</v>
      </c>
    </row>
    <row r="269" ht="15.75" hidden="1" customHeight="1">
      <c r="A269" s="15" t="s">
        <v>690</v>
      </c>
      <c r="B269" s="15" t="s">
        <v>691</v>
      </c>
      <c r="C269" s="15" t="s">
        <v>119</v>
      </c>
      <c r="D269" s="56">
        <f>SUMIF('2015-16 12 Mnths'!$A:$A,'Detail 18-19'!$A269,'2015-16 12 Mnths'!C:C)-SUMIF('Budget 12 Mnths'!$A:$A,'Detail 18-19'!$A269,'Budget 12 Mnths'!D:D)</f>
        <v>0</v>
      </c>
      <c r="E269" s="56">
        <f>SUMIF('2015-16 12 Mnths'!$A:$A,'Detail 18-19'!$A269,'2015-16 12 Mnths'!D:D)-SUMIF('Budget 12 Mnths'!$A:$A,'Detail 18-19'!$A269,'Budget 12 Mnths'!E:E)</f>
        <v>0</v>
      </c>
      <c r="F269" s="56">
        <f>SUMIF('2015-16 12 Mnths'!$A:$A,'Detail 18-19'!$A269,'2015-16 12 Mnths'!E:E)-SUMIF('Budget 12 Mnths'!$A:$A,'Detail 18-19'!$A269,'Budget 12 Mnths'!F:F)</f>
        <v>0</v>
      </c>
      <c r="G269" s="56">
        <f>SUMIF('2015-16 12 Mnths'!$A:$A,'Detail 18-19'!$A269,'2015-16 12 Mnths'!F:F)-SUMIF('Budget 12 Mnths'!$A:$A,'Detail 18-19'!$A269,'Budget 12 Mnths'!G:G)</f>
        <v>0</v>
      </c>
      <c r="H269" s="56">
        <f>SUMIF('2015-16 12 Mnths'!$A:$A,'Detail 18-19'!$A269,'2015-16 12 Mnths'!G:G)-SUMIF('Budget 12 Mnths'!$A:$A,'Detail 18-19'!$A269,'Budget 12 Mnths'!H:H)</f>
        <v>0</v>
      </c>
      <c r="I269" s="56">
        <f>SUMIF('2015-16 12 Mnths'!$A:$A,'Detail 18-19'!$A269,'2015-16 12 Mnths'!H:H)-SUMIF('Budget 12 Mnths'!$A:$A,'Detail 18-19'!$A269,'Budget 12 Mnths'!I:I)</f>
        <v>0</v>
      </c>
      <c r="J269" s="56">
        <f>SUMIF('2015-16 12 Mnths'!$A:$A,'Detail 18-19'!$A269,'2015-16 12 Mnths'!I:I)-SUMIF('Budget 12 Mnths'!$A:$A,'Detail 18-19'!$A269,'Budget 12 Mnths'!J:J)</f>
        <v>0</v>
      </c>
      <c r="K269" s="56">
        <f>SUMIF('2015-16 12 Mnths'!$A:$A,'Detail 18-19'!$A269,'2015-16 12 Mnths'!J:J)-SUMIF('Budget 12 Mnths'!$A:$A,'Detail 18-19'!$A269,'Budget 12 Mnths'!K:K)</f>
        <v>0</v>
      </c>
      <c r="L269" s="56">
        <f>SUMIF('2015-16 12 Mnths'!$A:$A,'Detail 18-19'!$A269,'2015-16 12 Mnths'!K:K)-SUMIF('Budget 12 Mnths'!$A:$A,'Detail 18-19'!$A269,'Budget 12 Mnths'!L:L)</f>
        <v>0</v>
      </c>
      <c r="M269" s="56"/>
      <c r="N269" s="56"/>
      <c r="O269" s="56"/>
      <c r="P269" s="56">
        <f t="shared" si="1"/>
        <v>0</v>
      </c>
      <c r="Q269" s="14" t="str">
        <f>+VLOOKUP(A269,Mapping!$A$1:$E$443,5,FALSE)</f>
        <v>Bad Debt</v>
      </c>
      <c r="R269" s="26">
        <f>+SUMIF('Budget 12 Mnths'!$A:$A,'Detail 18-19'!$A269,'Budget 12 Mnths'!$P:$P)</f>
        <v>0</v>
      </c>
      <c r="S269" s="26">
        <f>+SUMIF('2015-16 12 Mnths'!$A:$A,'Detail 18-19'!$A269,'2015-16 12 Mnths'!$O:$O)</f>
        <v>0</v>
      </c>
      <c r="T269" s="57">
        <f t="shared" si="2"/>
        <v>0</v>
      </c>
      <c r="U269" s="57">
        <f t="shared" si="3"/>
        <v>0</v>
      </c>
      <c r="W269" s="27"/>
      <c r="X269" s="27" t="str">
        <f t="shared" si="117"/>
        <v/>
      </c>
      <c r="Z269" s="57">
        <f t="shared" si="118"/>
        <v>0</v>
      </c>
      <c r="AA269" s="57" t="str">
        <f>IFERROR(+VLOOKUP(A269,Key!$A$1:$C$219,2,FALSE),"NOT FOUND")</f>
        <v>NOT FOUND</v>
      </c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>
        <f t="shared" si="6"/>
        <v>0</v>
      </c>
    </row>
    <row r="270" ht="15.75" customHeight="1">
      <c r="A270" s="15" t="s">
        <v>692</v>
      </c>
      <c r="B270" s="15" t="s">
        <v>245</v>
      </c>
      <c r="C270" s="15" t="s">
        <v>119</v>
      </c>
      <c r="D270" s="56">
        <f>SUMIF('2015-16 12 Mnths'!$A:$A,'Detail 18-19'!$A270,'2015-16 12 Mnths'!C:C)-SUMIF('Budget 12 Mnths'!$A:$A,'Detail 18-19'!$A270,'Budget 12 Mnths'!D:D)</f>
        <v>0</v>
      </c>
      <c r="E270" s="56">
        <f>SUMIF('2015-16 12 Mnths'!$A:$A,'Detail 18-19'!$A270,'2015-16 12 Mnths'!D:D)-SUMIF('Budget 12 Mnths'!$A:$A,'Detail 18-19'!$A270,'Budget 12 Mnths'!E:E)</f>
        <v>0</v>
      </c>
      <c r="F270" s="56">
        <f>SUMIF('2015-16 12 Mnths'!$A:$A,'Detail 18-19'!$A270,'2015-16 12 Mnths'!E:E)-SUMIF('Budget 12 Mnths'!$A:$A,'Detail 18-19'!$A270,'Budget 12 Mnths'!F:F)</f>
        <v>0</v>
      </c>
      <c r="G270" s="56">
        <f>SUMIF('2015-16 12 Mnths'!$A:$A,'Detail 18-19'!$A270,'2015-16 12 Mnths'!F:F)-SUMIF('Budget 12 Mnths'!$A:$A,'Detail 18-19'!$A270,'Budget 12 Mnths'!G:G)</f>
        <v>0</v>
      </c>
      <c r="H270" s="56">
        <f>SUMIF('2015-16 12 Mnths'!$A:$A,'Detail 18-19'!$A270,'2015-16 12 Mnths'!G:G)-SUMIF('Budget 12 Mnths'!$A:$A,'Detail 18-19'!$A270,'Budget 12 Mnths'!H:H)</f>
        <v>0</v>
      </c>
      <c r="I270" s="56">
        <f>SUMIF('2015-16 12 Mnths'!$A:$A,'Detail 18-19'!$A270,'2015-16 12 Mnths'!H:H)-SUMIF('Budget 12 Mnths'!$A:$A,'Detail 18-19'!$A270,'Budget 12 Mnths'!I:I)</f>
        <v>0</v>
      </c>
      <c r="J270" s="56">
        <f>SUMIF('2015-16 12 Mnths'!$A:$A,'Detail 18-19'!$A270,'2015-16 12 Mnths'!I:I)-SUMIF('Budget 12 Mnths'!$A:$A,'Detail 18-19'!$A270,'Budget 12 Mnths'!J:J)</f>
        <v>0</v>
      </c>
      <c r="K270" s="56">
        <f>SUMIF('2015-16 12 Mnths'!$A:$A,'Detail 18-19'!$A270,'2015-16 12 Mnths'!J:J)-SUMIF('Budget 12 Mnths'!$A:$A,'Detail 18-19'!$A270,'Budget 12 Mnths'!K:K)</f>
        <v>0</v>
      </c>
      <c r="L270" s="56">
        <f>SUMIF('2015-16 12 Mnths'!$A:$A,'Detail 18-19'!$A270,'2015-16 12 Mnths'!K:K)-SUMIF('Budget 12 Mnths'!$A:$A,'Detail 18-19'!$A270,'Budget 12 Mnths'!L:L)</f>
        <v>0</v>
      </c>
      <c r="M270" s="56"/>
      <c r="N270" s="56"/>
      <c r="O270" s="56"/>
      <c r="P270" s="56">
        <f t="shared" si="1"/>
        <v>0</v>
      </c>
      <c r="Q270" s="14" t="str">
        <f>+VLOOKUP(A270,Mapping!$A$1:$E$443,5,FALSE)</f>
        <v>Bad Debt</v>
      </c>
      <c r="R270" s="26">
        <f>+SUMIF('Budget 12 Mnths'!$A:$A,'Detail 18-19'!$A270,'Budget 12 Mnths'!$P:$P)</f>
        <v>2500</v>
      </c>
      <c r="S270" s="26">
        <f>+SUMIF('2015-16 12 Mnths'!$A:$A,'Detail 18-19'!$A270,'2015-16 12 Mnths'!$O:$O)</f>
        <v>0</v>
      </c>
      <c r="T270" s="57">
        <f t="shared" si="2"/>
        <v>0</v>
      </c>
      <c r="U270" s="57">
        <f t="shared" si="3"/>
        <v>0</v>
      </c>
      <c r="V270" s="8" t="s">
        <v>594</v>
      </c>
      <c r="W270" s="27">
        <v>3000.0</v>
      </c>
      <c r="X270" s="27">
        <f t="shared" si="117"/>
        <v>3000</v>
      </c>
      <c r="Z270" s="57">
        <v>0.0</v>
      </c>
      <c r="AA270" s="57" t="str">
        <f>IFERROR(+VLOOKUP(A270,Key!$A$1:$C$219,2,FALSE),"NOT FOUND")</f>
        <v>8600-1U</v>
      </c>
      <c r="AB270" s="27">
        <v>5000.0</v>
      </c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>
        <v>5000.0</v>
      </c>
      <c r="AO270" s="27">
        <f t="shared" si="6"/>
        <v>0</v>
      </c>
    </row>
    <row r="271" ht="15.75" hidden="1" customHeight="1">
      <c r="A271" s="15" t="s">
        <v>693</v>
      </c>
      <c r="B271" s="15" t="s">
        <v>694</v>
      </c>
      <c r="C271" s="15" t="s">
        <v>119</v>
      </c>
      <c r="D271" s="56">
        <f>SUMIF('2015-16 12 Mnths'!$A:$A,'Detail 18-19'!$A271,'2015-16 12 Mnths'!C:C)-SUMIF('Budget 12 Mnths'!$A:$A,'Detail 18-19'!$A271,'Budget 12 Mnths'!D:D)</f>
        <v>0</v>
      </c>
      <c r="E271" s="56">
        <f>SUMIF('2015-16 12 Mnths'!$A:$A,'Detail 18-19'!$A271,'2015-16 12 Mnths'!D:D)-SUMIF('Budget 12 Mnths'!$A:$A,'Detail 18-19'!$A271,'Budget 12 Mnths'!E:E)</f>
        <v>0</v>
      </c>
      <c r="F271" s="56">
        <f>SUMIF('2015-16 12 Mnths'!$A:$A,'Detail 18-19'!$A271,'2015-16 12 Mnths'!E:E)-SUMIF('Budget 12 Mnths'!$A:$A,'Detail 18-19'!$A271,'Budget 12 Mnths'!F:F)</f>
        <v>0</v>
      </c>
      <c r="G271" s="56">
        <f>SUMIF('2015-16 12 Mnths'!$A:$A,'Detail 18-19'!$A271,'2015-16 12 Mnths'!F:F)-SUMIF('Budget 12 Mnths'!$A:$A,'Detail 18-19'!$A271,'Budget 12 Mnths'!G:G)</f>
        <v>0</v>
      </c>
      <c r="H271" s="56">
        <f>SUMIF('2015-16 12 Mnths'!$A:$A,'Detail 18-19'!$A271,'2015-16 12 Mnths'!G:G)-SUMIF('Budget 12 Mnths'!$A:$A,'Detail 18-19'!$A271,'Budget 12 Mnths'!H:H)</f>
        <v>0</v>
      </c>
      <c r="I271" s="56">
        <f>SUMIF('2015-16 12 Mnths'!$A:$A,'Detail 18-19'!$A271,'2015-16 12 Mnths'!H:H)-SUMIF('Budget 12 Mnths'!$A:$A,'Detail 18-19'!$A271,'Budget 12 Mnths'!I:I)</f>
        <v>0</v>
      </c>
      <c r="J271" s="56">
        <f>SUMIF('2015-16 12 Mnths'!$A:$A,'Detail 18-19'!$A271,'2015-16 12 Mnths'!I:I)-SUMIF('Budget 12 Mnths'!$A:$A,'Detail 18-19'!$A271,'Budget 12 Mnths'!J:J)</f>
        <v>0</v>
      </c>
      <c r="K271" s="56">
        <f>SUMIF('2015-16 12 Mnths'!$A:$A,'Detail 18-19'!$A271,'2015-16 12 Mnths'!J:J)-SUMIF('Budget 12 Mnths'!$A:$A,'Detail 18-19'!$A271,'Budget 12 Mnths'!K:K)</f>
        <v>0</v>
      </c>
      <c r="L271" s="56">
        <f>SUMIF('2015-16 12 Mnths'!$A:$A,'Detail 18-19'!$A271,'2015-16 12 Mnths'!K:K)-SUMIF('Budget 12 Mnths'!$A:$A,'Detail 18-19'!$A271,'Budget 12 Mnths'!L:L)</f>
        <v>0</v>
      </c>
      <c r="M271" s="56"/>
      <c r="N271" s="56"/>
      <c r="O271" s="56"/>
      <c r="P271" s="56">
        <f t="shared" si="1"/>
        <v>0</v>
      </c>
      <c r="Q271" s="14" t="str">
        <f>+VLOOKUP(A271,Mapping!$A$1:$E$443,5,FALSE)</f>
        <v>Bad Debt</v>
      </c>
      <c r="R271" s="26">
        <f>+SUMIF('Budget 12 Mnths'!$A:$A,'Detail 18-19'!$A271,'Budget 12 Mnths'!$P:$P)</f>
        <v>0</v>
      </c>
      <c r="S271" s="26">
        <f>+SUMIF('2015-16 12 Mnths'!$A:$A,'Detail 18-19'!$A271,'2015-16 12 Mnths'!$O:$O)</f>
        <v>0</v>
      </c>
      <c r="T271" s="57">
        <f t="shared" si="2"/>
        <v>0</v>
      </c>
      <c r="U271" s="57">
        <f t="shared" si="3"/>
        <v>0</v>
      </c>
      <c r="W271" s="27"/>
      <c r="X271" s="27" t="str">
        <f t="shared" si="117"/>
        <v/>
      </c>
      <c r="Z271" s="57">
        <f t="shared" ref="Z271:Z276" si="126">+X271/2</f>
        <v>0</v>
      </c>
      <c r="AA271" s="57" t="str">
        <f>IFERROR(+VLOOKUP(A271,Key!$A$1:$C$219,2,FALSE),"NOT FOUND")</f>
        <v>NOT FOUND</v>
      </c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>
        <f t="shared" si="6"/>
        <v>0</v>
      </c>
    </row>
    <row r="272" ht="15.75" customHeight="1">
      <c r="A272" s="15" t="s">
        <v>695</v>
      </c>
      <c r="B272" s="15" t="s">
        <v>249</v>
      </c>
      <c r="C272" s="15" t="s">
        <v>119</v>
      </c>
      <c r="D272" s="56">
        <f>SUMIF('2015-16 12 Mnths'!$A:$A,'Detail 18-19'!$A272,'2015-16 12 Mnths'!C:C)-SUMIF('Budget 12 Mnths'!$A:$A,'Detail 18-19'!$A272,'Budget 12 Mnths'!D:D)</f>
        <v>0</v>
      </c>
      <c r="E272" s="56">
        <f>SUMIF('2015-16 12 Mnths'!$A:$A,'Detail 18-19'!$A272,'2015-16 12 Mnths'!D:D)-SUMIF('Budget 12 Mnths'!$A:$A,'Detail 18-19'!$A272,'Budget 12 Mnths'!E:E)</f>
        <v>-340.96</v>
      </c>
      <c r="F272" s="56">
        <f>SUMIF('2015-16 12 Mnths'!$A:$A,'Detail 18-19'!$A272,'2015-16 12 Mnths'!E:E)-SUMIF('Budget 12 Mnths'!$A:$A,'Detail 18-19'!$A272,'Budget 12 Mnths'!F:F)</f>
        <v>-681.92</v>
      </c>
      <c r="G272" s="56">
        <f>SUMIF('2015-16 12 Mnths'!$A:$A,'Detail 18-19'!$A272,'2015-16 12 Mnths'!F:F)-SUMIF('Budget 12 Mnths'!$A:$A,'Detail 18-19'!$A272,'Budget 12 Mnths'!G:G)</f>
        <v>-1842.17</v>
      </c>
      <c r="H272" s="56">
        <f>SUMIF('2015-16 12 Mnths'!$A:$A,'Detail 18-19'!$A272,'2015-16 12 Mnths'!G:G)-SUMIF('Budget 12 Mnths'!$A:$A,'Detail 18-19'!$A272,'Budget 12 Mnths'!H:H)</f>
        <v>-1842.17</v>
      </c>
      <c r="I272" s="56">
        <f>SUMIF('2015-16 12 Mnths'!$A:$A,'Detail 18-19'!$A272,'2015-16 12 Mnths'!H:H)-SUMIF('Budget 12 Mnths'!$A:$A,'Detail 18-19'!$A272,'Budget 12 Mnths'!I:I)</f>
        <v>-1842.17</v>
      </c>
      <c r="J272" s="56">
        <f>SUMIF('2015-16 12 Mnths'!$A:$A,'Detail 18-19'!$A272,'2015-16 12 Mnths'!I:I)-SUMIF('Budget 12 Mnths'!$A:$A,'Detail 18-19'!$A272,'Budget 12 Mnths'!J:J)</f>
        <v>507.64</v>
      </c>
      <c r="K272" s="56">
        <f>SUMIF('2015-16 12 Mnths'!$A:$A,'Detail 18-19'!$A272,'2015-16 12 Mnths'!J:J)-SUMIF('Budget 12 Mnths'!$A:$A,'Detail 18-19'!$A272,'Budget 12 Mnths'!K:K)</f>
        <v>507.64</v>
      </c>
      <c r="L272" s="56">
        <f>SUMIF('2015-16 12 Mnths'!$A:$A,'Detail 18-19'!$A272,'2015-16 12 Mnths'!K:K)-SUMIF('Budget 12 Mnths'!$A:$A,'Detail 18-19'!$A272,'Budget 12 Mnths'!L:L)</f>
        <v>2057.73</v>
      </c>
      <c r="M272" s="56"/>
      <c r="N272" s="56"/>
      <c r="O272" s="56"/>
      <c r="P272" s="56">
        <f t="shared" si="1"/>
        <v>-3476.38</v>
      </c>
      <c r="Q272" s="14" t="str">
        <f>+VLOOKUP(A272,Mapping!$A$1:$E$443,5,FALSE)</f>
        <v>Insurance Loss Exp</v>
      </c>
      <c r="R272" s="26">
        <f>+SUMIF('Budget 12 Mnths'!$A:$A,'Detail 18-19'!$A272,'Budget 12 Mnths'!$P:$P)</f>
        <v>17500</v>
      </c>
      <c r="S272" s="26">
        <f>+SUMIF('2015-16 12 Mnths'!$A:$A,'Detail 18-19'!$A272,'2015-16 12 Mnths'!$O:$O)</f>
        <v>8599.52</v>
      </c>
      <c r="T272" s="57">
        <f t="shared" si="2"/>
        <v>-0.1986502857</v>
      </c>
      <c r="U272" s="57">
        <f t="shared" si="3"/>
        <v>-0.4042527955</v>
      </c>
      <c r="V272" s="8" t="s">
        <v>594</v>
      </c>
      <c r="W272" s="27">
        <v>22000.0</v>
      </c>
      <c r="X272" s="27">
        <v>27000.0</v>
      </c>
      <c r="Z272" s="57">
        <f t="shared" si="126"/>
        <v>13500</v>
      </c>
      <c r="AA272" s="57" t="str">
        <f>IFERROR(+VLOOKUP(A272,Key!$A$1:$C$219,2,FALSE),"NOT FOUND")</f>
        <v>8605-1U</v>
      </c>
      <c r="AB272" s="27">
        <v>25000.0</v>
      </c>
      <c r="AC272" s="27">
        <v>0.0</v>
      </c>
      <c r="AD272" s="57">
        <f>+$AB272/9.5*0.5</f>
        <v>1315.789474</v>
      </c>
      <c r="AE272" s="57">
        <f t="shared" ref="AE272:AM272" si="127">+$AB272/9.5</f>
        <v>2631.578947</v>
      </c>
      <c r="AF272" s="57">
        <f t="shared" si="127"/>
        <v>2631.578947</v>
      </c>
      <c r="AG272" s="57">
        <f t="shared" si="127"/>
        <v>2631.578947</v>
      </c>
      <c r="AH272" s="57">
        <f t="shared" si="127"/>
        <v>2631.578947</v>
      </c>
      <c r="AI272" s="57">
        <f t="shared" si="127"/>
        <v>2631.578947</v>
      </c>
      <c r="AJ272" s="57">
        <f t="shared" si="127"/>
        <v>2631.578947</v>
      </c>
      <c r="AK272" s="57">
        <f t="shared" si="127"/>
        <v>2631.578947</v>
      </c>
      <c r="AL272" s="57">
        <f t="shared" si="127"/>
        <v>2631.578947</v>
      </c>
      <c r="AM272" s="57">
        <f t="shared" si="127"/>
        <v>2631.578947</v>
      </c>
      <c r="AN272" s="27">
        <v>0.0</v>
      </c>
      <c r="AO272" s="27">
        <f t="shared" si="6"/>
        <v>0</v>
      </c>
    </row>
    <row r="273" ht="15.75" hidden="1" customHeight="1">
      <c r="A273" s="15" t="s">
        <v>696</v>
      </c>
      <c r="B273" s="15" t="s">
        <v>697</v>
      </c>
      <c r="C273" s="15" t="s">
        <v>119</v>
      </c>
      <c r="D273" s="56">
        <f>SUMIF('2015-16 12 Mnths'!$A:$A,'Detail 18-19'!$A273,'2015-16 12 Mnths'!C:C)-SUMIF('Budget 12 Mnths'!$A:$A,'Detail 18-19'!$A273,'Budget 12 Mnths'!D:D)</f>
        <v>8.43</v>
      </c>
      <c r="E273" s="56">
        <f>SUMIF('2015-16 12 Mnths'!$A:$A,'Detail 18-19'!$A273,'2015-16 12 Mnths'!D:D)-SUMIF('Budget 12 Mnths'!$A:$A,'Detail 18-19'!$A273,'Budget 12 Mnths'!E:E)</f>
        <v>8.77</v>
      </c>
      <c r="F273" s="56">
        <f>SUMIF('2015-16 12 Mnths'!$A:$A,'Detail 18-19'!$A273,'2015-16 12 Mnths'!E:E)-SUMIF('Budget 12 Mnths'!$A:$A,'Detail 18-19'!$A273,'Budget 12 Mnths'!F:F)</f>
        <v>8.49</v>
      </c>
      <c r="G273" s="56">
        <f>SUMIF('2015-16 12 Mnths'!$A:$A,'Detail 18-19'!$A273,'2015-16 12 Mnths'!F:F)-SUMIF('Budget 12 Mnths'!$A:$A,'Detail 18-19'!$A273,'Budget 12 Mnths'!G:G)</f>
        <v>7.67</v>
      </c>
      <c r="H273" s="56">
        <f>SUMIF('2015-16 12 Mnths'!$A:$A,'Detail 18-19'!$A273,'2015-16 12 Mnths'!G:G)-SUMIF('Budget 12 Mnths'!$A:$A,'Detail 18-19'!$A273,'Budget 12 Mnths'!H:H)</f>
        <v>9.04</v>
      </c>
      <c r="I273" s="56">
        <f>SUMIF('2015-16 12 Mnths'!$A:$A,'Detail 18-19'!$A273,'2015-16 12 Mnths'!H:H)-SUMIF('Budget 12 Mnths'!$A:$A,'Detail 18-19'!$A273,'Budget 12 Mnths'!I:I)</f>
        <v>7.95</v>
      </c>
      <c r="J273" s="56">
        <f>SUMIF('2015-16 12 Mnths'!$A:$A,'Detail 18-19'!$A273,'2015-16 12 Mnths'!I:I)-SUMIF('Budget 12 Mnths'!$A:$A,'Detail 18-19'!$A273,'Budget 12 Mnths'!J:J)</f>
        <v>8.77</v>
      </c>
      <c r="K273" s="56">
        <f>SUMIF('2015-16 12 Mnths'!$A:$A,'Detail 18-19'!$A273,'2015-16 12 Mnths'!J:J)-SUMIF('Budget 12 Mnths'!$A:$A,'Detail 18-19'!$A273,'Budget 12 Mnths'!K:K)</f>
        <v>8.49</v>
      </c>
      <c r="L273" s="56">
        <f>SUMIF('2015-16 12 Mnths'!$A:$A,'Detail 18-19'!$A273,'2015-16 12 Mnths'!K:K)-SUMIF('Budget 12 Mnths'!$A:$A,'Detail 18-19'!$A273,'Budget 12 Mnths'!L:L)</f>
        <v>7.95</v>
      </c>
      <c r="M273" s="56"/>
      <c r="N273" s="56"/>
      <c r="O273" s="56"/>
      <c r="P273" s="56">
        <f t="shared" si="1"/>
        <v>75.56</v>
      </c>
      <c r="Q273" s="14" t="str">
        <f>+VLOOKUP(A273,Mapping!$A$1:$E$443,5,FALSE)</f>
        <v/>
      </c>
      <c r="R273" s="26">
        <f>+SUMIF('Budget 12 Mnths'!$A:$A,'Detail 18-19'!$A273,'Budget 12 Mnths'!$P:$P)</f>
        <v>0</v>
      </c>
      <c r="S273" s="26">
        <f>+SUMIF('2015-16 12 Mnths'!$A:$A,'Detail 18-19'!$A273,'2015-16 12 Mnths'!$O:$O)</f>
        <v>75.56</v>
      </c>
      <c r="T273" s="57">
        <f t="shared" si="2"/>
        <v>0</v>
      </c>
      <c r="U273" s="57">
        <f t="shared" si="3"/>
        <v>1</v>
      </c>
      <c r="W273" s="27"/>
      <c r="X273" s="27" t="str">
        <f t="shared" ref="X273:X276" si="128">+W273</f>
        <v/>
      </c>
      <c r="Z273" s="57">
        <f t="shared" si="126"/>
        <v>0</v>
      </c>
      <c r="AA273" s="57" t="str">
        <f>IFERROR(+VLOOKUP(A273,Key!$A$1:$C$219,2,FALSE),"NOT FOUND")</f>
        <v>9000-1U</v>
      </c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>
        <f t="shared" si="6"/>
        <v>0</v>
      </c>
    </row>
    <row r="274" ht="15.75" hidden="1" customHeight="1">
      <c r="A274" s="15" t="s">
        <v>698</v>
      </c>
      <c r="B274" s="15" t="s">
        <v>699</v>
      </c>
      <c r="C274" s="15" t="s">
        <v>119</v>
      </c>
      <c r="D274" s="56">
        <f>SUMIF('2015-16 12 Mnths'!$A:$A,'Detail 18-19'!$A274,'2015-16 12 Mnths'!C:C)-SUMIF('Budget 12 Mnths'!$A:$A,'Detail 18-19'!$A274,'Budget 12 Mnths'!D:D)</f>
        <v>-8.43</v>
      </c>
      <c r="E274" s="56">
        <f>SUMIF('2015-16 12 Mnths'!$A:$A,'Detail 18-19'!$A274,'2015-16 12 Mnths'!D:D)-SUMIF('Budget 12 Mnths'!$A:$A,'Detail 18-19'!$A274,'Budget 12 Mnths'!E:E)</f>
        <v>-8.77</v>
      </c>
      <c r="F274" s="56">
        <f>SUMIF('2015-16 12 Mnths'!$A:$A,'Detail 18-19'!$A274,'2015-16 12 Mnths'!E:E)-SUMIF('Budget 12 Mnths'!$A:$A,'Detail 18-19'!$A274,'Budget 12 Mnths'!F:F)</f>
        <v>-8.49</v>
      </c>
      <c r="G274" s="56">
        <f>SUMIF('2015-16 12 Mnths'!$A:$A,'Detail 18-19'!$A274,'2015-16 12 Mnths'!F:F)-SUMIF('Budget 12 Mnths'!$A:$A,'Detail 18-19'!$A274,'Budget 12 Mnths'!G:G)</f>
        <v>-7.67</v>
      </c>
      <c r="H274" s="56">
        <f>SUMIF('2015-16 12 Mnths'!$A:$A,'Detail 18-19'!$A274,'2015-16 12 Mnths'!G:G)-SUMIF('Budget 12 Mnths'!$A:$A,'Detail 18-19'!$A274,'Budget 12 Mnths'!H:H)</f>
        <v>-9.04</v>
      </c>
      <c r="I274" s="56">
        <f>SUMIF('2015-16 12 Mnths'!$A:$A,'Detail 18-19'!$A274,'2015-16 12 Mnths'!H:H)-SUMIF('Budget 12 Mnths'!$A:$A,'Detail 18-19'!$A274,'Budget 12 Mnths'!I:I)</f>
        <v>-7.95</v>
      </c>
      <c r="J274" s="56">
        <f>SUMIF('2015-16 12 Mnths'!$A:$A,'Detail 18-19'!$A274,'2015-16 12 Mnths'!I:I)-SUMIF('Budget 12 Mnths'!$A:$A,'Detail 18-19'!$A274,'Budget 12 Mnths'!J:J)</f>
        <v>-8.77</v>
      </c>
      <c r="K274" s="56">
        <f>SUMIF('2015-16 12 Mnths'!$A:$A,'Detail 18-19'!$A274,'2015-16 12 Mnths'!J:J)-SUMIF('Budget 12 Mnths'!$A:$A,'Detail 18-19'!$A274,'Budget 12 Mnths'!K:K)</f>
        <v>-8.49</v>
      </c>
      <c r="L274" s="56">
        <f>SUMIF('2015-16 12 Mnths'!$A:$A,'Detail 18-19'!$A274,'2015-16 12 Mnths'!K:K)-SUMIF('Budget 12 Mnths'!$A:$A,'Detail 18-19'!$A274,'Budget 12 Mnths'!L:L)</f>
        <v>-7.95</v>
      </c>
      <c r="M274" s="56"/>
      <c r="N274" s="56"/>
      <c r="O274" s="56"/>
      <c r="P274" s="56">
        <f t="shared" si="1"/>
        <v>-75.56</v>
      </c>
      <c r="Q274" s="14" t="str">
        <f>+VLOOKUP(A274,Mapping!$A$1:$E$443,5,FALSE)</f>
        <v/>
      </c>
      <c r="R274" s="26">
        <f>+SUMIF('Budget 12 Mnths'!$A:$A,'Detail 18-19'!$A274,'Budget 12 Mnths'!$P:$P)</f>
        <v>0</v>
      </c>
      <c r="S274" s="26">
        <f>+SUMIF('2015-16 12 Mnths'!$A:$A,'Detail 18-19'!$A274,'2015-16 12 Mnths'!$O:$O)</f>
        <v>-75.56</v>
      </c>
      <c r="T274" s="57">
        <f t="shared" si="2"/>
        <v>0</v>
      </c>
      <c r="U274" s="57">
        <f t="shared" si="3"/>
        <v>1</v>
      </c>
      <c r="W274" s="27"/>
      <c r="X274" s="27" t="str">
        <f t="shared" si="128"/>
        <v/>
      </c>
      <c r="Z274" s="57">
        <f t="shared" si="126"/>
        <v>0</v>
      </c>
      <c r="AA274" s="57" t="str">
        <f>IFERROR(+VLOOKUP(A274,Key!$A$1:$C$219,2,FALSE),"NOT FOUND")</f>
        <v>9000-1B</v>
      </c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>
        <f t="shared" si="6"/>
        <v>0</v>
      </c>
    </row>
    <row r="275" ht="15.75" hidden="1" customHeight="1">
      <c r="A275" s="15" t="s">
        <v>700</v>
      </c>
      <c r="B275" s="15" t="s">
        <v>701</v>
      </c>
      <c r="C275" s="15" t="s">
        <v>119</v>
      </c>
      <c r="D275" s="56">
        <f>SUMIF('2015-16 12 Mnths'!$A:$A,'Detail 18-19'!$A275,'2015-16 12 Mnths'!C:C)-SUMIF('Budget 12 Mnths'!$A:$A,'Detail 18-19'!$A275,'Budget 12 Mnths'!D:D)</f>
        <v>0</v>
      </c>
      <c r="E275" s="56">
        <f>SUMIF('2015-16 12 Mnths'!$A:$A,'Detail 18-19'!$A275,'2015-16 12 Mnths'!D:D)-SUMIF('Budget 12 Mnths'!$A:$A,'Detail 18-19'!$A275,'Budget 12 Mnths'!E:E)</f>
        <v>0</v>
      </c>
      <c r="F275" s="56">
        <f>SUMIF('2015-16 12 Mnths'!$A:$A,'Detail 18-19'!$A275,'2015-16 12 Mnths'!E:E)-SUMIF('Budget 12 Mnths'!$A:$A,'Detail 18-19'!$A275,'Budget 12 Mnths'!F:F)</f>
        <v>0</v>
      </c>
      <c r="G275" s="56">
        <f>SUMIF('2015-16 12 Mnths'!$A:$A,'Detail 18-19'!$A275,'2015-16 12 Mnths'!F:F)-SUMIF('Budget 12 Mnths'!$A:$A,'Detail 18-19'!$A275,'Budget 12 Mnths'!G:G)</f>
        <v>0</v>
      </c>
      <c r="H275" s="56">
        <f>SUMIF('2015-16 12 Mnths'!$A:$A,'Detail 18-19'!$A275,'2015-16 12 Mnths'!G:G)-SUMIF('Budget 12 Mnths'!$A:$A,'Detail 18-19'!$A275,'Budget 12 Mnths'!H:H)</f>
        <v>0</v>
      </c>
      <c r="I275" s="56">
        <f>SUMIF('2015-16 12 Mnths'!$A:$A,'Detail 18-19'!$A275,'2015-16 12 Mnths'!H:H)-SUMIF('Budget 12 Mnths'!$A:$A,'Detail 18-19'!$A275,'Budget 12 Mnths'!I:I)</f>
        <v>0</v>
      </c>
      <c r="J275" s="56">
        <f>SUMIF('2015-16 12 Mnths'!$A:$A,'Detail 18-19'!$A275,'2015-16 12 Mnths'!I:I)-SUMIF('Budget 12 Mnths'!$A:$A,'Detail 18-19'!$A275,'Budget 12 Mnths'!J:J)</f>
        <v>0</v>
      </c>
      <c r="K275" s="56">
        <f>SUMIF('2015-16 12 Mnths'!$A:$A,'Detail 18-19'!$A275,'2015-16 12 Mnths'!J:J)-SUMIF('Budget 12 Mnths'!$A:$A,'Detail 18-19'!$A275,'Budget 12 Mnths'!K:K)</f>
        <v>0</v>
      </c>
      <c r="L275" s="56">
        <f>SUMIF('2015-16 12 Mnths'!$A:$A,'Detail 18-19'!$A275,'2015-16 12 Mnths'!K:K)-SUMIF('Budget 12 Mnths'!$A:$A,'Detail 18-19'!$A275,'Budget 12 Mnths'!L:L)</f>
        <v>0</v>
      </c>
      <c r="M275" s="56"/>
      <c r="N275" s="56"/>
      <c r="O275" s="56"/>
      <c r="P275" s="56">
        <f t="shared" si="1"/>
        <v>0</v>
      </c>
      <c r="Q275" s="14" t="str">
        <f>+VLOOKUP(A275,Mapping!$A$1:$E$443,5,FALSE)</f>
        <v/>
      </c>
      <c r="R275" s="26">
        <f>+SUMIF('Budget 12 Mnths'!$A:$A,'Detail 18-19'!$A275,'Budget 12 Mnths'!$P:$P)</f>
        <v>0</v>
      </c>
      <c r="S275" s="26">
        <f>+SUMIF('2015-16 12 Mnths'!$A:$A,'Detail 18-19'!$A275,'2015-16 12 Mnths'!$O:$O)</f>
        <v>0</v>
      </c>
      <c r="T275" s="57">
        <f t="shared" si="2"/>
        <v>0</v>
      </c>
      <c r="U275" s="57">
        <f t="shared" si="3"/>
        <v>0</v>
      </c>
      <c r="W275" s="27"/>
      <c r="X275" s="27" t="str">
        <f t="shared" si="128"/>
        <v/>
      </c>
      <c r="Z275" s="57">
        <f t="shared" si="126"/>
        <v>0</v>
      </c>
      <c r="AA275" s="57" t="str">
        <f>IFERROR(+VLOOKUP(A275,Key!$A$1:$C$219,2,FALSE),"NOT FOUND")</f>
        <v>NOT FOUND</v>
      </c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>
        <f t="shared" si="6"/>
        <v>0</v>
      </c>
    </row>
    <row r="276" ht="15.75" hidden="1" customHeight="1">
      <c r="A276" s="15" t="s">
        <v>702</v>
      </c>
      <c r="B276" s="15" t="s">
        <v>703</v>
      </c>
      <c r="C276" s="15" t="s">
        <v>119</v>
      </c>
      <c r="D276" s="56">
        <f>SUMIF('2015-16 12 Mnths'!$A:$A,'Detail 18-19'!$A276,'2015-16 12 Mnths'!C:C)-SUMIF('Budget 12 Mnths'!$A:$A,'Detail 18-19'!$A276,'Budget 12 Mnths'!D:D)</f>
        <v>0</v>
      </c>
      <c r="E276" s="56">
        <f>SUMIF('2015-16 12 Mnths'!$A:$A,'Detail 18-19'!$A276,'2015-16 12 Mnths'!D:D)-SUMIF('Budget 12 Mnths'!$A:$A,'Detail 18-19'!$A276,'Budget 12 Mnths'!E:E)</f>
        <v>0</v>
      </c>
      <c r="F276" s="56">
        <f>SUMIF('2015-16 12 Mnths'!$A:$A,'Detail 18-19'!$A276,'2015-16 12 Mnths'!E:E)-SUMIF('Budget 12 Mnths'!$A:$A,'Detail 18-19'!$A276,'Budget 12 Mnths'!F:F)</f>
        <v>0</v>
      </c>
      <c r="G276" s="56">
        <f>SUMIF('2015-16 12 Mnths'!$A:$A,'Detail 18-19'!$A276,'2015-16 12 Mnths'!F:F)-SUMIF('Budget 12 Mnths'!$A:$A,'Detail 18-19'!$A276,'Budget 12 Mnths'!G:G)</f>
        <v>0</v>
      </c>
      <c r="H276" s="56">
        <f>SUMIF('2015-16 12 Mnths'!$A:$A,'Detail 18-19'!$A276,'2015-16 12 Mnths'!G:G)-SUMIF('Budget 12 Mnths'!$A:$A,'Detail 18-19'!$A276,'Budget 12 Mnths'!H:H)</f>
        <v>0</v>
      </c>
      <c r="I276" s="56">
        <f>SUMIF('2015-16 12 Mnths'!$A:$A,'Detail 18-19'!$A276,'2015-16 12 Mnths'!H:H)-SUMIF('Budget 12 Mnths'!$A:$A,'Detail 18-19'!$A276,'Budget 12 Mnths'!I:I)</f>
        <v>0</v>
      </c>
      <c r="J276" s="56">
        <f>SUMIF('2015-16 12 Mnths'!$A:$A,'Detail 18-19'!$A276,'2015-16 12 Mnths'!I:I)-SUMIF('Budget 12 Mnths'!$A:$A,'Detail 18-19'!$A276,'Budget 12 Mnths'!J:J)</f>
        <v>0</v>
      </c>
      <c r="K276" s="56">
        <f>SUMIF('2015-16 12 Mnths'!$A:$A,'Detail 18-19'!$A276,'2015-16 12 Mnths'!J:J)-SUMIF('Budget 12 Mnths'!$A:$A,'Detail 18-19'!$A276,'Budget 12 Mnths'!K:K)</f>
        <v>0</v>
      </c>
      <c r="L276" s="56">
        <f>SUMIF('2015-16 12 Mnths'!$A:$A,'Detail 18-19'!$A276,'2015-16 12 Mnths'!K:K)-SUMIF('Budget 12 Mnths'!$A:$A,'Detail 18-19'!$A276,'Budget 12 Mnths'!L:L)</f>
        <v>0</v>
      </c>
      <c r="M276" s="56"/>
      <c r="N276" s="56"/>
      <c r="O276" s="56"/>
      <c r="P276" s="56">
        <f t="shared" si="1"/>
        <v>0</v>
      </c>
      <c r="Q276" s="14" t="str">
        <f>+VLOOKUP(A276,Mapping!$A$1:$E$443,5,FALSE)</f>
        <v/>
      </c>
      <c r="R276" s="26">
        <f>+SUMIF('Budget 12 Mnths'!$A:$A,'Detail 18-19'!$A276,'Budget 12 Mnths'!$P:$P)</f>
        <v>0</v>
      </c>
      <c r="S276" s="26">
        <f>+SUMIF('2015-16 12 Mnths'!$A:$A,'Detail 18-19'!$A276,'2015-16 12 Mnths'!$O:$O)</f>
        <v>0</v>
      </c>
      <c r="T276" s="57">
        <f t="shared" si="2"/>
        <v>0</v>
      </c>
      <c r="U276" s="57">
        <f t="shared" si="3"/>
        <v>0</v>
      </c>
      <c r="W276" s="27"/>
      <c r="X276" s="27" t="str">
        <f t="shared" si="128"/>
        <v/>
      </c>
      <c r="Z276" s="57">
        <f t="shared" si="126"/>
        <v>0</v>
      </c>
      <c r="AA276" s="57" t="str">
        <f>IFERROR(+VLOOKUP(A276,Key!$A$1:$C$219,2,FALSE),"NOT FOUND")</f>
        <v>NOT FOUND</v>
      </c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>
        <f t="shared" si="6"/>
        <v>0</v>
      </c>
    </row>
    <row r="277" ht="15.75" customHeight="1">
      <c r="X277" s="135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ht="15.75" customHeight="1">
      <c r="R278" s="57">
        <f t="shared" ref="R278:S278" si="129">+SUM(R2:R73)-SUM(R74:R276)</f>
        <v>20.76</v>
      </c>
      <c r="S278" s="57">
        <f t="shared" si="129"/>
        <v>-7865.72</v>
      </c>
      <c r="W278" s="57">
        <f t="shared" ref="W278:Z278" si="130">+SUM(W2:W73)-SUM(W74:W276)</f>
        <v>-530211.6211</v>
      </c>
      <c r="X278" s="57">
        <f t="shared" si="130"/>
        <v>276.34</v>
      </c>
      <c r="Y278" s="57">
        <f t="shared" si="130"/>
        <v>0</v>
      </c>
      <c r="Z278" s="57">
        <f t="shared" si="130"/>
        <v>-56021.87851</v>
      </c>
      <c r="AA278" s="57"/>
      <c r="AB278" s="57">
        <f t="shared" ref="AB278:AN278" si="131">+SUM(AB2:AB73)-SUM(AB74:AB276)</f>
        <v>8768.13476</v>
      </c>
      <c r="AC278" s="57">
        <f t="shared" si="131"/>
        <v>-51047.19515</v>
      </c>
      <c r="AD278" s="57">
        <f t="shared" si="131"/>
        <v>2193.686868</v>
      </c>
      <c r="AE278" s="57">
        <f t="shared" si="131"/>
        <v>15924.56888</v>
      </c>
      <c r="AF278" s="57">
        <f t="shared" si="131"/>
        <v>11699.56888</v>
      </c>
      <c r="AG278" s="57">
        <f t="shared" si="131"/>
        <v>12949.56888</v>
      </c>
      <c r="AH278" s="57">
        <f t="shared" si="131"/>
        <v>8527.282282</v>
      </c>
      <c r="AI278" s="57">
        <f t="shared" si="131"/>
        <v>5629.568882</v>
      </c>
      <c r="AJ278" s="57">
        <f t="shared" si="131"/>
        <v>13469.56888</v>
      </c>
      <c r="AK278" s="57">
        <f t="shared" si="131"/>
        <v>23462.06888</v>
      </c>
      <c r="AL278" s="57">
        <f t="shared" si="131"/>
        <v>10912.06888</v>
      </c>
      <c r="AM278" s="57">
        <f t="shared" si="131"/>
        <v>8962.068882</v>
      </c>
      <c r="AN278" s="57">
        <f t="shared" si="131"/>
        <v>-53914.69515</v>
      </c>
    </row>
    <row r="279" ht="15.75" customHeight="1">
      <c r="A279" s="15"/>
      <c r="X279" s="135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</row>
    <row r="280" ht="15.75" customHeight="1">
      <c r="X280" s="135"/>
      <c r="Z280" s="27"/>
      <c r="AA280" s="27"/>
      <c r="AB280" s="27"/>
      <c r="AC280" s="27">
        <f t="shared" ref="AC280:AN280" si="132">+SUM(AC2:AC73)</f>
        <v>4479.166667</v>
      </c>
      <c r="AD280" s="27">
        <f t="shared" si="132"/>
        <v>78116.61404</v>
      </c>
      <c r="AE280" s="27">
        <f t="shared" si="132"/>
        <v>114979.0614</v>
      </c>
      <c r="AF280" s="27">
        <f t="shared" si="132"/>
        <v>110754.0614</v>
      </c>
      <c r="AG280" s="27">
        <f t="shared" si="132"/>
        <v>116754.0614</v>
      </c>
      <c r="AH280" s="27">
        <f t="shared" si="132"/>
        <v>113754.0614</v>
      </c>
      <c r="AI280" s="27">
        <f t="shared" si="132"/>
        <v>110891.5614</v>
      </c>
      <c r="AJ280" s="27">
        <f t="shared" si="132"/>
        <v>116929.0614</v>
      </c>
      <c r="AK280" s="27">
        <f t="shared" si="132"/>
        <v>136004.0614</v>
      </c>
      <c r="AL280" s="27">
        <f t="shared" si="132"/>
        <v>111504.0614</v>
      </c>
      <c r="AM280" s="27">
        <f t="shared" si="132"/>
        <v>109004.0614</v>
      </c>
      <c r="AN280" s="27">
        <f t="shared" si="132"/>
        <v>4354.166667</v>
      </c>
    </row>
    <row r="281" ht="15.75" customHeight="1">
      <c r="X281" s="135"/>
      <c r="Z281" s="27"/>
      <c r="AA281" s="27"/>
      <c r="AB281" s="27"/>
      <c r="AC281" s="27">
        <f t="shared" ref="AC281:AN281" si="133">+SUM(AC82:AC272)</f>
        <v>55526.36181</v>
      </c>
      <c r="AD281" s="27">
        <f t="shared" si="133"/>
        <v>75922.92717</v>
      </c>
      <c r="AE281" s="27">
        <f t="shared" si="133"/>
        <v>99054.49252</v>
      </c>
      <c r="AF281" s="27">
        <f t="shared" si="133"/>
        <v>99054.49252</v>
      </c>
      <c r="AG281" s="27">
        <f t="shared" si="133"/>
        <v>103804.4925</v>
      </c>
      <c r="AH281" s="27">
        <f t="shared" si="133"/>
        <v>105226.7791</v>
      </c>
      <c r="AI281" s="27">
        <f t="shared" si="133"/>
        <v>105261.9925</v>
      </c>
      <c r="AJ281" s="27">
        <f t="shared" si="133"/>
        <v>103459.4925</v>
      </c>
      <c r="AK281" s="27">
        <f t="shared" si="133"/>
        <v>112541.9925</v>
      </c>
      <c r="AL281" s="27">
        <f t="shared" si="133"/>
        <v>100591.9925</v>
      </c>
      <c r="AM281" s="27">
        <f t="shared" si="133"/>
        <v>100041.9925</v>
      </c>
      <c r="AN281" s="27">
        <f t="shared" si="133"/>
        <v>58268.86181</v>
      </c>
    </row>
    <row r="282" ht="15.75" customHeight="1">
      <c r="X282" s="135"/>
      <c r="Z282" s="27"/>
      <c r="AA282" s="27"/>
      <c r="AB282" s="27"/>
      <c r="AC282" s="27">
        <f t="shared" ref="AC282:AN282" si="134">+AC280-AC281</f>
        <v>-51047.19515</v>
      </c>
      <c r="AD282" s="27">
        <f t="shared" si="134"/>
        <v>2193.686868</v>
      </c>
      <c r="AE282" s="27">
        <f t="shared" si="134"/>
        <v>15924.56888</v>
      </c>
      <c r="AF282" s="27">
        <f t="shared" si="134"/>
        <v>11699.56888</v>
      </c>
      <c r="AG282" s="27">
        <f t="shared" si="134"/>
        <v>12949.56888</v>
      </c>
      <c r="AH282" s="27">
        <f t="shared" si="134"/>
        <v>8527.282282</v>
      </c>
      <c r="AI282" s="27">
        <f t="shared" si="134"/>
        <v>5629.568882</v>
      </c>
      <c r="AJ282" s="27">
        <f t="shared" si="134"/>
        <v>13469.56888</v>
      </c>
      <c r="AK282" s="27">
        <f t="shared" si="134"/>
        <v>23462.06888</v>
      </c>
      <c r="AL282" s="27">
        <f t="shared" si="134"/>
        <v>10912.06888</v>
      </c>
      <c r="AM282" s="27">
        <f t="shared" si="134"/>
        <v>8962.068882</v>
      </c>
      <c r="AN282" s="27">
        <f t="shared" si="134"/>
        <v>-53914.69515</v>
      </c>
    </row>
    <row r="283" ht="15.75" customHeight="1">
      <c r="X283" s="135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</row>
    <row r="284" ht="15.75" customHeight="1">
      <c r="X284" s="135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</row>
    <row r="285" ht="15.75" customHeight="1">
      <c r="X285" s="135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</row>
    <row r="286" ht="15.75" customHeight="1">
      <c r="X286" s="135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</row>
    <row r="287" ht="15.75" customHeight="1">
      <c r="X287" s="135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</row>
    <row r="288" ht="15.75" customHeight="1">
      <c r="X288" s="135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</row>
    <row r="289" ht="15.75" customHeight="1">
      <c r="X289" s="135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</row>
    <row r="290" ht="15.75" customHeight="1">
      <c r="X290" s="135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</row>
    <row r="291" ht="15.75" customHeight="1">
      <c r="X291" s="135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</row>
    <row r="292" ht="15.75" customHeight="1">
      <c r="X292" s="135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</row>
    <row r="293" ht="15.75" customHeight="1">
      <c r="X293" s="135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</row>
    <row r="294" ht="15.75" customHeight="1">
      <c r="X294" s="13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</row>
    <row r="295" ht="15.75" customHeight="1">
      <c r="X295" s="13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</row>
    <row r="296" ht="15.75" customHeight="1">
      <c r="X296" s="13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</row>
    <row r="297" ht="15.75" customHeight="1">
      <c r="X297" s="135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</row>
    <row r="298" ht="15.75" customHeight="1">
      <c r="X298" s="135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</row>
    <row r="299" ht="15.75" customHeight="1">
      <c r="X299" s="135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</row>
    <row r="300" ht="15.75" customHeight="1">
      <c r="X300" s="135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</row>
    <row r="301" ht="15.75" customHeight="1">
      <c r="X301" s="135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</row>
    <row r="302" ht="15.75" customHeight="1">
      <c r="X302" s="135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</row>
    <row r="303" ht="15.75" customHeight="1">
      <c r="X303" s="135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</row>
    <row r="304" ht="15.75" customHeight="1">
      <c r="X304" s="135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</row>
    <row r="305" ht="15.75" customHeight="1">
      <c r="X305" s="135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</row>
    <row r="306" ht="15.75" customHeight="1">
      <c r="X306" s="135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</row>
    <row r="307" ht="15.75" customHeight="1">
      <c r="X307" s="135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</row>
    <row r="308" ht="15.75" customHeight="1">
      <c r="X308" s="135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</row>
    <row r="309" ht="15.75" customHeight="1">
      <c r="X309" s="135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</row>
    <row r="310" ht="15.75" customHeight="1">
      <c r="X310" s="135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</row>
    <row r="311" ht="15.75" customHeight="1">
      <c r="X311" s="135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</row>
    <row r="312" ht="15.75" customHeight="1">
      <c r="X312" s="135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</row>
    <row r="313" ht="15.75" customHeight="1">
      <c r="X313" s="135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</row>
    <row r="314" ht="15.75" customHeight="1">
      <c r="X314" s="135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</row>
    <row r="315" ht="15.75" customHeight="1">
      <c r="X315" s="135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</row>
    <row r="316" ht="15.75" customHeight="1">
      <c r="X316" s="135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</row>
    <row r="317" ht="15.75" customHeight="1">
      <c r="X317" s="135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</row>
    <row r="318" ht="15.75" customHeight="1">
      <c r="X318" s="135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</row>
    <row r="319" ht="15.75" customHeight="1">
      <c r="X319" s="135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</row>
    <row r="320" ht="15.75" customHeight="1">
      <c r="X320" s="135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</row>
    <row r="321" ht="15.75" customHeight="1">
      <c r="X321" s="135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</row>
    <row r="322" ht="15.75" customHeight="1">
      <c r="X322" s="135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</row>
    <row r="323" ht="15.75" customHeight="1">
      <c r="X323" s="135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</row>
    <row r="324" ht="15.75" customHeight="1">
      <c r="X324" s="135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</row>
    <row r="325" ht="15.75" customHeight="1">
      <c r="X325" s="135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</row>
    <row r="326" ht="15.75" customHeight="1">
      <c r="X326" s="135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</row>
    <row r="327" ht="15.75" customHeight="1">
      <c r="X327" s="135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</row>
    <row r="328" ht="15.75" customHeight="1">
      <c r="X328" s="135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</row>
    <row r="329" ht="15.75" customHeight="1">
      <c r="X329" s="135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</row>
    <row r="330" ht="15.75" customHeight="1">
      <c r="X330" s="135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</row>
    <row r="331" ht="15.75" customHeight="1">
      <c r="X331" s="135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</row>
    <row r="332" ht="15.75" customHeight="1">
      <c r="X332" s="135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</row>
    <row r="333" ht="15.75" customHeight="1">
      <c r="X333" s="135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</row>
    <row r="334" ht="15.75" customHeight="1">
      <c r="X334" s="135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</row>
    <row r="335" ht="15.75" customHeight="1">
      <c r="X335" s="135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</row>
    <row r="336" ht="15.75" customHeight="1">
      <c r="X336" s="135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</row>
    <row r="337" ht="15.75" customHeight="1">
      <c r="X337" s="135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</row>
    <row r="338" ht="15.75" customHeight="1">
      <c r="X338" s="135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</row>
    <row r="339" ht="15.75" customHeight="1">
      <c r="X339" s="135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</row>
    <row r="340" ht="15.75" customHeight="1">
      <c r="X340" s="135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</row>
    <row r="341" ht="15.75" customHeight="1">
      <c r="X341" s="135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</row>
    <row r="342" ht="15.75" customHeight="1">
      <c r="X342" s="135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</row>
    <row r="343" ht="15.75" customHeight="1">
      <c r="X343" s="135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</row>
    <row r="344" ht="15.75" customHeight="1">
      <c r="X344" s="135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</row>
    <row r="345" ht="15.75" customHeight="1">
      <c r="X345" s="135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</row>
    <row r="346" ht="15.75" customHeight="1">
      <c r="X346" s="135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</row>
    <row r="347" ht="15.75" customHeight="1">
      <c r="X347" s="135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</row>
    <row r="348" ht="15.75" customHeight="1">
      <c r="X348" s="135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</row>
    <row r="349" ht="15.75" customHeight="1">
      <c r="X349" s="135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</row>
    <row r="350" ht="15.75" customHeight="1">
      <c r="X350" s="135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</row>
    <row r="351" ht="15.75" customHeight="1">
      <c r="X351" s="135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</row>
    <row r="352" ht="15.75" customHeight="1">
      <c r="X352" s="135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</row>
    <row r="353" ht="15.75" customHeight="1">
      <c r="X353" s="135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</row>
    <row r="354" ht="15.75" customHeight="1">
      <c r="X354" s="135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</row>
    <row r="355" ht="15.75" customHeight="1">
      <c r="X355" s="135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</row>
    <row r="356" ht="15.75" customHeight="1">
      <c r="X356" s="135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</row>
    <row r="357" ht="15.75" customHeight="1">
      <c r="X357" s="135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</row>
    <row r="358" ht="15.75" customHeight="1">
      <c r="X358" s="135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</row>
    <row r="359" ht="15.75" customHeight="1">
      <c r="X359" s="135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</row>
    <row r="360" ht="15.75" customHeight="1">
      <c r="X360" s="135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</row>
    <row r="361" ht="15.75" customHeight="1">
      <c r="X361" s="135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</row>
    <row r="362" ht="15.75" customHeight="1">
      <c r="X362" s="135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</row>
    <row r="363" ht="15.75" customHeight="1">
      <c r="X363" s="135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</row>
    <row r="364" ht="15.75" customHeight="1">
      <c r="X364" s="135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</row>
    <row r="365" ht="15.75" customHeight="1">
      <c r="X365" s="135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</row>
    <row r="366" ht="15.75" customHeight="1">
      <c r="X366" s="135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</row>
    <row r="367" ht="15.75" customHeight="1">
      <c r="X367" s="135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</row>
    <row r="368" ht="15.75" customHeight="1">
      <c r="X368" s="135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</row>
    <row r="369" ht="15.75" customHeight="1">
      <c r="X369" s="135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</row>
    <row r="370" ht="15.75" customHeight="1">
      <c r="X370" s="135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</row>
    <row r="371" ht="15.75" customHeight="1">
      <c r="X371" s="135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</row>
    <row r="372" ht="15.75" customHeight="1">
      <c r="X372" s="135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</row>
    <row r="373" ht="15.75" customHeight="1">
      <c r="X373" s="135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</row>
    <row r="374" ht="15.75" customHeight="1">
      <c r="X374" s="135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</row>
    <row r="375" ht="15.75" customHeight="1">
      <c r="X375" s="135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</row>
    <row r="376" ht="15.75" customHeight="1">
      <c r="X376" s="135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</row>
    <row r="377" ht="15.75" customHeight="1">
      <c r="X377" s="135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</row>
    <row r="378" ht="15.75" customHeight="1">
      <c r="X378" s="135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</row>
    <row r="379" ht="15.75" customHeight="1">
      <c r="X379" s="135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</row>
    <row r="380" ht="15.75" customHeight="1">
      <c r="X380" s="135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</row>
    <row r="381" ht="15.75" customHeight="1">
      <c r="X381" s="135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</row>
    <row r="382" ht="15.75" customHeight="1">
      <c r="X382" s="135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</row>
    <row r="383" ht="15.75" customHeight="1">
      <c r="X383" s="135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</row>
    <row r="384" ht="15.75" customHeight="1">
      <c r="X384" s="135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</row>
    <row r="385" ht="15.75" customHeight="1">
      <c r="X385" s="135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</row>
    <row r="386" ht="15.75" customHeight="1">
      <c r="X386" s="135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</row>
    <row r="387" ht="15.75" customHeight="1">
      <c r="X387" s="135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</row>
    <row r="388" ht="15.75" customHeight="1">
      <c r="X388" s="135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</row>
    <row r="389" ht="15.75" customHeight="1">
      <c r="X389" s="135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</row>
    <row r="390" ht="15.75" customHeight="1">
      <c r="X390" s="135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</row>
    <row r="391" ht="15.75" customHeight="1">
      <c r="X391" s="135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</row>
    <row r="392" ht="15.75" customHeight="1">
      <c r="X392" s="135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</row>
    <row r="393" ht="15.75" customHeight="1">
      <c r="X393" s="135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</row>
    <row r="394" ht="15.75" customHeight="1">
      <c r="X394" s="135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</row>
    <row r="395" ht="15.75" customHeight="1">
      <c r="X395" s="135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</row>
    <row r="396" ht="15.75" customHeight="1">
      <c r="X396" s="135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</row>
    <row r="397" ht="15.75" customHeight="1">
      <c r="X397" s="135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</row>
    <row r="398" ht="15.75" customHeight="1">
      <c r="X398" s="135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</row>
    <row r="399" ht="15.75" customHeight="1">
      <c r="X399" s="135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</row>
    <row r="400" ht="15.75" customHeight="1">
      <c r="X400" s="135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</row>
    <row r="401" ht="15.75" customHeight="1">
      <c r="X401" s="135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</row>
    <row r="402" ht="15.75" customHeight="1">
      <c r="X402" s="135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</row>
    <row r="403" ht="15.75" customHeight="1">
      <c r="X403" s="135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</row>
    <row r="404" ht="15.75" customHeight="1">
      <c r="X404" s="135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</row>
    <row r="405" ht="15.75" customHeight="1">
      <c r="X405" s="135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</row>
    <row r="406" ht="15.75" customHeight="1">
      <c r="X406" s="135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</row>
    <row r="407" ht="15.75" customHeight="1">
      <c r="X407" s="135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</row>
    <row r="408" ht="15.75" customHeight="1">
      <c r="X408" s="135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</row>
    <row r="409" ht="15.75" customHeight="1">
      <c r="X409" s="135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</row>
    <row r="410" ht="15.75" customHeight="1">
      <c r="X410" s="135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</row>
    <row r="411" ht="15.75" customHeight="1">
      <c r="X411" s="135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</row>
    <row r="412" ht="15.75" customHeight="1">
      <c r="X412" s="135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</row>
    <row r="413" ht="15.75" customHeight="1">
      <c r="X413" s="135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</row>
    <row r="414" ht="15.75" customHeight="1">
      <c r="X414" s="135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</row>
    <row r="415" ht="15.75" customHeight="1">
      <c r="X415" s="135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</row>
    <row r="416" ht="15.75" customHeight="1">
      <c r="X416" s="135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</row>
    <row r="417" ht="15.75" customHeight="1">
      <c r="X417" s="135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</row>
    <row r="418" ht="15.75" customHeight="1">
      <c r="X418" s="135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</row>
    <row r="419" ht="15.75" customHeight="1">
      <c r="X419" s="135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</row>
    <row r="420" ht="15.75" customHeight="1">
      <c r="X420" s="135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</row>
    <row r="421" ht="15.75" customHeight="1">
      <c r="X421" s="135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</row>
    <row r="422" ht="15.75" customHeight="1">
      <c r="X422" s="135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</row>
    <row r="423" ht="15.75" customHeight="1">
      <c r="X423" s="135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</row>
    <row r="424" ht="15.75" customHeight="1">
      <c r="X424" s="135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</row>
    <row r="425" ht="15.75" customHeight="1">
      <c r="X425" s="135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</row>
    <row r="426" ht="15.75" customHeight="1">
      <c r="X426" s="135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</row>
    <row r="427" ht="15.75" customHeight="1">
      <c r="X427" s="135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</row>
    <row r="428" ht="15.75" customHeight="1">
      <c r="X428" s="135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</row>
    <row r="429" ht="15.75" customHeight="1">
      <c r="X429" s="135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</row>
    <row r="430" ht="15.75" customHeight="1">
      <c r="X430" s="135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</row>
    <row r="431" ht="15.75" customHeight="1">
      <c r="X431" s="135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</row>
    <row r="432" ht="15.75" customHeight="1">
      <c r="X432" s="135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</row>
    <row r="433" ht="15.75" customHeight="1">
      <c r="X433" s="135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</row>
    <row r="434" ht="15.75" customHeight="1">
      <c r="X434" s="135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</row>
    <row r="435" ht="15.75" customHeight="1">
      <c r="X435" s="135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</row>
    <row r="436" ht="15.75" customHeight="1">
      <c r="X436" s="135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</row>
    <row r="437" ht="15.75" customHeight="1">
      <c r="X437" s="135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</row>
    <row r="438" ht="15.75" customHeight="1">
      <c r="X438" s="135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</row>
    <row r="439" ht="15.75" customHeight="1">
      <c r="X439" s="135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</row>
    <row r="440" ht="15.75" customHeight="1">
      <c r="X440" s="135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</row>
    <row r="441" ht="15.75" customHeight="1">
      <c r="X441" s="135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</row>
    <row r="442" ht="15.75" customHeight="1">
      <c r="X442" s="135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</row>
    <row r="443" ht="15.75" customHeight="1">
      <c r="X443" s="135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</row>
    <row r="444" ht="15.75" customHeight="1">
      <c r="X444" s="135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</row>
    <row r="445" ht="15.75" customHeight="1">
      <c r="X445" s="135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</row>
    <row r="446" ht="15.75" customHeight="1">
      <c r="X446" s="135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</row>
    <row r="447" ht="15.75" customHeight="1">
      <c r="X447" s="135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</row>
    <row r="448" ht="15.75" customHeight="1">
      <c r="X448" s="135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</row>
    <row r="449" ht="15.75" customHeight="1">
      <c r="X449" s="135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</row>
    <row r="450" ht="15.75" customHeight="1">
      <c r="X450" s="135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</row>
    <row r="451" ht="15.75" customHeight="1">
      <c r="X451" s="135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</row>
    <row r="452" ht="15.75" customHeight="1">
      <c r="X452" s="135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</row>
    <row r="453" ht="15.75" customHeight="1">
      <c r="X453" s="135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</row>
    <row r="454" ht="15.75" customHeight="1">
      <c r="X454" s="135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</row>
    <row r="455" ht="15.75" customHeight="1">
      <c r="X455" s="135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</row>
    <row r="456" ht="15.75" customHeight="1">
      <c r="X456" s="135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</row>
    <row r="457" ht="15.75" customHeight="1">
      <c r="X457" s="135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</row>
    <row r="458" ht="15.75" customHeight="1">
      <c r="X458" s="135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</row>
    <row r="459" ht="15.75" customHeight="1">
      <c r="X459" s="135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</row>
    <row r="460" ht="15.75" customHeight="1">
      <c r="X460" s="135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</row>
    <row r="461" ht="15.75" customHeight="1">
      <c r="X461" s="135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</row>
    <row r="462" ht="15.75" customHeight="1">
      <c r="X462" s="135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</row>
    <row r="463" ht="15.75" customHeight="1">
      <c r="X463" s="135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</row>
    <row r="464" ht="15.75" customHeight="1">
      <c r="X464" s="135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</row>
    <row r="465" ht="15.75" customHeight="1">
      <c r="X465" s="135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</row>
    <row r="466" ht="15.75" customHeight="1">
      <c r="X466" s="135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</row>
    <row r="467" ht="15.75" customHeight="1">
      <c r="X467" s="135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</row>
    <row r="468" ht="15.75" customHeight="1">
      <c r="X468" s="135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</row>
    <row r="469" ht="15.75" customHeight="1">
      <c r="X469" s="135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</row>
    <row r="470" ht="15.75" customHeight="1">
      <c r="X470" s="135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</row>
    <row r="471" ht="15.75" customHeight="1">
      <c r="X471" s="135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</row>
    <row r="472" ht="15.75" customHeight="1">
      <c r="X472" s="135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</row>
    <row r="473" ht="15.75" customHeight="1">
      <c r="X473" s="135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</row>
    <row r="474" ht="15.75" customHeight="1">
      <c r="X474" s="135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</row>
    <row r="475" ht="15.75" customHeight="1">
      <c r="X475" s="135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</row>
    <row r="476" ht="15.75" customHeight="1">
      <c r="X476" s="135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</row>
    <row r="477" ht="15.75" customHeight="1">
      <c r="X477" s="135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</row>
    <row r="478" ht="15.75" customHeight="1">
      <c r="X478" s="135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</row>
    <row r="479" ht="15.75" customHeight="1">
      <c r="X479" s="135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</row>
    <row r="480" ht="15.75" customHeight="1">
      <c r="X480" s="135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</row>
    <row r="481" ht="15.75" customHeight="1">
      <c r="X481" s="135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</row>
    <row r="482" ht="15.75" customHeight="1">
      <c r="X482" s="135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</row>
    <row r="483" ht="15.75" customHeight="1">
      <c r="X483" s="135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</row>
    <row r="484" ht="15.75" customHeight="1">
      <c r="X484" s="135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</row>
    <row r="485" ht="15.75" customHeight="1">
      <c r="X485" s="135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</row>
    <row r="486" ht="15.75" customHeight="1">
      <c r="X486" s="135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</row>
    <row r="487" ht="15.75" customHeight="1">
      <c r="X487" s="135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</row>
    <row r="488" ht="15.75" customHeight="1">
      <c r="X488" s="135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</row>
    <row r="489" ht="15.75" customHeight="1">
      <c r="X489" s="135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</row>
    <row r="490" ht="15.75" customHeight="1">
      <c r="X490" s="135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</row>
    <row r="491" ht="15.75" customHeight="1">
      <c r="X491" s="135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</row>
    <row r="492" ht="15.75" customHeight="1">
      <c r="X492" s="135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</row>
    <row r="493" ht="15.75" customHeight="1">
      <c r="X493" s="135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</row>
    <row r="494" ht="15.75" customHeight="1">
      <c r="X494" s="135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</row>
    <row r="495" ht="15.75" customHeight="1">
      <c r="X495" s="135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</row>
    <row r="496" ht="15.75" customHeight="1">
      <c r="X496" s="135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</row>
    <row r="497" ht="15.75" customHeight="1">
      <c r="X497" s="135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</row>
    <row r="498" ht="15.75" customHeight="1">
      <c r="X498" s="135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</row>
    <row r="499" ht="15.75" customHeight="1">
      <c r="X499" s="135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</row>
    <row r="500" ht="15.75" customHeight="1">
      <c r="X500" s="135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</row>
    <row r="501" ht="15.75" customHeight="1">
      <c r="X501" s="135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</row>
    <row r="502" ht="15.75" customHeight="1">
      <c r="X502" s="135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</row>
    <row r="503" ht="15.75" customHeight="1">
      <c r="X503" s="135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</row>
    <row r="504" ht="15.75" customHeight="1">
      <c r="X504" s="135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</row>
    <row r="505" ht="15.75" customHeight="1">
      <c r="X505" s="135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</row>
    <row r="506" ht="15.75" customHeight="1">
      <c r="X506" s="135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</row>
    <row r="507" ht="15.75" customHeight="1">
      <c r="X507" s="135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</row>
    <row r="508" ht="15.75" customHeight="1">
      <c r="X508" s="135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</row>
    <row r="509" ht="15.75" customHeight="1">
      <c r="X509" s="135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</row>
    <row r="510" ht="15.75" customHeight="1">
      <c r="X510" s="135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</row>
    <row r="511" ht="15.75" customHeight="1">
      <c r="X511" s="135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</row>
    <row r="512" ht="15.75" customHeight="1">
      <c r="X512" s="135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</row>
    <row r="513" ht="15.75" customHeight="1">
      <c r="X513" s="135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</row>
    <row r="514" ht="15.75" customHeight="1">
      <c r="X514" s="135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</row>
    <row r="515" ht="15.75" customHeight="1">
      <c r="X515" s="135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</row>
    <row r="516" ht="15.75" customHeight="1">
      <c r="X516" s="135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</row>
    <row r="517" ht="15.75" customHeight="1">
      <c r="X517" s="135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</row>
    <row r="518" ht="15.75" customHeight="1">
      <c r="X518" s="135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</row>
    <row r="519" ht="15.75" customHeight="1">
      <c r="X519" s="135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</row>
    <row r="520" ht="15.75" customHeight="1">
      <c r="X520" s="135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</row>
    <row r="521" ht="15.75" customHeight="1">
      <c r="X521" s="135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</row>
    <row r="522" ht="15.75" customHeight="1">
      <c r="X522" s="135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</row>
    <row r="523" ht="15.75" customHeight="1">
      <c r="X523" s="135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</row>
    <row r="524" ht="15.75" customHeight="1">
      <c r="X524" s="135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</row>
    <row r="525" ht="15.75" customHeight="1">
      <c r="X525" s="135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</row>
    <row r="526" ht="15.75" customHeight="1">
      <c r="X526" s="135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</row>
    <row r="527" ht="15.75" customHeight="1">
      <c r="X527" s="135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</row>
    <row r="528" ht="15.75" customHeight="1">
      <c r="X528" s="135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</row>
    <row r="529" ht="15.75" customHeight="1">
      <c r="X529" s="135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</row>
    <row r="530" ht="15.75" customHeight="1">
      <c r="X530" s="135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</row>
    <row r="531" ht="15.75" customHeight="1">
      <c r="X531" s="135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</row>
    <row r="532" ht="15.75" customHeight="1">
      <c r="X532" s="135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</row>
    <row r="533" ht="15.75" customHeight="1">
      <c r="X533" s="135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</row>
    <row r="534" ht="15.75" customHeight="1">
      <c r="X534" s="135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</row>
    <row r="535" ht="15.75" customHeight="1">
      <c r="X535" s="135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</row>
    <row r="536" ht="15.75" customHeight="1">
      <c r="X536" s="135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</row>
    <row r="537" ht="15.75" customHeight="1">
      <c r="X537" s="135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</row>
    <row r="538" ht="15.75" customHeight="1">
      <c r="X538" s="135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</row>
    <row r="539" ht="15.75" customHeight="1">
      <c r="X539" s="135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</row>
    <row r="540" ht="15.75" customHeight="1">
      <c r="X540" s="135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</row>
    <row r="541" ht="15.75" customHeight="1">
      <c r="X541" s="135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</row>
    <row r="542" ht="15.75" customHeight="1">
      <c r="X542" s="135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</row>
    <row r="543" ht="15.75" customHeight="1">
      <c r="X543" s="135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</row>
    <row r="544" ht="15.75" customHeight="1">
      <c r="X544" s="135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</row>
    <row r="545" ht="15.75" customHeight="1">
      <c r="X545" s="135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</row>
    <row r="546" ht="15.75" customHeight="1">
      <c r="X546" s="135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</row>
    <row r="547" ht="15.75" customHeight="1">
      <c r="X547" s="135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</row>
    <row r="548" ht="15.75" customHeight="1">
      <c r="X548" s="135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</row>
    <row r="549" ht="15.75" customHeight="1">
      <c r="X549" s="135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</row>
    <row r="550" ht="15.75" customHeight="1">
      <c r="X550" s="135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</row>
    <row r="551" ht="15.75" customHeight="1">
      <c r="X551" s="135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</row>
    <row r="552" ht="15.75" customHeight="1">
      <c r="X552" s="135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</row>
    <row r="553" ht="15.75" customHeight="1">
      <c r="X553" s="135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</row>
    <row r="554" ht="15.75" customHeight="1">
      <c r="X554" s="135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</row>
    <row r="555" ht="15.75" customHeight="1">
      <c r="X555" s="135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</row>
    <row r="556" ht="15.75" customHeight="1">
      <c r="X556" s="135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</row>
    <row r="557" ht="15.75" customHeight="1">
      <c r="X557" s="135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</row>
    <row r="558" ht="15.75" customHeight="1">
      <c r="X558" s="135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</row>
    <row r="559" ht="15.75" customHeight="1">
      <c r="X559" s="135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</row>
    <row r="560" ht="15.75" customHeight="1">
      <c r="X560" s="135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</row>
    <row r="561" ht="15.75" customHeight="1">
      <c r="X561" s="135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</row>
    <row r="562" ht="15.75" customHeight="1">
      <c r="X562" s="135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</row>
    <row r="563" ht="15.75" customHeight="1">
      <c r="X563" s="135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</row>
    <row r="564" ht="15.75" customHeight="1">
      <c r="X564" s="135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</row>
    <row r="565" ht="15.75" customHeight="1">
      <c r="X565" s="135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</row>
    <row r="566" ht="15.75" customHeight="1">
      <c r="X566" s="135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</row>
    <row r="567" ht="15.75" customHeight="1">
      <c r="X567" s="135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</row>
    <row r="568" ht="15.75" customHeight="1">
      <c r="X568" s="135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</row>
    <row r="569" ht="15.75" customHeight="1">
      <c r="X569" s="135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</row>
    <row r="570" ht="15.75" customHeight="1">
      <c r="X570" s="135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</row>
    <row r="571" ht="15.75" customHeight="1">
      <c r="X571" s="135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</row>
    <row r="572" ht="15.75" customHeight="1">
      <c r="X572" s="135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</row>
    <row r="573" ht="15.75" customHeight="1">
      <c r="X573" s="135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</row>
    <row r="574" ht="15.75" customHeight="1">
      <c r="X574" s="135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</row>
    <row r="575" ht="15.75" customHeight="1">
      <c r="X575" s="135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</row>
    <row r="576" ht="15.75" customHeight="1">
      <c r="X576" s="135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</row>
    <row r="577" ht="15.75" customHeight="1">
      <c r="X577" s="135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</row>
    <row r="578" ht="15.75" customHeight="1">
      <c r="X578" s="135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</row>
    <row r="579" ht="15.75" customHeight="1">
      <c r="X579" s="135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</row>
    <row r="580" ht="15.75" customHeight="1">
      <c r="X580" s="135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</row>
    <row r="581" ht="15.75" customHeight="1">
      <c r="X581" s="135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</row>
    <row r="582" ht="15.75" customHeight="1">
      <c r="X582" s="135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</row>
    <row r="583" ht="15.75" customHeight="1">
      <c r="X583" s="135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</row>
    <row r="584" ht="15.75" customHeight="1">
      <c r="X584" s="135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</row>
    <row r="585" ht="15.75" customHeight="1">
      <c r="X585" s="135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</row>
    <row r="586" ht="15.75" customHeight="1">
      <c r="X586" s="135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</row>
    <row r="587" ht="15.75" customHeight="1">
      <c r="X587" s="135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</row>
    <row r="588" ht="15.75" customHeight="1">
      <c r="X588" s="135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</row>
    <row r="589" ht="15.75" customHeight="1">
      <c r="X589" s="135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</row>
    <row r="590" ht="15.75" customHeight="1">
      <c r="X590" s="135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</row>
    <row r="591" ht="15.75" customHeight="1">
      <c r="X591" s="135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</row>
    <row r="592" ht="15.75" customHeight="1">
      <c r="X592" s="135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</row>
    <row r="593" ht="15.75" customHeight="1">
      <c r="X593" s="135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</row>
    <row r="594" ht="15.75" customHeight="1">
      <c r="X594" s="135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</row>
    <row r="595" ht="15.75" customHeight="1">
      <c r="X595" s="135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</row>
    <row r="596" ht="15.75" customHeight="1">
      <c r="X596" s="135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</row>
    <row r="597" ht="15.75" customHeight="1">
      <c r="X597" s="135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</row>
    <row r="598" ht="15.75" customHeight="1">
      <c r="X598" s="135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</row>
    <row r="599" ht="15.75" customHeight="1">
      <c r="X599" s="135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</row>
    <row r="600" ht="15.75" customHeight="1">
      <c r="X600" s="135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</row>
    <row r="601" ht="15.75" customHeight="1">
      <c r="X601" s="135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</row>
    <row r="602" ht="15.75" customHeight="1">
      <c r="X602" s="135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</row>
    <row r="603" ht="15.75" customHeight="1">
      <c r="X603" s="135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</row>
    <row r="604" ht="15.75" customHeight="1">
      <c r="X604" s="135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</row>
    <row r="605" ht="15.75" customHeight="1">
      <c r="X605" s="135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</row>
    <row r="606" ht="15.75" customHeight="1">
      <c r="X606" s="135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</row>
    <row r="607" ht="15.75" customHeight="1">
      <c r="X607" s="135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</row>
    <row r="608" ht="15.75" customHeight="1">
      <c r="X608" s="135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</row>
    <row r="609" ht="15.75" customHeight="1">
      <c r="X609" s="135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</row>
    <row r="610" ht="15.75" customHeight="1">
      <c r="X610" s="135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</row>
    <row r="611" ht="15.75" customHeight="1">
      <c r="X611" s="135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</row>
    <row r="612" ht="15.75" customHeight="1">
      <c r="X612" s="135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</row>
    <row r="613" ht="15.75" customHeight="1">
      <c r="X613" s="135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</row>
    <row r="614" ht="15.75" customHeight="1">
      <c r="X614" s="135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</row>
    <row r="615" ht="15.75" customHeight="1">
      <c r="X615" s="135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</row>
    <row r="616" ht="15.75" customHeight="1">
      <c r="X616" s="135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</row>
    <row r="617" ht="15.75" customHeight="1">
      <c r="X617" s="135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</row>
    <row r="618" ht="15.75" customHeight="1">
      <c r="X618" s="135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</row>
    <row r="619" ht="15.75" customHeight="1">
      <c r="X619" s="135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</row>
    <row r="620" ht="15.75" customHeight="1">
      <c r="X620" s="135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</row>
    <row r="621" ht="15.75" customHeight="1">
      <c r="X621" s="135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</row>
    <row r="622" ht="15.75" customHeight="1">
      <c r="X622" s="135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</row>
    <row r="623" ht="15.75" customHeight="1">
      <c r="X623" s="135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</row>
    <row r="624" ht="15.75" customHeight="1">
      <c r="X624" s="135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</row>
    <row r="625" ht="15.75" customHeight="1">
      <c r="X625" s="135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</row>
    <row r="626" ht="15.75" customHeight="1">
      <c r="X626" s="135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</row>
    <row r="627" ht="15.75" customHeight="1">
      <c r="X627" s="135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</row>
    <row r="628" ht="15.75" customHeight="1">
      <c r="X628" s="135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</row>
    <row r="629" ht="15.75" customHeight="1">
      <c r="X629" s="135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</row>
    <row r="630" ht="15.75" customHeight="1">
      <c r="X630" s="135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</row>
    <row r="631" ht="15.75" customHeight="1">
      <c r="X631" s="135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</row>
    <row r="632" ht="15.75" customHeight="1">
      <c r="X632" s="135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</row>
    <row r="633" ht="15.75" customHeight="1">
      <c r="X633" s="135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</row>
    <row r="634" ht="15.75" customHeight="1">
      <c r="X634" s="135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</row>
    <row r="635" ht="15.75" customHeight="1">
      <c r="X635" s="135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</row>
    <row r="636" ht="15.75" customHeight="1">
      <c r="X636" s="135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</row>
    <row r="637" ht="15.75" customHeight="1">
      <c r="X637" s="135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</row>
    <row r="638" ht="15.75" customHeight="1">
      <c r="X638" s="135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</row>
    <row r="639" ht="15.75" customHeight="1">
      <c r="X639" s="135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</row>
    <row r="640" ht="15.75" customHeight="1">
      <c r="X640" s="135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</row>
    <row r="641" ht="15.75" customHeight="1">
      <c r="X641" s="135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</row>
    <row r="642" ht="15.75" customHeight="1">
      <c r="X642" s="135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</row>
    <row r="643" ht="15.75" customHeight="1">
      <c r="X643" s="135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</row>
    <row r="644" ht="15.75" customHeight="1">
      <c r="X644" s="135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</row>
    <row r="645" ht="15.75" customHeight="1">
      <c r="X645" s="135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</row>
    <row r="646" ht="15.75" customHeight="1">
      <c r="X646" s="135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</row>
    <row r="647" ht="15.75" customHeight="1">
      <c r="X647" s="135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</row>
    <row r="648" ht="15.75" customHeight="1">
      <c r="X648" s="135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</row>
    <row r="649" ht="15.75" customHeight="1">
      <c r="X649" s="135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</row>
    <row r="650" ht="15.75" customHeight="1">
      <c r="X650" s="135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</row>
    <row r="651" ht="15.75" customHeight="1">
      <c r="X651" s="135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</row>
    <row r="652" ht="15.75" customHeight="1">
      <c r="X652" s="135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</row>
    <row r="653" ht="15.75" customHeight="1">
      <c r="X653" s="135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</row>
    <row r="654" ht="15.75" customHeight="1">
      <c r="X654" s="135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</row>
    <row r="655" ht="15.75" customHeight="1">
      <c r="X655" s="135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</row>
    <row r="656" ht="15.75" customHeight="1">
      <c r="X656" s="135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</row>
    <row r="657" ht="15.75" customHeight="1">
      <c r="X657" s="135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</row>
    <row r="658" ht="15.75" customHeight="1">
      <c r="X658" s="135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</row>
    <row r="659" ht="15.75" customHeight="1">
      <c r="X659" s="135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</row>
    <row r="660" ht="15.75" customHeight="1">
      <c r="X660" s="135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</row>
    <row r="661" ht="15.75" customHeight="1">
      <c r="X661" s="135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</row>
    <row r="662" ht="15.75" customHeight="1">
      <c r="X662" s="135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</row>
    <row r="663" ht="15.75" customHeight="1">
      <c r="X663" s="135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</row>
    <row r="664" ht="15.75" customHeight="1">
      <c r="X664" s="135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</row>
    <row r="665" ht="15.75" customHeight="1">
      <c r="X665" s="135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</row>
    <row r="666" ht="15.75" customHeight="1">
      <c r="X666" s="135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</row>
    <row r="667" ht="15.75" customHeight="1">
      <c r="X667" s="135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</row>
    <row r="668" ht="15.75" customHeight="1">
      <c r="X668" s="135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</row>
    <row r="669" ht="15.75" customHeight="1">
      <c r="X669" s="135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</row>
    <row r="670" ht="15.75" customHeight="1">
      <c r="X670" s="135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</row>
    <row r="671" ht="15.75" customHeight="1">
      <c r="X671" s="135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</row>
    <row r="672" ht="15.75" customHeight="1">
      <c r="X672" s="135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</row>
    <row r="673" ht="15.75" customHeight="1">
      <c r="X673" s="135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</row>
    <row r="674" ht="15.75" customHeight="1">
      <c r="X674" s="135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</row>
    <row r="675" ht="15.75" customHeight="1">
      <c r="X675" s="135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</row>
    <row r="676" ht="15.75" customHeight="1">
      <c r="X676" s="135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</row>
    <row r="677" ht="15.75" customHeight="1">
      <c r="X677" s="135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</row>
    <row r="678" ht="15.75" customHeight="1">
      <c r="X678" s="135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</row>
    <row r="679" ht="15.75" customHeight="1">
      <c r="X679" s="135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</row>
    <row r="680" ht="15.75" customHeight="1">
      <c r="X680" s="135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</row>
    <row r="681" ht="15.75" customHeight="1">
      <c r="X681" s="135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</row>
    <row r="682" ht="15.75" customHeight="1">
      <c r="X682" s="135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</row>
    <row r="683" ht="15.75" customHeight="1">
      <c r="X683" s="135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</row>
    <row r="684" ht="15.75" customHeight="1">
      <c r="X684" s="135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</row>
    <row r="685" ht="15.75" customHeight="1">
      <c r="X685" s="135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</row>
    <row r="686" ht="15.75" customHeight="1">
      <c r="X686" s="135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</row>
    <row r="687" ht="15.75" customHeight="1">
      <c r="X687" s="135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</row>
    <row r="688" ht="15.75" customHeight="1">
      <c r="X688" s="135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</row>
    <row r="689" ht="15.75" customHeight="1">
      <c r="X689" s="135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</row>
    <row r="690" ht="15.75" customHeight="1">
      <c r="X690" s="135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</row>
    <row r="691" ht="15.75" customHeight="1">
      <c r="X691" s="135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</row>
    <row r="692" ht="15.75" customHeight="1">
      <c r="X692" s="135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</row>
    <row r="693" ht="15.75" customHeight="1">
      <c r="X693" s="135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</row>
    <row r="694" ht="15.75" customHeight="1">
      <c r="X694" s="135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</row>
    <row r="695" ht="15.75" customHeight="1">
      <c r="X695" s="135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</row>
    <row r="696" ht="15.75" customHeight="1">
      <c r="X696" s="135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</row>
    <row r="697" ht="15.75" customHeight="1">
      <c r="X697" s="135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</row>
    <row r="698" ht="15.75" customHeight="1">
      <c r="X698" s="135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</row>
    <row r="699" ht="15.75" customHeight="1">
      <c r="X699" s="135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</row>
    <row r="700" ht="15.75" customHeight="1">
      <c r="X700" s="135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</row>
    <row r="701" ht="15.75" customHeight="1">
      <c r="X701" s="135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</row>
    <row r="702" ht="15.75" customHeight="1">
      <c r="X702" s="135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</row>
    <row r="703" ht="15.75" customHeight="1">
      <c r="X703" s="135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</row>
    <row r="704" ht="15.75" customHeight="1">
      <c r="X704" s="135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</row>
    <row r="705" ht="15.75" customHeight="1">
      <c r="X705" s="135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</row>
    <row r="706" ht="15.75" customHeight="1">
      <c r="X706" s="135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</row>
    <row r="707" ht="15.75" customHeight="1">
      <c r="X707" s="135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</row>
    <row r="708" ht="15.75" customHeight="1">
      <c r="X708" s="135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</row>
    <row r="709" ht="15.75" customHeight="1">
      <c r="X709" s="135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</row>
    <row r="710" ht="15.75" customHeight="1">
      <c r="X710" s="135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</row>
    <row r="711" ht="15.75" customHeight="1">
      <c r="X711" s="135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</row>
    <row r="712" ht="15.75" customHeight="1">
      <c r="X712" s="135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</row>
    <row r="713" ht="15.75" customHeight="1">
      <c r="X713" s="135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</row>
    <row r="714" ht="15.75" customHeight="1">
      <c r="X714" s="135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</row>
    <row r="715" ht="15.75" customHeight="1">
      <c r="X715" s="135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</row>
    <row r="716" ht="15.75" customHeight="1">
      <c r="X716" s="135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</row>
    <row r="717" ht="15.75" customHeight="1">
      <c r="X717" s="135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</row>
    <row r="718" ht="15.75" customHeight="1">
      <c r="X718" s="135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</row>
    <row r="719" ht="15.75" customHeight="1">
      <c r="X719" s="135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</row>
    <row r="720" ht="15.75" customHeight="1">
      <c r="X720" s="135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</row>
    <row r="721" ht="15.75" customHeight="1">
      <c r="X721" s="135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</row>
    <row r="722" ht="15.75" customHeight="1">
      <c r="X722" s="135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</row>
    <row r="723" ht="15.75" customHeight="1">
      <c r="X723" s="135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</row>
    <row r="724" ht="15.75" customHeight="1">
      <c r="X724" s="135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</row>
    <row r="725" ht="15.75" customHeight="1">
      <c r="X725" s="135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</row>
    <row r="726" ht="15.75" customHeight="1">
      <c r="X726" s="135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</row>
    <row r="727" ht="15.75" customHeight="1">
      <c r="X727" s="135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</row>
    <row r="728" ht="15.75" customHeight="1">
      <c r="X728" s="135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</row>
    <row r="729" ht="15.75" customHeight="1">
      <c r="X729" s="135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</row>
    <row r="730" ht="15.75" customHeight="1">
      <c r="X730" s="135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</row>
    <row r="731" ht="15.75" customHeight="1">
      <c r="X731" s="135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</row>
    <row r="732" ht="15.75" customHeight="1">
      <c r="X732" s="135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</row>
    <row r="733" ht="15.75" customHeight="1">
      <c r="X733" s="135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</row>
    <row r="734" ht="15.75" customHeight="1">
      <c r="X734" s="135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</row>
    <row r="735" ht="15.75" customHeight="1">
      <c r="X735" s="135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</row>
    <row r="736" ht="15.75" customHeight="1">
      <c r="X736" s="135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</row>
    <row r="737" ht="15.75" customHeight="1">
      <c r="X737" s="135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</row>
    <row r="738" ht="15.75" customHeight="1">
      <c r="X738" s="135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</row>
    <row r="739" ht="15.75" customHeight="1">
      <c r="X739" s="135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</row>
    <row r="740" ht="15.75" customHeight="1">
      <c r="X740" s="135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</row>
    <row r="741" ht="15.75" customHeight="1">
      <c r="X741" s="135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</row>
    <row r="742" ht="15.75" customHeight="1">
      <c r="X742" s="135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</row>
    <row r="743" ht="15.75" customHeight="1">
      <c r="X743" s="135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</row>
    <row r="744" ht="15.75" customHeight="1">
      <c r="X744" s="135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</row>
    <row r="745" ht="15.75" customHeight="1">
      <c r="X745" s="135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</row>
    <row r="746" ht="15.75" customHeight="1">
      <c r="X746" s="135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</row>
    <row r="747" ht="15.75" customHeight="1">
      <c r="X747" s="135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</row>
    <row r="748" ht="15.75" customHeight="1">
      <c r="X748" s="135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</row>
    <row r="749" ht="15.75" customHeight="1">
      <c r="X749" s="135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</row>
    <row r="750" ht="15.75" customHeight="1">
      <c r="X750" s="135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</row>
    <row r="751" ht="15.75" customHeight="1">
      <c r="X751" s="135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</row>
    <row r="752" ht="15.75" customHeight="1">
      <c r="X752" s="135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</row>
    <row r="753" ht="15.75" customHeight="1">
      <c r="X753" s="135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</row>
    <row r="754" ht="15.75" customHeight="1">
      <c r="X754" s="135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</row>
    <row r="755" ht="15.75" customHeight="1">
      <c r="X755" s="135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</row>
    <row r="756" ht="15.75" customHeight="1">
      <c r="X756" s="135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</row>
    <row r="757" ht="15.75" customHeight="1">
      <c r="X757" s="135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</row>
    <row r="758" ht="15.75" customHeight="1">
      <c r="X758" s="135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</row>
    <row r="759" ht="15.75" customHeight="1">
      <c r="X759" s="135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</row>
    <row r="760" ht="15.75" customHeight="1">
      <c r="X760" s="135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</row>
    <row r="761" ht="15.75" customHeight="1">
      <c r="X761" s="135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</row>
    <row r="762" ht="15.75" customHeight="1">
      <c r="X762" s="135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</row>
    <row r="763" ht="15.75" customHeight="1">
      <c r="X763" s="135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</row>
    <row r="764" ht="15.75" customHeight="1">
      <c r="X764" s="135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</row>
    <row r="765" ht="15.75" customHeight="1">
      <c r="X765" s="135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</row>
    <row r="766" ht="15.75" customHeight="1">
      <c r="X766" s="135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</row>
    <row r="767" ht="15.75" customHeight="1">
      <c r="X767" s="135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</row>
    <row r="768" ht="15.75" customHeight="1">
      <c r="X768" s="135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</row>
    <row r="769" ht="15.75" customHeight="1">
      <c r="X769" s="135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</row>
    <row r="770" ht="15.75" customHeight="1">
      <c r="X770" s="135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</row>
    <row r="771" ht="15.75" customHeight="1">
      <c r="X771" s="135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</row>
    <row r="772" ht="15.75" customHeight="1">
      <c r="X772" s="135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</row>
    <row r="773" ht="15.75" customHeight="1">
      <c r="X773" s="135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</row>
    <row r="774" ht="15.75" customHeight="1">
      <c r="X774" s="135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</row>
    <row r="775" ht="15.75" customHeight="1">
      <c r="X775" s="135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</row>
    <row r="776" ht="15.75" customHeight="1">
      <c r="X776" s="135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</row>
    <row r="777" ht="15.75" customHeight="1">
      <c r="X777" s="135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</row>
    <row r="778" ht="15.75" customHeight="1">
      <c r="X778" s="135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</row>
    <row r="779" ht="15.75" customHeight="1">
      <c r="X779" s="135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</row>
    <row r="780" ht="15.75" customHeight="1">
      <c r="X780" s="135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</row>
    <row r="781" ht="15.75" customHeight="1">
      <c r="X781" s="135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</row>
    <row r="782" ht="15.75" customHeight="1">
      <c r="X782" s="135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</row>
    <row r="783" ht="15.75" customHeight="1">
      <c r="X783" s="135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</row>
    <row r="784" ht="15.75" customHeight="1">
      <c r="X784" s="135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</row>
    <row r="785" ht="15.75" customHeight="1">
      <c r="X785" s="135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</row>
    <row r="786" ht="15.75" customHeight="1">
      <c r="X786" s="135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</row>
    <row r="787" ht="15.75" customHeight="1">
      <c r="X787" s="135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</row>
    <row r="788" ht="15.75" customHeight="1">
      <c r="X788" s="135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</row>
    <row r="789" ht="15.75" customHeight="1">
      <c r="X789" s="135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</row>
    <row r="790" ht="15.75" customHeight="1">
      <c r="X790" s="135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</row>
    <row r="791" ht="15.75" customHeight="1">
      <c r="X791" s="135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</row>
    <row r="792" ht="15.75" customHeight="1">
      <c r="X792" s="135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</row>
    <row r="793" ht="15.75" customHeight="1">
      <c r="X793" s="135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</row>
    <row r="794" ht="15.75" customHeight="1">
      <c r="X794" s="135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</row>
    <row r="795" ht="15.75" customHeight="1">
      <c r="X795" s="135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</row>
    <row r="796" ht="15.75" customHeight="1">
      <c r="X796" s="135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</row>
    <row r="797" ht="15.75" customHeight="1">
      <c r="X797" s="135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</row>
    <row r="798" ht="15.75" customHeight="1">
      <c r="X798" s="135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</row>
    <row r="799" ht="15.75" customHeight="1">
      <c r="X799" s="135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</row>
    <row r="800" ht="15.75" customHeight="1">
      <c r="X800" s="135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</row>
    <row r="801" ht="15.75" customHeight="1">
      <c r="X801" s="135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</row>
    <row r="802" ht="15.75" customHeight="1">
      <c r="X802" s="135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</row>
    <row r="803" ht="15.75" customHeight="1">
      <c r="X803" s="135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</row>
    <row r="804" ht="15.75" customHeight="1">
      <c r="X804" s="135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</row>
    <row r="805" ht="15.75" customHeight="1">
      <c r="X805" s="135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</row>
    <row r="806" ht="15.75" customHeight="1">
      <c r="X806" s="135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</row>
    <row r="807" ht="15.75" customHeight="1">
      <c r="X807" s="135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</row>
    <row r="808" ht="15.75" customHeight="1">
      <c r="X808" s="135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</row>
    <row r="809" ht="15.75" customHeight="1">
      <c r="X809" s="135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</row>
    <row r="810" ht="15.75" customHeight="1">
      <c r="X810" s="135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</row>
    <row r="811" ht="15.75" customHeight="1">
      <c r="X811" s="135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</row>
    <row r="812" ht="15.75" customHeight="1">
      <c r="X812" s="135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</row>
    <row r="813" ht="15.75" customHeight="1">
      <c r="X813" s="135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</row>
    <row r="814" ht="15.75" customHeight="1">
      <c r="X814" s="135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</row>
    <row r="815" ht="15.75" customHeight="1">
      <c r="X815" s="135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</row>
    <row r="816" ht="15.75" customHeight="1">
      <c r="X816" s="135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</row>
    <row r="817" ht="15.75" customHeight="1">
      <c r="X817" s="135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</row>
    <row r="818" ht="15.75" customHeight="1">
      <c r="X818" s="135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</row>
    <row r="819" ht="15.75" customHeight="1">
      <c r="X819" s="135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</row>
    <row r="820" ht="15.75" customHeight="1">
      <c r="X820" s="135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</row>
    <row r="821" ht="15.75" customHeight="1">
      <c r="X821" s="135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</row>
    <row r="822" ht="15.75" customHeight="1">
      <c r="X822" s="135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</row>
    <row r="823" ht="15.75" customHeight="1">
      <c r="X823" s="135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</row>
    <row r="824" ht="15.75" customHeight="1">
      <c r="X824" s="135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</row>
    <row r="825" ht="15.75" customHeight="1">
      <c r="X825" s="135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</row>
    <row r="826" ht="15.75" customHeight="1">
      <c r="X826" s="135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</row>
    <row r="827" ht="15.75" customHeight="1">
      <c r="X827" s="135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</row>
    <row r="828" ht="15.75" customHeight="1">
      <c r="X828" s="135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</row>
    <row r="829" ht="15.75" customHeight="1">
      <c r="X829" s="135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</row>
    <row r="830" ht="15.75" customHeight="1">
      <c r="X830" s="135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</row>
    <row r="831" ht="15.75" customHeight="1">
      <c r="X831" s="135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</row>
    <row r="832" ht="15.75" customHeight="1">
      <c r="X832" s="135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</row>
    <row r="833" ht="15.75" customHeight="1">
      <c r="X833" s="135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</row>
    <row r="834" ht="15.75" customHeight="1">
      <c r="X834" s="135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</row>
    <row r="835" ht="15.75" customHeight="1">
      <c r="X835" s="135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</row>
    <row r="836" ht="15.75" customHeight="1">
      <c r="X836" s="135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</row>
    <row r="837" ht="15.75" customHeight="1">
      <c r="X837" s="135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</row>
    <row r="838" ht="15.75" customHeight="1">
      <c r="X838" s="135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</row>
    <row r="839" ht="15.75" customHeight="1">
      <c r="X839" s="135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</row>
    <row r="840" ht="15.75" customHeight="1">
      <c r="X840" s="135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</row>
    <row r="841" ht="15.75" customHeight="1">
      <c r="X841" s="135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</row>
    <row r="842" ht="15.75" customHeight="1">
      <c r="X842" s="135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</row>
    <row r="843" ht="15.75" customHeight="1">
      <c r="X843" s="135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</row>
    <row r="844" ht="15.75" customHeight="1">
      <c r="X844" s="135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</row>
    <row r="845" ht="15.75" customHeight="1">
      <c r="X845" s="135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</row>
    <row r="846" ht="15.75" customHeight="1">
      <c r="X846" s="135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</row>
    <row r="847" ht="15.75" customHeight="1">
      <c r="X847" s="135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</row>
    <row r="848" ht="15.75" customHeight="1">
      <c r="X848" s="135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</row>
    <row r="849" ht="15.75" customHeight="1">
      <c r="X849" s="135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</row>
    <row r="850" ht="15.75" customHeight="1">
      <c r="X850" s="135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</row>
    <row r="851" ht="15.75" customHeight="1">
      <c r="X851" s="135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</row>
    <row r="852" ht="15.75" customHeight="1">
      <c r="X852" s="135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</row>
    <row r="853" ht="15.75" customHeight="1">
      <c r="X853" s="135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</row>
    <row r="854" ht="15.75" customHeight="1">
      <c r="X854" s="135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</row>
    <row r="855" ht="15.75" customHeight="1">
      <c r="X855" s="135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</row>
    <row r="856" ht="15.75" customHeight="1">
      <c r="X856" s="135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</row>
    <row r="857" ht="15.75" customHeight="1">
      <c r="X857" s="135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</row>
    <row r="858" ht="15.75" customHeight="1">
      <c r="X858" s="135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</row>
    <row r="859" ht="15.75" customHeight="1">
      <c r="X859" s="135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</row>
    <row r="860" ht="15.75" customHeight="1">
      <c r="X860" s="135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</row>
    <row r="861" ht="15.75" customHeight="1">
      <c r="X861" s="135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</row>
    <row r="862" ht="15.75" customHeight="1">
      <c r="X862" s="135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</row>
    <row r="863" ht="15.75" customHeight="1">
      <c r="X863" s="135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</row>
    <row r="864" ht="15.75" customHeight="1">
      <c r="X864" s="135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</row>
    <row r="865" ht="15.75" customHeight="1">
      <c r="X865" s="135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</row>
    <row r="866" ht="15.75" customHeight="1">
      <c r="X866" s="135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</row>
    <row r="867" ht="15.75" customHeight="1">
      <c r="X867" s="135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</row>
    <row r="868" ht="15.75" customHeight="1">
      <c r="X868" s="135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</row>
    <row r="869" ht="15.75" customHeight="1">
      <c r="X869" s="135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</row>
    <row r="870" ht="15.75" customHeight="1">
      <c r="X870" s="135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</row>
    <row r="871" ht="15.75" customHeight="1">
      <c r="X871" s="135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</row>
    <row r="872" ht="15.75" customHeight="1">
      <c r="X872" s="135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</row>
    <row r="873" ht="15.75" customHeight="1">
      <c r="X873" s="135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</row>
    <row r="874" ht="15.75" customHeight="1">
      <c r="X874" s="135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</row>
    <row r="875" ht="15.75" customHeight="1">
      <c r="X875" s="135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</row>
    <row r="876" ht="15.75" customHeight="1">
      <c r="X876" s="135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</row>
    <row r="877" ht="15.75" customHeight="1">
      <c r="X877" s="135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</row>
    <row r="878" ht="15.75" customHeight="1">
      <c r="X878" s="135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</row>
    <row r="879" ht="15.75" customHeight="1">
      <c r="X879" s="135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</row>
    <row r="880" ht="15.75" customHeight="1">
      <c r="X880" s="135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</row>
    <row r="881" ht="15.75" customHeight="1">
      <c r="X881" s="135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</row>
    <row r="882" ht="15.75" customHeight="1">
      <c r="X882" s="135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</row>
    <row r="883" ht="15.75" customHeight="1">
      <c r="X883" s="135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</row>
    <row r="884" ht="15.75" customHeight="1">
      <c r="X884" s="135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</row>
    <row r="885" ht="15.75" customHeight="1">
      <c r="X885" s="135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</row>
    <row r="886" ht="15.75" customHeight="1">
      <c r="X886" s="135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</row>
    <row r="887" ht="15.75" customHeight="1">
      <c r="X887" s="135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</row>
    <row r="888" ht="15.75" customHeight="1">
      <c r="X888" s="135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</row>
    <row r="889" ht="15.75" customHeight="1">
      <c r="X889" s="135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</row>
    <row r="890" ht="15.75" customHeight="1">
      <c r="X890" s="135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</row>
    <row r="891" ht="15.75" customHeight="1">
      <c r="X891" s="135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</row>
    <row r="892" ht="15.75" customHeight="1">
      <c r="X892" s="135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</row>
    <row r="893" ht="15.75" customHeight="1">
      <c r="X893" s="135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</row>
    <row r="894" ht="15.75" customHeight="1">
      <c r="X894" s="135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</row>
    <row r="895" ht="15.75" customHeight="1">
      <c r="X895" s="135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</row>
    <row r="896" ht="15.75" customHeight="1">
      <c r="X896" s="135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</row>
    <row r="897" ht="15.75" customHeight="1">
      <c r="X897" s="135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</row>
    <row r="898" ht="15.75" customHeight="1">
      <c r="X898" s="135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</row>
    <row r="899" ht="15.75" customHeight="1">
      <c r="X899" s="135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</row>
    <row r="900" ht="15.75" customHeight="1">
      <c r="X900" s="135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</row>
    <row r="901" ht="15.75" customHeight="1">
      <c r="X901" s="135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</row>
    <row r="902" ht="15.75" customHeight="1">
      <c r="X902" s="135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</row>
    <row r="903" ht="15.75" customHeight="1">
      <c r="X903" s="135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</row>
    <row r="904" ht="15.75" customHeight="1">
      <c r="X904" s="135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</row>
    <row r="905" ht="15.75" customHeight="1">
      <c r="X905" s="135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</row>
    <row r="906" ht="15.75" customHeight="1">
      <c r="X906" s="135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</row>
    <row r="907" ht="15.75" customHeight="1">
      <c r="X907" s="135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</row>
    <row r="908" ht="15.75" customHeight="1">
      <c r="X908" s="135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</row>
    <row r="909" ht="15.75" customHeight="1">
      <c r="X909" s="135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</row>
    <row r="910" ht="15.75" customHeight="1">
      <c r="X910" s="135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</row>
    <row r="911" ht="15.75" customHeight="1">
      <c r="X911" s="135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</row>
    <row r="912" ht="15.75" customHeight="1">
      <c r="X912" s="135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</row>
    <row r="913" ht="15.75" customHeight="1">
      <c r="X913" s="135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</row>
    <row r="914" ht="15.75" customHeight="1">
      <c r="X914" s="135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</row>
    <row r="915" ht="15.75" customHeight="1">
      <c r="X915" s="135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</row>
    <row r="916" ht="15.75" customHeight="1">
      <c r="X916" s="135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</row>
    <row r="917" ht="15.75" customHeight="1">
      <c r="X917" s="135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</row>
    <row r="918" ht="15.75" customHeight="1">
      <c r="X918" s="135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</row>
    <row r="919" ht="15.75" customHeight="1">
      <c r="X919" s="135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</row>
    <row r="920" ht="15.75" customHeight="1">
      <c r="X920" s="135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</row>
    <row r="921" ht="15.75" customHeight="1">
      <c r="X921" s="135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</row>
    <row r="922" ht="15.75" customHeight="1">
      <c r="X922" s="135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</row>
    <row r="923" ht="15.75" customHeight="1">
      <c r="X923" s="135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</row>
    <row r="924" ht="15.75" customHeight="1">
      <c r="X924" s="135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</row>
    <row r="925" ht="15.75" customHeight="1">
      <c r="X925" s="135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</row>
    <row r="926" ht="15.75" customHeight="1">
      <c r="X926" s="135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</row>
    <row r="927" ht="15.75" customHeight="1">
      <c r="X927" s="135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</row>
    <row r="928" ht="15.75" customHeight="1">
      <c r="X928" s="135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</row>
    <row r="929" ht="15.75" customHeight="1">
      <c r="X929" s="135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</row>
    <row r="930" ht="15.75" customHeight="1">
      <c r="X930" s="135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</row>
    <row r="931" ht="15.75" customHeight="1">
      <c r="X931" s="135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</row>
    <row r="932" ht="15.75" customHeight="1">
      <c r="X932" s="135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</row>
    <row r="933" ht="15.75" customHeight="1">
      <c r="X933" s="135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</row>
    <row r="934" ht="15.75" customHeight="1">
      <c r="X934" s="135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</row>
    <row r="935" ht="15.75" customHeight="1">
      <c r="X935" s="135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</row>
    <row r="936" ht="15.75" customHeight="1">
      <c r="X936" s="135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</row>
    <row r="937" ht="15.75" customHeight="1">
      <c r="X937" s="135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</row>
    <row r="938" ht="15.75" customHeight="1">
      <c r="X938" s="135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</row>
    <row r="939" ht="15.75" customHeight="1">
      <c r="X939" s="135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</row>
    <row r="940" ht="15.75" customHeight="1">
      <c r="X940" s="135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</row>
    <row r="941" ht="15.75" customHeight="1">
      <c r="X941" s="135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</row>
    <row r="942" ht="15.75" customHeight="1">
      <c r="X942" s="135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</row>
    <row r="943" ht="15.75" customHeight="1">
      <c r="X943" s="135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</row>
    <row r="944" ht="15.75" customHeight="1">
      <c r="X944" s="135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</row>
    <row r="945" ht="15.75" customHeight="1">
      <c r="X945" s="135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</row>
    <row r="946" ht="15.75" customHeight="1">
      <c r="X946" s="135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</row>
    <row r="947" ht="15.75" customHeight="1">
      <c r="X947" s="135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</row>
    <row r="948" ht="15.75" customHeight="1">
      <c r="X948" s="135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</row>
    <row r="949" ht="15.75" customHeight="1">
      <c r="X949" s="135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</row>
    <row r="950" ht="15.75" customHeight="1">
      <c r="X950" s="135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</row>
    <row r="951" ht="15.75" customHeight="1">
      <c r="X951" s="135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</row>
    <row r="952" ht="15.75" customHeight="1">
      <c r="X952" s="135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</row>
    <row r="953" ht="15.75" customHeight="1">
      <c r="X953" s="135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</row>
    <row r="954" ht="15.75" customHeight="1">
      <c r="X954" s="135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</row>
    <row r="955" ht="15.75" customHeight="1">
      <c r="X955" s="135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</row>
    <row r="956" ht="15.75" customHeight="1">
      <c r="X956" s="135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</row>
    <row r="957" ht="15.75" customHeight="1">
      <c r="X957" s="135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</row>
    <row r="958" ht="15.75" customHeight="1">
      <c r="X958" s="135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</row>
    <row r="959" ht="15.75" customHeight="1">
      <c r="X959" s="135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</row>
    <row r="960" ht="15.75" customHeight="1">
      <c r="X960" s="135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</row>
    <row r="961" ht="15.75" customHeight="1">
      <c r="X961" s="135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</row>
    <row r="962" ht="15.75" customHeight="1">
      <c r="X962" s="135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</row>
    <row r="963" ht="15.75" customHeight="1">
      <c r="X963" s="135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</row>
    <row r="964" ht="15.75" customHeight="1">
      <c r="X964" s="135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</row>
    <row r="965" ht="15.75" customHeight="1">
      <c r="X965" s="135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</row>
    <row r="966" ht="15.75" customHeight="1">
      <c r="X966" s="135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</row>
    <row r="967" ht="15.75" customHeight="1">
      <c r="X967" s="135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</row>
    <row r="968" ht="15.75" customHeight="1">
      <c r="X968" s="135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</row>
    <row r="969" ht="15.75" customHeight="1">
      <c r="X969" s="135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</row>
    <row r="970" ht="15.75" customHeight="1">
      <c r="X970" s="135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</row>
    <row r="971" ht="15.75" customHeight="1">
      <c r="X971" s="135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</row>
    <row r="972" ht="15.75" customHeight="1">
      <c r="X972" s="135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</row>
    <row r="973" ht="15.75" customHeight="1">
      <c r="X973" s="135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</row>
    <row r="974" ht="15.75" customHeight="1">
      <c r="X974" s="135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</row>
    <row r="975" ht="15.75" customHeight="1">
      <c r="X975" s="135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</row>
    <row r="976" ht="15.75" customHeight="1">
      <c r="X976" s="135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</row>
    <row r="977" ht="15.75" customHeight="1">
      <c r="X977" s="135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</row>
    <row r="978" ht="15.75" customHeight="1">
      <c r="X978" s="135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</row>
    <row r="979" ht="15.75" customHeight="1">
      <c r="X979" s="135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</row>
    <row r="980" ht="15.75" customHeight="1">
      <c r="X980" s="135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</row>
    <row r="981" ht="15.75" customHeight="1">
      <c r="X981" s="135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</row>
    <row r="982" ht="15.75" customHeight="1">
      <c r="X982" s="135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</row>
    <row r="983" ht="15.75" customHeight="1">
      <c r="X983" s="135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</row>
    <row r="984" ht="15.75" customHeight="1">
      <c r="X984" s="135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</row>
    <row r="985" ht="15.75" customHeight="1">
      <c r="X985" s="135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</row>
    <row r="986" ht="15.75" customHeight="1">
      <c r="X986" s="135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</row>
    <row r="987" ht="15.75" customHeight="1">
      <c r="X987" s="135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</row>
    <row r="988" ht="15.75" customHeight="1">
      <c r="X988" s="135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</row>
    <row r="989" ht="15.75" customHeight="1">
      <c r="X989" s="135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</row>
    <row r="990" ht="15.75" customHeight="1">
      <c r="X990" s="135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</row>
    <row r="991" ht="15.75" customHeight="1">
      <c r="X991" s="135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</row>
    <row r="992" ht="15.75" customHeight="1">
      <c r="X992" s="135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</row>
    <row r="993" ht="15.75" customHeight="1">
      <c r="X993" s="135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</row>
    <row r="994" ht="15.75" customHeight="1">
      <c r="X994" s="135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</row>
    <row r="995" ht="15.75" customHeight="1">
      <c r="X995" s="135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</row>
    <row r="996" ht="15.75" customHeight="1">
      <c r="X996" s="135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</row>
    <row r="997" ht="15.75" customHeight="1">
      <c r="X997" s="135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</row>
    <row r="998" ht="15.75" customHeight="1">
      <c r="X998" s="135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</row>
    <row r="999" ht="15.75" customHeight="1">
      <c r="X999" s="135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</row>
    <row r="1000" ht="15.75" customHeight="1">
      <c r="X1000" s="135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</row>
  </sheetData>
  <autoFilter ref="$A$1:$AO$276">
    <filterColumn colId="27">
      <filters>
        <filter val="6,000.00"/>
        <filter val="327,446.81"/>
        <filter val="5,000.00"/>
        <filter val="4,000.00"/>
        <filter val="7,000.00"/>
        <filter val="8,000.00"/>
        <filter val="1,520.00"/>
        <filter val="3,000.00"/>
        <filter val="750.00"/>
        <filter val="2,000.00"/>
        <filter val="21,750.00"/>
        <filter val="400.00"/>
        <filter val="19,008.00"/>
        <filter val="250.00"/>
        <filter val="1,000.00"/>
        <filter val="3,508.34"/>
        <filter val="90,000.00"/>
        <filter val="300.00"/>
        <filter val="3,250.00"/>
        <filter val="2,584.77"/>
        <filter val="10,495.62"/>
        <filter val="12,000.00"/>
        <filter val="230,804.46"/>
        <filter val="42,768.00"/>
        <filter val="1,500.00"/>
        <filter val="18,500.00"/>
        <filter val="16,000.00"/>
        <filter val="3,500.00"/>
        <filter val="14,000.00"/>
        <filter val="10,000.00"/>
        <filter val="5,500.00"/>
        <filter val="9,187.50"/>
        <filter val="1,200.00"/>
        <filter val="36,000.00"/>
        <filter val="200.00"/>
        <filter val="27,000.00"/>
        <filter val="500.00"/>
        <filter val="25,000.00"/>
        <filter val="859.30"/>
        <filter val="800.00"/>
        <filter val="7,258.63"/>
        <filter val="7,300.00"/>
        <filter val="100.00"/>
        <filter val="4,635.00"/>
        <filter val="11,150.02"/>
        <filter val="22,945.52"/>
        <filter val="2,300.00"/>
        <filter val="15,001.18"/>
        <filter val="4,500.00"/>
        <filter val="2,500.00"/>
        <filter val="5,366.29"/>
        <filter val="6,500.00"/>
        <filter val="8,500.00"/>
        <filter val="2,580.00"/>
        <filter val="960,774.00"/>
        <filter val="286.43"/>
        <filter val="2,750.00"/>
      </filters>
    </filterColumn>
  </autoFilter>
  <conditionalFormatting sqref="T1:T1000">
    <cfRule type="cellIs" dxfId="0" priority="1" operator="lessThan">
      <formula>-0.25</formula>
    </cfRule>
  </conditionalFormatting>
  <conditionalFormatting sqref="T1:T1000">
    <cfRule type="cellIs" dxfId="1" priority="2" operator="greaterThan">
      <formula>0.25</formula>
    </cfRule>
  </conditionalFormatting>
  <conditionalFormatting sqref="U1:U1000">
    <cfRule type="cellIs" dxfId="0" priority="3" operator="lessThan">
      <formula>-0.25</formula>
    </cfRule>
  </conditionalFormatting>
  <conditionalFormatting sqref="U1:U1000">
    <cfRule type="cellIs" dxfId="1" priority="4" operator="greaterThan">
      <formula>0.25</formula>
    </cfRule>
  </conditionalFormatting>
  <conditionalFormatting sqref="AA1:AA1000">
    <cfRule type="cellIs" dxfId="0" priority="5" operator="equal">
      <formula>"NOT FOUND"</formula>
    </cfRule>
  </conditionalFormatting>
  <printOptions/>
  <pageMargins bottom="0.43" footer="0.0" header="0.0" left="0.14" right="0.18" top="0.45"/>
  <pageSetup scale="40" orientation="portrait"/>
  <headerFooter>
    <oddHeader>&amp;R&amp;D</oddHeader>
    <oddFooter>&amp;R&amp;P of 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7.75"/>
    <col customWidth="1" min="4" max="4" width="13.38"/>
    <col customWidth="1" min="5" max="5" width="6.75"/>
    <col customWidth="1" min="6" max="6" width="9.25"/>
    <col customWidth="1" min="7" max="7" width="7.75"/>
    <col customWidth="1" min="8" max="8" width="8.0"/>
    <col customWidth="1" min="9" max="9" width="8.38"/>
    <col customWidth="1" min="10" max="10" width="9.75"/>
    <col customWidth="1" min="11" max="11" width="11.0"/>
    <col customWidth="1" min="12" max="12" width="9.5"/>
    <col customWidth="1" min="13" max="13" width="7.63"/>
    <col customWidth="1" min="14" max="14" width="13.63"/>
    <col customWidth="1" min="15" max="15" width="9.38"/>
    <col customWidth="1" min="16" max="16" width="12.5"/>
    <col customWidth="1" min="17" max="17" width="10.75"/>
    <col customWidth="1" min="18" max="18" width="8.38"/>
    <col customWidth="1" min="19" max="26" width="7.63"/>
  </cols>
  <sheetData>
    <row r="1">
      <c r="F1" s="27"/>
      <c r="G1" s="27"/>
      <c r="I1" s="27"/>
      <c r="J1" s="27"/>
      <c r="K1" s="27"/>
    </row>
    <row r="2">
      <c r="F2" s="27"/>
      <c r="G2" s="27"/>
      <c r="I2" s="27"/>
      <c r="J2" s="27"/>
      <c r="K2" s="27"/>
    </row>
    <row r="3">
      <c r="F3" s="27"/>
      <c r="G3" s="27"/>
      <c r="I3" s="27"/>
      <c r="J3" s="27"/>
      <c r="K3" s="27"/>
    </row>
    <row r="4">
      <c r="F4" s="27"/>
      <c r="G4" s="27"/>
      <c r="I4" s="27"/>
      <c r="J4" s="27"/>
      <c r="K4" s="27"/>
    </row>
    <row r="5">
      <c r="F5" s="27"/>
      <c r="G5" s="27"/>
      <c r="I5" s="27"/>
      <c r="J5" s="27"/>
      <c r="K5" s="27"/>
    </row>
    <row r="6">
      <c r="C6" s="2" t="s">
        <v>822</v>
      </c>
      <c r="D6" s="2" t="s">
        <v>1463</v>
      </c>
      <c r="E6" s="2" t="s">
        <v>1464</v>
      </c>
      <c r="F6" s="281" t="s">
        <v>1465</v>
      </c>
      <c r="G6" s="2" t="s">
        <v>822</v>
      </c>
      <c r="H6" s="2" t="s">
        <v>1466</v>
      </c>
      <c r="I6" s="281" t="s">
        <v>1465</v>
      </c>
      <c r="J6" s="281" t="s">
        <v>1467</v>
      </c>
      <c r="K6" s="281" t="s">
        <v>1468</v>
      </c>
      <c r="L6" s="281" t="s">
        <v>512</v>
      </c>
      <c r="M6" s="281" t="s">
        <v>1469</v>
      </c>
      <c r="N6" s="281" t="s">
        <v>59</v>
      </c>
      <c r="O6" s="281" t="s">
        <v>50</v>
      </c>
      <c r="P6" s="281" t="s">
        <v>761</v>
      </c>
      <c r="Q6" s="281" t="s">
        <v>47</v>
      </c>
      <c r="R6" s="281" t="s">
        <v>758</v>
      </c>
    </row>
    <row r="7">
      <c r="C7" s="8">
        <v>1.0</v>
      </c>
      <c r="D7" s="190" t="s">
        <v>741</v>
      </c>
      <c r="E7" s="8">
        <v>24.0</v>
      </c>
      <c r="F7" s="27">
        <v>1617.46</v>
      </c>
      <c r="G7" s="8">
        <v>1.0</v>
      </c>
      <c r="I7" s="27"/>
      <c r="J7" s="27"/>
      <c r="K7" s="27"/>
      <c r="L7" s="27"/>
      <c r="M7" s="27"/>
      <c r="N7" s="27"/>
      <c r="O7" s="27"/>
      <c r="P7" s="27">
        <f t="shared" ref="P7:P21" si="1">+E7*F7+H7*I7+SUM(J7:O7)</f>
        <v>38819.04</v>
      </c>
      <c r="Q7" s="27"/>
      <c r="R7" s="27"/>
      <c r="S7" s="27"/>
      <c r="T7" s="27"/>
      <c r="U7" s="27"/>
    </row>
    <row r="8">
      <c r="C8" s="8">
        <v>1.0</v>
      </c>
      <c r="D8" s="190" t="s">
        <v>742</v>
      </c>
      <c r="E8" s="8">
        <v>24.0</v>
      </c>
      <c r="F8" s="27">
        <v>1448.7</v>
      </c>
      <c r="G8" s="8">
        <v>1.0</v>
      </c>
      <c r="I8" s="27"/>
      <c r="J8" s="27"/>
      <c r="K8" s="27">
        <f>625+625+625+625</f>
        <v>2500</v>
      </c>
      <c r="L8" s="27">
        <v>2625.0</v>
      </c>
      <c r="M8" s="27"/>
      <c r="N8" s="27"/>
      <c r="O8" s="27">
        <f>8716.63/4</f>
        <v>2179.1575</v>
      </c>
      <c r="P8" s="27">
        <f t="shared" si="1"/>
        <v>42072.9575</v>
      </c>
      <c r="Q8" s="27"/>
      <c r="R8" s="27"/>
      <c r="S8" s="27"/>
      <c r="T8" s="27"/>
      <c r="U8" s="27"/>
    </row>
    <row r="9">
      <c r="C9" s="8">
        <v>2.0</v>
      </c>
      <c r="D9" s="190" t="s">
        <v>743</v>
      </c>
      <c r="E9" s="8">
        <v>1.0</v>
      </c>
      <c r="F9" s="27">
        <v>1821.74</v>
      </c>
      <c r="I9" s="27"/>
      <c r="J9" s="27"/>
      <c r="K9" s="27"/>
      <c r="L9" s="27"/>
      <c r="M9" s="27"/>
      <c r="N9" s="27"/>
      <c r="O9" s="27"/>
      <c r="P9" s="27">
        <f t="shared" si="1"/>
        <v>1821.74</v>
      </c>
      <c r="Q9" s="27"/>
      <c r="R9" s="27"/>
      <c r="S9" s="27"/>
      <c r="T9" s="27"/>
      <c r="U9" s="27"/>
    </row>
    <row r="10">
      <c r="C10" s="8">
        <v>1.0</v>
      </c>
      <c r="D10" s="190" t="s">
        <v>744</v>
      </c>
      <c r="E10" s="8">
        <v>8.0</v>
      </c>
      <c r="F10" s="27">
        <v>1326.13</v>
      </c>
      <c r="G10" s="8">
        <v>2.0</v>
      </c>
      <c r="H10" s="8">
        <v>16.0</v>
      </c>
      <c r="I10" s="27">
        <v>1583.33</v>
      </c>
      <c r="J10" s="27"/>
      <c r="K10" s="27"/>
      <c r="L10" s="27"/>
      <c r="M10" s="27"/>
      <c r="N10" s="27"/>
      <c r="O10" s="27">
        <f>8716.63/4</f>
        <v>2179.1575</v>
      </c>
      <c r="P10" s="27">
        <f t="shared" si="1"/>
        <v>38121.4775</v>
      </c>
      <c r="Q10" s="27"/>
      <c r="R10" s="27"/>
      <c r="S10" s="27"/>
      <c r="T10" s="27"/>
      <c r="U10" s="27"/>
    </row>
    <row r="11">
      <c r="C11" s="8">
        <v>1.0</v>
      </c>
      <c r="D11" s="190" t="s">
        <v>745</v>
      </c>
      <c r="E11" s="8">
        <v>24.0</v>
      </c>
      <c r="F11" s="27">
        <v>1762.24</v>
      </c>
      <c r="G11" s="8">
        <v>1.0</v>
      </c>
      <c r="I11" s="27"/>
      <c r="J11" s="27"/>
      <c r="K11" s="27"/>
      <c r="L11" s="27"/>
      <c r="M11" s="27"/>
      <c r="N11" s="27"/>
      <c r="O11" s="27"/>
      <c r="P11" s="27">
        <f t="shared" si="1"/>
        <v>42293.76</v>
      </c>
      <c r="Q11" s="27"/>
      <c r="R11" s="27"/>
      <c r="S11" s="27"/>
      <c r="T11" s="27"/>
      <c r="U11" s="27"/>
    </row>
    <row r="12">
      <c r="C12" s="8">
        <v>2.0</v>
      </c>
      <c r="D12" s="190" t="s">
        <v>746</v>
      </c>
      <c r="E12" s="8">
        <v>8.0</v>
      </c>
      <c r="F12" s="27">
        <v>1563.66</v>
      </c>
      <c r="I12" s="27"/>
      <c r="J12" s="27"/>
      <c r="K12" s="27"/>
      <c r="L12" s="27"/>
      <c r="M12" s="27"/>
      <c r="N12" s="27"/>
      <c r="O12" s="27"/>
      <c r="P12" s="27">
        <f t="shared" si="1"/>
        <v>12509.28</v>
      </c>
      <c r="Q12" s="27"/>
      <c r="R12" s="27"/>
      <c r="S12" s="27"/>
      <c r="T12" s="27"/>
      <c r="U12" s="27"/>
    </row>
    <row r="13">
      <c r="C13" s="8">
        <v>1.0</v>
      </c>
      <c r="D13" s="190" t="s">
        <v>747</v>
      </c>
      <c r="E13" s="8">
        <v>24.0</v>
      </c>
      <c r="F13" s="27">
        <v>1359.32</v>
      </c>
      <c r="G13" s="8">
        <v>1.0</v>
      </c>
      <c r="I13" s="27"/>
      <c r="J13" s="27"/>
      <c r="K13" s="27"/>
      <c r="L13" s="27"/>
      <c r="M13" s="27"/>
      <c r="N13" s="27"/>
      <c r="O13" s="27"/>
      <c r="P13" s="27">
        <f t="shared" si="1"/>
        <v>32623.68</v>
      </c>
      <c r="Q13" s="27"/>
      <c r="R13" s="27"/>
      <c r="S13" s="27"/>
      <c r="T13" s="27"/>
      <c r="U13" s="27"/>
    </row>
    <row r="14">
      <c r="C14" s="8">
        <v>1.0</v>
      </c>
      <c r="D14" s="190" t="s">
        <v>748</v>
      </c>
      <c r="E14" s="8">
        <v>24.0</v>
      </c>
      <c r="F14" s="27">
        <v>1326.13</v>
      </c>
      <c r="G14" s="8">
        <v>1.0</v>
      </c>
      <c r="I14" s="27"/>
      <c r="J14" s="27"/>
      <c r="K14" s="27">
        <v>2500.0</v>
      </c>
      <c r="L14" s="27"/>
      <c r="M14" s="27"/>
      <c r="N14" s="27">
        <f>187.5*24</f>
        <v>4500</v>
      </c>
      <c r="O14" s="27"/>
      <c r="P14" s="27">
        <f t="shared" si="1"/>
        <v>38827.12</v>
      </c>
      <c r="Q14" s="27"/>
      <c r="R14" s="27"/>
      <c r="S14" s="27"/>
      <c r="T14" s="27"/>
      <c r="U14" s="27"/>
    </row>
    <row r="15">
      <c r="C15" s="8">
        <v>2.0</v>
      </c>
      <c r="D15" s="190" t="s">
        <v>749</v>
      </c>
      <c r="E15" s="8">
        <v>24.0</v>
      </c>
      <c r="F15" s="27">
        <v>2350.85</v>
      </c>
      <c r="G15" s="8">
        <v>2.0</v>
      </c>
      <c r="I15" s="27"/>
      <c r="J15" s="27"/>
      <c r="K15" s="27"/>
      <c r="L15" s="27"/>
      <c r="M15" s="27"/>
      <c r="N15" s="27"/>
      <c r="O15" s="27"/>
      <c r="P15" s="27">
        <f t="shared" si="1"/>
        <v>56420.4</v>
      </c>
      <c r="Q15" s="27"/>
      <c r="R15" s="27"/>
      <c r="S15" s="27"/>
      <c r="T15" s="27"/>
      <c r="U15" s="27"/>
    </row>
    <row r="16">
      <c r="C16" s="8">
        <v>1.0</v>
      </c>
      <c r="D16" s="190" t="s">
        <v>750</v>
      </c>
      <c r="E16" s="8">
        <v>24.0</v>
      </c>
      <c r="F16" s="27">
        <v>1502.95</v>
      </c>
      <c r="G16" s="8">
        <v>1.0</v>
      </c>
      <c r="I16" s="27"/>
      <c r="J16" s="27"/>
      <c r="K16" s="27"/>
      <c r="L16" s="27"/>
      <c r="M16" s="27">
        <v>600.0</v>
      </c>
      <c r="N16" s="27"/>
      <c r="O16" s="27"/>
      <c r="P16" s="27">
        <f t="shared" si="1"/>
        <v>36670.8</v>
      </c>
      <c r="Q16" s="27"/>
      <c r="R16" s="27"/>
      <c r="S16" s="27"/>
      <c r="T16" s="27"/>
      <c r="U16" s="27"/>
    </row>
    <row r="17">
      <c r="C17" s="8">
        <v>2.0</v>
      </c>
      <c r="D17" s="190" t="s">
        <v>751</v>
      </c>
      <c r="E17" s="8">
        <v>24.0</v>
      </c>
      <c r="F17" s="27">
        <v>2475.85</v>
      </c>
      <c r="G17" s="8">
        <v>2.0</v>
      </c>
      <c r="I17" s="27"/>
      <c r="J17" s="27"/>
      <c r="K17" s="27"/>
      <c r="L17" s="27"/>
      <c r="M17" s="27"/>
      <c r="N17" s="27"/>
      <c r="O17" s="27"/>
      <c r="P17" s="27">
        <f t="shared" si="1"/>
        <v>59420.4</v>
      </c>
      <c r="Q17" s="27"/>
      <c r="R17" s="27"/>
      <c r="S17" s="27"/>
      <c r="T17" s="27"/>
      <c r="U17" s="27"/>
    </row>
    <row r="18">
      <c r="C18" s="8">
        <v>1.0</v>
      </c>
      <c r="D18" s="190" t="s">
        <v>752</v>
      </c>
      <c r="E18" s="8">
        <v>24.0</v>
      </c>
      <c r="F18" s="27">
        <v>1350.79</v>
      </c>
      <c r="G18" s="8">
        <v>1.0</v>
      </c>
      <c r="I18" s="27"/>
      <c r="J18" s="27">
        <f>300*20</f>
        <v>6000</v>
      </c>
      <c r="K18" s="27">
        <v>3845.83</v>
      </c>
      <c r="L18" s="27"/>
      <c r="M18" s="27"/>
      <c r="N18" s="27"/>
      <c r="O18" s="27">
        <f t="shared" ref="O18:O19" si="2">8716.63/4</f>
        <v>2179.1575</v>
      </c>
      <c r="P18" s="27">
        <f t="shared" si="1"/>
        <v>44443.9475</v>
      </c>
      <c r="Q18" s="27"/>
      <c r="R18" s="27"/>
      <c r="S18" s="27"/>
      <c r="T18" s="27"/>
      <c r="U18" s="27"/>
    </row>
    <row r="19">
      <c r="C19" s="8">
        <v>1.0</v>
      </c>
      <c r="D19" s="190" t="s">
        <v>1471</v>
      </c>
      <c r="E19" s="8">
        <v>16.0</v>
      </c>
      <c r="F19" s="27">
        <v>1333.33</v>
      </c>
      <c r="G19" s="8">
        <v>1.0</v>
      </c>
      <c r="I19" s="27"/>
      <c r="J19" s="27"/>
      <c r="K19" s="27"/>
      <c r="L19" s="27"/>
      <c r="M19" s="27"/>
      <c r="N19" s="27"/>
      <c r="O19" s="27">
        <f t="shared" si="2"/>
        <v>2179.1575</v>
      </c>
      <c r="P19" s="27">
        <f t="shared" si="1"/>
        <v>23512.4375</v>
      </c>
      <c r="Q19" s="27"/>
      <c r="R19" s="27"/>
      <c r="S19" s="27"/>
      <c r="T19" s="27"/>
      <c r="U19" s="27"/>
    </row>
    <row r="20">
      <c r="C20" s="8">
        <v>2.0</v>
      </c>
      <c r="D20" s="190" t="s">
        <v>754</v>
      </c>
      <c r="E20" s="8">
        <v>24.0</v>
      </c>
      <c r="F20" s="27">
        <v>3403.72</v>
      </c>
      <c r="G20" s="8">
        <v>2.0</v>
      </c>
      <c r="I20" s="27"/>
      <c r="J20" s="27"/>
      <c r="K20" s="27"/>
      <c r="L20" s="27"/>
      <c r="M20" s="27"/>
      <c r="N20" s="27"/>
      <c r="O20" s="27"/>
      <c r="P20" s="27">
        <f t="shared" si="1"/>
        <v>81689.28</v>
      </c>
      <c r="Q20" s="27"/>
      <c r="R20" s="27"/>
      <c r="S20" s="27"/>
      <c r="T20" s="27"/>
      <c r="U20" s="27"/>
    </row>
    <row r="21" ht="15.75" customHeight="1">
      <c r="C21" s="8">
        <v>1.0</v>
      </c>
      <c r="D21" s="190" t="s">
        <v>796</v>
      </c>
      <c r="E21" s="8">
        <v>24.0</v>
      </c>
      <c r="F21" s="27">
        <v>1587.92</v>
      </c>
      <c r="G21" s="8">
        <v>1.0</v>
      </c>
      <c r="I21" s="27"/>
      <c r="J21" s="27"/>
      <c r="K21" s="27"/>
      <c r="L21" s="27"/>
      <c r="M21" s="27"/>
      <c r="N21" s="27"/>
      <c r="O21" s="27"/>
      <c r="P21" s="27">
        <f t="shared" si="1"/>
        <v>38110.08</v>
      </c>
      <c r="Q21" s="27"/>
      <c r="R21" s="27"/>
      <c r="S21" s="27"/>
      <c r="T21" s="27"/>
      <c r="U21" s="27"/>
    </row>
    <row r="22" ht="15.75" customHeight="1">
      <c r="F22" s="27"/>
      <c r="G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ht="15.75" customHeight="1">
      <c r="D23" s="190" t="s">
        <v>759</v>
      </c>
      <c r="F23" s="27">
        <f>SUM(F7:F22)</f>
        <v>26230.79</v>
      </c>
      <c r="G23" s="27"/>
      <c r="I23" s="27">
        <f t="shared" ref="I23:P23" si="3">SUM(I7:I22)</f>
        <v>1583.33</v>
      </c>
      <c r="J23" s="27">
        <f t="shared" si="3"/>
        <v>6000</v>
      </c>
      <c r="K23" s="27">
        <f t="shared" si="3"/>
        <v>8845.83</v>
      </c>
      <c r="L23" s="27">
        <f t="shared" si="3"/>
        <v>2625</v>
      </c>
      <c r="M23" s="27">
        <f t="shared" si="3"/>
        <v>600</v>
      </c>
      <c r="N23" s="27">
        <f t="shared" si="3"/>
        <v>4500</v>
      </c>
      <c r="O23" s="27">
        <f t="shared" si="3"/>
        <v>8716.63</v>
      </c>
      <c r="P23" s="27">
        <f t="shared" si="3"/>
        <v>587356.4</v>
      </c>
      <c r="Q23" s="27">
        <v>16000.0</v>
      </c>
      <c r="R23" s="27">
        <v>4000.0</v>
      </c>
      <c r="S23" s="27"/>
      <c r="T23" s="27"/>
      <c r="U23" s="27"/>
    </row>
    <row r="24" ht="15.75" customHeight="1">
      <c r="F24" s="27"/>
      <c r="G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ht="15.75" customHeight="1">
      <c r="F25" s="27"/>
      <c r="G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ht="15.75" customHeight="1">
      <c r="F26" s="27"/>
      <c r="G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ht="15.75" customHeight="1">
      <c r="F27" s="27"/>
      <c r="G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ht="15.75" customHeight="1">
      <c r="F28" s="27"/>
      <c r="G28" s="27"/>
      <c r="I28" s="27"/>
      <c r="J28" s="27"/>
      <c r="K28" s="27"/>
    </row>
    <row r="29" ht="15.75" customHeight="1">
      <c r="F29" s="27"/>
      <c r="G29" s="27"/>
      <c r="I29" s="27"/>
      <c r="J29" s="27"/>
      <c r="K29" s="27"/>
    </row>
    <row r="30" ht="15.75" customHeight="1">
      <c r="F30" s="27"/>
      <c r="G30" s="27"/>
      <c r="I30" s="27"/>
      <c r="J30" s="27"/>
      <c r="K30" s="27"/>
    </row>
    <row r="31" ht="15.75" customHeight="1">
      <c r="F31" s="27"/>
      <c r="G31" s="27"/>
      <c r="I31" s="27"/>
      <c r="J31" s="27"/>
      <c r="K31" s="27"/>
    </row>
    <row r="32" ht="15.75" customHeight="1">
      <c r="F32" s="27"/>
      <c r="G32" s="27"/>
      <c r="I32" s="27"/>
      <c r="J32" s="27"/>
      <c r="K32" s="27"/>
    </row>
    <row r="33" ht="15.75" customHeight="1">
      <c r="F33" s="27"/>
      <c r="G33" s="27"/>
      <c r="I33" s="27"/>
      <c r="J33" s="27"/>
      <c r="K33" s="27"/>
    </row>
    <row r="34" ht="15.75" customHeight="1">
      <c r="F34" s="27"/>
      <c r="G34" s="27"/>
      <c r="I34" s="27"/>
      <c r="J34" s="27"/>
      <c r="K34" s="27"/>
    </row>
    <row r="35" ht="15.75" customHeight="1">
      <c r="F35" s="27"/>
      <c r="G35" s="27"/>
      <c r="I35" s="27"/>
      <c r="J35" s="27"/>
      <c r="K35" s="27"/>
    </row>
    <row r="36" ht="15.75" customHeight="1">
      <c r="F36" s="27"/>
      <c r="G36" s="27"/>
      <c r="I36" s="27"/>
      <c r="J36" s="27"/>
      <c r="K36" s="27"/>
    </row>
    <row r="37" ht="15.75" customHeight="1">
      <c r="F37" s="27"/>
      <c r="G37" s="27"/>
      <c r="I37" s="27"/>
      <c r="J37" s="27"/>
      <c r="K37" s="27"/>
    </row>
    <row r="38" ht="15.75" customHeight="1">
      <c r="F38" s="27"/>
      <c r="G38" s="27"/>
      <c r="I38" s="27"/>
      <c r="J38" s="27"/>
      <c r="K38" s="27"/>
    </row>
    <row r="39" ht="15.75" customHeight="1">
      <c r="F39" s="27"/>
      <c r="G39" s="27"/>
      <c r="I39" s="27"/>
      <c r="J39" s="27"/>
      <c r="K39" s="27"/>
    </row>
    <row r="40" ht="15.75" customHeight="1">
      <c r="F40" s="27"/>
      <c r="G40" s="27"/>
      <c r="I40" s="27"/>
      <c r="J40" s="27"/>
      <c r="K40" s="27"/>
    </row>
    <row r="41" ht="15.75" customHeight="1">
      <c r="F41" s="27"/>
      <c r="G41" s="27"/>
      <c r="I41" s="27"/>
      <c r="J41" s="27"/>
      <c r="K41" s="27"/>
    </row>
    <row r="42" ht="15.75" customHeight="1">
      <c r="F42" s="27"/>
      <c r="G42" s="27"/>
      <c r="I42" s="27"/>
      <c r="J42" s="27"/>
      <c r="K42" s="27"/>
    </row>
    <row r="43" ht="15.75" customHeight="1">
      <c r="F43" s="27"/>
      <c r="G43" s="27"/>
      <c r="I43" s="27"/>
      <c r="J43" s="27"/>
      <c r="K43" s="27"/>
    </row>
    <row r="44" ht="15.75" customHeight="1">
      <c r="F44" s="27"/>
      <c r="G44" s="27"/>
      <c r="I44" s="27"/>
      <c r="J44" s="27"/>
      <c r="K44" s="27"/>
    </row>
    <row r="45" ht="15.75" customHeight="1">
      <c r="F45" s="27"/>
      <c r="G45" s="27"/>
      <c r="I45" s="27"/>
      <c r="J45" s="27"/>
      <c r="K45" s="27"/>
    </row>
    <row r="46" ht="15.75" customHeight="1">
      <c r="F46" s="27"/>
      <c r="G46" s="27"/>
      <c r="I46" s="27"/>
      <c r="J46" s="27"/>
      <c r="K46" s="27"/>
    </row>
    <row r="47" ht="15.75" customHeight="1">
      <c r="F47" s="27"/>
      <c r="G47" s="27"/>
      <c r="I47" s="27"/>
      <c r="J47" s="27"/>
      <c r="K47" s="27"/>
    </row>
    <row r="48" ht="15.75" customHeight="1">
      <c r="F48" s="27"/>
      <c r="G48" s="27"/>
      <c r="I48" s="27"/>
      <c r="J48" s="27"/>
      <c r="K48" s="27"/>
    </row>
    <row r="49" ht="15.75" customHeight="1">
      <c r="F49" s="27"/>
      <c r="G49" s="27"/>
      <c r="I49" s="27"/>
      <c r="J49" s="27"/>
      <c r="K49" s="27"/>
    </row>
    <row r="50" ht="15.75" customHeight="1">
      <c r="F50" s="27"/>
      <c r="G50" s="27"/>
      <c r="I50" s="27"/>
      <c r="J50" s="27"/>
      <c r="K50" s="27"/>
    </row>
    <row r="51" ht="15.75" customHeight="1">
      <c r="F51" s="27"/>
      <c r="G51" s="27"/>
      <c r="I51" s="27"/>
      <c r="J51" s="27"/>
      <c r="K51" s="27"/>
    </row>
    <row r="52" ht="15.75" customHeight="1">
      <c r="F52" s="27"/>
      <c r="G52" s="27"/>
      <c r="I52" s="27"/>
      <c r="J52" s="27"/>
      <c r="K52" s="27"/>
    </row>
    <row r="53" ht="15.75" customHeight="1">
      <c r="F53" s="27"/>
      <c r="G53" s="27"/>
      <c r="I53" s="27"/>
      <c r="J53" s="27"/>
      <c r="K53" s="27"/>
    </row>
    <row r="54" ht="15.75" customHeight="1">
      <c r="F54" s="27"/>
      <c r="G54" s="27"/>
      <c r="I54" s="27"/>
      <c r="J54" s="27"/>
      <c r="K54" s="27"/>
    </row>
    <row r="55" ht="15.75" customHeight="1">
      <c r="F55" s="27"/>
      <c r="G55" s="27"/>
      <c r="I55" s="27"/>
      <c r="J55" s="27"/>
      <c r="K55" s="27"/>
    </row>
    <row r="56" ht="15.75" customHeight="1">
      <c r="F56" s="27"/>
      <c r="G56" s="27"/>
      <c r="I56" s="27"/>
      <c r="J56" s="27"/>
      <c r="K56" s="27"/>
    </row>
    <row r="57" ht="15.75" customHeight="1">
      <c r="F57" s="27"/>
      <c r="G57" s="27"/>
      <c r="I57" s="27"/>
      <c r="J57" s="27"/>
      <c r="K57" s="27"/>
    </row>
    <row r="58" ht="15.75" customHeight="1">
      <c r="F58" s="27"/>
      <c r="G58" s="27"/>
      <c r="I58" s="27"/>
      <c r="J58" s="27"/>
      <c r="K58" s="27"/>
    </row>
    <row r="59" ht="15.75" customHeight="1">
      <c r="F59" s="27"/>
      <c r="G59" s="27"/>
      <c r="I59" s="27"/>
      <c r="J59" s="27"/>
      <c r="K59" s="27"/>
    </row>
    <row r="60" ht="15.75" customHeight="1">
      <c r="F60" s="27"/>
      <c r="G60" s="27"/>
      <c r="I60" s="27"/>
      <c r="J60" s="27"/>
      <c r="K60" s="27"/>
    </row>
    <row r="61" ht="15.75" customHeight="1">
      <c r="F61" s="27"/>
      <c r="G61" s="27"/>
      <c r="I61" s="27"/>
      <c r="J61" s="27"/>
      <c r="K61" s="27"/>
    </row>
    <row r="62" ht="15.75" customHeight="1">
      <c r="F62" s="27"/>
      <c r="G62" s="27"/>
      <c r="I62" s="27"/>
      <c r="J62" s="27"/>
      <c r="K62" s="27"/>
    </row>
    <row r="63" ht="15.75" customHeight="1">
      <c r="F63" s="27"/>
      <c r="G63" s="27"/>
      <c r="I63" s="27"/>
      <c r="J63" s="27"/>
      <c r="K63" s="27"/>
    </row>
    <row r="64" ht="15.75" customHeight="1">
      <c r="F64" s="27"/>
      <c r="G64" s="27"/>
      <c r="I64" s="27"/>
      <c r="J64" s="27"/>
      <c r="K64" s="27"/>
    </row>
    <row r="65" ht="15.75" customHeight="1">
      <c r="F65" s="27"/>
      <c r="G65" s="27"/>
      <c r="I65" s="27"/>
      <c r="J65" s="27"/>
      <c r="K65" s="27"/>
    </row>
    <row r="66" ht="15.75" customHeight="1">
      <c r="F66" s="27"/>
      <c r="G66" s="27"/>
      <c r="I66" s="27"/>
      <c r="J66" s="27"/>
      <c r="K66" s="27"/>
    </row>
    <row r="67" ht="15.75" customHeight="1">
      <c r="F67" s="27"/>
      <c r="G67" s="27"/>
      <c r="I67" s="27"/>
      <c r="J67" s="27"/>
      <c r="K67" s="27"/>
    </row>
    <row r="68" ht="15.75" customHeight="1">
      <c r="F68" s="27"/>
      <c r="G68" s="27"/>
      <c r="I68" s="27"/>
      <c r="J68" s="27"/>
      <c r="K68" s="27"/>
    </row>
    <row r="69" ht="15.75" customHeight="1">
      <c r="F69" s="27"/>
      <c r="G69" s="27"/>
      <c r="I69" s="27"/>
      <c r="J69" s="27"/>
      <c r="K69" s="27"/>
    </row>
    <row r="70" ht="15.75" customHeight="1">
      <c r="F70" s="27"/>
      <c r="G70" s="27"/>
      <c r="I70" s="27"/>
      <c r="J70" s="27"/>
      <c r="K70" s="27"/>
    </row>
    <row r="71" ht="15.75" customHeight="1">
      <c r="F71" s="27"/>
      <c r="G71" s="27"/>
      <c r="I71" s="27"/>
      <c r="J71" s="27"/>
      <c r="K71" s="27"/>
    </row>
    <row r="72" ht="15.75" customHeight="1">
      <c r="F72" s="27"/>
      <c r="G72" s="27"/>
      <c r="I72" s="27"/>
      <c r="J72" s="27"/>
      <c r="K72" s="27"/>
    </row>
    <row r="73" ht="15.75" customHeight="1">
      <c r="F73" s="27"/>
      <c r="G73" s="27"/>
      <c r="I73" s="27"/>
      <c r="J73" s="27"/>
      <c r="K73" s="27"/>
    </row>
    <row r="74" ht="15.75" customHeight="1">
      <c r="F74" s="27"/>
      <c r="G74" s="27"/>
      <c r="I74" s="27"/>
      <c r="J74" s="27"/>
      <c r="K74" s="27"/>
    </row>
    <row r="75" ht="15.75" customHeight="1">
      <c r="F75" s="27"/>
      <c r="G75" s="27"/>
      <c r="I75" s="27"/>
      <c r="J75" s="27"/>
      <c r="K75" s="27"/>
    </row>
    <row r="76" ht="15.75" customHeight="1">
      <c r="F76" s="27"/>
      <c r="G76" s="27"/>
      <c r="I76" s="27"/>
      <c r="J76" s="27"/>
      <c r="K76" s="27"/>
    </row>
    <row r="77" ht="15.75" customHeight="1">
      <c r="F77" s="27"/>
      <c r="G77" s="27"/>
      <c r="I77" s="27"/>
      <c r="J77" s="27"/>
      <c r="K77" s="27"/>
    </row>
    <row r="78" ht="15.75" customHeight="1">
      <c r="F78" s="27"/>
      <c r="G78" s="27"/>
      <c r="I78" s="27"/>
      <c r="J78" s="27"/>
      <c r="K78" s="27"/>
    </row>
    <row r="79" ht="15.75" customHeight="1">
      <c r="F79" s="27"/>
      <c r="G79" s="27"/>
      <c r="I79" s="27"/>
      <c r="J79" s="27"/>
      <c r="K79" s="27"/>
    </row>
    <row r="80" ht="15.75" customHeight="1">
      <c r="F80" s="27"/>
      <c r="G80" s="27"/>
      <c r="I80" s="27"/>
      <c r="J80" s="27"/>
      <c r="K80" s="27"/>
    </row>
    <row r="81" ht="15.75" customHeight="1">
      <c r="F81" s="27"/>
      <c r="G81" s="27"/>
      <c r="I81" s="27"/>
      <c r="J81" s="27"/>
      <c r="K81" s="27"/>
    </row>
    <row r="82" ht="15.75" customHeight="1">
      <c r="F82" s="27"/>
      <c r="G82" s="27"/>
      <c r="I82" s="27"/>
      <c r="J82" s="27"/>
      <c r="K82" s="27"/>
    </row>
    <row r="83" ht="15.75" customHeight="1">
      <c r="F83" s="27"/>
      <c r="G83" s="27"/>
      <c r="I83" s="27"/>
      <c r="J83" s="27"/>
      <c r="K83" s="27"/>
    </row>
    <row r="84" ht="15.75" customHeight="1">
      <c r="F84" s="27"/>
      <c r="G84" s="27"/>
      <c r="I84" s="27"/>
      <c r="J84" s="27"/>
      <c r="K84" s="27"/>
    </row>
    <row r="85" ht="15.75" customHeight="1">
      <c r="F85" s="27"/>
      <c r="G85" s="27"/>
      <c r="I85" s="27"/>
      <c r="J85" s="27"/>
      <c r="K85" s="27"/>
    </row>
    <row r="86" ht="15.75" customHeight="1">
      <c r="F86" s="27"/>
      <c r="G86" s="27"/>
      <c r="I86" s="27"/>
      <c r="J86" s="27"/>
      <c r="K86" s="27"/>
    </row>
    <row r="87" ht="15.75" customHeight="1">
      <c r="F87" s="27"/>
      <c r="G87" s="27"/>
      <c r="I87" s="27"/>
      <c r="J87" s="27"/>
      <c r="K87" s="27"/>
    </row>
    <row r="88" ht="15.75" customHeight="1">
      <c r="F88" s="27"/>
      <c r="G88" s="27"/>
      <c r="I88" s="27"/>
      <c r="J88" s="27"/>
      <c r="K88" s="27"/>
    </row>
    <row r="89" ht="15.75" customHeight="1">
      <c r="F89" s="27"/>
      <c r="G89" s="27"/>
      <c r="I89" s="27"/>
      <c r="J89" s="27"/>
      <c r="K89" s="27"/>
    </row>
    <row r="90" ht="15.75" customHeight="1">
      <c r="F90" s="27"/>
      <c r="G90" s="27"/>
      <c r="I90" s="27"/>
      <c r="J90" s="27"/>
      <c r="K90" s="27"/>
    </row>
    <row r="91" ht="15.75" customHeight="1">
      <c r="F91" s="27"/>
      <c r="G91" s="27"/>
      <c r="I91" s="27"/>
      <c r="J91" s="27"/>
      <c r="K91" s="27"/>
    </row>
    <row r="92" ht="15.75" customHeight="1">
      <c r="F92" s="27"/>
      <c r="G92" s="27"/>
      <c r="I92" s="27"/>
      <c r="J92" s="27"/>
      <c r="K92" s="27"/>
    </row>
    <row r="93" ht="15.75" customHeight="1">
      <c r="F93" s="27"/>
      <c r="G93" s="27"/>
      <c r="I93" s="27"/>
      <c r="J93" s="27"/>
      <c r="K93" s="27"/>
    </row>
    <row r="94" ht="15.75" customHeight="1">
      <c r="F94" s="27"/>
      <c r="G94" s="27"/>
      <c r="I94" s="27"/>
      <c r="J94" s="27"/>
      <c r="K94" s="27"/>
    </row>
    <row r="95" ht="15.75" customHeight="1">
      <c r="F95" s="27"/>
      <c r="G95" s="27"/>
      <c r="I95" s="27"/>
      <c r="J95" s="27"/>
      <c r="K95" s="27"/>
    </row>
    <row r="96" ht="15.75" customHeight="1">
      <c r="F96" s="27"/>
      <c r="G96" s="27"/>
      <c r="I96" s="27"/>
      <c r="J96" s="27"/>
      <c r="K96" s="27"/>
    </row>
    <row r="97" ht="15.75" customHeight="1">
      <c r="F97" s="27"/>
      <c r="G97" s="27"/>
      <c r="I97" s="27"/>
      <c r="J97" s="27"/>
      <c r="K97" s="27"/>
    </row>
    <row r="98" ht="15.75" customHeight="1">
      <c r="F98" s="27"/>
      <c r="G98" s="27"/>
      <c r="I98" s="27"/>
      <c r="J98" s="27"/>
      <c r="K98" s="27"/>
    </row>
    <row r="99" ht="15.75" customHeight="1">
      <c r="F99" s="27"/>
      <c r="G99" s="27"/>
      <c r="I99" s="27"/>
      <c r="J99" s="27"/>
      <c r="K99" s="27"/>
    </row>
    <row r="100" ht="15.75" customHeight="1">
      <c r="F100" s="27"/>
      <c r="G100" s="27"/>
      <c r="I100" s="27"/>
      <c r="J100" s="27"/>
      <c r="K100" s="27"/>
    </row>
    <row r="101" ht="15.75" customHeight="1">
      <c r="F101" s="27"/>
      <c r="G101" s="27"/>
      <c r="I101" s="27"/>
      <c r="J101" s="27"/>
      <c r="K101" s="27"/>
    </row>
    <row r="102" ht="15.75" customHeight="1">
      <c r="F102" s="27"/>
      <c r="G102" s="27"/>
      <c r="I102" s="27"/>
      <c r="J102" s="27"/>
      <c r="K102" s="27"/>
    </row>
    <row r="103" ht="15.75" customHeight="1">
      <c r="F103" s="27"/>
      <c r="G103" s="27"/>
      <c r="I103" s="27"/>
      <c r="J103" s="27"/>
      <c r="K103" s="27"/>
    </row>
    <row r="104" ht="15.75" customHeight="1">
      <c r="F104" s="27"/>
      <c r="G104" s="27"/>
      <c r="I104" s="27"/>
      <c r="J104" s="27"/>
      <c r="K104" s="27"/>
    </row>
    <row r="105" ht="15.75" customHeight="1">
      <c r="F105" s="27"/>
      <c r="G105" s="27"/>
      <c r="I105" s="27"/>
      <c r="J105" s="27"/>
      <c r="K105" s="27"/>
    </row>
    <row r="106" ht="15.75" customHeight="1">
      <c r="F106" s="27"/>
      <c r="G106" s="27"/>
      <c r="I106" s="27"/>
      <c r="J106" s="27"/>
      <c r="K106" s="27"/>
    </row>
    <row r="107" ht="15.75" customHeight="1">
      <c r="F107" s="27"/>
      <c r="G107" s="27"/>
      <c r="I107" s="27"/>
      <c r="J107" s="27"/>
      <c r="K107" s="27"/>
    </row>
    <row r="108" ht="15.75" customHeight="1">
      <c r="F108" s="27"/>
      <c r="G108" s="27"/>
      <c r="I108" s="27"/>
      <c r="J108" s="27"/>
      <c r="K108" s="27"/>
    </row>
    <row r="109" ht="15.75" customHeight="1">
      <c r="F109" s="27"/>
      <c r="G109" s="27"/>
      <c r="I109" s="27"/>
      <c r="J109" s="27"/>
      <c r="K109" s="27"/>
    </row>
    <row r="110" ht="15.75" customHeight="1">
      <c r="F110" s="27"/>
      <c r="G110" s="27"/>
      <c r="I110" s="27"/>
      <c r="J110" s="27"/>
      <c r="K110" s="27"/>
    </row>
    <row r="111" ht="15.75" customHeight="1">
      <c r="F111" s="27"/>
      <c r="G111" s="27"/>
      <c r="I111" s="27"/>
      <c r="J111" s="27"/>
      <c r="K111" s="27"/>
    </row>
    <row r="112" ht="15.75" customHeight="1">
      <c r="F112" s="27"/>
      <c r="G112" s="27"/>
      <c r="I112" s="27"/>
      <c r="J112" s="27"/>
      <c r="K112" s="27"/>
    </row>
    <row r="113" ht="15.75" customHeight="1">
      <c r="F113" s="27"/>
      <c r="G113" s="27"/>
      <c r="I113" s="27"/>
      <c r="J113" s="27"/>
      <c r="K113" s="27"/>
    </row>
    <row r="114" ht="15.75" customHeight="1">
      <c r="F114" s="27"/>
      <c r="G114" s="27"/>
      <c r="I114" s="27"/>
      <c r="J114" s="27"/>
      <c r="K114" s="27"/>
    </row>
    <row r="115" ht="15.75" customHeight="1">
      <c r="F115" s="27"/>
      <c r="G115" s="27"/>
      <c r="I115" s="27"/>
      <c r="J115" s="27"/>
      <c r="K115" s="27"/>
    </row>
    <row r="116" ht="15.75" customHeight="1">
      <c r="F116" s="27"/>
      <c r="G116" s="27"/>
      <c r="I116" s="27"/>
      <c r="J116" s="27"/>
      <c r="K116" s="27"/>
    </row>
    <row r="117" ht="15.75" customHeight="1">
      <c r="F117" s="27"/>
      <c r="G117" s="27"/>
      <c r="I117" s="27"/>
      <c r="J117" s="27"/>
      <c r="K117" s="27"/>
    </row>
    <row r="118" ht="15.75" customHeight="1">
      <c r="F118" s="27"/>
      <c r="G118" s="27"/>
      <c r="I118" s="27"/>
      <c r="J118" s="27"/>
      <c r="K118" s="27"/>
    </row>
    <row r="119" ht="15.75" customHeight="1">
      <c r="F119" s="27"/>
      <c r="G119" s="27"/>
      <c r="I119" s="27"/>
      <c r="J119" s="27"/>
      <c r="K119" s="27"/>
    </row>
    <row r="120" ht="15.75" customHeight="1">
      <c r="F120" s="27"/>
      <c r="G120" s="27"/>
      <c r="I120" s="27"/>
      <c r="J120" s="27"/>
      <c r="K120" s="27"/>
    </row>
    <row r="121" ht="15.75" customHeight="1">
      <c r="F121" s="27"/>
      <c r="G121" s="27"/>
      <c r="I121" s="27"/>
      <c r="J121" s="27"/>
      <c r="K121" s="27"/>
    </row>
    <row r="122" ht="15.75" customHeight="1">
      <c r="F122" s="27"/>
      <c r="G122" s="27"/>
      <c r="I122" s="27"/>
      <c r="J122" s="27"/>
      <c r="K122" s="27"/>
    </row>
    <row r="123" ht="15.75" customHeight="1">
      <c r="F123" s="27"/>
      <c r="G123" s="27"/>
      <c r="I123" s="27"/>
      <c r="J123" s="27"/>
      <c r="K123" s="27"/>
    </row>
    <row r="124" ht="15.75" customHeight="1">
      <c r="F124" s="27"/>
      <c r="G124" s="27"/>
      <c r="I124" s="27"/>
      <c r="J124" s="27"/>
      <c r="K124" s="27"/>
    </row>
    <row r="125" ht="15.75" customHeight="1">
      <c r="F125" s="27"/>
      <c r="G125" s="27"/>
      <c r="I125" s="27"/>
      <c r="J125" s="27"/>
      <c r="K125" s="27"/>
    </row>
    <row r="126" ht="15.75" customHeight="1">
      <c r="F126" s="27"/>
      <c r="G126" s="27"/>
      <c r="I126" s="27"/>
      <c r="J126" s="27"/>
      <c r="K126" s="27"/>
    </row>
    <row r="127" ht="15.75" customHeight="1">
      <c r="F127" s="27"/>
      <c r="G127" s="27"/>
      <c r="I127" s="27"/>
      <c r="J127" s="27"/>
      <c r="K127" s="27"/>
    </row>
    <row r="128" ht="15.75" customHeight="1">
      <c r="F128" s="27"/>
      <c r="G128" s="27"/>
      <c r="I128" s="27"/>
      <c r="J128" s="27"/>
      <c r="K128" s="27"/>
    </row>
    <row r="129" ht="15.75" customHeight="1">
      <c r="F129" s="27"/>
      <c r="G129" s="27"/>
      <c r="I129" s="27"/>
      <c r="J129" s="27"/>
      <c r="K129" s="27"/>
    </row>
    <row r="130" ht="15.75" customHeight="1">
      <c r="F130" s="27"/>
      <c r="G130" s="27"/>
      <c r="I130" s="27"/>
      <c r="J130" s="27"/>
      <c r="K130" s="27"/>
    </row>
    <row r="131" ht="15.75" customHeight="1">
      <c r="F131" s="27"/>
      <c r="G131" s="27"/>
      <c r="I131" s="27"/>
      <c r="J131" s="27"/>
      <c r="K131" s="27"/>
    </row>
    <row r="132" ht="15.75" customHeight="1">
      <c r="F132" s="27"/>
      <c r="G132" s="27"/>
      <c r="I132" s="27"/>
      <c r="J132" s="27"/>
      <c r="K132" s="27"/>
    </row>
    <row r="133" ht="15.75" customHeight="1">
      <c r="F133" s="27"/>
      <c r="G133" s="27"/>
      <c r="I133" s="27"/>
      <c r="J133" s="27"/>
      <c r="K133" s="27"/>
    </row>
    <row r="134" ht="15.75" customHeight="1">
      <c r="F134" s="27"/>
      <c r="G134" s="27"/>
      <c r="I134" s="27"/>
      <c r="J134" s="27"/>
      <c r="K134" s="27"/>
    </row>
    <row r="135" ht="15.75" customHeight="1">
      <c r="F135" s="27"/>
      <c r="G135" s="27"/>
      <c r="I135" s="27"/>
      <c r="J135" s="27"/>
      <c r="K135" s="27"/>
    </row>
    <row r="136" ht="15.75" customHeight="1">
      <c r="F136" s="27"/>
      <c r="G136" s="27"/>
      <c r="I136" s="27"/>
      <c r="J136" s="27"/>
      <c r="K136" s="27"/>
    </row>
    <row r="137" ht="15.75" customHeight="1">
      <c r="F137" s="27"/>
      <c r="G137" s="27"/>
      <c r="I137" s="27"/>
      <c r="J137" s="27"/>
      <c r="K137" s="27"/>
    </row>
    <row r="138" ht="15.75" customHeight="1">
      <c r="F138" s="27"/>
      <c r="G138" s="27"/>
      <c r="I138" s="27"/>
      <c r="J138" s="27"/>
      <c r="K138" s="27"/>
    </row>
    <row r="139" ht="15.75" customHeight="1">
      <c r="F139" s="27"/>
      <c r="G139" s="27"/>
      <c r="I139" s="27"/>
      <c r="J139" s="27"/>
      <c r="K139" s="27"/>
    </row>
    <row r="140" ht="15.75" customHeight="1">
      <c r="F140" s="27"/>
      <c r="G140" s="27"/>
      <c r="I140" s="27"/>
      <c r="J140" s="27"/>
      <c r="K140" s="27"/>
    </row>
    <row r="141" ht="15.75" customHeight="1">
      <c r="F141" s="27"/>
      <c r="G141" s="27"/>
      <c r="I141" s="27"/>
      <c r="J141" s="27"/>
      <c r="K141" s="27"/>
    </row>
    <row r="142" ht="15.75" customHeight="1">
      <c r="F142" s="27"/>
      <c r="G142" s="27"/>
      <c r="I142" s="27"/>
      <c r="J142" s="27"/>
      <c r="K142" s="27"/>
    </row>
    <row r="143" ht="15.75" customHeight="1">
      <c r="F143" s="27"/>
      <c r="G143" s="27"/>
      <c r="I143" s="27"/>
      <c r="J143" s="27"/>
      <c r="K143" s="27"/>
    </row>
    <row r="144" ht="15.75" customHeight="1">
      <c r="F144" s="27"/>
      <c r="G144" s="27"/>
      <c r="I144" s="27"/>
      <c r="J144" s="27"/>
      <c r="K144" s="27"/>
    </row>
    <row r="145" ht="15.75" customHeight="1">
      <c r="F145" s="27"/>
      <c r="G145" s="27"/>
      <c r="I145" s="27"/>
      <c r="J145" s="27"/>
      <c r="K145" s="27"/>
    </row>
    <row r="146" ht="15.75" customHeight="1">
      <c r="F146" s="27"/>
      <c r="G146" s="27"/>
      <c r="I146" s="27"/>
      <c r="J146" s="27"/>
      <c r="K146" s="27"/>
    </row>
    <row r="147" ht="15.75" customHeight="1">
      <c r="F147" s="27"/>
      <c r="G147" s="27"/>
      <c r="I147" s="27"/>
      <c r="J147" s="27"/>
      <c r="K147" s="27"/>
    </row>
    <row r="148" ht="15.75" customHeight="1">
      <c r="F148" s="27"/>
      <c r="G148" s="27"/>
      <c r="I148" s="27"/>
      <c r="J148" s="27"/>
      <c r="K148" s="27"/>
    </row>
    <row r="149" ht="15.75" customHeight="1">
      <c r="F149" s="27"/>
      <c r="G149" s="27"/>
      <c r="I149" s="27"/>
      <c r="J149" s="27"/>
      <c r="K149" s="27"/>
    </row>
    <row r="150" ht="15.75" customHeight="1">
      <c r="F150" s="27"/>
      <c r="G150" s="27"/>
      <c r="I150" s="27"/>
      <c r="J150" s="27"/>
      <c r="K150" s="27"/>
    </row>
    <row r="151" ht="15.75" customHeight="1">
      <c r="F151" s="27"/>
      <c r="G151" s="27"/>
      <c r="I151" s="27"/>
      <c r="J151" s="27"/>
      <c r="K151" s="27"/>
    </row>
    <row r="152" ht="15.75" customHeight="1">
      <c r="F152" s="27"/>
      <c r="G152" s="27"/>
      <c r="I152" s="27"/>
      <c r="J152" s="27"/>
      <c r="K152" s="27"/>
    </row>
    <row r="153" ht="15.75" customHeight="1">
      <c r="F153" s="27"/>
      <c r="G153" s="27"/>
      <c r="I153" s="27"/>
      <c r="J153" s="27"/>
      <c r="K153" s="27"/>
    </row>
    <row r="154" ht="15.75" customHeight="1">
      <c r="F154" s="27"/>
      <c r="G154" s="27"/>
      <c r="I154" s="27"/>
      <c r="J154" s="27"/>
      <c r="K154" s="27"/>
    </row>
    <row r="155" ht="15.75" customHeight="1">
      <c r="F155" s="27"/>
      <c r="G155" s="27"/>
      <c r="I155" s="27"/>
      <c r="J155" s="27"/>
      <c r="K155" s="27"/>
    </row>
    <row r="156" ht="15.75" customHeight="1">
      <c r="F156" s="27"/>
      <c r="G156" s="27"/>
      <c r="I156" s="27"/>
      <c r="J156" s="27"/>
      <c r="K156" s="27"/>
    </row>
    <row r="157" ht="15.75" customHeight="1">
      <c r="F157" s="27"/>
      <c r="G157" s="27"/>
      <c r="I157" s="27"/>
      <c r="J157" s="27"/>
      <c r="K157" s="27"/>
    </row>
    <row r="158" ht="15.75" customHeight="1">
      <c r="F158" s="27"/>
      <c r="G158" s="27"/>
      <c r="I158" s="27"/>
      <c r="J158" s="27"/>
      <c r="K158" s="27"/>
    </row>
    <row r="159" ht="15.75" customHeight="1">
      <c r="F159" s="27"/>
      <c r="G159" s="27"/>
      <c r="I159" s="27"/>
      <c r="J159" s="27"/>
      <c r="K159" s="27"/>
    </row>
    <row r="160" ht="15.75" customHeight="1">
      <c r="F160" s="27"/>
      <c r="G160" s="27"/>
      <c r="I160" s="27"/>
      <c r="J160" s="27"/>
      <c r="K160" s="27"/>
    </row>
    <row r="161" ht="15.75" customHeight="1">
      <c r="F161" s="27"/>
      <c r="G161" s="27"/>
      <c r="I161" s="27"/>
      <c r="J161" s="27"/>
      <c r="K161" s="27"/>
    </row>
    <row r="162" ht="15.75" customHeight="1">
      <c r="F162" s="27"/>
      <c r="G162" s="27"/>
      <c r="I162" s="27"/>
      <c r="J162" s="27"/>
      <c r="K162" s="27"/>
    </row>
    <row r="163" ht="15.75" customHeight="1">
      <c r="F163" s="27"/>
      <c r="G163" s="27"/>
      <c r="I163" s="27"/>
      <c r="J163" s="27"/>
      <c r="K163" s="27"/>
    </row>
    <row r="164" ht="15.75" customHeight="1">
      <c r="F164" s="27"/>
      <c r="G164" s="27"/>
      <c r="I164" s="27"/>
      <c r="J164" s="27"/>
      <c r="K164" s="27"/>
    </row>
    <row r="165" ht="15.75" customHeight="1">
      <c r="F165" s="27"/>
      <c r="G165" s="27"/>
      <c r="I165" s="27"/>
      <c r="J165" s="27"/>
      <c r="K165" s="27"/>
    </row>
    <row r="166" ht="15.75" customHeight="1">
      <c r="F166" s="27"/>
      <c r="G166" s="27"/>
      <c r="I166" s="27"/>
      <c r="J166" s="27"/>
      <c r="K166" s="27"/>
    </row>
    <row r="167" ht="15.75" customHeight="1">
      <c r="F167" s="27"/>
      <c r="G167" s="27"/>
      <c r="I167" s="27"/>
      <c r="J167" s="27"/>
      <c r="K167" s="27"/>
    </row>
    <row r="168" ht="15.75" customHeight="1">
      <c r="F168" s="27"/>
      <c r="G168" s="27"/>
      <c r="I168" s="27"/>
      <c r="J168" s="27"/>
      <c r="K168" s="27"/>
    </row>
    <row r="169" ht="15.75" customHeight="1">
      <c r="F169" s="27"/>
      <c r="G169" s="27"/>
      <c r="I169" s="27"/>
      <c r="J169" s="27"/>
      <c r="K169" s="27"/>
    </row>
    <row r="170" ht="15.75" customHeight="1">
      <c r="F170" s="27"/>
      <c r="G170" s="27"/>
      <c r="I170" s="27"/>
      <c r="J170" s="27"/>
      <c r="K170" s="27"/>
    </row>
    <row r="171" ht="15.75" customHeight="1">
      <c r="F171" s="27"/>
      <c r="G171" s="27"/>
      <c r="I171" s="27"/>
      <c r="J171" s="27"/>
      <c r="K171" s="27"/>
    </row>
    <row r="172" ht="15.75" customHeight="1">
      <c r="F172" s="27"/>
      <c r="G172" s="27"/>
      <c r="I172" s="27"/>
      <c r="J172" s="27"/>
      <c r="K172" s="27"/>
    </row>
    <row r="173" ht="15.75" customHeight="1">
      <c r="F173" s="27"/>
      <c r="G173" s="27"/>
      <c r="I173" s="27"/>
      <c r="J173" s="27"/>
      <c r="K173" s="27"/>
    </row>
    <row r="174" ht="15.75" customHeight="1">
      <c r="F174" s="27"/>
      <c r="G174" s="27"/>
      <c r="I174" s="27"/>
      <c r="J174" s="27"/>
      <c r="K174" s="27"/>
    </row>
    <row r="175" ht="15.75" customHeight="1">
      <c r="F175" s="27"/>
      <c r="G175" s="27"/>
      <c r="I175" s="27"/>
      <c r="J175" s="27"/>
      <c r="K175" s="27"/>
    </row>
    <row r="176" ht="15.75" customHeight="1">
      <c r="F176" s="27"/>
      <c r="G176" s="27"/>
      <c r="I176" s="27"/>
      <c r="J176" s="27"/>
      <c r="K176" s="27"/>
    </row>
    <row r="177" ht="15.75" customHeight="1">
      <c r="F177" s="27"/>
      <c r="G177" s="27"/>
      <c r="I177" s="27"/>
      <c r="J177" s="27"/>
      <c r="K177" s="27"/>
    </row>
    <row r="178" ht="15.75" customHeight="1">
      <c r="F178" s="27"/>
      <c r="G178" s="27"/>
      <c r="I178" s="27"/>
      <c r="J178" s="27"/>
      <c r="K178" s="27"/>
    </row>
    <row r="179" ht="15.75" customHeight="1">
      <c r="F179" s="27"/>
      <c r="G179" s="27"/>
      <c r="I179" s="27"/>
      <c r="J179" s="27"/>
      <c r="K179" s="27"/>
    </row>
    <row r="180" ht="15.75" customHeight="1">
      <c r="F180" s="27"/>
      <c r="G180" s="27"/>
      <c r="I180" s="27"/>
      <c r="J180" s="27"/>
      <c r="K180" s="27"/>
    </row>
    <row r="181" ht="15.75" customHeight="1">
      <c r="F181" s="27"/>
      <c r="G181" s="27"/>
      <c r="I181" s="27"/>
      <c r="J181" s="27"/>
      <c r="K181" s="27"/>
    </row>
    <row r="182" ht="15.75" customHeight="1">
      <c r="F182" s="27"/>
      <c r="G182" s="27"/>
      <c r="I182" s="27"/>
      <c r="J182" s="27"/>
      <c r="K182" s="27"/>
    </row>
    <row r="183" ht="15.75" customHeight="1">
      <c r="F183" s="27"/>
      <c r="G183" s="27"/>
      <c r="I183" s="27"/>
      <c r="J183" s="27"/>
      <c r="K183" s="27"/>
    </row>
    <row r="184" ht="15.75" customHeight="1">
      <c r="F184" s="27"/>
      <c r="G184" s="27"/>
      <c r="I184" s="27"/>
      <c r="J184" s="27"/>
      <c r="K184" s="27"/>
    </row>
    <row r="185" ht="15.75" customHeight="1">
      <c r="F185" s="27"/>
      <c r="G185" s="27"/>
      <c r="I185" s="27"/>
      <c r="J185" s="27"/>
      <c r="K185" s="27"/>
    </row>
    <row r="186" ht="15.75" customHeight="1">
      <c r="F186" s="27"/>
      <c r="G186" s="27"/>
      <c r="I186" s="27"/>
      <c r="J186" s="27"/>
      <c r="K186" s="27"/>
    </row>
    <row r="187" ht="15.75" customHeight="1">
      <c r="F187" s="27"/>
      <c r="G187" s="27"/>
      <c r="I187" s="27"/>
      <c r="J187" s="27"/>
      <c r="K187" s="27"/>
    </row>
    <row r="188" ht="15.75" customHeight="1">
      <c r="F188" s="27"/>
      <c r="G188" s="27"/>
      <c r="I188" s="27"/>
      <c r="J188" s="27"/>
      <c r="K188" s="27"/>
    </row>
    <row r="189" ht="15.75" customHeight="1">
      <c r="F189" s="27"/>
      <c r="G189" s="27"/>
      <c r="I189" s="27"/>
      <c r="J189" s="27"/>
      <c r="K189" s="27"/>
    </row>
    <row r="190" ht="15.75" customHeight="1">
      <c r="F190" s="27"/>
      <c r="G190" s="27"/>
      <c r="I190" s="27"/>
      <c r="J190" s="27"/>
      <c r="K190" s="27"/>
    </row>
    <row r="191" ht="15.75" customHeight="1">
      <c r="F191" s="27"/>
      <c r="G191" s="27"/>
      <c r="I191" s="27"/>
      <c r="J191" s="27"/>
      <c r="K191" s="27"/>
    </row>
    <row r="192" ht="15.75" customHeight="1">
      <c r="F192" s="27"/>
      <c r="G192" s="27"/>
      <c r="I192" s="27"/>
      <c r="J192" s="27"/>
      <c r="K192" s="27"/>
    </row>
    <row r="193" ht="15.75" customHeight="1">
      <c r="F193" s="27"/>
      <c r="G193" s="27"/>
      <c r="I193" s="27"/>
      <c r="J193" s="27"/>
      <c r="K193" s="27"/>
    </row>
    <row r="194" ht="15.75" customHeight="1">
      <c r="F194" s="27"/>
      <c r="G194" s="27"/>
      <c r="I194" s="27"/>
      <c r="J194" s="27"/>
      <c r="K194" s="27"/>
    </row>
    <row r="195" ht="15.75" customHeight="1">
      <c r="F195" s="27"/>
      <c r="G195" s="27"/>
      <c r="I195" s="27"/>
      <c r="J195" s="27"/>
      <c r="K195" s="27"/>
    </row>
    <row r="196" ht="15.75" customHeight="1">
      <c r="F196" s="27"/>
      <c r="G196" s="27"/>
      <c r="I196" s="27"/>
      <c r="J196" s="27"/>
      <c r="K196" s="27"/>
    </row>
    <row r="197" ht="15.75" customHeight="1">
      <c r="F197" s="27"/>
      <c r="G197" s="27"/>
      <c r="I197" s="27"/>
      <c r="J197" s="27"/>
      <c r="K197" s="27"/>
    </row>
    <row r="198" ht="15.75" customHeight="1">
      <c r="F198" s="27"/>
      <c r="G198" s="27"/>
      <c r="I198" s="27"/>
      <c r="J198" s="27"/>
      <c r="K198" s="27"/>
    </row>
    <row r="199" ht="15.75" customHeight="1">
      <c r="F199" s="27"/>
      <c r="G199" s="27"/>
      <c r="I199" s="27"/>
      <c r="J199" s="27"/>
      <c r="K199" s="27"/>
    </row>
    <row r="200" ht="15.75" customHeight="1">
      <c r="F200" s="27"/>
      <c r="G200" s="27"/>
      <c r="I200" s="27"/>
      <c r="J200" s="27"/>
      <c r="K200" s="27"/>
    </row>
    <row r="201" ht="15.75" customHeight="1">
      <c r="F201" s="27"/>
      <c r="G201" s="27"/>
      <c r="I201" s="27"/>
      <c r="J201" s="27"/>
      <c r="K201" s="27"/>
    </row>
    <row r="202" ht="15.75" customHeight="1">
      <c r="F202" s="27"/>
      <c r="G202" s="27"/>
      <c r="I202" s="27"/>
      <c r="J202" s="27"/>
      <c r="K202" s="27"/>
    </row>
    <row r="203" ht="15.75" customHeight="1">
      <c r="F203" s="27"/>
      <c r="G203" s="27"/>
      <c r="I203" s="27"/>
      <c r="J203" s="27"/>
      <c r="K203" s="27"/>
    </row>
    <row r="204" ht="15.75" customHeight="1">
      <c r="F204" s="27"/>
      <c r="G204" s="27"/>
      <c r="I204" s="27"/>
      <c r="J204" s="27"/>
      <c r="K204" s="27"/>
    </row>
    <row r="205" ht="15.75" customHeight="1">
      <c r="F205" s="27"/>
      <c r="G205" s="27"/>
      <c r="I205" s="27"/>
      <c r="J205" s="27"/>
      <c r="K205" s="27"/>
    </row>
    <row r="206" ht="15.75" customHeight="1">
      <c r="F206" s="27"/>
      <c r="G206" s="27"/>
      <c r="I206" s="27"/>
      <c r="J206" s="27"/>
      <c r="K206" s="27"/>
    </row>
    <row r="207" ht="15.75" customHeight="1">
      <c r="F207" s="27"/>
      <c r="G207" s="27"/>
      <c r="I207" s="27"/>
      <c r="J207" s="27"/>
      <c r="K207" s="27"/>
    </row>
    <row r="208" ht="15.75" customHeight="1">
      <c r="F208" s="27"/>
      <c r="G208" s="27"/>
      <c r="I208" s="27"/>
      <c r="J208" s="27"/>
      <c r="K208" s="27"/>
    </row>
    <row r="209" ht="15.75" customHeight="1">
      <c r="F209" s="27"/>
      <c r="G209" s="27"/>
      <c r="I209" s="27"/>
      <c r="J209" s="27"/>
      <c r="K209" s="27"/>
    </row>
    <row r="210" ht="15.75" customHeight="1">
      <c r="F210" s="27"/>
      <c r="G210" s="27"/>
      <c r="I210" s="27"/>
      <c r="J210" s="27"/>
      <c r="K210" s="27"/>
    </row>
    <row r="211" ht="15.75" customHeight="1">
      <c r="F211" s="27"/>
      <c r="G211" s="27"/>
      <c r="I211" s="27"/>
      <c r="J211" s="27"/>
      <c r="K211" s="27"/>
    </row>
    <row r="212" ht="15.75" customHeight="1">
      <c r="F212" s="27"/>
      <c r="G212" s="27"/>
      <c r="I212" s="27"/>
      <c r="J212" s="27"/>
      <c r="K212" s="27"/>
    </row>
    <row r="213" ht="15.75" customHeight="1">
      <c r="F213" s="27"/>
      <c r="G213" s="27"/>
      <c r="I213" s="27"/>
      <c r="J213" s="27"/>
      <c r="K213" s="27"/>
    </row>
    <row r="214" ht="15.75" customHeight="1">
      <c r="F214" s="27"/>
      <c r="G214" s="27"/>
      <c r="I214" s="27"/>
      <c r="J214" s="27"/>
      <c r="K214" s="27"/>
    </row>
    <row r="215" ht="15.75" customHeight="1">
      <c r="F215" s="27"/>
      <c r="G215" s="27"/>
      <c r="I215" s="27"/>
      <c r="J215" s="27"/>
      <c r="K215" s="27"/>
    </row>
    <row r="216" ht="15.75" customHeight="1">
      <c r="F216" s="27"/>
      <c r="G216" s="27"/>
      <c r="I216" s="27"/>
      <c r="J216" s="27"/>
      <c r="K216" s="27"/>
    </row>
    <row r="217" ht="15.75" customHeight="1">
      <c r="F217" s="27"/>
      <c r="G217" s="27"/>
      <c r="I217" s="27"/>
      <c r="J217" s="27"/>
      <c r="K217" s="27"/>
    </row>
    <row r="218" ht="15.75" customHeight="1">
      <c r="F218" s="27"/>
      <c r="G218" s="27"/>
      <c r="I218" s="27"/>
      <c r="J218" s="27"/>
      <c r="K218" s="27"/>
    </row>
    <row r="219" ht="15.75" customHeight="1">
      <c r="F219" s="27"/>
      <c r="G219" s="27"/>
      <c r="I219" s="27"/>
      <c r="J219" s="27"/>
      <c r="K219" s="27"/>
    </row>
    <row r="220" ht="15.75" customHeight="1">
      <c r="F220" s="27"/>
      <c r="G220" s="27"/>
      <c r="I220" s="27"/>
      <c r="J220" s="27"/>
      <c r="K220" s="27"/>
    </row>
    <row r="221" ht="15.75" customHeight="1">
      <c r="F221" s="27"/>
      <c r="G221" s="27"/>
      <c r="I221" s="27"/>
      <c r="J221" s="27"/>
      <c r="K221" s="27"/>
    </row>
    <row r="222" ht="15.75" customHeight="1">
      <c r="F222" s="27"/>
      <c r="G222" s="27"/>
      <c r="I222" s="27"/>
      <c r="J222" s="27"/>
      <c r="K222" s="27"/>
    </row>
    <row r="223" ht="15.75" customHeight="1">
      <c r="F223" s="27"/>
      <c r="G223" s="27"/>
      <c r="I223" s="27"/>
      <c r="J223" s="27"/>
      <c r="K223" s="27"/>
    </row>
    <row r="224" ht="15.75" customHeight="1">
      <c r="F224" s="27"/>
      <c r="G224" s="27"/>
      <c r="I224" s="27"/>
      <c r="J224" s="27"/>
      <c r="K224" s="27"/>
    </row>
    <row r="225" ht="15.75" customHeight="1">
      <c r="F225" s="27"/>
      <c r="G225" s="27"/>
      <c r="I225" s="27"/>
      <c r="J225" s="27"/>
      <c r="K225" s="27"/>
    </row>
    <row r="226" ht="15.75" customHeight="1">
      <c r="F226" s="27"/>
      <c r="G226" s="27"/>
      <c r="I226" s="27"/>
      <c r="J226" s="27"/>
      <c r="K226" s="27"/>
    </row>
    <row r="227" ht="15.75" customHeight="1">
      <c r="F227" s="27"/>
      <c r="G227" s="27"/>
      <c r="I227" s="27"/>
      <c r="J227" s="27"/>
      <c r="K227" s="27"/>
    </row>
    <row r="228" ht="15.75" customHeight="1">
      <c r="F228" s="27"/>
      <c r="G228" s="27"/>
      <c r="I228" s="27"/>
      <c r="J228" s="27"/>
      <c r="K228" s="27"/>
    </row>
    <row r="229" ht="15.75" customHeight="1">
      <c r="F229" s="27"/>
      <c r="G229" s="27"/>
      <c r="I229" s="27"/>
      <c r="J229" s="27"/>
      <c r="K229" s="27"/>
    </row>
    <row r="230" ht="15.75" customHeight="1">
      <c r="F230" s="27"/>
      <c r="G230" s="27"/>
      <c r="I230" s="27"/>
      <c r="J230" s="27"/>
      <c r="K230" s="27"/>
    </row>
    <row r="231" ht="15.75" customHeight="1">
      <c r="F231" s="27"/>
      <c r="G231" s="27"/>
      <c r="I231" s="27"/>
      <c r="J231" s="27"/>
      <c r="K231" s="27"/>
    </row>
    <row r="232" ht="15.75" customHeight="1">
      <c r="F232" s="27"/>
      <c r="G232" s="27"/>
      <c r="I232" s="27"/>
      <c r="J232" s="27"/>
      <c r="K232" s="27"/>
    </row>
    <row r="233" ht="15.75" customHeight="1">
      <c r="F233" s="27"/>
      <c r="G233" s="27"/>
      <c r="I233" s="27"/>
      <c r="J233" s="27"/>
      <c r="K233" s="27"/>
    </row>
    <row r="234" ht="15.75" customHeight="1">
      <c r="F234" s="27"/>
      <c r="G234" s="27"/>
      <c r="I234" s="27"/>
      <c r="J234" s="27"/>
      <c r="K234" s="27"/>
    </row>
    <row r="235" ht="15.75" customHeight="1">
      <c r="F235" s="27"/>
      <c r="G235" s="27"/>
      <c r="I235" s="27"/>
      <c r="J235" s="27"/>
      <c r="K235" s="27"/>
    </row>
    <row r="236" ht="15.75" customHeight="1">
      <c r="F236" s="27"/>
      <c r="G236" s="27"/>
      <c r="I236" s="27"/>
      <c r="J236" s="27"/>
      <c r="K236" s="27"/>
    </row>
    <row r="237" ht="15.75" customHeight="1">
      <c r="F237" s="27"/>
      <c r="G237" s="27"/>
      <c r="I237" s="27"/>
      <c r="J237" s="27"/>
      <c r="K237" s="27"/>
    </row>
    <row r="238" ht="15.75" customHeight="1">
      <c r="F238" s="27"/>
      <c r="G238" s="27"/>
      <c r="I238" s="27"/>
      <c r="J238" s="27"/>
      <c r="K238" s="27"/>
    </row>
    <row r="239" ht="15.75" customHeight="1">
      <c r="F239" s="27"/>
      <c r="G239" s="27"/>
      <c r="I239" s="27"/>
      <c r="J239" s="27"/>
      <c r="K239" s="27"/>
    </row>
    <row r="240" ht="15.75" customHeight="1">
      <c r="F240" s="27"/>
      <c r="G240" s="27"/>
      <c r="I240" s="27"/>
      <c r="J240" s="27"/>
      <c r="K240" s="27"/>
    </row>
    <row r="241" ht="15.75" customHeight="1">
      <c r="F241" s="27"/>
      <c r="G241" s="27"/>
      <c r="I241" s="27"/>
      <c r="J241" s="27"/>
      <c r="K241" s="27"/>
    </row>
    <row r="242" ht="15.75" customHeight="1">
      <c r="F242" s="27"/>
      <c r="G242" s="27"/>
      <c r="I242" s="27"/>
      <c r="J242" s="27"/>
      <c r="K242" s="27"/>
    </row>
    <row r="243" ht="15.75" customHeight="1">
      <c r="F243" s="27"/>
      <c r="G243" s="27"/>
      <c r="I243" s="27"/>
      <c r="J243" s="27"/>
      <c r="K243" s="27"/>
    </row>
    <row r="244" ht="15.75" customHeight="1">
      <c r="F244" s="27"/>
      <c r="G244" s="27"/>
      <c r="I244" s="27"/>
      <c r="J244" s="27"/>
      <c r="K244" s="27"/>
    </row>
    <row r="245" ht="15.75" customHeight="1">
      <c r="F245" s="27"/>
      <c r="G245" s="27"/>
      <c r="I245" s="27"/>
      <c r="J245" s="27"/>
      <c r="K245" s="27"/>
    </row>
    <row r="246" ht="15.75" customHeight="1">
      <c r="F246" s="27"/>
      <c r="G246" s="27"/>
      <c r="I246" s="27"/>
      <c r="J246" s="27"/>
      <c r="K246" s="27"/>
    </row>
    <row r="247" ht="15.75" customHeight="1">
      <c r="F247" s="27"/>
      <c r="G247" s="27"/>
      <c r="I247" s="27"/>
      <c r="J247" s="27"/>
      <c r="K247" s="27"/>
    </row>
    <row r="248" ht="15.75" customHeight="1">
      <c r="F248" s="27"/>
      <c r="G248" s="27"/>
      <c r="I248" s="27"/>
      <c r="J248" s="27"/>
      <c r="K248" s="27"/>
    </row>
    <row r="249" ht="15.75" customHeight="1">
      <c r="F249" s="27"/>
      <c r="G249" s="27"/>
      <c r="I249" s="27"/>
      <c r="J249" s="27"/>
      <c r="K249" s="27"/>
    </row>
    <row r="250" ht="15.75" customHeight="1">
      <c r="F250" s="27"/>
      <c r="G250" s="27"/>
      <c r="I250" s="27"/>
      <c r="J250" s="27"/>
      <c r="K250" s="27"/>
    </row>
    <row r="251" ht="15.75" customHeight="1">
      <c r="F251" s="27"/>
      <c r="G251" s="27"/>
      <c r="I251" s="27"/>
      <c r="J251" s="27"/>
      <c r="K251" s="27"/>
    </row>
    <row r="252" ht="15.75" customHeight="1">
      <c r="F252" s="27"/>
      <c r="G252" s="27"/>
      <c r="I252" s="27"/>
      <c r="J252" s="27"/>
      <c r="K252" s="27"/>
    </row>
    <row r="253" ht="15.75" customHeight="1">
      <c r="F253" s="27"/>
      <c r="G253" s="27"/>
      <c r="I253" s="27"/>
      <c r="J253" s="27"/>
      <c r="K253" s="27"/>
    </row>
    <row r="254" ht="15.75" customHeight="1">
      <c r="F254" s="27"/>
      <c r="G254" s="27"/>
      <c r="I254" s="27"/>
      <c r="J254" s="27"/>
      <c r="K254" s="27"/>
    </row>
    <row r="255" ht="15.75" customHeight="1">
      <c r="F255" s="27"/>
      <c r="G255" s="27"/>
      <c r="I255" s="27"/>
      <c r="J255" s="27"/>
      <c r="K255" s="27"/>
    </row>
    <row r="256" ht="15.75" customHeight="1">
      <c r="F256" s="27"/>
      <c r="G256" s="27"/>
      <c r="I256" s="27"/>
      <c r="J256" s="27"/>
      <c r="K256" s="27"/>
    </row>
    <row r="257" ht="15.75" customHeight="1">
      <c r="F257" s="27"/>
      <c r="G257" s="27"/>
      <c r="I257" s="27"/>
      <c r="J257" s="27"/>
      <c r="K257" s="27"/>
    </row>
    <row r="258" ht="15.75" customHeight="1">
      <c r="F258" s="27"/>
      <c r="G258" s="27"/>
      <c r="I258" s="27"/>
      <c r="J258" s="27"/>
      <c r="K258" s="27"/>
    </row>
    <row r="259" ht="15.75" customHeight="1">
      <c r="F259" s="27"/>
      <c r="G259" s="27"/>
      <c r="I259" s="27"/>
      <c r="J259" s="27"/>
      <c r="K259" s="27"/>
    </row>
    <row r="260" ht="15.75" customHeight="1">
      <c r="F260" s="27"/>
      <c r="G260" s="27"/>
      <c r="I260" s="27"/>
      <c r="J260" s="27"/>
      <c r="K260" s="27"/>
    </row>
    <row r="261" ht="15.75" customHeight="1">
      <c r="F261" s="27"/>
      <c r="G261" s="27"/>
      <c r="I261" s="27"/>
      <c r="J261" s="27"/>
      <c r="K261" s="27"/>
    </row>
    <row r="262" ht="15.75" customHeight="1">
      <c r="F262" s="27"/>
      <c r="G262" s="27"/>
      <c r="I262" s="27"/>
      <c r="J262" s="27"/>
      <c r="K262" s="27"/>
    </row>
    <row r="263" ht="15.75" customHeight="1">
      <c r="F263" s="27"/>
      <c r="G263" s="27"/>
      <c r="I263" s="27"/>
      <c r="J263" s="27"/>
      <c r="K263" s="27"/>
    </row>
    <row r="264" ht="15.75" customHeight="1">
      <c r="F264" s="27"/>
      <c r="G264" s="27"/>
      <c r="I264" s="27"/>
      <c r="J264" s="27"/>
      <c r="K264" s="27"/>
    </row>
    <row r="265" ht="15.75" customHeight="1">
      <c r="F265" s="27"/>
      <c r="G265" s="27"/>
      <c r="I265" s="27"/>
      <c r="J265" s="27"/>
      <c r="K265" s="27"/>
    </row>
    <row r="266" ht="15.75" customHeight="1">
      <c r="F266" s="27"/>
      <c r="G266" s="27"/>
      <c r="I266" s="27"/>
      <c r="J266" s="27"/>
      <c r="K266" s="27"/>
    </row>
    <row r="267" ht="15.75" customHeight="1">
      <c r="F267" s="27"/>
      <c r="G267" s="27"/>
      <c r="I267" s="27"/>
      <c r="J267" s="27"/>
      <c r="K267" s="27"/>
    </row>
    <row r="268" ht="15.75" customHeight="1">
      <c r="F268" s="27"/>
      <c r="G268" s="27"/>
      <c r="I268" s="27"/>
      <c r="J268" s="27"/>
      <c r="K268" s="27"/>
    </row>
    <row r="269" ht="15.75" customHeight="1">
      <c r="F269" s="27"/>
      <c r="G269" s="27"/>
      <c r="I269" s="27"/>
      <c r="J269" s="27"/>
      <c r="K269" s="27"/>
    </row>
    <row r="270" ht="15.75" customHeight="1">
      <c r="F270" s="27"/>
      <c r="G270" s="27"/>
      <c r="I270" s="27"/>
      <c r="J270" s="27"/>
      <c r="K270" s="27"/>
    </row>
    <row r="271" ht="15.75" customHeight="1">
      <c r="F271" s="27"/>
      <c r="G271" s="27"/>
      <c r="I271" s="27"/>
      <c r="J271" s="27"/>
      <c r="K271" s="27"/>
    </row>
    <row r="272" ht="15.75" customHeight="1">
      <c r="F272" s="27"/>
      <c r="G272" s="27"/>
      <c r="I272" s="27"/>
      <c r="J272" s="27"/>
      <c r="K272" s="27"/>
    </row>
    <row r="273" ht="15.75" customHeight="1">
      <c r="F273" s="27"/>
      <c r="G273" s="27"/>
      <c r="I273" s="27"/>
      <c r="J273" s="27"/>
      <c r="K273" s="27"/>
    </row>
    <row r="274" ht="15.75" customHeight="1">
      <c r="F274" s="27"/>
      <c r="G274" s="27"/>
      <c r="I274" s="27"/>
      <c r="J274" s="27"/>
      <c r="K274" s="27"/>
    </row>
    <row r="275" ht="15.75" customHeight="1">
      <c r="F275" s="27"/>
      <c r="G275" s="27"/>
      <c r="I275" s="27"/>
      <c r="J275" s="27"/>
      <c r="K275" s="27"/>
    </row>
    <row r="276" ht="15.75" customHeight="1">
      <c r="F276" s="27"/>
      <c r="G276" s="27"/>
      <c r="I276" s="27"/>
      <c r="J276" s="27"/>
      <c r="K276" s="27"/>
    </row>
    <row r="277" ht="15.75" customHeight="1">
      <c r="F277" s="27"/>
      <c r="G277" s="27"/>
      <c r="I277" s="27"/>
      <c r="J277" s="27"/>
      <c r="K277" s="27"/>
    </row>
    <row r="278" ht="15.75" customHeight="1">
      <c r="F278" s="27"/>
      <c r="G278" s="27"/>
      <c r="I278" s="27"/>
      <c r="J278" s="27"/>
      <c r="K278" s="27"/>
    </row>
    <row r="279" ht="15.75" customHeight="1">
      <c r="F279" s="27"/>
      <c r="G279" s="27"/>
      <c r="I279" s="27"/>
      <c r="J279" s="27"/>
      <c r="K279" s="27"/>
    </row>
    <row r="280" ht="15.75" customHeight="1">
      <c r="F280" s="27"/>
      <c r="G280" s="27"/>
      <c r="I280" s="27"/>
      <c r="J280" s="27"/>
      <c r="K280" s="27"/>
    </row>
    <row r="281" ht="15.75" customHeight="1">
      <c r="F281" s="27"/>
      <c r="G281" s="27"/>
      <c r="I281" s="27"/>
      <c r="J281" s="27"/>
      <c r="K281" s="27"/>
    </row>
    <row r="282" ht="15.75" customHeight="1">
      <c r="F282" s="27"/>
      <c r="G282" s="27"/>
      <c r="I282" s="27"/>
      <c r="J282" s="27"/>
      <c r="K282" s="27"/>
    </row>
    <row r="283" ht="15.75" customHeight="1">
      <c r="F283" s="27"/>
      <c r="G283" s="27"/>
      <c r="I283" s="27"/>
      <c r="J283" s="27"/>
      <c r="K283" s="27"/>
    </row>
    <row r="284" ht="15.75" customHeight="1">
      <c r="F284" s="27"/>
      <c r="G284" s="27"/>
      <c r="I284" s="27"/>
      <c r="J284" s="27"/>
      <c r="K284" s="27"/>
    </row>
    <row r="285" ht="15.75" customHeight="1">
      <c r="F285" s="27"/>
      <c r="G285" s="27"/>
      <c r="I285" s="27"/>
      <c r="J285" s="27"/>
      <c r="K285" s="27"/>
    </row>
    <row r="286" ht="15.75" customHeight="1">
      <c r="F286" s="27"/>
      <c r="G286" s="27"/>
      <c r="I286" s="27"/>
      <c r="J286" s="27"/>
      <c r="K286" s="27"/>
    </row>
    <row r="287" ht="15.75" customHeight="1">
      <c r="F287" s="27"/>
      <c r="G287" s="27"/>
      <c r="I287" s="27"/>
      <c r="J287" s="27"/>
      <c r="K287" s="27"/>
    </row>
    <row r="288" ht="15.75" customHeight="1">
      <c r="F288" s="27"/>
      <c r="G288" s="27"/>
      <c r="I288" s="27"/>
      <c r="J288" s="27"/>
      <c r="K288" s="27"/>
    </row>
    <row r="289" ht="15.75" customHeight="1">
      <c r="F289" s="27"/>
      <c r="G289" s="27"/>
      <c r="I289" s="27"/>
      <c r="J289" s="27"/>
      <c r="K289" s="27"/>
    </row>
    <row r="290" ht="15.75" customHeight="1">
      <c r="F290" s="27"/>
      <c r="G290" s="27"/>
      <c r="I290" s="27"/>
      <c r="J290" s="27"/>
      <c r="K290" s="27"/>
    </row>
    <row r="291" ht="15.75" customHeight="1">
      <c r="F291" s="27"/>
      <c r="G291" s="27"/>
      <c r="I291" s="27"/>
      <c r="J291" s="27"/>
      <c r="K291" s="27"/>
    </row>
    <row r="292" ht="15.75" customHeight="1">
      <c r="F292" s="27"/>
      <c r="G292" s="27"/>
      <c r="I292" s="27"/>
      <c r="J292" s="27"/>
      <c r="K292" s="27"/>
    </row>
    <row r="293" ht="15.75" customHeight="1">
      <c r="F293" s="27"/>
      <c r="G293" s="27"/>
      <c r="I293" s="27"/>
      <c r="J293" s="27"/>
      <c r="K293" s="27"/>
    </row>
    <row r="294" ht="15.75" customHeight="1">
      <c r="F294" s="27"/>
      <c r="G294" s="27"/>
      <c r="I294" s="27"/>
      <c r="J294" s="27"/>
      <c r="K294" s="27"/>
    </row>
    <row r="295" ht="15.75" customHeight="1">
      <c r="F295" s="27"/>
      <c r="G295" s="27"/>
      <c r="I295" s="27"/>
      <c r="J295" s="27"/>
      <c r="K295" s="27"/>
    </row>
    <row r="296" ht="15.75" customHeight="1">
      <c r="F296" s="27"/>
      <c r="G296" s="27"/>
      <c r="I296" s="27"/>
      <c r="J296" s="27"/>
      <c r="K296" s="27"/>
    </row>
    <row r="297" ht="15.75" customHeight="1">
      <c r="F297" s="27"/>
      <c r="G297" s="27"/>
      <c r="I297" s="27"/>
      <c r="J297" s="27"/>
      <c r="K297" s="27"/>
    </row>
    <row r="298" ht="15.75" customHeight="1">
      <c r="F298" s="27"/>
      <c r="G298" s="27"/>
      <c r="I298" s="27"/>
      <c r="J298" s="27"/>
      <c r="K298" s="27"/>
    </row>
    <row r="299" ht="15.75" customHeight="1">
      <c r="F299" s="27"/>
      <c r="G299" s="27"/>
      <c r="I299" s="27"/>
      <c r="J299" s="27"/>
      <c r="K299" s="27"/>
    </row>
    <row r="300" ht="15.75" customHeight="1">
      <c r="F300" s="27"/>
      <c r="G300" s="27"/>
      <c r="I300" s="27"/>
      <c r="J300" s="27"/>
      <c r="K300" s="27"/>
    </row>
    <row r="301" ht="15.75" customHeight="1">
      <c r="F301" s="27"/>
      <c r="G301" s="27"/>
      <c r="I301" s="27"/>
      <c r="J301" s="27"/>
      <c r="K301" s="27"/>
    </row>
    <row r="302" ht="15.75" customHeight="1">
      <c r="F302" s="27"/>
      <c r="G302" s="27"/>
      <c r="I302" s="27"/>
      <c r="J302" s="27"/>
      <c r="K302" s="27"/>
    </row>
    <row r="303" ht="15.75" customHeight="1">
      <c r="F303" s="27"/>
      <c r="G303" s="27"/>
      <c r="I303" s="27"/>
      <c r="J303" s="27"/>
      <c r="K303" s="27"/>
    </row>
    <row r="304" ht="15.75" customHeight="1">
      <c r="F304" s="27"/>
      <c r="G304" s="27"/>
      <c r="I304" s="27"/>
      <c r="J304" s="27"/>
      <c r="K304" s="27"/>
    </row>
    <row r="305" ht="15.75" customHeight="1">
      <c r="F305" s="27"/>
      <c r="G305" s="27"/>
      <c r="I305" s="27"/>
      <c r="J305" s="27"/>
      <c r="K305" s="27"/>
    </row>
    <row r="306" ht="15.75" customHeight="1">
      <c r="F306" s="27"/>
      <c r="G306" s="27"/>
      <c r="I306" s="27"/>
      <c r="J306" s="27"/>
      <c r="K306" s="27"/>
    </row>
    <row r="307" ht="15.75" customHeight="1">
      <c r="F307" s="27"/>
      <c r="G307" s="27"/>
      <c r="I307" s="27"/>
      <c r="J307" s="27"/>
      <c r="K307" s="27"/>
    </row>
    <row r="308" ht="15.75" customHeight="1">
      <c r="F308" s="27"/>
      <c r="G308" s="27"/>
      <c r="I308" s="27"/>
      <c r="J308" s="27"/>
      <c r="K308" s="27"/>
    </row>
    <row r="309" ht="15.75" customHeight="1">
      <c r="F309" s="27"/>
      <c r="G309" s="27"/>
      <c r="I309" s="27"/>
      <c r="J309" s="27"/>
      <c r="K309" s="27"/>
    </row>
    <row r="310" ht="15.75" customHeight="1">
      <c r="F310" s="27"/>
      <c r="G310" s="27"/>
      <c r="I310" s="27"/>
      <c r="J310" s="27"/>
      <c r="K310" s="27"/>
    </row>
    <row r="311" ht="15.75" customHeight="1">
      <c r="F311" s="27"/>
      <c r="G311" s="27"/>
      <c r="I311" s="27"/>
      <c r="J311" s="27"/>
      <c r="K311" s="27"/>
    </row>
    <row r="312" ht="15.75" customHeight="1">
      <c r="F312" s="27"/>
      <c r="G312" s="27"/>
      <c r="I312" s="27"/>
      <c r="J312" s="27"/>
      <c r="K312" s="27"/>
    </row>
    <row r="313" ht="15.75" customHeight="1">
      <c r="F313" s="27"/>
      <c r="G313" s="27"/>
      <c r="I313" s="27"/>
      <c r="J313" s="27"/>
      <c r="K313" s="27"/>
    </row>
    <row r="314" ht="15.75" customHeight="1">
      <c r="F314" s="27"/>
      <c r="G314" s="27"/>
      <c r="I314" s="27"/>
      <c r="J314" s="27"/>
      <c r="K314" s="27"/>
    </row>
    <row r="315" ht="15.75" customHeight="1">
      <c r="F315" s="27"/>
      <c r="G315" s="27"/>
      <c r="I315" s="27"/>
      <c r="J315" s="27"/>
      <c r="K315" s="27"/>
    </row>
    <row r="316" ht="15.75" customHeight="1">
      <c r="F316" s="27"/>
      <c r="G316" s="27"/>
      <c r="I316" s="27"/>
      <c r="J316" s="27"/>
      <c r="K316" s="27"/>
    </row>
    <row r="317" ht="15.75" customHeight="1">
      <c r="F317" s="27"/>
      <c r="G317" s="27"/>
      <c r="I317" s="27"/>
      <c r="J317" s="27"/>
      <c r="K317" s="27"/>
    </row>
    <row r="318" ht="15.75" customHeight="1">
      <c r="F318" s="27"/>
      <c r="G318" s="27"/>
      <c r="I318" s="27"/>
      <c r="J318" s="27"/>
      <c r="K318" s="27"/>
    </row>
    <row r="319" ht="15.75" customHeight="1">
      <c r="F319" s="27"/>
      <c r="G319" s="27"/>
      <c r="I319" s="27"/>
      <c r="J319" s="27"/>
      <c r="K319" s="27"/>
    </row>
    <row r="320" ht="15.75" customHeight="1">
      <c r="F320" s="27"/>
      <c r="G320" s="27"/>
      <c r="I320" s="27"/>
      <c r="J320" s="27"/>
      <c r="K320" s="27"/>
    </row>
    <row r="321" ht="15.75" customHeight="1">
      <c r="F321" s="27"/>
      <c r="G321" s="27"/>
      <c r="I321" s="27"/>
      <c r="J321" s="27"/>
      <c r="K321" s="27"/>
    </row>
    <row r="322" ht="15.75" customHeight="1">
      <c r="F322" s="27"/>
      <c r="G322" s="27"/>
      <c r="I322" s="27"/>
      <c r="J322" s="27"/>
      <c r="K322" s="27"/>
    </row>
    <row r="323" ht="15.75" customHeight="1">
      <c r="F323" s="27"/>
      <c r="G323" s="27"/>
      <c r="I323" s="27"/>
      <c r="J323" s="27"/>
      <c r="K323" s="27"/>
    </row>
    <row r="324" ht="15.75" customHeight="1">
      <c r="F324" s="27"/>
      <c r="G324" s="27"/>
      <c r="I324" s="27"/>
      <c r="J324" s="27"/>
      <c r="K324" s="27"/>
    </row>
    <row r="325" ht="15.75" customHeight="1">
      <c r="F325" s="27"/>
      <c r="G325" s="27"/>
      <c r="I325" s="27"/>
      <c r="J325" s="27"/>
      <c r="K325" s="27"/>
    </row>
    <row r="326" ht="15.75" customHeight="1">
      <c r="F326" s="27"/>
      <c r="G326" s="27"/>
      <c r="I326" s="27"/>
      <c r="J326" s="27"/>
      <c r="K326" s="27"/>
    </row>
    <row r="327" ht="15.75" customHeight="1">
      <c r="F327" s="27"/>
      <c r="G327" s="27"/>
      <c r="I327" s="27"/>
      <c r="J327" s="27"/>
      <c r="K327" s="27"/>
    </row>
    <row r="328" ht="15.75" customHeight="1">
      <c r="F328" s="27"/>
      <c r="G328" s="27"/>
      <c r="I328" s="27"/>
      <c r="J328" s="27"/>
      <c r="K328" s="27"/>
    </row>
    <row r="329" ht="15.75" customHeight="1">
      <c r="F329" s="27"/>
      <c r="G329" s="27"/>
      <c r="I329" s="27"/>
      <c r="J329" s="27"/>
      <c r="K329" s="27"/>
    </row>
    <row r="330" ht="15.75" customHeight="1">
      <c r="F330" s="27"/>
      <c r="G330" s="27"/>
      <c r="I330" s="27"/>
      <c r="J330" s="27"/>
      <c r="K330" s="27"/>
    </row>
    <row r="331" ht="15.75" customHeight="1">
      <c r="F331" s="27"/>
      <c r="G331" s="27"/>
      <c r="I331" s="27"/>
      <c r="J331" s="27"/>
      <c r="K331" s="27"/>
    </row>
    <row r="332" ht="15.75" customHeight="1">
      <c r="F332" s="27"/>
      <c r="G332" s="27"/>
      <c r="I332" s="27"/>
      <c r="J332" s="27"/>
      <c r="K332" s="27"/>
    </row>
    <row r="333" ht="15.75" customHeight="1">
      <c r="F333" s="27"/>
      <c r="G333" s="27"/>
      <c r="I333" s="27"/>
      <c r="J333" s="27"/>
      <c r="K333" s="27"/>
    </row>
    <row r="334" ht="15.75" customHeight="1">
      <c r="F334" s="27"/>
      <c r="G334" s="27"/>
      <c r="I334" s="27"/>
      <c r="J334" s="27"/>
      <c r="K334" s="27"/>
    </row>
    <row r="335" ht="15.75" customHeight="1">
      <c r="F335" s="27"/>
      <c r="G335" s="27"/>
      <c r="I335" s="27"/>
      <c r="J335" s="27"/>
      <c r="K335" s="27"/>
    </row>
    <row r="336" ht="15.75" customHeight="1">
      <c r="F336" s="27"/>
      <c r="G336" s="27"/>
      <c r="I336" s="27"/>
      <c r="J336" s="27"/>
      <c r="K336" s="27"/>
    </row>
    <row r="337" ht="15.75" customHeight="1">
      <c r="F337" s="27"/>
      <c r="G337" s="27"/>
      <c r="I337" s="27"/>
      <c r="J337" s="27"/>
      <c r="K337" s="27"/>
    </row>
    <row r="338" ht="15.75" customHeight="1">
      <c r="F338" s="27"/>
      <c r="G338" s="27"/>
      <c r="I338" s="27"/>
      <c r="J338" s="27"/>
      <c r="K338" s="27"/>
    </row>
    <row r="339" ht="15.75" customHeight="1">
      <c r="F339" s="27"/>
      <c r="G339" s="27"/>
      <c r="I339" s="27"/>
      <c r="J339" s="27"/>
      <c r="K339" s="27"/>
    </row>
    <row r="340" ht="15.75" customHeight="1">
      <c r="F340" s="27"/>
      <c r="G340" s="27"/>
      <c r="I340" s="27"/>
      <c r="J340" s="27"/>
      <c r="K340" s="27"/>
    </row>
    <row r="341" ht="15.75" customHeight="1">
      <c r="F341" s="27"/>
      <c r="G341" s="27"/>
      <c r="I341" s="27"/>
      <c r="J341" s="27"/>
      <c r="K341" s="27"/>
    </row>
    <row r="342" ht="15.75" customHeight="1">
      <c r="F342" s="27"/>
      <c r="G342" s="27"/>
      <c r="I342" s="27"/>
      <c r="J342" s="27"/>
      <c r="K342" s="27"/>
    </row>
    <row r="343" ht="15.75" customHeight="1">
      <c r="F343" s="27"/>
      <c r="G343" s="27"/>
      <c r="I343" s="27"/>
      <c r="J343" s="27"/>
      <c r="K343" s="27"/>
    </row>
    <row r="344" ht="15.75" customHeight="1">
      <c r="F344" s="27"/>
      <c r="G344" s="27"/>
      <c r="I344" s="27"/>
      <c r="J344" s="27"/>
      <c r="K344" s="27"/>
    </row>
    <row r="345" ht="15.75" customHeight="1">
      <c r="F345" s="27"/>
      <c r="G345" s="27"/>
      <c r="I345" s="27"/>
      <c r="J345" s="27"/>
      <c r="K345" s="27"/>
    </row>
    <row r="346" ht="15.75" customHeight="1">
      <c r="F346" s="27"/>
      <c r="G346" s="27"/>
      <c r="I346" s="27"/>
      <c r="J346" s="27"/>
      <c r="K346" s="27"/>
    </row>
    <row r="347" ht="15.75" customHeight="1">
      <c r="F347" s="27"/>
      <c r="G347" s="27"/>
      <c r="I347" s="27"/>
      <c r="J347" s="27"/>
      <c r="K347" s="27"/>
    </row>
    <row r="348" ht="15.75" customHeight="1">
      <c r="F348" s="27"/>
      <c r="G348" s="27"/>
      <c r="I348" s="27"/>
      <c r="J348" s="27"/>
      <c r="K348" s="27"/>
    </row>
    <row r="349" ht="15.75" customHeight="1">
      <c r="F349" s="27"/>
      <c r="G349" s="27"/>
      <c r="I349" s="27"/>
      <c r="J349" s="27"/>
      <c r="K349" s="27"/>
    </row>
    <row r="350" ht="15.75" customHeight="1">
      <c r="F350" s="27"/>
      <c r="G350" s="27"/>
      <c r="I350" s="27"/>
      <c r="J350" s="27"/>
      <c r="K350" s="27"/>
    </row>
    <row r="351" ht="15.75" customHeight="1">
      <c r="F351" s="27"/>
      <c r="G351" s="27"/>
      <c r="I351" s="27"/>
      <c r="J351" s="27"/>
      <c r="K351" s="27"/>
    </row>
    <row r="352" ht="15.75" customHeight="1">
      <c r="F352" s="27"/>
      <c r="G352" s="27"/>
      <c r="I352" s="27"/>
      <c r="J352" s="27"/>
      <c r="K352" s="27"/>
    </row>
    <row r="353" ht="15.75" customHeight="1">
      <c r="F353" s="27"/>
      <c r="G353" s="27"/>
      <c r="I353" s="27"/>
      <c r="J353" s="27"/>
      <c r="K353" s="27"/>
    </row>
    <row r="354" ht="15.75" customHeight="1">
      <c r="F354" s="27"/>
      <c r="G354" s="27"/>
      <c r="I354" s="27"/>
      <c r="J354" s="27"/>
      <c r="K354" s="27"/>
    </row>
    <row r="355" ht="15.75" customHeight="1">
      <c r="F355" s="27"/>
      <c r="G355" s="27"/>
      <c r="I355" s="27"/>
      <c r="J355" s="27"/>
      <c r="K355" s="27"/>
    </row>
    <row r="356" ht="15.75" customHeight="1">
      <c r="F356" s="27"/>
      <c r="G356" s="27"/>
      <c r="I356" s="27"/>
      <c r="J356" s="27"/>
      <c r="K356" s="27"/>
    </row>
    <row r="357" ht="15.75" customHeight="1">
      <c r="F357" s="27"/>
      <c r="G357" s="27"/>
      <c r="I357" s="27"/>
      <c r="J357" s="27"/>
      <c r="K357" s="27"/>
    </row>
    <row r="358" ht="15.75" customHeight="1">
      <c r="F358" s="27"/>
      <c r="G358" s="27"/>
      <c r="I358" s="27"/>
      <c r="J358" s="27"/>
      <c r="K358" s="27"/>
    </row>
    <row r="359" ht="15.75" customHeight="1">
      <c r="F359" s="27"/>
      <c r="G359" s="27"/>
      <c r="I359" s="27"/>
      <c r="J359" s="27"/>
      <c r="K359" s="27"/>
    </row>
    <row r="360" ht="15.75" customHeight="1">
      <c r="F360" s="27"/>
      <c r="G360" s="27"/>
      <c r="I360" s="27"/>
      <c r="J360" s="27"/>
      <c r="K360" s="27"/>
    </row>
    <row r="361" ht="15.75" customHeight="1">
      <c r="F361" s="27"/>
      <c r="G361" s="27"/>
      <c r="I361" s="27"/>
      <c r="J361" s="27"/>
      <c r="K361" s="27"/>
    </row>
    <row r="362" ht="15.75" customHeight="1">
      <c r="F362" s="27"/>
      <c r="G362" s="27"/>
      <c r="I362" s="27"/>
      <c r="J362" s="27"/>
      <c r="K362" s="27"/>
    </row>
    <row r="363" ht="15.75" customHeight="1">
      <c r="F363" s="27"/>
      <c r="G363" s="27"/>
      <c r="I363" s="27"/>
      <c r="J363" s="27"/>
      <c r="K363" s="27"/>
    </row>
    <row r="364" ht="15.75" customHeight="1">
      <c r="F364" s="27"/>
      <c r="G364" s="27"/>
      <c r="I364" s="27"/>
      <c r="J364" s="27"/>
      <c r="K364" s="27"/>
    </row>
    <row r="365" ht="15.75" customHeight="1">
      <c r="F365" s="27"/>
      <c r="G365" s="27"/>
      <c r="I365" s="27"/>
      <c r="J365" s="27"/>
      <c r="K365" s="27"/>
    </row>
    <row r="366" ht="15.75" customHeight="1">
      <c r="F366" s="27"/>
      <c r="G366" s="27"/>
      <c r="I366" s="27"/>
      <c r="J366" s="27"/>
      <c r="K366" s="27"/>
    </row>
    <row r="367" ht="15.75" customHeight="1">
      <c r="F367" s="27"/>
      <c r="G367" s="27"/>
      <c r="I367" s="27"/>
      <c r="J367" s="27"/>
      <c r="K367" s="27"/>
    </row>
    <row r="368" ht="15.75" customHeight="1">
      <c r="F368" s="27"/>
      <c r="G368" s="27"/>
      <c r="I368" s="27"/>
      <c r="J368" s="27"/>
      <c r="K368" s="27"/>
    </row>
    <row r="369" ht="15.75" customHeight="1">
      <c r="F369" s="27"/>
      <c r="G369" s="27"/>
      <c r="I369" s="27"/>
      <c r="J369" s="27"/>
      <c r="K369" s="27"/>
    </row>
    <row r="370" ht="15.75" customHeight="1">
      <c r="F370" s="27"/>
      <c r="G370" s="27"/>
      <c r="I370" s="27"/>
      <c r="J370" s="27"/>
      <c r="K370" s="27"/>
    </row>
    <row r="371" ht="15.75" customHeight="1">
      <c r="F371" s="27"/>
      <c r="G371" s="27"/>
      <c r="I371" s="27"/>
      <c r="J371" s="27"/>
      <c r="K371" s="27"/>
    </row>
    <row r="372" ht="15.75" customHeight="1">
      <c r="F372" s="27"/>
      <c r="G372" s="27"/>
      <c r="I372" s="27"/>
      <c r="J372" s="27"/>
      <c r="K372" s="27"/>
    </row>
    <row r="373" ht="15.75" customHeight="1">
      <c r="F373" s="27"/>
      <c r="G373" s="27"/>
      <c r="I373" s="27"/>
      <c r="J373" s="27"/>
      <c r="K373" s="27"/>
    </row>
    <row r="374" ht="15.75" customHeight="1">
      <c r="F374" s="27"/>
      <c r="G374" s="27"/>
      <c r="I374" s="27"/>
      <c r="J374" s="27"/>
      <c r="K374" s="27"/>
    </row>
    <row r="375" ht="15.75" customHeight="1">
      <c r="F375" s="27"/>
      <c r="G375" s="27"/>
      <c r="I375" s="27"/>
      <c r="J375" s="27"/>
      <c r="K375" s="27"/>
    </row>
    <row r="376" ht="15.75" customHeight="1">
      <c r="F376" s="27"/>
      <c r="G376" s="27"/>
      <c r="I376" s="27"/>
      <c r="J376" s="27"/>
      <c r="K376" s="27"/>
    </row>
    <row r="377" ht="15.75" customHeight="1">
      <c r="F377" s="27"/>
      <c r="G377" s="27"/>
      <c r="I377" s="27"/>
      <c r="J377" s="27"/>
      <c r="K377" s="27"/>
    </row>
    <row r="378" ht="15.75" customHeight="1">
      <c r="F378" s="27"/>
      <c r="G378" s="27"/>
      <c r="I378" s="27"/>
      <c r="J378" s="27"/>
      <c r="K378" s="27"/>
    </row>
    <row r="379" ht="15.75" customHeight="1">
      <c r="F379" s="27"/>
      <c r="G379" s="27"/>
      <c r="I379" s="27"/>
      <c r="J379" s="27"/>
      <c r="K379" s="27"/>
    </row>
    <row r="380" ht="15.75" customHeight="1">
      <c r="F380" s="27"/>
      <c r="G380" s="27"/>
      <c r="I380" s="27"/>
      <c r="J380" s="27"/>
      <c r="K380" s="27"/>
    </row>
    <row r="381" ht="15.75" customHeight="1">
      <c r="F381" s="27"/>
      <c r="G381" s="27"/>
      <c r="I381" s="27"/>
      <c r="J381" s="27"/>
      <c r="K381" s="27"/>
    </row>
    <row r="382" ht="15.75" customHeight="1">
      <c r="F382" s="27"/>
      <c r="G382" s="27"/>
      <c r="I382" s="27"/>
      <c r="J382" s="27"/>
      <c r="K382" s="27"/>
    </row>
    <row r="383" ht="15.75" customHeight="1">
      <c r="F383" s="27"/>
      <c r="G383" s="27"/>
      <c r="I383" s="27"/>
      <c r="J383" s="27"/>
      <c r="K383" s="27"/>
    </row>
    <row r="384" ht="15.75" customHeight="1">
      <c r="F384" s="27"/>
      <c r="G384" s="27"/>
      <c r="I384" s="27"/>
      <c r="J384" s="27"/>
      <c r="K384" s="27"/>
    </row>
    <row r="385" ht="15.75" customHeight="1">
      <c r="F385" s="27"/>
      <c r="G385" s="27"/>
      <c r="I385" s="27"/>
      <c r="J385" s="27"/>
      <c r="K385" s="27"/>
    </row>
    <row r="386" ht="15.75" customHeight="1">
      <c r="F386" s="27"/>
      <c r="G386" s="27"/>
      <c r="I386" s="27"/>
      <c r="J386" s="27"/>
      <c r="K386" s="27"/>
    </row>
    <row r="387" ht="15.75" customHeight="1">
      <c r="F387" s="27"/>
      <c r="G387" s="27"/>
      <c r="I387" s="27"/>
      <c r="J387" s="27"/>
      <c r="K387" s="27"/>
    </row>
    <row r="388" ht="15.75" customHeight="1">
      <c r="F388" s="27"/>
      <c r="G388" s="27"/>
      <c r="I388" s="27"/>
      <c r="J388" s="27"/>
      <c r="K388" s="27"/>
    </row>
    <row r="389" ht="15.75" customHeight="1">
      <c r="F389" s="27"/>
      <c r="G389" s="27"/>
      <c r="I389" s="27"/>
      <c r="J389" s="27"/>
      <c r="K389" s="27"/>
    </row>
    <row r="390" ht="15.75" customHeight="1">
      <c r="F390" s="27"/>
      <c r="G390" s="27"/>
      <c r="I390" s="27"/>
      <c r="J390" s="27"/>
      <c r="K390" s="27"/>
    </row>
    <row r="391" ht="15.75" customHeight="1">
      <c r="F391" s="27"/>
      <c r="G391" s="27"/>
      <c r="I391" s="27"/>
      <c r="J391" s="27"/>
      <c r="K391" s="27"/>
    </row>
    <row r="392" ht="15.75" customHeight="1">
      <c r="F392" s="27"/>
      <c r="G392" s="27"/>
      <c r="I392" s="27"/>
      <c r="J392" s="27"/>
      <c r="K392" s="27"/>
    </row>
    <row r="393" ht="15.75" customHeight="1">
      <c r="F393" s="27"/>
      <c r="G393" s="27"/>
      <c r="I393" s="27"/>
      <c r="J393" s="27"/>
      <c r="K393" s="27"/>
    </row>
    <row r="394" ht="15.75" customHeight="1">
      <c r="F394" s="27"/>
      <c r="G394" s="27"/>
      <c r="I394" s="27"/>
      <c r="J394" s="27"/>
      <c r="K394" s="27"/>
    </row>
    <row r="395" ht="15.75" customHeight="1">
      <c r="F395" s="27"/>
      <c r="G395" s="27"/>
      <c r="I395" s="27"/>
      <c r="J395" s="27"/>
      <c r="K395" s="27"/>
    </row>
    <row r="396" ht="15.75" customHeight="1">
      <c r="F396" s="27"/>
      <c r="G396" s="27"/>
      <c r="I396" s="27"/>
      <c r="J396" s="27"/>
      <c r="K396" s="27"/>
    </row>
    <row r="397" ht="15.75" customHeight="1">
      <c r="F397" s="27"/>
      <c r="G397" s="27"/>
      <c r="I397" s="27"/>
      <c r="J397" s="27"/>
      <c r="K397" s="27"/>
    </row>
    <row r="398" ht="15.75" customHeight="1">
      <c r="F398" s="27"/>
      <c r="G398" s="27"/>
      <c r="I398" s="27"/>
      <c r="J398" s="27"/>
      <c r="K398" s="27"/>
    </row>
    <row r="399" ht="15.75" customHeight="1">
      <c r="F399" s="27"/>
      <c r="G399" s="27"/>
      <c r="I399" s="27"/>
      <c r="J399" s="27"/>
      <c r="K399" s="27"/>
    </row>
    <row r="400" ht="15.75" customHeight="1">
      <c r="F400" s="27"/>
      <c r="G400" s="27"/>
      <c r="I400" s="27"/>
      <c r="J400" s="27"/>
      <c r="K400" s="27"/>
    </row>
    <row r="401" ht="15.75" customHeight="1">
      <c r="F401" s="27"/>
      <c r="G401" s="27"/>
      <c r="I401" s="27"/>
      <c r="J401" s="27"/>
      <c r="K401" s="27"/>
    </row>
    <row r="402" ht="15.75" customHeight="1">
      <c r="F402" s="27"/>
      <c r="G402" s="27"/>
      <c r="I402" s="27"/>
      <c r="J402" s="27"/>
      <c r="K402" s="27"/>
    </row>
    <row r="403" ht="15.75" customHeight="1">
      <c r="F403" s="27"/>
      <c r="G403" s="27"/>
      <c r="I403" s="27"/>
      <c r="J403" s="27"/>
      <c r="K403" s="27"/>
    </row>
    <row r="404" ht="15.75" customHeight="1">
      <c r="F404" s="27"/>
      <c r="G404" s="27"/>
      <c r="I404" s="27"/>
      <c r="J404" s="27"/>
      <c r="K404" s="27"/>
    </row>
    <row r="405" ht="15.75" customHeight="1">
      <c r="F405" s="27"/>
      <c r="G405" s="27"/>
      <c r="I405" s="27"/>
      <c r="J405" s="27"/>
      <c r="K405" s="27"/>
    </row>
    <row r="406" ht="15.75" customHeight="1">
      <c r="F406" s="27"/>
      <c r="G406" s="27"/>
      <c r="I406" s="27"/>
      <c r="J406" s="27"/>
      <c r="K406" s="27"/>
    </row>
    <row r="407" ht="15.75" customHeight="1">
      <c r="F407" s="27"/>
      <c r="G407" s="27"/>
      <c r="I407" s="27"/>
      <c r="J407" s="27"/>
      <c r="K407" s="27"/>
    </row>
    <row r="408" ht="15.75" customHeight="1">
      <c r="F408" s="27"/>
      <c r="G408" s="27"/>
      <c r="I408" s="27"/>
      <c r="J408" s="27"/>
      <c r="K408" s="27"/>
    </row>
    <row r="409" ht="15.75" customHeight="1">
      <c r="F409" s="27"/>
      <c r="G409" s="27"/>
      <c r="I409" s="27"/>
      <c r="J409" s="27"/>
      <c r="K409" s="27"/>
    </row>
    <row r="410" ht="15.75" customHeight="1">
      <c r="F410" s="27"/>
      <c r="G410" s="27"/>
      <c r="I410" s="27"/>
      <c r="J410" s="27"/>
      <c r="K410" s="27"/>
    </row>
    <row r="411" ht="15.75" customHeight="1">
      <c r="F411" s="27"/>
      <c r="G411" s="27"/>
      <c r="I411" s="27"/>
      <c r="J411" s="27"/>
      <c r="K411" s="27"/>
    </row>
    <row r="412" ht="15.75" customHeight="1">
      <c r="F412" s="27"/>
      <c r="G412" s="27"/>
      <c r="I412" s="27"/>
      <c r="J412" s="27"/>
      <c r="K412" s="27"/>
    </row>
    <row r="413" ht="15.75" customHeight="1">
      <c r="F413" s="27"/>
      <c r="G413" s="27"/>
      <c r="I413" s="27"/>
      <c r="J413" s="27"/>
      <c r="K413" s="27"/>
    </row>
    <row r="414" ht="15.75" customHeight="1">
      <c r="F414" s="27"/>
      <c r="G414" s="27"/>
      <c r="I414" s="27"/>
      <c r="J414" s="27"/>
      <c r="K414" s="27"/>
    </row>
    <row r="415" ht="15.75" customHeight="1">
      <c r="F415" s="27"/>
      <c r="G415" s="27"/>
      <c r="I415" s="27"/>
      <c r="J415" s="27"/>
      <c r="K415" s="27"/>
    </row>
    <row r="416" ht="15.75" customHeight="1">
      <c r="F416" s="27"/>
      <c r="G416" s="27"/>
      <c r="I416" s="27"/>
      <c r="J416" s="27"/>
      <c r="K416" s="27"/>
    </row>
    <row r="417" ht="15.75" customHeight="1">
      <c r="F417" s="27"/>
      <c r="G417" s="27"/>
      <c r="I417" s="27"/>
      <c r="J417" s="27"/>
      <c r="K417" s="27"/>
    </row>
    <row r="418" ht="15.75" customHeight="1">
      <c r="F418" s="27"/>
      <c r="G418" s="27"/>
      <c r="I418" s="27"/>
      <c r="J418" s="27"/>
      <c r="K418" s="27"/>
    </row>
    <row r="419" ht="15.75" customHeight="1">
      <c r="F419" s="27"/>
      <c r="G419" s="27"/>
      <c r="I419" s="27"/>
      <c r="J419" s="27"/>
      <c r="K419" s="27"/>
    </row>
    <row r="420" ht="15.75" customHeight="1">
      <c r="F420" s="27"/>
      <c r="G420" s="27"/>
      <c r="I420" s="27"/>
      <c r="J420" s="27"/>
      <c r="K420" s="27"/>
    </row>
    <row r="421" ht="15.75" customHeight="1">
      <c r="F421" s="27"/>
      <c r="G421" s="27"/>
      <c r="I421" s="27"/>
      <c r="J421" s="27"/>
      <c r="K421" s="27"/>
    </row>
    <row r="422" ht="15.75" customHeight="1">
      <c r="F422" s="27"/>
      <c r="G422" s="27"/>
      <c r="I422" s="27"/>
      <c r="J422" s="27"/>
      <c r="K422" s="27"/>
    </row>
    <row r="423" ht="15.75" customHeight="1">
      <c r="F423" s="27"/>
      <c r="G423" s="27"/>
      <c r="I423" s="27"/>
      <c r="J423" s="27"/>
      <c r="K423" s="27"/>
    </row>
    <row r="424" ht="15.75" customHeight="1">
      <c r="F424" s="27"/>
      <c r="G424" s="27"/>
      <c r="I424" s="27"/>
      <c r="J424" s="27"/>
      <c r="K424" s="27"/>
    </row>
    <row r="425" ht="15.75" customHeight="1">
      <c r="F425" s="27"/>
      <c r="G425" s="27"/>
      <c r="I425" s="27"/>
      <c r="J425" s="27"/>
      <c r="K425" s="27"/>
    </row>
    <row r="426" ht="15.75" customHeight="1">
      <c r="F426" s="27"/>
      <c r="G426" s="27"/>
      <c r="I426" s="27"/>
      <c r="J426" s="27"/>
      <c r="K426" s="27"/>
    </row>
    <row r="427" ht="15.75" customHeight="1">
      <c r="F427" s="27"/>
      <c r="G427" s="27"/>
      <c r="I427" s="27"/>
      <c r="J427" s="27"/>
      <c r="K427" s="27"/>
    </row>
    <row r="428" ht="15.75" customHeight="1">
      <c r="F428" s="27"/>
      <c r="G428" s="27"/>
      <c r="I428" s="27"/>
      <c r="J428" s="27"/>
      <c r="K428" s="27"/>
    </row>
    <row r="429" ht="15.75" customHeight="1">
      <c r="F429" s="27"/>
      <c r="G429" s="27"/>
      <c r="I429" s="27"/>
      <c r="J429" s="27"/>
      <c r="K429" s="27"/>
    </row>
    <row r="430" ht="15.75" customHeight="1">
      <c r="F430" s="27"/>
      <c r="G430" s="27"/>
      <c r="I430" s="27"/>
      <c r="J430" s="27"/>
      <c r="K430" s="27"/>
    </row>
    <row r="431" ht="15.75" customHeight="1">
      <c r="F431" s="27"/>
      <c r="G431" s="27"/>
      <c r="I431" s="27"/>
      <c r="J431" s="27"/>
      <c r="K431" s="27"/>
    </row>
    <row r="432" ht="15.75" customHeight="1">
      <c r="F432" s="27"/>
      <c r="G432" s="27"/>
      <c r="I432" s="27"/>
      <c r="J432" s="27"/>
      <c r="K432" s="27"/>
    </row>
    <row r="433" ht="15.75" customHeight="1">
      <c r="F433" s="27"/>
      <c r="G433" s="27"/>
      <c r="I433" s="27"/>
      <c r="J433" s="27"/>
      <c r="K433" s="27"/>
    </row>
    <row r="434" ht="15.75" customHeight="1">
      <c r="F434" s="27"/>
      <c r="G434" s="27"/>
      <c r="I434" s="27"/>
      <c r="J434" s="27"/>
      <c r="K434" s="27"/>
    </row>
    <row r="435" ht="15.75" customHeight="1">
      <c r="F435" s="27"/>
      <c r="G435" s="27"/>
      <c r="I435" s="27"/>
      <c r="J435" s="27"/>
      <c r="K435" s="27"/>
    </row>
    <row r="436" ht="15.75" customHeight="1">
      <c r="F436" s="27"/>
      <c r="G436" s="27"/>
      <c r="I436" s="27"/>
      <c r="J436" s="27"/>
      <c r="K436" s="27"/>
    </row>
    <row r="437" ht="15.75" customHeight="1">
      <c r="F437" s="27"/>
      <c r="G437" s="27"/>
      <c r="I437" s="27"/>
      <c r="J437" s="27"/>
      <c r="K437" s="27"/>
    </row>
    <row r="438" ht="15.75" customHeight="1">
      <c r="F438" s="27"/>
      <c r="G438" s="27"/>
      <c r="I438" s="27"/>
      <c r="J438" s="27"/>
      <c r="K438" s="27"/>
    </row>
    <row r="439" ht="15.75" customHeight="1">
      <c r="F439" s="27"/>
      <c r="G439" s="27"/>
      <c r="I439" s="27"/>
      <c r="J439" s="27"/>
      <c r="K439" s="27"/>
    </row>
    <row r="440" ht="15.75" customHeight="1">
      <c r="F440" s="27"/>
      <c r="G440" s="27"/>
      <c r="I440" s="27"/>
      <c r="J440" s="27"/>
      <c r="K440" s="27"/>
    </row>
    <row r="441" ht="15.75" customHeight="1">
      <c r="F441" s="27"/>
      <c r="G441" s="27"/>
      <c r="I441" s="27"/>
      <c r="J441" s="27"/>
      <c r="K441" s="27"/>
    </row>
    <row r="442" ht="15.75" customHeight="1">
      <c r="F442" s="27"/>
      <c r="G442" s="27"/>
      <c r="I442" s="27"/>
      <c r="J442" s="27"/>
      <c r="K442" s="27"/>
    </row>
    <row r="443" ht="15.75" customHeight="1">
      <c r="F443" s="27"/>
      <c r="G443" s="27"/>
      <c r="I443" s="27"/>
      <c r="J443" s="27"/>
      <c r="K443" s="27"/>
    </row>
    <row r="444" ht="15.75" customHeight="1">
      <c r="F444" s="27"/>
      <c r="G444" s="27"/>
      <c r="I444" s="27"/>
      <c r="J444" s="27"/>
      <c r="K444" s="27"/>
    </row>
    <row r="445" ht="15.75" customHeight="1">
      <c r="F445" s="27"/>
      <c r="G445" s="27"/>
      <c r="I445" s="27"/>
      <c r="J445" s="27"/>
      <c r="K445" s="27"/>
    </row>
    <row r="446" ht="15.75" customHeight="1">
      <c r="F446" s="27"/>
      <c r="G446" s="27"/>
      <c r="I446" s="27"/>
      <c r="J446" s="27"/>
      <c r="K446" s="27"/>
    </row>
    <row r="447" ht="15.75" customHeight="1">
      <c r="F447" s="27"/>
      <c r="G447" s="27"/>
      <c r="I447" s="27"/>
      <c r="J447" s="27"/>
      <c r="K447" s="27"/>
    </row>
    <row r="448" ht="15.75" customHeight="1">
      <c r="F448" s="27"/>
      <c r="G448" s="27"/>
      <c r="I448" s="27"/>
      <c r="J448" s="27"/>
      <c r="K448" s="27"/>
    </row>
    <row r="449" ht="15.75" customHeight="1">
      <c r="F449" s="27"/>
      <c r="G449" s="27"/>
      <c r="I449" s="27"/>
      <c r="J449" s="27"/>
      <c r="K449" s="27"/>
    </row>
    <row r="450" ht="15.75" customHeight="1">
      <c r="F450" s="27"/>
      <c r="G450" s="27"/>
      <c r="I450" s="27"/>
      <c r="J450" s="27"/>
      <c r="K450" s="27"/>
    </row>
    <row r="451" ht="15.75" customHeight="1">
      <c r="F451" s="27"/>
      <c r="G451" s="27"/>
      <c r="I451" s="27"/>
      <c r="J451" s="27"/>
      <c r="K451" s="27"/>
    </row>
    <row r="452" ht="15.75" customHeight="1">
      <c r="F452" s="27"/>
      <c r="G452" s="27"/>
      <c r="I452" s="27"/>
      <c r="J452" s="27"/>
      <c r="K452" s="27"/>
    </row>
    <row r="453" ht="15.75" customHeight="1">
      <c r="F453" s="27"/>
      <c r="G453" s="27"/>
      <c r="I453" s="27"/>
      <c r="J453" s="27"/>
      <c r="K453" s="27"/>
    </row>
    <row r="454" ht="15.75" customHeight="1">
      <c r="F454" s="27"/>
      <c r="G454" s="27"/>
      <c r="I454" s="27"/>
      <c r="J454" s="27"/>
      <c r="K454" s="27"/>
    </row>
    <row r="455" ht="15.75" customHeight="1">
      <c r="F455" s="27"/>
      <c r="G455" s="27"/>
      <c r="I455" s="27"/>
      <c r="J455" s="27"/>
      <c r="K455" s="27"/>
    </row>
    <row r="456" ht="15.75" customHeight="1">
      <c r="F456" s="27"/>
      <c r="G456" s="27"/>
      <c r="I456" s="27"/>
      <c r="J456" s="27"/>
      <c r="K456" s="27"/>
    </row>
    <row r="457" ht="15.75" customHeight="1">
      <c r="F457" s="27"/>
      <c r="G457" s="27"/>
      <c r="I457" s="27"/>
      <c r="J457" s="27"/>
      <c r="K457" s="27"/>
    </row>
    <row r="458" ht="15.75" customHeight="1">
      <c r="F458" s="27"/>
      <c r="G458" s="27"/>
      <c r="I458" s="27"/>
      <c r="J458" s="27"/>
      <c r="K458" s="27"/>
    </row>
    <row r="459" ht="15.75" customHeight="1">
      <c r="F459" s="27"/>
      <c r="G459" s="27"/>
      <c r="I459" s="27"/>
      <c r="J459" s="27"/>
      <c r="K459" s="27"/>
    </row>
    <row r="460" ht="15.75" customHeight="1">
      <c r="F460" s="27"/>
      <c r="G460" s="27"/>
      <c r="I460" s="27"/>
      <c r="J460" s="27"/>
      <c r="K460" s="27"/>
    </row>
    <row r="461" ht="15.75" customHeight="1">
      <c r="F461" s="27"/>
      <c r="G461" s="27"/>
      <c r="I461" s="27"/>
      <c r="J461" s="27"/>
      <c r="K461" s="27"/>
    </row>
    <row r="462" ht="15.75" customHeight="1">
      <c r="F462" s="27"/>
      <c r="G462" s="27"/>
      <c r="I462" s="27"/>
      <c r="J462" s="27"/>
      <c r="K462" s="27"/>
    </row>
    <row r="463" ht="15.75" customHeight="1">
      <c r="F463" s="27"/>
      <c r="G463" s="27"/>
      <c r="I463" s="27"/>
      <c r="J463" s="27"/>
      <c r="K463" s="27"/>
    </row>
    <row r="464" ht="15.75" customHeight="1">
      <c r="F464" s="27"/>
      <c r="G464" s="27"/>
      <c r="I464" s="27"/>
      <c r="J464" s="27"/>
      <c r="K464" s="27"/>
    </row>
    <row r="465" ht="15.75" customHeight="1">
      <c r="F465" s="27"/>
      <c r="G465" s="27"/>
      <c r="I465" s="27"/>
      <c r="J465" s="27"/>
      <c r="K465" s="27"/>
    </row>
    <row r="466" ht="15.75" customHeight="1">
      <c r="F466" s="27"/>
      <c r="G466" s="27"/>
      <c r="I466" s="27"/>
      <c r="J466" s="27"/>
      <c r="K466" s="27"/>
    </row>
    <row r="467" ht="15.75" customHeight="1">
      <c r="F467" s="27"/>
      <c r="G467" s="27"/>
      <c r="I467" s="27"/>
      <c r="J467" s="27"/>
      <c r="K467" s="27"/>
    </row>
    <row r="468" ht="15.75" customHeight="1">
      <c r="F468" s="27"/>
      <c r="G468" s="27"/>
      <c r="I468" s="27"/>
      <c r="J468" s="27"/>
      <c r="K468" s="27"/>
    </row>
    <row r="469" ht="15.75" customHeight="1">
      <c r="F469" s="27"/>
      <c r="G469" s="27"/>
      <c r="I469" s="27"/>
      <c r="J469" s="27"/>
      <c r="K469" s="27"/>
    </row>
    <row r="470" ht="15.75" customHeight="1">
      <c r="F470" s="27"/>
      <c r="G470" s="27"/>
      <c r="I470" s="27"/>
      <c r="J470" s="27"/>
      <c r="K470" s="27"/>
    </row>
    <row r="471" ht="15.75" customHeight="1">
      <c r="F471" s="27"/>
      <c r="G471" s="27"/>
      <c r="I471" s="27"/>
      <c r="J471" s="27"/>
      <c r="K471" s="27"/>
    </row>
    <row r="472" ht="15.75" customHeight="1">
      <c r="F472" s="27"/>
      <c r="G472" s="27"/>
      <c r="I472" s="27"/>
      <c r="J472" s="27"/>
      <c r="K472" s="27"/>
    </row>
    <row r="473" ht="15.75" customHeight="1">
      <c r="F473" s="27"/>
      <c r="G473" s="27"/>
      <c r="I473" s="27"/>
      <c r="J473" s="27"/>
      <c r="K473" s="27"/>
    </row>
    <row r="474" ht="15.75" customHeight="1">
      <c r="F474" s="27"/>
      <c r="G474" s="27"/>
      <c r="I474" s="27"/>
      <c r="J474" s="27"/>
      <c r="K474" s="27"/>
    </row>
    <row r="475" ht="15.75" customHeight="1">
      <c r="F475" s="27"/>
      <c r="G475" s="27"/>
      <c r="I475" s="27"/>
      <c r="J475" s="27"/>
      <c r="K475" s="27"/>
    </row>
    <row r="476" ht="15.75" customHeight="1">
      <c r="F476" s="27"/>
      <c r="G476" s="27"/>
      <c r="I476" s="27"/>
      <c r="J476" s="27"/>
      <c r="K476" s="27"/>
    </row>
    <row r="477" ht="15.75" customHeight="1">
      <c r="F477" s="27"/>
      <c r="G477" s="27"/>
      <c r="I477" s="27"/>
      <c r="J477" s="27"/>
      <c r="K477" s="27"/>
    </row>
    <row r="478" ht="15.75" customHeight="1">
      <c r="F478" s="27"/>
      <c r="G478" s="27"/>
      <c r="I478" s="27"/>
      <c r="J478" s="27"/>
      <c r="K478" s="27"/>
    </row>
    <row r="479" ht="15.75" customHeight="1">
      <c r="F479" s="27"/>
      <c r="G479" s="27"/>
      <c r="I479" s="27"/>
      <c r="J479" s="27"/>
      <c r="K479" s="27"/>
    </row>
    <row r="480" ht="15.75" customHeight="1">
      <c r="F480" s="27"/>
      <c r="G480" s="27"/>
      <c r="I480" s="27"/>
      <c r="J480" s="27"/>
      <c r="K480" s="27"/>
    </row>
    <row r="481" ht="15.75" customHeight="1">
      <c r="F481" s="27"/>
      <c r="G481" s="27"/>
      <c r="I481" s="27"/>
      <c r="J481" s="27"/>
      <c r="K481" s="27"/>
    </row>
    <row r="482" ht="15.75" customHeight="1">
      <c r="F482" s="27"/>
      <c r="G482" s="27"/>
      <c r="I482" s="27"/>
      <c r="J482" s="27"/>
      <c r="K482" s="27"/>
    </row>
    <row r="483" ht="15.75" customHeight="1">
      <c r="F483" s="27"/>
      <c r="G483" s="27"/>
      <c r="I483" s="27"/>
      <c r="J483" s="27"/>
      <c r="K483" s="27"/>
    </row>
    <row r="484" ht="15.75" customHeight="1">
      <c r="F484" s="27"/>
      <c r="G484" s="27"/>
      <c r="I484" s="27"/>
      <c r="J484" s="27"/>
      <c r="K484" s="27"/>
    </row>
    <row r="485" ht="15.75" customHeight="1">
      <c r="F485" s="27"/>
      <c r="G485" s="27"/>
      <c r="I485" s="27"/>
      <c r="J485" s="27"/>
      <c r="K485" s="27"/>
    </row>
    <row r="486" ht="15.75" customHeight="1">
      <c r="F486" s="27"/>
      <c r="G486" s="27"/>
      <c r="I486" s="27"/>
      <c r="J486" s="27"/>
      <c r="K486" s="27"/>
    </row>
    <row r="487" ht="15.75" customHeight="1">
      <c r="F487" s="27"/>
      <c r="G487" s="27"/>
      <c r="I487" s="27"/>
      <c r="J487" s="27"/>
      <c r="K487" s="27"/>
    </row>
    <row r="488" ht="15.75" customHeight="1">
      <c r="F488" s="27"/>
      <c r="G488" s="27"/>
      <c r="I488" s="27"/>
      <c r="J488" s="27"/>
      <c r="K488" s="27"/>
    </row>
    <row r="489" ht="15.75" customHeight="1">
      <c r="F489" s="27"/>
      <c r="G489" s="27"/>
      <c r="I489" s="27"/>
      <c r="J489" s="27"/>
      <c r="K489" s="27"/>
    </row>
    <row r="490" ht="15.75" customHeight="1">
      <c r="F490" s="27"/>
      <c r="G490" s="27"/>
      <c r="I490" s="27"/>
      <c r="J490" s="27"/>
      <c r="K490" s="27"/>
    </row>
    <row r="491" ht="15.75" customHeight="1">
      <c r="F491" s="27"/>
      <c r="G491" s="27"/>
      <c r="I491" s="27"/>
      <c r="J491" s="27"/>
      <c r="K491" s="27"/>
    </row>
    <row r="492" ht="15.75" customHeight="1">
      <c r="F492" s="27"/>
      <c r="G492" s="27"/>
      <c r="I492" s="27"/>
      <c r="J492" s="27"/>
      <c r="K492" s="27"/>
    </row>
    <row r="493" ht="15.75" customHeight="1">
      <c r="F493" s="27"/>
      <c r="G493" s="27"/>
      <c r="I493" s="27"/>
      <c r="J493" s="27"/>
      <c r="K493" s="27"/>
    </row>
    <row r="494" ht="15.75" customHeight="1">
      <c r="F494" s="27"/>
      <c r="G494" s="27"/>
      <c r="I494" s="27"/>
      <c r="J494" s="27"/>
      <c r="K494" s="27"/>
    </row>
    <row r="495" ht="15.75" customHeight="1">
      <c r="F495" s="27"/>
      <c r="G495" s="27"/>
      <c r="I495" s="27"/>
      <c r="J495" s="27"/>
      <c r="K495" s="27"/>
    </row>
    <row r="496" ht="15.75" customHeight="1">
      <c r="F496" s="27"/>
      <c r="G496" s="27"/>
      <c r="I496" s="27"/>
      <c r="J496" s="27"/>
      <c r="K496" s="27"/>
    </row>
    <row r="497" ht="15.75" customHeight="1">
      <c r="F497" s="27"/>
      <c r="G497" s="27"/>
      <c r="I497" s="27"/>
      <c r="J497" s="27"/>
      <c r="K497" s="27"/>
    </row>
    <row r="498" ht="15.75" customHeight="1">
      <c r="F498" s="27"/>
      <c r="G498" s="27"/>
      <c r="I498" s="27"/>
      <c r="J498" s="27"/>
      <c r="K498" s="27"/>
    </row>
    <row r="499" ht="15.75" customHeight="1">
      <c r="F499" s="27"/>
      <c r="G499" s="27"/>
      <c r="I499" s="27"/>
      <c r="J499" s="27"/>
      <c r="K499" s="27"/>
    </row>
    <row r="500" ht="15.75" customHeight="1">
      <c r="F500" s="27"/>
      <c r="G500" s="27"/>
      <c r="I500" s="27"/>
      <c r="J500" s="27"/>
      <c r="K500" s="27"/>
    </row>
    <row r="501" ht="15.75" customHeight="1">
      <c r="F501" s="27"/>
      <c r="G501" s="27"/>
      <c r="I501" s="27"/>
      <c r="J501" s="27"/>
      <c r="K501" s="27"/>
    </row>
    <row r="502" ht="15.75" customHeight="1">
      <c r="F502" s="27"/>
      <c r="G502" s="27"/>
      <c r="I502" s="27"/>
      <c r="J502" s="27"/>
      <c r="K502" s="27"/>
    </row>
    <row r="503" ht="15.75" customHeight="1">
      <c r="F503" s="27"/>
      <c r="G503" s="27"/>
      <c r="I503" s="27"/>
      <c r="J503" s="27"/>
      <c r="K503" s="27"/>
    </row>
    <row r="504" ht="15.75" customHeight="1">
      <c r="F504" s="27"/>
      <c r="G504" s="27"/>
      <c r="I504" s="27"/>
      <c r="J504" s="27"/>
      <c r="K504" s="27"/>
    </row>
    <row r="505" ht="15.75" customHeight="1">
      <c r="F505" s="27"/>
      <c r="G505" s="27"/>
      <c r="I505" s="27"/>
      <c r="J505" s="27"/>
      <c r="K505" s="27"/>
    </row>
    <row r="506" ht="15.75" customHeight="1">
      <c r="F506" s="27"/>
      <c r="G506" s="27"/>
      <c r="I506" s="27"/>
      <c r="J506" s="27"/>
      <c r="K506" s="27"/>
    </row>
    <row r="507" ht="15.75" customHeight="1">
      <c r="F507" s="27"/>
      <c r="G507" s="27"/>
      <c r="I507" s="27"/>
      <c r="J507" s="27"/>
      <c r="K507" s="27"/>
    </row>
    <row r="508" ht="15.75" customHeight="1">
      <c r="F508" s="27"/>
      <c r="G508" s="27"/>
      <c r="I508" s="27"/>
      <c r="J508" s="27"/>
      <c r="K508" s="27"/>
    </row>
    <row r="509" ht="15.75" customHeight="1">
      <c r="F509" s="27"/>
      <c r="G509" s="27"/>
      <c r="I509" s="27"/>
      <c r="J509" s="27"/>
      <c r="K509" s="27"/>
    </row>
    <row r="510" ht="15.75" customHeight="1">
      <c r="F510" s="27"/>
      <c r="G510" s="27"/>
      <c r="I510" s="27"/>
      <c r="J510" s="27"/>
      <c r="K510" s="27"/>
    </row>
    <row r="511" ht="15.75" customHeight="1">
      <c r="F511" s="27"/>
      <c r="G511" s="27"/>
      <c r="I511" s="27"/>
      <c r="J511" s="27"/>
      <c r="K511" s="27"/>
    </row>
    <row r="512" ht="15.75" customHeight="1">
      <c r="F512" s="27"/>
      <c r="G512" s="27"/>
      <c r="I512" s="27"/>
      <c r="J512" s="27"/>
      <c r="K512" s="27"/>
    </row>
    <row r="513" ht="15.75" customHeight="1">
      <c r="F513" s="27"/>
      <c r="G513" s="27"/>
      <c r="I513" s="27"/>
      <c r="J513" s="27"/>
      <c r="K513" s="27"/>
    </row>
    <row r="514" ht="15.75" customHeight="1">
      <c r="F514" s="27"/>
      <c r="G514" s="27"/>
      <c r="I514" s="27"/>
      <c r="J514" s="27"/>
      <c r="K514" s="27"/>
    </row>
    <row r="515" ht="15.75" customHeight="1">
      <c r="F515" s="27"/>
      <c r="G515" s="27"/>
      <c r="I515" s="27"/>
      <c r="J515" s="27"/>
      <c r="K515" s="27"/>
    </row>
    <row r="516" ht="15.75" customHeight="1">
      <c r="F516" s="27"/>
      <c r="G516" s="27"/>
      <c r="I516" s="27"/>
      <c r="J516" s="27"/>
      <c r="K516" s="27"/>
    </row>
    <row r="517" ht="15.75" customHeight="1">
      <c r="F517" s="27"/>
      <c r="G517" s="27"/>
      <c r="I517" s="27"/>
      <c r="J517" s="27"/>
      <c r="K517" s="27"/>
    </row>
    <row r="518" ht="15.75" customHeight="1">
      <c r="F518" s="27"/>
      <c r="G518" s="27"/>
      <c r="I518" s="27"/>
      <c r="J518" s="27"/>
      <c r="K518" s="27"/>
    </row>
    <row r="519" ht="15.75" customHeight="1">
      <c r="F519" s="27"/>
      <c r="G519" s="27"/>
      <c r="I519" s="27"/>
      <c r="J519" s="27"/>
      <c r="K519" s="27"/>
    </row>
    <row r="520" ht="15.75" customHeight="1">
      <c r="F520" s="27"/>
      <c r="G520" s="27"/>
      <c r="I520" s="27"/>
      <c r="J520" s="27"/>
      <c r="K520" s="27"/>
    </row>
    <row r="521" ht="15.75" customHeight="1">
      <c r="F521" s="27"/>
      <c r="G521" s="27"/>
      <c r="I521" s="27"/>
      <c r="J521" s="27"/>
      <c r="K521" s="27"/>
    </row>
    <row r="522" ht="15.75" customHeight="1">
      <c r="F522" s="27"/>
      <c r="G522" s="27"/>
      <c r="I522" s="27"/>
      <c r="J522" s="27"/>
      <c r="K522" s="27"/>
    </row>
    <row r="523" ht="15.75" customHeight="1">
      <c r="F523" s="27"/>
      <c r="G523" s="27"/>
      <c r="I523" s="27"/>
      <c r="J523" s="27"/>
      <c r="K523" s="27"/>
    </row>
    <row r="524" ht="15.75" customHeight="1">
      <c r="F524" s="27"/>
      <c r="G524" s="27"/>
      <c r="I524" s="27"/>
      <c r="J524" s="27"/>
      <c r="K524" s="27"/>
    </row>
    <row r="525" ht="15.75" customHeight="1">
      <c r="F525" s="27"/>
      <c r="G525" s="27"/>
      <c r="I525" s="27"/>
      <c r="J525" s="27"/>
      <c r="K525" s="27"/>
    </row>
    <row r="526" ht="15.75" customHeight="1">
      <c r="F526" s="27"/>
      <c r="G526" s="27"/>
      <c r="I526" s="27"/>
      <c r="J526" s="27"/>
      <c r="K526" s="27"/>
    </row>
    <row r="527" ht="15.75" customHeight="1">
      <c r="F527" s="27"/>
      <c r="G527" s="27"/>
      <c r="I527" s="27"/>
      <c r="J527" s="27"/>
      <c r="K527" s="27"/>
    </row>
    <row r="528" ht="15.75" customHeight="1">
      <c r="F528" s="27"/>
      <c r="G528" s="27"/>
      <c r="I528" s="27"/>
      <c r="J528" s="27"/>
      <c r="K528" s="27"/>
    </row>
    <row r="529" ht="15.75" customHeight="1">
      <c r="F529" s="27"/>
      <c r="G529" s="27"/>
      <c r="I529" s="27"/>
      <c r="J529" s="27"/>
      <c r="K529" s="27"/>
    </row>
    <row r="530" ht="15.75" customHeight="1">
      <c r="F530" s="27"/>
      <c r="G530" s="27"/>
      <c r="I530" s="27"/>
      <c r="J530" s="27"/>
      <c r="K530" s="27"/>
    </row>
    <row r="531" ht="15.75" customHeight="1">
      <c r="F531" s="27"/>
      <c r="G531" s="27"/>
      <c r="I531" s="27"/>
      <c r="J531" s="27"/>
      <c r="K531" s="27"/>
    </row>
    <row r="532" ht="15.75" customHeight="1">
      <c r="F532" s="27"/>
      <c r="G532" s="27"/>
      <c r="I532" s="27"/>
      <c r="J532" s="27"/>
      <c r="K532" s="27"/>
    </row>
    <row r="533" ht="15.75" customHeight="1">
      <c r="F533" s="27"/>
      <c r="G533" s="27"/>
      <c r="I533" s="27"/>
      <c r="J533" s="27"/>
      <c r="K533" s="27"/>
    </row>
    <row r="534" ht="15.75" customHeight="1">
      <c r="F534" s="27"/>
      <c r="G534" s="27"/>
      <c r="I534" s="27"/>
      <c r="J534" s="27"/>
      <c r="K534" s="27"/>
    </row>
    <row r="535" ht="15.75" customHeight="1">
      <c r="F535" s="27"/>
      <c r="G535" s="27"/>
      <c r="I535" s="27"/>
      <c r="J535" s="27"/>
      <c r="K535" s="27"/>
    </row>
    <row r="536" ht="15.75" customHeight="1">
      <c r="F536" s="27"/>
      <c r="G536" s="27"/>
      <c r="I536" s="27"/>
      <c r="J536" s="27"/>
      <c r="K536" s="27"/>
    </row>
    <row r="537" ht="15.75" customHeight="1">
      <c r="F537" s="27"/>
      <c r="G537" s="27"/>
      <c r="I537" s="27"/>
      <c r="J537" s="27"/>
      <c r="K537" s="27"/>
    </row>
    <row r="538" ht="15.75" customHeight="1">
      <c r="F538" s="27"/>
      <c r="G538" s="27"/>
      <c r="I538" s="27"/>
      <c r="J538" s="27"/>
      <c r="K538" s="27"/>
    </row>
    <row r="539" ht="15.75" customHeight="1">
      <c r="F539" s="27"/>
      <c r="G539" s="27"/>
      <c r="I539" s="27"/>
      <c r="J539" s="27"/>
      <c r="K539" s="27"/>
    </row>
    <row r="540" ht="15.75" customHeight="1">
      <c r="F540" s="27"/>
      <c r="G540" s="27"/>
      <c r="I540" s="27"/>
      <c r="J540" s="27"/>
      <c r="K540" s="27"/>
    </row>
    <row r="541" ht="15.75" customHeight="1">
      <c r="F541" s="27"/>
      <c r="G541" s="27"/>
      <c r="I541" s="27"/>
      <c r="J541" s="27"/>
      <c r="K541" s="27"/>
    </row>
    <row r="542" ht="15.75" customHeight="1">
      <c r="F542" s="27"/>
      <c r="G542" s="27"/>
      <c r="I542" s="27"/>
      <c r="J542" s="27"/>
      <c r="K542" s="27"/>
    </row>
    <row r="543" ht="15.75" customHeight="1">
      <c r="F543" s="27"/>
      <c r="G543" s="27"/>
      <c r="I543" s="27"/>
      <c r="J543" s="27"/>
      <c r="K543" s="27"/>
    </row>
    <row r="544" ht="15.75" customHeight="1">
      <c r="F544" s="27"/>
      <c r="G544" s="27"/>
      <c r="I544" s="27"/>
      <c r="J544" s="27"/>
      <c r="K544" s="27"/>
    </row>
    <row r="545" ht="15.75" customHeight="1">
      <c r="F545" s="27"/>
      <c r="G545" s="27"/>
      <c r="I545" s="27"/>
      <c r="J545" s="27"/>
      <c r="K545" s="27"/>
    </row>
    <row r="546" ht="15.75" customHeight="1">
      <c r="F546" s="27"/>
      <c r="G546" s="27"/>
      <c r="I546" s="27"/>
      <c r="J546" s="27"/>
      <c r="K546" s="27"/>
    </row>
    <row r="547" ht="15.75" customHeight="1">
      <c r="F547" s="27"/>
      <c r="G547" s="27"/>
      <c r="I547" s="27"/>
      <c r="J547" s="27"/>
      <c r="K547" s="27"/>
    </row>
    <row r="548" ht="15.75" customHeight="1">
      <c r="F548" s="27"/>
      <c r="G548" s="27"/>
      <c r="I548" s="27"/>
      <c r="J548" s="27"/>
      <c r="K548" s="27"/>
    </row>
    <row r="549" ht="15.75" customHeight="1">
      <c r="F549" s="27"/>
      <c r="G549" s="27"/>
      <c r="I549" s="27"/>
      <c r="J549" s="27"/>
      <c r="K549" s="27"/>
    </row>
    <row r="550" ht="15.75" customHeight="1">
      <c r="F550" s="27"/>
      <c r="G550" s="27"/>
      <c r="I550" s="27"/>
      <c r="J550" s="27"/>
      <c r="K550" s="27"/>
    </row>
    <row r="551" ht="15.75" customHeight="1">
      <c r="F551" s="27"/>
      <c r="G551" s="27"/>
      <c r="I551" s="27"/>
      <c r="J551" s="27"/>
      <c r="K551" s="27"/>
    </row>
    <row r="552" ht="15.75" customHeight="1">
      <c r="F552" s="27"/>
      <c r="G552" s="27"/>
      <c r="I552" s="27"/>
      <c r="J552" s="27"/>
      <c r="K552" s="27"/>
    </row>
    <row r="553" ht="15.75" customHeight="1">
      <c r="F553" s="27"/>
      <c r="G553" s="27"/>
      <c r="I553" s="27"/>
      <c r="J553" s="27"/>
      <c r="K553" s="27"/>
    </row>
    <row r="554" ht="15.75" customHeight="1">
      <c r="F554" s="27"/>
      <c r="G554" s="27"/>
      <c r="I554" s="27"/>
      <c r="J554" s="27"/>
      <c r="K554" s="27"/>
    </row>
    <row r="555" ht="15.75" customHeight="1">
      <c r="F555" s="27"/>
      <c r="G555" s="27"/>
      <c r="I555" s="27"/>
      <c r="J555" s="27"/>
      <c r="K555" s="27"/>
    </row>
    <row r="556" ht="15.75" customHeight="1">
      <c r="F556" s="27"/>
      <c r="G556" s="27"/>
      <c r="I556" s="27"/>
      <c r="J556" s="27"/>
      <c r="K556" s="27"/>
    </row>
    <row r="557" ht="15.75" customHeight="1">
      <c r="F557" s="27"/>
      <c r="G557" s="27"/>
      <c r="I557" s="27"/>
      <c r="J557" s="27"/>
      <c r="K557" s="27"/>
    </row>
    <row r="558" ht="15.75" customHeight="1">
      <c r="F558" s="27"/>
      <c r="G558" s="27"/>
      <c r="I558" s="27"/>
      <c r="J558" s="27"/>
      <c r="K558" s="27"/>
    </row>
    <row r="559" ht="15.75" customHeight="1">
      <c r="F559" s="27"/>
      <c r="G559" s="27"/>
      <c r="I559" s="27"/>
      <c r="J559" s="27"/>
      <c r="K559" s="27"/>
    </row>
    <row r="560" ht="15.75" customHeight="1">
      <c r="F560" s="27"/>
      <c r="G560" s="27"/>
      <c r="I560" s="27"/>
      <c r="J560" s="27"/>
      <c r="K560" s="27"/>
    </row>
    <row r="561" ht="15.75" customHeight="1">
      <c r="F561" s="27"/>
      <c r="G561" s="27"/>
      <c r="I561" s="27"/>
      <c r="J561" s="27"/>
      <c r="K561" s="27"/>
    </row>
    <row r="562" ht="15.75" customHeight="1">
      <c r="F562" s="27"/>
      <c r="G562" s="27"/>
      <c r="I562" s="27"/>
      <c r="J562" s="27"/>
      <c r="K562" s="27"/>
    </row>
    <row r="563" ht="15.75" customHeight="1">
      <c r="F563" s="27"/>
      <c r="G563" s="27"/>
      <c r="I563" s="27"/>
      <c r="J563" s="27"/>
      <c r="K563" s="27"/>
    </row>
    <row r="564" ht="15.75" customHeight="1">
      <c r="F564" s="27"/>
      <c r="G564" s="27"/>
      <c r="I564" s="27"/>
      <c r="J564" s="27"/>
      <c r="K564" s="27"/>
    </row>
    <row r="565" ht="15.75" customHeight="1">
      <c r="F565" s="27"/>
      <c r="G565" s="27"/>
      <c r="I565" s="27"/>
      <c r="J565" s="27"/>
      <c r="K565" s="27"/>
    </row>
    <row r="566" ht="15.75" customHeight="1">
      <c r="F566" s="27"/>
      <c r="G566" s="27"/>
      <c r="I566" s="27"/>
      <c r="J566" s="27"/>
      <c r="K566" s="27"/>
    </row>
    <row r="567" ht="15.75" customHeight="1">
      <c r="F567" s="27"/>
      <c r="G567" s="27"/>
      <c r="I567" s="27"/>
      <c r="J567" s="27"/>
      <c r="K567" s="27"/>
    </row>
    <row r="568" ht="15.75" customHeight="1">
      <c r="F568" s="27"/>
      <c r="G568" s="27"/>
      <c r="I568" s="27"/>
      <c r="J568" s="27"/>
      <c r="K568" s="27"/>
    </row>
    <row r="569" ht="15.75" customHeight="1">
      <c r="F569" s="27"/>
      <c r="G569" s="27"/>
      <c r="I569" s="27"/>
      <c r="J569" s="27"/>
      <c r="K569" s="27"/>
    </row>
    <row r="570" ht="15.75" customHeight="1">
      <c r="F570" s="27"/>
      <c r="G570" s="27"/>
      <c r="I570" s="27"/>
      <c r="J570" s="27"/>
      <c r="K570" s="27"/>
    </row>
    <row r="571" ht="15.75" customHeight="1">
      <c r="F571" s="27"/>
      <c r="G571" s="27"/>
      <c r="I571" s="27"/>
      <c r="J571" s="27"/>
      <c r="K571" s="27"/>
    </row>
    <row r="572" ht="15.75" customHeight="1">
      <c r="F572" s="27"/>
      <c r="G572" s="27"/>
      <c r="I572" s="27"/>
      <c r="J572" s="27"/>
      <c r="K572" s="27"/>
    </row>
    <row r="573" ht="15.75" customHeight="1">
      <c r="F573" s="27"/>
      <c r="G573" s="27"/>
      <c r="I573" s="27"/>
      <c r="J573" s="27"/>
      <c r="K573" s="27"/>
    </row>
    <row r="574" ht="15.75" customHeight="1">
      <c r="F574" s="27"/>
      <c r="G574" s="27"/>
      <c r="I574" s="27"/>
      <c r="J574" s="27"/>
      <c r="K574" s="27"/>
    </row>
    <row r="575" ht="15.75" customHeight="1">
      <c r="F575" s="27"/>
      <c r="G575" s="27"/>
      <c r="I575" s="27"/>
      <c r="J575" s="27"/>
      <c r="K575" s="27"/>
    </row>
    <row r="576" ht="15.75" customHeight="1">
      <c r="F576" s="27"/>
      <c r="G576" s="27"/>
      <c r="I576" s="27"/>
      <c r="J576" s="27"/>
      <c r="K576" s="27"/>
    </row>
    <row r="577" ht="15.75" customHeight="1">
      <c r="F577" s="27"/>
      <c r="G577" s="27"/>
      <c r="I577" s="27"/>
      <c r="J577" s="27"/>
      <c r="K577" s="27"/>
    </row>
    <row r="578" ht="15.75" customHeight="1">
      <c r="F578" s="27"/>
      <c r="G578" s="27"/>
      <c r="I578" s="27"/>
      <c r="J578" s="27"/>
      <c r="K578" s="27"/>
    </row>
    <row r="579" ht="15.75" customHeight="1">
      <c r="F579" s="27"/>
      <c r="G579" s="27"/>
      <c r="I579" s="27"/>
      <c r="J579" s="27"/>
      <c r="K579" s="27"/>
    </row>
    <row r="580" ht="15.75" customHeight="1">
      <c r="F580" s="27"/>
      <c r="G580" s="27"/>
      <c r="I580" s="27"/>
      <c r="J580" s="27"/>
      <c r="K580" s="27"/>
    </row>
    <row r="581" ht="15.75" customHeight="1">
      <c r="F581" s="27"/>
      <c r="G581" s="27"/>
      <c r="I581" s="27"/>
      <c r="J581" s="27"/>
      <c r="K581" s="27"/>
    </row>
    <row r="582" ht="15.75" customHeight="1">
      <c r="F582" s="27"/>
      <c r="G582" s="27"/>
      <c r="I582" s="27"/>
      <c r="J582" s="27"/>
      <c r="K582" s="27"/>
    </row>
    <row r="583" ht="15.75" customHeight="1">
      <c r="F583" s="27"/>
      <c r="G583" s="27"/>
      <c r="I583" s="27"/>
      <c r="J583" s="27"/>
      <c r="K583" s="27"/>
    </row>
    <row r="584" ht="15.75" customHeight="1">
      <c r="F584" s="27"/>
      <c r="G584" s="27"/>
      <c r="I584" s="27"/>
      <c r="J584" s="27"/>
      <c r="K584" s="27"/>
    </row>
    <row r="585" ht="15.75" customHeight="1">
      <c r="F585" s="27"/>
      <c r="G585" s="27"/>
      <c r="I585" s="27"/>
      <c r="J585" s="27"/>
      <c r="K585" s="27"/>
    </row>
    <row r="586" ht="15.75" customHeight="1">
      <c r="F586" s="27"/>
      <c r="G586" s="27"/>
      <c r="I586" s="27"/>
      <c r="J586" s="27"/>
      <c r="K586" s="27"/>
    </row>
    <row r="587" ht="15.75" customHeight="1">
      <c r="F587" s="27"/>
      <c r="G587" s="27"/>
      <c r="I587" s="27"/>
      <c r="J587" s="27"/>
      <c r="K587" s="27"/>
    </row>
    <row r="588" ht="15.75" customHeight="1">
      <c r="F588" s="27"/>
      <c r="G588" s="27"/>
      <c r="I588" s="27"/>
      <c r="J588" s="27"/>
      <c r="K588" s="27"/>
    </row>
    <row r="589" ht="15.75" customHeight="1">
      <c r="F589" s="27"/>
      <c r="G589" s="27"/>
      <c r="I589" s="27"/>
      <c r="J589" s="27"/>
      <c r="K589" s="27"/>
    </row>
    <row r="590" ht="15.75" customHeight="1">
      <c r="F590" s="27"/>
      <c r="G590" s="27"/>
      <c r="I590" s="27"/>
      <c r="J590" s="27"/>
      <c r="K590" s="27"/>
    </row>
    <row r="591" ht="15.75" customHeight="1">
      <c r="F591" s="27"/>
      <c r="G591" s="27"/>
      <c r="I591" s="27"/>
      <c r="J591" s="27"/>
      <c r="K591" s="27"/>
    </row>
    <row r="592" ht="15.75" customHeight="1">
      <c r="F592" s="27"/>
      <c r="G592" s="27"/>
      <c r="I592" s="27"/>
      <c r="J592" s="27"/>
      <c r="K592" s="27"/>
    </row>
    <row r="593" ht="15.75" customHeight="1">
      <c r="F593" s="27"/>
      <c r="G593" s="27"/>
      <c r="I593" s="27"/>
      <c r="J593" s="27"/>
      <c r="K593" s="27"/>
    </row>
    <row r="594" ht="15.75" customHeight="1">
      <c r="F594" s="27"/>
      <c r="G594" s="27"/>
      <c r="I594" s="27"/>
      <c r="J594" s="27"/>
      <c r="K594" s="27"/>
    </row>
    <row r="595" ht="15.75" customHeight="1">
      <c r="F595" s="27"/>
      <c r="G595" s="27"/>
      <c r="I595" s="27"/>
      <c r="J595" s="27"/>
      <c r="K595" s="27"/>
    </row>
    <row r="596" ht="15.75" customHeight="1">
      <c r="F596" s="27"/>
      <c r="G596" s="27"/>
      <c r="I596" s="27"/>
      <c r="J596" s="27"/>
      <c r="K596" s="27"/>
    </row>
    <row r="597" ht="15.75" customHeight="1">
      <c r="F597" s="27"/>
      <c r="G597" s="27"/>
      <c r="I597" s="27"/>
      <c r="J597" s="27"/>
      <c r="K597" s="27"/>
    </row>
    <row r="598" ht="15.75" customHeight="1">
      <c r="F598" s="27"/>
      <c r="G598" s="27"/>
      <c r="I598" s="27"/>
      <c r="J598" s="27"/>
      <c r="K598" s="27"/>
    </row>
    <row r="599" ht="15.75" customHeight="1">
      <c r="F599" s="27"/>
      <c r="G599" s="27"/>
      <c r="I599" s="27"/>
      <c r="J599" s="27"/>
      <c r="K599" s="27"/>
    </row>
    <row r="600" ht="15.75" customHeight="1">
      <c r="F600" s="27"/>
      <c r="G600" s="27"/>
      <c r="I600" s="27"/>
      <c r="J600" s="27"/>
      <c r="K600" s="27"/>
    </row>
    <row r="601" ht="15.75" customHeight="1">
      <c r="F601" s="27"/>
      <c r="G601" s="27"/>
      <c r="I601" s="27"/>
      <c r="J601" s="27"/>
      <c r="K601" s="27"/>
    </row>
    <row r="602" ht="15.75" customHeight="1">
      <c r="F602" s="27"/>
      <c r="G602" s="27"/>
      <c r="I602" s="27"/>
      <c r="J602" s="27"/>
      <c r="K602" s="27"/>
    </row>
    <row r="603" ht="15.75" customHeight="1">
      <c r="F603" s="27"/>
      <c r="G603" s="27"/>
      <c r="I603" s="27"/>
      <c r="J603" s="27"/>
      <c r="K603" s="27"/>
    </row>
    <row r="604" ht="15.75" customHeight="1">
      <c r="F604" s="27"/>
      <c r="G604" s="27"/>
      <c r="I604" s="27"/>
      <c r="J604" s="27"/>
      <c r="K604" s="27"/>
    </row>
    <row r="605" ht="15.75" customHeight="1">
      <c r="F605" s="27"/>
      <c r="G605" s="27"/>
      <c r="I605" s="27"/>
      <c r="J605" s="27"/>
      <c r="K605" s="27"/>
    </row>
    <row r="606" ht="15.75" customHeight="1">
      <c r="F606" s="27"/>
      <c r="G606" s="27"/>
      <c r="I606" s="27"/>
      <c r="J606" s="27"/>
      <c r="K606" s="27"/>
    </row>
    <row r="607" ht="15.75" customHeight="1">
      <c r="F607" s="27"/>
      <c r="G607" s="27"/>
      <c r="I607" s="27"/>
      <c r="J607" s="27"/>
      <c r="K607" s="27"/>
    </row>
    <row r="608" ht="15.75" customHeight="1">
      <c r="F608" s="27"/>
      <c r="G608" s="27"/>
      <c r="I608" s="27"/>
      <c r="J608" s="27"/>
      <c r="K608" s="27"/>
    </row>
    <row r="609" ht="15.75" customHeight="1">
      <c r="F609" s="27"/>
      <c r="G609" s="27"/>
      <c r="I609" s="27"/>
      <c r="J609" s="27"/>
      <c r="K609" s="27"/>
    </row>
    <row r="610" ht="15.75" customHeight="1">
      <c r="F610" s="27"/>
      <c r="G610" s="27"/>
      <c r="I610" s="27"/>
      <c r="J610" s="27"/>
      <c r="K610" s="27"/>
    </row>
    <row r="611" ht="15.75" customHeight="1">
      <c r="F611" s="27"/>
      <c r="G611" s="27"/>
      <c r="I611" s="27"/>
      <c r="J611" s="27"/>
      <c r="K611" s="27"/>
    </row>
    <row r="612" ht="15.75" customHeight="1">
      <c r="F612" s="27"/>
      <c r="G612" s="27"/>
      <c r="I612" s="27"/>
      <c r="J612" s="27"/>
      <c r="K612" s="27"/>
    </row>
    <row r="613" ht="15.75" customHeight="1">
      <c r="F613" s="27"/>
      <c r="G613" s="27"/>
      <c r="I613" s="27"/>
      <c r="J613" s="27"/>
      <c r="K613" s="27"/>
    </row>
    <row r="614" ht="15.75" customHeight="1">
      <c r="F614" s="27"/>
      <c r="G614" s="27"/>
      <c r="I614" s="27"/>
      <c r="J614" s="27"/>
      <c r="K614" s="27"/>
    </row>
    <row r="615" ht="15.75" customHeight="1">
      <c r="F615" s="27"/>
      <c r="G615" s="27"/>
      <c r="I615" s="27"/>
      <c r="J615" s="27"/>
      <c r="K615" s="27"/>
    </row>
    <row r="616" ht="15.75" customHeight="1">
      <c r="F616" s="27"/>
      <c r="G616" s="27"/>
      <c r="I616" s="27"/>
      <c r="J616" s="27"/>
      <c r="K616" s="27"/>
    </row>
    <row r="617" ht="15.75" customHeight="1">
      <c r="F617" s="27"/>
      <c r="G617" s="27"/>
      <c r="I617" s="27"/>
      <c r="J617" s="27"/>
      <c r="K617" s="27"/>
    </row>
    <row r="618" ht="15.75" customHeight="1">
      <c r="F618" s="27"/>
      <c r="G618" s="27"/>
      <c r="I618" s="27"/>
      <c r="J618" s="27"/>
      <c r="K618" s="27"/>
    </row>
    <row r="619" ht="15.75" customHeight="1">
      <c r="F619" s="27"/>
      <c r="G619" s="27"/>
      <c r="I619" s="27"/>
      <c r="J619" s="27"/>
      <c r="K619" s="27"/>
    </row>
    <row r="620" ht="15.75" customHeight="1">
      <c r="F620" s="27"/>
      <c r="G620" s="27"/>
      <c r="I620" s="27"/>
      <c r="J620" s="27"/>
      <c r="K620" s="27"/>
    </row>
    <row r="621" ht="15.75" customHeight="1">
      <c r="F621" s="27"/>
      <c r="G621" s="27"/>
      <c r="I621" s="27"/>
      <c r="J621" s="27"/>
      <c r="K621" s="27"/>
    </row>
    <row r="622" ht="15.75" customHeight="1">
      <c r="F622" s="27"/>
      <c r="G622" s="27"/>
      <c r="I622" s="27"/>
      <c r="J622" s="27"/>
      <c r="K622" s="27"/>
    </row>
    <row r="623" ht="15.75" customHeight="1">
      <c r="F623" s="27"/>
      <c r="G623" s="27"/>
      <c r="I623" s="27"/>
      <c r="J623" s="27"/>
      <c r="K623" s="27"/>
    </row>
    <row r="624" ht="15.75" customHeight="1">
      <c r="F624" s="27"/>
      <c r="G624" s="27"/>
      <c r="I624" s="27"/>
      <c r="J624" s="27"/>
      <c r="K624" s="27"/>
    </row>
    <row r="625" ht="15.75" customHeight="1">
      <c r="F625" s="27"/>
      <c r="G625" s="27"/>
      <c r="I625" s="27"/>
      <c r="J625" s="27"/>
      <c r="K625" s="27"/>
    </row>
    <row r="626" ht="15.75" customHeight="1">
      <c r="F626" s="27"/>
      <c r="G626" s="27"/>
      <c r="I626" s="27"/>
      <c r="J626" s="27"/>
      <c r="K626" s="27"/>
    </row>
    <row r="627" ht="15.75" customHeight="1">
      <c r="F627" s="27"/>
      <c r="G627" s="27"/>
      <c r="I627" s="27"/>
      <c r="J627" s="27"/>
      <c r="K627" s="27"/>
    </row>
    <row r="628" ht="15.75" customHeight="1">
      <c r="F628" s="27"/>
      <c r="G628" s="27"/>
      <c r="I628" s="27"/>
      <c r="J628" s="27"/>
      <c r="K628" s="27"/>
    </row>
    <row r="629" ht="15.75" customHeight="1">
      <c r="F629" s="27"/>
      <c r="G629" s="27"/>
      <c r="I629" s="27"/>
      <c r="J629" s="27"/>
      <c r="K629" s="27"/>
    </row>
    <row r="630" ht="15.75" customHeight="1">
      <c r="F630" s="27"/>
      <c r="G630" s="27"/>
      <c r="I630" s="27"/>
      <c r="J630" s="27"/>
      <c r="K630" s="27"/>
    </row>
    <row r="631" ht="15.75" customHeight="1">
      <c r="F631" s="27"/>
      <c r="G631" s="27"/>
      <c r="I631" s="27"/>
      <c r="J631" s="27"/>
      <c r="K631" s="27"/>
    </row>
    <row r="632" ht="15.75" customHeight="1">
      <c r="F632" s="27"/>
      <c r="G632" s="27"/>
      <c r="I632" s="27"/>
      <c r="J632" s="27"/>
      <c r="K632" s="27"/>
    </row>
    <row r="633" ht="15.75" customHeight="1">
      <c r="F633" s="27"/>
      <c r="G633" s="27"/>
      <c r="I633" s="27"/>
      <c r="J633" s="27"/>
      <c r="K633" s="27"/>
    </row>
    <row r="634" ht="15.75" customHeight="1">
      <c r="F634" s="27"/>
      <c r="G634" s="27"/>
      <c r="I634" s="27"/>
      <c r="J634" s="27"/>
      <c r="K634" s="27"/>
    </row>
    <row r="635" ht="15.75" customHeight="1">
      <c r="F635" s="27"/>
      <c r="G635" s="27"/>
      <c r="I635" s="27"/>
      <c r="J635" s="27"/>
      <c r="K635" s="27"/>
    </row>
    <row r="636" ht="15.75" customHeight="1">
      <c r="F636" s="27"/>
      <c r="G636" s="27"/>
      <c r="I636" s="27"/>
      <c r="J636" s="27"/>
      <c r="K636" s="27"/>
    </row>
    <row r="637" ht="15.75" customHeight="1">
      <c r="F637" s="27"/>
      <c r="G637" s="27"/>
      <c r="I637" s="27"/>
      <c r="J637" s="27"/>
      <c r="K637" s="27"/>
    </row>
    <row r="638" ht="15.75" customHeight="1">
      <c r="F638" s="27"/>
      <c r="G638" s="27"/>
      <c r="I638" s="27"/>
      <c r="J638" s="27"/>
      <c r="K638" s="27"/>
    </row>
    <row r="639" ht="15.75" customHeight="1">
      <c r="F639" s="27"/>
      <c r="G639" s="27"/>
      <c r="I639" s="27"/>
      <c r="J639" s="27"/>
      <c r="K639" s="27"/>
    </row>
    <row r="640" ht="15.75" customHeight="1">
      <c r="F640" s="27"/>
      <c r="G640" s="27"/>
      <c r="I640" s="27"/>
      <c r="J640" s="27"/>
      <c r="K640" s="27"/>
    </row>
    <row r="641" ht="15.75" customHeight="1">
      <c r="F641" s="27"/>
      <c r="G641" s="27"/>
      <c r="I641" s="27"/>
      <c r="J641" s="27"/>
      <c r="K641" s="27"/>
    </row>
    <row r="642" ht="15.75" customHeight="1">
      <c r="F642" s="27"/>
      <c r="G642" s="27"/>
      <c r="I642" s="27"/>
      <c r="J642" s="27"/>
      <c r="K642" s="27"/>
    </row>
    <row r="643" ht="15.75" customHeight="1">
      <c r="F643" s="27"/>
      <c r="G643" s="27"/>
      <c r="I643" s="27"/>
      <c r="J643" s="27"/>
      <c r="K643" s="27"/>
    </row>
    <row r="644" ht="15.75" customHeight="1">
      <c r="F644" s="27"/>
      <c r="G644" s="27"/>
      <c r="I644" s="27"/>
      <c r="J644" s="27"/>
      <c r="K644" s="27"/>
    </row>
    <row r="645" ht="15.75" customHeight="1">
      <c r="F645" s="27"/>
      <c r="G645" s="27"/>
      <c r="I645" s="27"/>
      <c r="J645" s="27"/>
      <c r="K645" s="27"/>
    </row>
    <row r="646" ht="15.75" customHeight="1">
      <c r="F646" s="27"/>
      <c r="G646" s="27"/>
      <c r="I646" s="27"/>
      <c r="J646" s="27"/>
      <c r="K646" s="27"/>
    </row>
    <row r="647" ht="15.75" customHeight="1">
      <c r="F647" s="27"/>
      <c r="G647" s="27"/>
      <c r="I647" s="27"/>
      <c r="J647" s="27"/>
      <c r="K647" s="27"/>
    </row>
    <row r="648" ht="15.75" customHeight="1">
      <c r="F648" s="27"/>
      <c r="G648" s="27"/>
      <c r="I648" s="27"/>
      <c r="J648" s="27"/>
      <c r="K648" s="27"/>
    </row>
    <row r="649" ht="15.75" customHeight="1">
      <c r="F649" s="27"/>
      <c r="G649" s="27"/>
      <c r="I649" s="27"/>
      <c r="J649" s="27"/>
      <c r="K649" s="27"/>
    </row>
    <row r="650" ht="15.75" customHeight="1">
      <c r="F650" s="27"/>
      <c r="G650" s="27"/>
      <c r="I650" s="27"/>
      <c r="J650" s="27"/>
      <c r="K650" s="27"/>
    </row>
    <row r="651" ht="15.75" customHeight="1">
      <c r="F651" s="27"/>
      <c r="G651" s="27"/>
      <c r="I651" s="27"/>
      <c r="J651" s="27"/>
      <c r="K651" s="27"/>
    </row>
    <row r="652" ht="15.75" customHeight="1">
      <c r="F652" s="27"/>
      <c r="G652" s="27"/>
      <c r="I652" s="27"/>
      <c r="J652" s="27"/>
      <c r="K652" s="27"/>
    </row>
    <row r="653" ht="15.75" customHeight="1">
      <c r="F653" s="27"/>
      <c r="G653" s="27"/>
      <c r="I653" s="27"/>
      <c r="J653" s="27"/>
      <c r="K653" s="27"/>
    </row>
    <row r="654" ht="15.75" customHeight="1">
      <c r="F654" s="27"/>
      <c r="G654" s="27"/>
      <c r="I654" s="27"/>
      <c r="J654" s="27"/>
      <c r="K654" s="27"/>
    </row>
    <row r="655" ht="15.75" customHeight="1">
      <c r="F655" s="27"/>
      <c r="G655" s="27"/>
      <c r="I655" s="27"/>
      <c r="J655" s="27"/>
      <c r="K655" s="27"/>
    </row>
    <row r="656" ht="15.75" customHeight="1">
      <c r="F656" s="27"/>
      <c r="G656" s="27"/>
      <c r="I656" s="27"/>
      <c r="J656" s="27"/>
      <c r="K656" s="27"/>
    </row>
    <row r="657" ht="15.75" customHeight="1">
      <c r="F657" s="27"/>
      <c r="G657" s="27"/>
      <c r="I657" s="27"/>
      <c r="J657" s="27"/>
      <c r="K657" s="27"/>
    </row>
    <row r="658" ht="15.75" customHeight="1">
      <c r="F658" s="27"/>
      <c r="G658" s="27"/>
      <c r="I658" s="27"/>
      <c r="J658" s="27"/>
      <c r="K658" s="27"/>
    </row>
    <row r="659" ht="15.75" customHeight="1">
      <c r="F659" s="27"/>
      <c r="G659" s="27"/>
      <c r="I659" s="27"/>
      <c r="J659" s="27"/>
      <c r="K659" s="27"/>
    </row>
    <row r="660" ht="15.75" customHeight="1">
      <c r="F660" s="27"/>
      <c r="G660" s="27"/>
      <c r="I660" s="27"/>
      <c r="J660" s="27"/>
      <c r="K660" s="27"/>
    </row>
    <row r="661" ht="15.75" customHeight="1">
      <c r="F661" s="27"/>
      <c r="G661" s="27"/>
      <c r="I661" s="27"/>
      <c r="J661" s="27"/>
      <c r="K661" s="27"/>
    </row>
    <row r="662" ht="15.75" customHeight="1">
      <c r="F662" s="27"/>
      <c r="G662" s="27"/>
      <c r="I662" s="27"/>
      <c r="J662" s="27"/>
      <c r="K662" s="27"/>
    </row>
    <row r="663" ht="15.75" customHeight="1">
      <c r="F663" s="27"/>
      <c r="G663" s="27"/>
      <c r="I663" s="27"/>
      <c r="J663" s="27"/>
      <c r="K663" s="27"/>
    </row>
    <row r="664" ht="15.75" customHeight="1">
      <c r="F664" s="27"/>
      <c r="G664" s="27"/>
      <c r="I664" s="27"/>
      <c r="J664" s="27"/>
      <c r="K664" s="27"/>
    </row>
    <row r="665" ht="15.75" customHeight="1">
      <c r="F665" s="27"/>
      <c r="G665" s="27"/>
      <c r="I665" s="27"/>
      <c r="J665" s="27"/>
      <c r="K665" s="27"/>
    </row>
    <row r="666" ht="15.75" customHeight="1">
      <c r="F666" s="27"/>
      <c r="G666" s="27"/>
      <c r="I666" s="27"/>
      <c r="J666" s="27"/>
      <c r="K666" s="27"/>
    </row>
    <row r="667" ht="15.75" customHeight="1">
      <c r="F667" s="27"/>
      <c r="G667" s="27"/>
      <c r="I667" s="27"/>
      <c r="J667" s="27"/>
      <c r="K667" s="27"/>
    </row>
    <row r="668" ht="15.75" customHeight="1">
      <c r="F668" s="27"/>
      <c r="G668" s="27"/>
      <c r="I668" s="27"/>
      <c r="J668" s="27"/>
      <c r="K668" s="27"/>
    </row>
    <row r="669" ht="15.75" customHeight="1">
      <c r="F669" s="27"/>
      <c r="G669" s="27"/>
      <c r="I669" s="27"/>
      <c r="J669" s="27"/>
      <c r="K669" s="27"/>
    </row>
    <row r="670" ht="15.75" customHeight="1">
      <c r="F670" s="27"/>
      <c r="G670" s="27"/>
      <c r="I670" s="27"/>
      <c r="J670" s="27"/>
      <c r="K670" s="27"/>
    </row>
    <row r="671" ht="15.75" customHeight="1">
      <c r="F671" s="27"/>
      <c r="G671" s="27"/>
      <c r="I671" s="27"/>
      <c r="J671" s="27"/>
      <c r="K671" s="27"/>
    </row>
    <row r="672" ht="15.75" customHeight="1">
      <c r="F672" s="27"/>
      <c r="G672" s="27"/>
      <c r="I672" s="27"/>
      <c r="J672" s="27"/>
      <c r="K672" s="27"/>
    </row>
    <row r="673" ht="15.75" customHeight="1">
      <c r="F673" s="27"/>
      <c r="G673" s="27"/>
      <c r="I673" s="27"/>
      <c r="J673" s="27"/>
      <c r="K673" s="27"/>
    </row>
    <row r="674" ht="15.75" customHeight="1">
      <c r="F674" s="27"/>
      <c r="G674" s="27"/>
      <c r="I674" s="27"/>
      <c r="J674" s="27"/>
      <c r="K674" s="27"/>
    </row>
    <row r="675" ht="15.75" customHeight="1">
      <c r="F675" s="27"/>
      <c r="G675" s="27"/>
      <c r="I675" s="27"/>
      <c r="J675" s="27"/>
      <c r="K675" s="27"/>
    </row>
    <row r="676" ht="15.75" customHeight="1">
      <c r="F676" s="27"/>
      <c r="G676" s="27"/>
      <c r="I676" s="27"/>
      <c r="J676" s="27"/>
      <c r="K676" s="27"/>
    </row>
    <row r="677" ht="15.75" customHeight="1">
      <c r="F677" s="27"/>
      <c r="G677" s="27"/>
      <c r="I677" s="27"/>
      <c r="J677" s="27"/>
      <c r="K677" s="27"/>
    </row>
    <row r="678" ht="15.75" customHeight="1">
      <c r="F678" s="27"/>
      <c r="G678" s="27"/>
      <c r="I678" s="27"/>
      <c r="J678" s="27"/>
      <c r="K678" s="27"/>
    </row>
    <row r="679" ht="15.75" customHeight="1">
      <c r="F679" s="27"/>
      <c r="G679" s="27"/>
      <c r="I679" s="27"/>
      <c r="J679" s="27"/>
      <c r="K679" s="27"/>
    </row>
    <row r="680" ht="15.75" customHeight="1">
      <c r="F680" s="27"/>
      <c r="G680" s="27"/>
      <c r="I680" s="27"/>
      <c r="J680" s="27"/>
      <c r="K680" s="27"/>
    </row>
    <row r="681" ht="15.75" customHeight="1">
      <c r="F681" s="27"/>
      <c r="G681" s="27"/>
      <c r="I681" s="27"/>
      <c r="J681" s="27"/>
      <c r="K681" s="27"/>
    </row>
    <row r="682" ht="15.75" customHeight="1">
      <c r="F682" s="27"/>
      <c r="G682" s="27"/>
      <c r="I682" s="27"/>
      <c r="J682" s="27"/>
      <c r="K682" s="27"/>
    </row>
    <row r="683" ht="15.75" customHeight="1">
      <c r="F683" s="27"/>
      <c r="G683" s="27"/>
      <c r="I683" s="27"/>
      <c r="J683" s="27"/>
      <c r="K683" s="27"/>
    </row>
    <row r="684" ht="15.75" customHeight="1">
      <c r="F684" s="27"/>
      <c r="G684" s="27"/>
      <c r="I684" s="27"/>
      <c r="J684" s="27"/>
      <c r="K684" s="27"/>
    </row>
    <row r="685" ht="15.75" customHeight="1">
      <c r="F685" s="27"/>
      <c r="G685" s="27"/>
      <c r="I685" s="27"/>
      <c r="J685" s="27"/>
      <c r="K685" s="27"/>
    </row>
    <row r="686" ht="15.75" customHeight="1">
      <c r="F686" s="27"/>
      <c r="G686" s="27"/>
      <c r="I686" s="27"/>
      <c r="J686" s="27"/>
      <c r="K686" s="27"/>
    </row>
    <row r="687" ht="15.75" customHeight="1">
      <c r="F687" s="27"/>
      <c r="G687" s="27"/>
      <c r="I687" s="27"/>
      <c r="J687" s="27"/>
      <c r="K687" s="27"/>
    </row>
    <row r="688" ht="15.75" customHeight="1">
      <c r="F688" s="27"/>
      <c r="G688" s="27"/>
      <c r="I688" s="27"/>
      <c r="J688" s="27"/>
      <c r="K688" s="27"/>
    </row>
    <row r="689" ht="15.75" customHeight="1">
      <c r="F689" s="27"/>
      <c r="G689" s="27"/>
      <c r="I689" s="27"/>
      <c r="J689" s="27"/>
      <c r="K689" s="27"/>
    </row>
    <row r="690" ht="15.75" customHeight="1">
      <c r="F690" s="27"/>
      <c r="G690" s="27"/>
      <c r="I690" s="27"/>
      <c r="J690" s="27"/>
      <c r="K690" s="27"/>
    </row>
    <row r="691" ht="15.75" customHeight="1">
      <c r="F691" s="27"/>
      <c r="G691" s="27"/>
      <c r="I691" s="27"/>
      <c r="J691" s="27"/>
      <c r="K691" s="27"/>
    </row>
    <row r="692" ht="15.75" customHeight="1">
      <c r="F692" s="27"/>
      <c r="G692" s="27"/>
      <c r="I692" s="27"/>
      <c r="J692" s="27"/>
      <c r="K692" s="27"/>
    </row>
    <row r="693" ht="15.75" customHeight="1">
      <c r="F693" s="27"/>
      <c r="G693" s="27"/>
      <c r="I693" s="27"/>
      <c r="J693" s="27"/>
      <c r="K693" s="27"/>
    </row>
    <row r="694" ht="15.75" customHeight="1">
      <c r="F694" s="27"/>
      <c r="G694" s="27"/>
      <c r="I694" s="27"/>
      <c r="J694" s="27"/>
      <c r="K694" s="27"/>
    </row>
    <row r="695" ht="15.75" customHeight="1">
      <c r="F695" s="27"/>
      <c r="G695" s="27"/>
      <c r="I695" s="27"/>
      <c r="J695" s="27"/>
      <c r="K695" s="27"/>
    </row>
    <row r="696" ht="15.75" customHeight="1">
      <c r="F696" s="27"/>
      <c r="G696" s="27"/>
      <c r="I696" s="27"/>
      <c r="J696" s="27"/>
      <c r="K696" s="27"/>
    </row>
    <row r="697" ht="15.75" customHeight="1">
      <c r="F697" s="27"/>
      <c r="G697" s="27"/>
      <c r="I697" s="27"/>
      <c r="J697" s="27"/>
      <c r="K697" s="27"/>
    </row>
    <row r="698" ht="15.75" customHeight="1">
      <c r="F698" s="27"/>
      <c r="G698" s="27"/>
      <c r="I698" s="27"/>
      <c r="J698" s="27"/>
      <c r="K698" s="27"/>
    </row>
    <row r="699" ht="15.75" customHeight="1">
      <c r="F699" s="27"/>
      <c r="G699" s="27"/>
      <c r="I699" s="27"/>
      <c r="J699" s="27"/>
      <c r="K699" s="27"/>
    </row>
    <row r="700" ht="15.75" customHeight="1">
      <c r="F700" s="27"/>
      <c r="G700" s="27"/>
      <c r="I700" s="27"/>
      <c r="J700" s="27"/>
      <c r="K700" s="27"/>
    </row>
    <row r="701" ht="15.75" customHeight="1">
      <c r="F701" s="27"/>
      <c r="G701" s="27"/>
      <c r="I701" s="27"/>
      <c r="J701" s="27"/>
      <c r="K701" s="27"/>
    </row>
    <row r="702" ht="15.75" customHeight="1">
      <c r="F702" s="27"/>
      <c r="G702" s="27"/>
      <c r="I702" s="27"/>
      <c r="J702" s="27"/>
      <c r="K702" s="27"/>
    </row>
    <row r="703" ht="15.75" customHeight="1">
      <c r="F703" s="27"/>
      <c r="G703" s="27"/>
      <c r="I703" s="27"/>
      <c r="J703" s="27"/>
      <c r="K703" s="27"/>
    </row>
    <row r="704" ht="15.75" customHeight="1">
      <c r="F704" s="27"/>
      <c r="G704" s="27"/>
      <c r="I704" s="27"/>
      <c r="J704" s="27"/>
      <c r="K704" s="27"/>
    </row>
    <row r="705" ht="15.75" customHeight="1">
      <c r="F705" s="27"/>
      <c r="G705" s="27"/>
      <c r="I705" s="27"/>
      <c r="J705" s="27"/>
      <c r="K705" s="27"/>
    </row>
    <row r="706" ht="15.75" customHeight="1">
      <c r="F706" s="27"/>
      <c r="G706" s="27"/>
      <c r="I706" s="27"/>
      <c r="J706" s="27"/>
      <c r="K706" s="27"/>
    </row>
    <row r="707" ht="15.75" customHeight="1">
      <c r="F707" s="27"/>
      <c r="G707" s="27"/>
      <c r="I707" s="27"/>
      <c r="J707" s="27"/>
      <c r="K707" s="27"/>
    </row>
    <row r="708" ht="15.75" customHeight="1">
      <c r="F708" s="27"/>
      <c r="G708" s="27"/>
      <c r="I708" s="27"/>
      <c r="J708" s="27"/>
      <c r="K708" s="27"/>
    </row>
    <row r="709" ht="15.75" customHeight="1">
      <c r="F709" s="27"/>
      <c r="G709" s="27"/>
      <c r="I709" s="27"/>
      <c r="J709" s="27"/>
      <c r="K709" s="27"/>
    </row>
    <row r="710" ht="15.75" customHeight="1">
      <c r="F710" s="27"/>
      <c r="G710" s="27"/>
      <c r="I710" s="27"/>
      <c r="J710" s="27"/>
      <c r="K710" s="27"/>
    </row>
    <row r="711" ht="15.75" customHeight="1">
      <c r="F711" s="27"/>
      <c r="G711" s="27"/>
      <c r="I711" s="27"/>
      <c r="J711" s="27"/>
      <c r="K711" s="27"/>
    </row>
    <row r="712" ht="15.75" customHeight="1">
      <c r="F712" s="27"/>
      <c r="G712" s="27"/>
      <c r="I712" s="27"/>
      <c r="J712" s="27"/>
      <c r="K712" s="27"/>
    </row>
    <row r="713" ht="15.75" customHeight="1">
      <c r="F713" s="27"/>
      <c r="G713" s="27"/>
      <c r="I713" s="27"/>
      <c r="J713" s="27"/>
      <c r="K713" s="27"/>
    </row>
    <row r="714" ht="15.75" customHeight="1">
      <c r="F714" s="27"/>
      <c r="G714" s="27"/>
      <c r="I714" s="27"/>
      <c r="J714" s="27"/>
      <c r="K714" s="27"/>
    </row>
    <row r="715" ht="15.75" customHeight="1">
      <c r="F715" s="27"/>
      <c r="G715" s="27"/>
      <c r="I715" s="27"/>
      <c r="J715" s="27"/>
      <c r="K715" s="27"/>
    </row>
    <row r="716" ht="15.75" customHeight="1">
      <c r="F716" s="27"/>
      <c r="G716" s="27"/>
      <c r="I716" s="27"/>
      <c r="J716" s="27"/>
      <c r="K716" s="27"/>
    </row>
    <row r="717" ht="15.75" customHeight="1">
      <c r="F717" s="27"/>
      <c r="G717" s="27"/>
      <c r="I717" s="27"/>
      <c r="J717" s="27"/>
      <c r="K717" s="27"/>
    </row>
    <row r="718" ht="15.75" customHeight="1">
      <c r="F718" s="27"/>
      <c r="G718" s="27"/>
      <c r="I718" s="27"/>
      <c r="J718" s="27"/>
      <c r="K718" s="27"/>
    </row>
    <row r="719" ht="15.75" customHeight="1">
      <c r="F719" s="27"/>
      <c r="G719" s="27"/>
      <c r="I719" s="27"/>
      <c r="J719" s="27"/>
      <c r="K719" s="27"/>
    </row>
    <row r="720" ht="15.75" customHeight="1">
      <c r="F720" s="27"/>
      <c r="G720" s="27"/>
      <c r="I720" s="27"/>
      <c r="J720" s="27"/>
      <c r="K720" s="27"/>
    </row>
    <row r="721" ht="15.75" customHeight="1">
      <c r="F721" s="27"/>
      <c r="G721" s="27"/>
      <c r="I721" s="27"/>
      <c r="J721" s="27"/>
      <c r="K721" s="27"/>
    </row>
    <row r="722" ht="15.75" customHeight="1">
      <c r="F722" s="27"/>
      <c r="G722" s="27"/>
      <c r="I722" s="27"/>
      <c r="J722" s="27"/>
      <c r="K722" s="27"/>
    </row>
    <row r="723" ht="15.75" customHeight="1">
      <c r="F723" s="27"/>
      <c r="G723" s="27"/>
      <c r="I723" s="27"/>
      <c r="J723" s="27"/>
      <c r="K723" s="27"/>
    </row>
    <row r="724" ht="15.75" customHeight="1">
      <c r="F724" s="27"/>
      <c r="G724" s="27"/>
      <c r="I724" s="27"/>
      <c r="J724" s="27"/>
      <c r="K724" s="27"/>
    </row>
    <row r="725" ht="15.75" customHeight="1">
      <c r="F725" s="27"/>
      <c r="G725" s="27"/>
      <c r="I725" s="27"/>
      <c r="J725" s="27"/>
      <c r="K725" s="27"/>
    </row>
    <row r="726" ht="15.75" customHeight="1">
      <c r="F726" s="27"/>
      <c r="G726" s="27"/>
      <c r="I726" s="27"/>
      <c r="J726" s="27"/>
      <c r="K726" s="27"/>
    </row>
    <row r="727" ht="15.75" customHeight="1">
      <c r="F727" s="27"/>
      <c r="G727" s="27"/>
      <c r="I727" s="27"/>
      <c r="J727" s="27"/>
      <c r="K727" s="27"/>
    </row>
    <row r="728" ht="15.75" customHeight="1">
      <c r="F728" s="27"/>
      <c r="G728" s="27"/>
      <c r="I728" s="27"/>
      <c r="J728" s="27"/>
      <c r="K728" s="27"/>
    </row>
    <row r="729" ht="15.75" customHeight="1">
      <c r="F729" s="27"/>
      <c r="G729" s="27"/>
      <c r="I729" s="27"/>
      <c r="J729" s="27"/>
      <c r="K729" s="27"/>
    </row>
    <row r="730" ht="15.75" customHeight="1">
      <c r="F730" s="27"/>
      <c r="G730" s="27"/>
      <c r="I730" s="27"/>
      <c r="J730" s="27"/>
      <c r="K730" s="27"/>
    </row>
    <row r="731" ht="15.75" customHeight="1">
      <c r="F731" s="27"/>
      <c r="G731" s="27"/>
      <c r="I731" s="27"/>
      <c r="J731" s="27"/>
      <c r="K731" s="27"/>
    </row>
    <row r="732" ht="15.75" customHeight="1">
      <c r="F732" s="27"/>
      <c r="G732" s="27"/>
      <c r="I732" s="27"/>
      <c r="J732" s="27"/>
      <c r="K732" s="27"/>
    </row>
    <row r="733" ht="15.75" customHeight="1">
      <c r="F733" s="27"/>
      <c r="G733" s="27"/>
      <c r="I733" s="27"/>
      <c r="J733" s="27"/>
      <c r="K733" s="27"/>
    </row>
    <row r="734" ht="15.75" customHeight="1">
      <c r="F734" s="27"/>
      <c r="G734" s="27"/>
      <c r="I734" s="27"/>
      <c r="J734" s="27"/>
      <c r="K734" s="27"/>
    </row>
    <row r="735" ht="15.75" customHeight="1">
      <c r="F735" s="27"/>
      <c r="G735" s="27"/>
      <c r="I735" s="27"/>
      <c r="J735" s="27"/>
      <c r="K735" s="27"/>
    </row>
    <row r="736" ht="15.75" customHeight="1">
      <c r="F736" s="27"/>
      <c r="G736" s="27"/>
      <c r="I736" s="27"/>
      <c r="J736" s="27"/>
      <c r="K736" s="27"/>
    </row>
    <row r="737" ht="15.75" customHeight="1">
      <c r="F737" s="27"/>
      <c r="G737" s="27"/>
      <c r="I737" s="27"/>
      <c r="J737" s="27"/>
      <c r="K737" s="27"/>
    </row>
    <row r="738" ht="15.75" customHeight="1">
      <c r="F738" s="27"/>
      <c r="G738" s="27"/>
      <c r="I738" s="27"/>
      <c r="J738" s="27"/>
      <c r="K738" s="27"/>
    </row>
    <row r="739" ht="15.75" customHeight="1">
      <c r="F739" s="27"/>
      <c r="G739" s="27"/>
      <c r="I739" s="27"/>
      <c r="J739" s="27"/>
      <c r="K739" s="27"/>
    </row>
    <row r="740" ht="15.75" customHeight="1">
      <c r="F740" s="27"/>
      <c r="G740" s="27"/>
      <c r="I740" s="27"/>
      <c r="J740" s="27"/>
      <c r="K740" s="27"/>
    </row>
    <row r="741" ht="15.75" customHeight="1">
      <c r="F741" s="27"/>
      <c r="G741" s="27"/>
      <c r="I741" s="27"/>
      <c r="J741" s="27"/>
      <c r="K741" s="27"/>
    </row>
    <row r="742" ht="15.75" customHeight="1">
      <c r="F742" s="27"/>
      <c r="G742" s="27"/>
      <c r="I742" s="27"/>
      <c r="J742" s="27"/>
      <c r="K742" s="27"/>
    </row>
    <row r="743" ht="15.75" customHeight="1">
      <c r="F743" s="27"/>
      <c r="G743" s="27"/>
      <c r="I743" s="27"/>
      <c r="J743" s="27"/>
      <c r="K743" s="27"/>
    </row>
    <row r="744" ht="15.75" customHeight="1">
      <c r="F744" s="27"/>
      <c r="G744" s="27"/>
      <c r="I744" s="27"/>
      <c r="J744" s="27"/>
      <c r="K744" s="27"/>
    </row>
    <row r="745" ht="15.75" customHeight="1">
      <c r="F745" s="27"/>
      <c r="G745" s="27"/>
      <c r="I745" s="27"/>
      <c r="J745" s="27"/>
      <c r="K745" s="27"/>
    </row>
    <row r="746" ht="15.75" customHeight="1">
      <c r="F746" s="27"/>
      <c r="G746" s="27"/>
      <c r="I746" s="27"/>
      <c r="J746" s="27"/>
      <c r="K746" s="27"/>
    </row>
    <row r="747" ht="15.75" customHeight="1">
      <c r="F747" s="27"/>
      <c r="G747" s="27"/>
      <c r="I747" s="27"/>
      <c r="J747" s="27"/>
      <c r="K747" s="27"/>
    </row>
    <row r="748" ht="15.75" customHeight="1">
      <c r="F748" s="27"/>
      <c r="G748" s="27"/>
      <c r="I748" s="27"/>
      <c r="J748" s="27"/>
      <c r="K748" s="27"/>
    </row>
    <row r="749" ht="15.75" customHeight="1">
      <c r="F749" s="27"/>
      <c r="G749" s="27"/>
      <c r="I749" s="27"/>
      <c r="J749" s="27"/>
      <c r="K749" s="27"/>
    </row>
    <row r="750" ht="15.75" customHeight="1">
      <c r="F750" s="27"/>
      <c r="G750" s="27"/>
      <c r="I750" s="27"/>
      <c r="J750" s="27"/>
      <c r="K750" s="27"/>
    </row>
    <row r="751" ht="15.75" customHeight="1">
      <c r="F751" s="27"/>
      <c r="G751" s="27"/>
      <c r="I751" s="27"/>
      <c r="J751" s="27"/>
      <c r="K751" s="27"/>
    </row>
    <row r="752" ht="15.75" customHeight="1">
      <c r="F752" s="27"/>
      <c r="G752" s="27"/>
      <c r="I752" s="27"/>
      <c r="J752" s="27"/>
      <c r="K752" s="27"/>
    </row>
    <row r="753" ht="15.75" customHeight="1">
      <c r="F753" s="27"/>
      <c r="G753" s="27"/>
      <c r="I753" s="27"/>
      <c r="J753" s="27"/>
      <c r="K753" s="27"/>
    </row>
    <row r="754" ht="15.75" customHeight="1">
      <c r="F754" s="27"/>
      <c r="G754" s="27"/>
      <c r="I754" s="27"/>
      <c r="J754" s="27"/>
      <c r="K754" s="27"/>
    </row>
    <row r="755" ht="15.75" customHeight="1">
      <c r="F755" s="27"/>
      <c r="G755" s="27"/>
      <c r="I755" s="27"/>
      <c r="J755" s="27"/>
      <c r="K755" s="27"/>
    </row>
    <row r="756" ht="15.75" customHeight="1">
      <c r="F756" s="27"/>
      <c r="G756" s="27"/>
      <c r="I756" s="27"/>
      <c r="J756" s="27"/>
      <c r="K756" s="27"/>
    </row>
    <row r="757" ht="15.75" customHeight="1">
      <c r="F757" s="27"/>
      <c r="G757" s="27"/>
      <c r="I757" s="27"/>
      <c r="J757" s="27"/>
      <c r="K757" s="27"/>
    </row>
    <row r="758" ht="15.75" customHeight="1">
      <c r="F758" s="27"/>
      <c r="G758" s="27"/>
      <c r="I758" s="27"/>
      <c r="J758" s="27"/>
      <c r="K758" s="27"/>
    </row>
    <row r="759" ht="15.75" customHeight="1">
      <c r="F759" s="27"/>
      <c r="G759" s="27"/>
      <c r="I759" s="27"/>
      <c r="J759" s="27"/>
      <c r="K759" s="27"/>
    </row>
    <row r="760" ht="15.75" customHeight="1">
      <c r="F760" s="27"/>
      <c r="G760" s="27"/>
      <c r="I760" s="27"/>
      <c r="J760" s="27"/>
      <c r="K760" s="27"/>
    </row>
    <row r="761" ht="15.75" customHeight="1">
      <c r="F761" s="27"/>
      <c r="G761" s="27"/>
      <c r="I761" s="27"/>
      <c r="J761" s="27"/>
      <c r="K761" s="27"/>
    </row>
    <row r="762" ht="15.75" customHeight="1">
      <c r="F762" s="27"/>
      <c r="G762" s="27"/>
      <c r="I762" s="27"/>
      <c r="J762" s="27"/>
      <c r="K762" s="27"/>
    </row>
    <row r="763" ht="15.75" customHeight="1">
      <c r="F763" s="27"/>
      <c r="G763" s="27"/>
      <c r="I763" s="27"/>
      <c r="J763" s="27"/>
      <c r="K763" s="27"/>
    </row>
    <row r="764" ht="15.75" customHeight="1">
      <c r="F764" s="27"/>
      <c r="G764" s="27"/>
      <c r="I764" s="27"/>
      <c r="J764" s="27"/>
      <c r="K764" s="27"/>
    </row>
    <row r="765" ht="15.75" customHeight="1">
      <c r="F765" s="27"/>
      <c r="G765" s="27"/>
      <c r="I765" s="27"/>
      <c r="J765" s="27"/>
      <c r="K765" s="27"/>
    </row>
    <row r="766" ht="15.75" customHeight="1">
      <c r="F766" s="27"/>
      <c r="G766" s="27"/>
      <c r="I766" s="27"/>
      <c r="J766" s="27"/>
      <c r="K766" s="27"/>
    </row>
    <row r="767" ht="15.75" customHeight="1">
      <c r="F767" s="27"/>
      <c r="G767" s="27"/>
      <c r="I767" s="27"/>
      <c r="J767" s="27"/>
      <c r="K767" s="27"/>
    </row>
    <row r="768" ht="15.75" customHeight="1">
      <c r="F768" s="27"/>
      <c r="G768" s="27"/>
      <c r="I768" s="27"/>
      <c r="J768" s="27"/>
      <c r="K768" s="27"/>
    </row>
    <row r="769" ht="15.75" customHeight="1">
      <c r="F769" s="27"/>
      <c r="G769" s="27"/>
      <c r="I769" s="27"/>
      <c r="J769" s="27"/>
      <c r="K769" s="27"/>
    </row>
    <row r="770" ht="15.75" customHeight="1">
      <c r="F770" s="27"/>
      <c r="G770" s="27"/>
      <c r="I770" s="27"/>
      <c r="J770" s="27"/>
      <c r="K770" s="27"/>
    </row>
    <row r="771" ht="15.75" customHeight="1">
      <c r="F771" s="27"/>
      <c r="G771" s="27"/>
      <c r="I771" s="27"/>
      <c r="J771" s="27"/>
      <c r="K771" s="27"/>
    </row>
    <row r="772" ht="15.75" customHeight="1">
      <c r="F772" s="27"/>
      <c r="G772" s="27"/>
      <c r="I772" s="27"/>
      <c r="J772" s="27"/>
      <c r="K772" s="27"/>
    </row>
    <row r="773" ht="15.75" customHeight="1">
      <c r="F773" s="27"/>
      <c r="G773" s="27"/>
      <c r="I773" s="27"/>
      <c r="J773" s="27"/>
      <c r="K773" s="27"/>
    </row>
    <row r="774" ht="15.75" customHeight="1">
      <c r="F774" s="27"/>
      <c r="G774" s="27"/>
      <c r="I774" s="27"/>
      <c r="J774" s="27"/>
      <c r="K774" s="27"/>
    </row>
    <row r="775" ht="15.75" customHeight="1">
      <c r="F775" s="27"/>
      <c r="G775" s="27"/>
      <c r="I775" s="27"/>
      <c r="J775" s="27"/>
      <c r="K775" s="27"/>
    </row>
    <row r="776" ht="15.75" customHeight="1">
      <c r="F776" s="27"/>
      <c r="G776" s="27"/>
      <c r="I776" s="27"/>
      <c r="J776" s="27"/>
      <c r="K776" s="27"/>
    </row>
    <row r="777" ht="15.75" customHeight="1">
      <c r="F777" s="27"/>
      <c r="G777" s="27"/>
      <c r="I777" s="27"/>
      <c r="J777" s="27"/>
      <c r="K777" s="27"/>
    </row>
    <row r="778" ht="15.75" customHeight="1">
      <c r="F778" s="27"/>
      <c r="G778" s="27"/>
      <c r="I778" s="27"/>
      <c r="J778" s="27"/>
      <c r="K778" s="27"/>
    </row>
    <row r="779" ht="15.75" customHeight="1">
      <c r="F779" s="27"/>
      <c r="G779" s="27"/>
      <c r="I779" s="27"/>
      <c r="J779" s="27"/>
      <c r="K779" s="27"/>
    </row>
    <row r="780" ht="15.75" customHeight="1">
      <c r="F780" s="27"/>
      <c r="G780" s="27"/>
      <c r="I780" s="27"/>
      <c r="J780" s="27"/>
      <c r="K780" s="27"/>
    </row>
    <row r="781" ht="15.75" customHeight="1">
      <c r="F781" s="27"/>
      <c r="G781" s="27"/>
      <c r="I781" s="27"/>
      <c r="J781" s="27"/>
      <c r="K781" s="27"/>
    </row>
    <row r="782" ht="15.75" customHeight="1">
      <c r="F782" s="27"/>
      <c r="G782" s="27"/>
      <c r="I782" s="27"/>
      <c r="J782" s="27"/>
      <c r="K782" s="27"/>
    </row>
    <row r="783" ht="15.75" customHeight="1">
      <c r="F783" s="27"/>
      <c r="G783" s="27"/>
      <c r="I783" s="27"/>
      <c r="J783" s="27"/>
      <c r="K783" s="27"/>
    </row>
    <row r="784" ht="15.75" customHeight="1">
      <c r="F784" s="27"/>
      <c r="G784" s="27"/>
      <c r="I784" s="27"/>
      <c r="J784" s="27"/>
      <c r="K784" s="27"/>
    </row>
    <row r="785" ht="15.75" customHeight="1">
      <c r="F785" s="27"/>
      <c r="G785" s="27"/>
      <c r="I785" s="27"/>
      <c r="J785" s="27"/>
      <c r="K785" s="27"/>
    </row>
    <row r="786" ht="15.75" customHeight="1">
      <c r="F786" s="27"/>
      <c r="G786" s="27"/>
      <c r="I786" s="27"/>
      <c r="J786" s="27"/>
      <c r="K786" s="27"/>
    </row>
    <row r="787" ht="15.75" customHeight="1">
      <c r="F787" s="27"/>
      <c r="G787" s="27"/>
      <c r="I787" s="27"/>
      <c r="J787" s="27"/>
      <c r="K787" s="27"/>
    </row>
    <row r="788" ht="15.75" customHeight="1">
      <c r="F788" s="27"/>
      <c r="G788" s="27"/>
      <c r="I788" s="27"/>
      <c r="J788" s="27"/>
      <c r="K788" s="27"/>
    </row>
    <row r="789" ht="15.75" customHeight="1">
      <c r="F789" s="27"/>
      <c r="G789" s="27"/>
      <c r="I789" s="27"/>
      <c r="J789" s="27"/>
      <c r="K789" s="27"/>
    </row>
    <row r="790" ht="15.75" customHeight="1">
      <c r="F790" s="27"/>
      <c r="G790" s="27"/>
      <c r="I790" s="27"/>
      <c r="J790" s="27"/>
      <c r="K790" s="27"/>
    </row>
    <row r="791" ht="15.75" customHeight="1">
      <c r="F791" s="27"/>
      <c r="G791" s="27"/>
      <c r="I791" s="27"/>
      <c r="J791" s="27"/>
      <c r="K791" s="27"/>
    </row>
    <row r="792" ht="15.75" customHeight="1">
      <c r="F792" s="27"/>
      <c r="G792" s="27"/>
      <c r="I792" s="27"/>
      <c r="J792" s="27"/>
      <c r="K792" s="27"/>
    </row>
    <row r="793" ht="15.75" customHeight="1">
      <c r="F793" s="27"/>
      <c r="G793" s="27"/>
      <c r="I793" s="27"/>
      <c r="J793" s="27"/>
      <c r="K793" s="27"/>
    </row>
    <row r="794" ht="15.75" customHeight="1">
      <c r="F794" s="27"/>
      <c r="G794" s="27"/>
      <c r="I794" s="27"/>
      <c r="J794" s="27"/>
      <c r="K794" s="27"/>
    </row>
    <row r="795" ht="15.75" customHeight="1">
      <c r="F795" s="27"/>
      <c r="G795" s="27"/>
      <c r="I795" s="27"/>
      <c r="J795" s="27"/>
      <c r="K795" s="27"/>
    </row>
    <row r="796" ht="15.75" customHeight="1">
      <c r="F796" s="27"/>
      <c r="G796" s="27"/>
      <c r="I796" s="27"/>
      <c r="J796" s="27"/>
      <c r="K796" s="27"/>
    </row>
    <row r="797" ht="15.75" customHeight="1">
      <c r="F797" s="27"/>
      <c r="G797" s="27"/>
      <c r="I797" s="27"/>
      <c r="J797" s="27"/>
      <c r="K797" s="27"/>
    </row>
    <row r="798" ht="15.75" customHeight="1">
      <c r="F798" s="27"/>
      <c r="G798" s="27"/>
      <c r="I798" s="27"/>
      <c r="J798" s="27"/>
      <c r="K798" s="27"/>
    </row>
    <row r="799" ht="15.75" customHeight="1">
      <c r="F799" s="27"/>
      <c r="G799" s="27"/>
      <c r="I799" s="27"/>
      <c r="J799" s="27"/>
      <c r="K799" s="27"/>
    </row>
    <row r="800" ht="15.75" customHeight="1">
      <c r="F800" s="27"/>
      <c r="G800" s="27"/>
      <c r="I800" s="27"/>
      <c r="J800" s="27"/>
      <c r="K800" s="27"/>
    </row>
    <row r="801" ht="15.75" customHeight="1">
      <c r="F801" s="27"/>
      <c r="G801" s="27"/>
      <c r="I801" s="27"/>
      <c r="J801" s="27"/>
      <c r="K801" s="27"/>
    </row>
    <row r="802" ht="15.75" customHeight="1">
      <c r="F802" s="27"/>
      <c r="G802" s="27"/>
      <c r="I802" s="27"/>
      <c r="J802" s="27"/>
      <c r="K802" s="27"/>
    </row>
    <row r="803" ht="15.75" customHeight="1">
      <c r="F803" s="27"/>
      <c r="G803" s="27"/>
      <c r="I803" s="27"/>
      <c r="J803" s="27"/>
      <c r="K803" s="27"/>
    </row>
    <row r="804" ht="15.75" customHeight="1">
      <c r="F804" s="27"/>
      <c r="G804" s="27"/>
      <c r="I804" s="27"/>
      <c r="J804" s="27"/>
      <c r="K804" s="27"/>
    </row>
    <row r="805" ht="15.75" customHeight="1">
      <c r="F805" s="27"/>
      <c r="G805" s="27"/>
      <c r="I805" s="27"/>
      <c r="J805" s="27"/>
      <c r="K805" s="27"/>
    </row>
    <row r="806" ht="15.75" customHeight="1">
      <c r="F806" s="27"/>
      <c r="G806" s="27"/>
      <c r="I806" s="27"/>
      <c r="J806" s="27"/>
      <c r="K806" s="27"/>
    </row>
    <row r="807" ht="15.75" customHeight="1">
      <c r="F807" s="27"/>
      <c r="G807" s="27"/>
      <c r="I807" s="27"/>
      <c r="J807" s="27"/>
      <c r="K807" s="27"/>
    </row>
    <row r="808" ht="15.75" customHeight="1">
      <c r="F808" s="27"/>
      <c r="G808" s="27"/>
      <c r="I808" s="27"/>
      <c r="J808" s="27"/>
      <c r="K808" s="27"/>
    </row>
    <row r="809" ht="15.75" customHeight="1">
      <c r="F809" s="27"/>
      <c r="G809" s="27"/>
      <c r="I809" s="27"/>
      <c r="J809" s="27"/>
      <c r="K809" s="27"/>
    </row>
    <row r="810" ht="15.75" customHeight="1">
      <c r="F810" s="27"/>
      <c r="G810" s="27"/>
      <c r="I810" s="27"/>
      <c r="J810" s="27"/>
      <c r="K810" s="27"/>
    </row>
    <row r="811" ht="15.75" customHeight="1">
      <c r="F811" s="27"/>
      <c r="G811" s="27"/>
      <c r="I811" s="27"/>
      <c r="J811" s="27"/>
      <c r="K811" s="27"/>
    </row>
    <row r="812" ht="15.75" customHeight="1">
      <c r="F812" s="27"/>
      <c r="G812" s="27"/>
      <c r="I812" s="27"/>
      <c r="J812" s="27"/>
      <c r="K812" s="27"/>
    </row>
    <row r="813" ht="15.75" customHeight="1">
      <c r="F813" s="27"/>
      <c r="G813" s="27"/>
      <c r="I813" s="27"/>
      <c r="J813" s="27"/>
      <c r="K813" s="27"/>
    </row>
    <row r="814" ht="15.75" customHeight="1">
      <c r="F814" s="27"/>
      <c r="G814" s="27"/>
      <c r="I814" s="27"/>
      <c r="J814" s="27"/>
      <c r="K814" s="27"/>
    </row>
    <row r="815" ht="15.75" customHeight="1">
      <c r="F815" s="27"/>
      <c r="G815" s="27"/>
      <c r="I815" s="27"/>
      <c r="J815" s="27"/>
      <c r="K815" s="27"/>
    </row>
    <row r="816" ht="15.75" customHeight="1">
      <c r="F816" s="27"/>
      <c r="G816" s="27"/>
      <c r="I816" s="27"/>
      <c r="J816" s="27"/>
      <c r="K816" s="27"/>
    </row>
    <row r="817" ht="15.75" customHeight="1">
      <c r="F817" s="27"/>
      <c r="G817" s="27"/>
      <c r="I817" s="27"/>
      <c r="J817" s="27"/>
      <c r="K817" s="27"/>
    </row>
    <row r="818" ht="15.75" customHeight="1">
      <c r="F818" s="27"/>
      <c r="G818" s="27"/>
      <c r="I818" s="27"/>
      <c r="J818" s="27"/>
      <c r="K818" s="27"/>
    </row>
    <row r="819" ht="15.75" customHeight="1">
      <c r="F819" s="27"/>
      <c r="G819" s="27"/>
      <c r="I819" s="27"/>
      <c r="J819" s="27"/>
      <c r="K819" s="27"/>
    </row>
    <row r="820" ht="15.75" customHeight="1">
      <c r="F820" s="27"/>
      <c r="G820" s="27"/>
      <c r="I820" s="27"/>
      <c r="J820" s="27"/>
      <c r="K820" s="27"/>
    </row>
    <row r="821" ht="15.75" customHeight="1">
      <c r="F821" s="27"/>
      <c r="G821" s="27"/>
      <c r="I821" s="27"/>
      <c r="J821" s="27"/>
      <c r="K821" s="27"/>
    </row>
    <row r="822" ht="15.75" customHeight="1">
      <c r="F822" s="27"/>
      <c r="G822" s="27"/>
      <c r="I822" s="27"/>
      <c r="J822" s="27"/>
      <c r="K822" s="27"/>
    </row>
    <row r="823" ht="15.75" customHeight="1">
      <c r="F823" s="27"/>
      <c r="G823" s="27"/>
      <c r="I823" s="27"/>
      <c r="J823" s="27"/>
      <c r="K823" s="27"/>
    </row>
    <row r="824" ht="15.75" customHeight="1">
      <c r="F824" s="27"/>
      <c r="G824" s="27"/>
      <c r="I824" s="27"/>
      <c r="J824" s="27"/>
      <c r="K824" s="27"/>
    </row>
    <row r="825" ht="15.75" customHeight="1">
      <c r="F825" s="27"/>
      <c r="G825" s="27"/>
      <c r="I825" s="27"/>
      <c r="J825" s="27"/>
      <c r="K825" s="27"/>
    </row>
    <row r="826" ht="15.75" customHeight="1">
      <c r="F826" s="27"/>
      <c r="G826" s="27"/>
      <c r="I826" s="27"/>
      <c r="J826" s="27"/>
      <c r="K826" s="27"/>
    </row>
    <row r="827" ht="15.75" customHeight="1">
      <c r="F827" s="27"/>
      <c r="G827" s="27"/>
      <c r="I827" s="27"/>
      <c r="J827" s="27"/>
      <c r="K827" s="27"/>
    </row>
    <row r="828" ht="15.75" customHeight="1">
      <c r="F828" s="27"/>
      <c r="G828" s="27"/>
      <c r="I828" s="27"/>
      <c r="J828" s="27"/>
      <c r="K828" s="27"/>
    </row>
    <row r="829" ht="15.75" customHeight="1">
      <c r="F829" s="27"/>
      <c r="G829" s="27"/>
      <c r="I829" s="27"/>
      <c r="J829" s="27"/>
      <c r="K829" s="27"/>
    </row>
    <row r="830" ht="15.75" customHeight="1">
      <c r="F830" s="27"/>
      <c r="G830" s="27"/>
      <c r="I830" s="27"/>
      <c r="J830" s="27"/>
      <c r="K830" s="27"/>
    </row>
    <row r="831" ht="15.75" customHeight="1">
      <c r="F831" s="27"/>
      <c r="G831" s="27"/>
      <c r="I831" s="27"/>
      <c r="J831" s="27"/>
      <c r="K831" s="27"/>
    </row>
    <row r="832" ht="15.75" customHeight="1">
      <c r="F832" s="27"/>
      <c r="G832" s="27"/>
      <c r="I832" s="27"/>
      <c r="J832" s="27"/>
      <c r="K832" s="27"/>
    </row>
    <row r="833" ht="15.75" customHeight="1">
      <c r="F833" s="27"/>
      <c r="G833" s="27"/>
      <c r="I833" s="27"/>
      <c r="J833" s="27"/>
      <c r="K833" s="27"/>
    </row>
    <row r="834" ht="15.75" customHeight="1">
      <c r="F834" s="27"/>
      <c r="G834" s="27"/>
      <c r="I834" s="27"/>
      <c r="J834" s="27"/>
      <c r="K834" s="27"/>
    </row>
    <row r="835" ht="15.75" customHeight="1">
      <c r="F835" s="27"/>
      <c r="G835" s="27"/>
      <c r="I835" s="27"/>
      <c r="J835" s="27"/>
      <c r="K835" s="27"/>
    </row>
    <row r="836" ht="15.75" customHeight="1">
      <c r="F836" s="27"/>
      <c r="G836" s="27"/>
      <c r="I836" s="27"/>
      <c r="J836" s="27"/>
      <c r="K836" s="27"/>
    </row>
    <row r="837" ht="15.75" customHeight="1">
      <c r="F837" s="27"/>
      <c r="G837" s="27"/>
      <c r="I837" s="27"/>
      <c r="J837" s="27"/>
      <c r="K837" s="27"/>
    </row>
    <row r="838" ht="15.75" customHeight="1">
      <c r="F838" s="27"/>
      <c r="G838" s="27"/>
      <c r="I838" s="27"/>
      <c r="J838" s="27"/>
      <c r="K838" s="27"/>
    </row>
    <row r="839" ht="15.75" customHeight="1">
      <c r="F839" s="27"/>
      <c r="G839" s="27"/>
      <c r="I839" s="27"/>
      <c r="J839" s="27"/>
      <c r="K839" s="27"/>
    </row>
    <row r="840" ht="15.75" customHeight="1">
      <c r="F840" s="27"/>
      <c r="G840" s="27"/>
      <c r="I840" s="27"/>
      <c r="J840" s="27"/>
      <c r="K840" s="27"/>
    </row>
    <row r="841" ht="15.75" customHeight="1">
      <c r="F841" s="27"/>
      <c r="G841" s="27"/>
      <c r="I841" s="27"/>
      <c r="J841" s="27"/>
      <c r="K841" s="27"/>
    </row>
    <row r="842" ht="15.75" customHeight="1">
      <c r="F842" s="27"/>
      <c r="G842" s="27"/>
      <c r="I842" s="27"/>
      <c r="J842" s="27"/>
      <c r="K842" s="27"/>
    </row>
    <row r="843" ht="15.75" customHeight="1">
      <c r="F843" s="27"/>
      <c r="G843" s="27"/>
      <c r="I843" s="27"/>
      <c r="J843" s="27"/>
      <c r="K843" s="27"/>
    </row>
    <row r="844" ht="15.75" customHeight="1">
      <c r="F844" s="27"/>
      <c r="G844" s="27"/>
      <c r="I844" s="27"/>
      <c r="J844" s="27"/>
      <c r="K844" s="27"/>
    </row>
    <row r="845" ht="15.75" customHeight="1">
      <c r="F845" s="27"/>
      <c r="G845" s="27"/>
      <c r="I845" s="27"/>
      <c r="J845" s="27"/>
      <c r="K845" s="27"/>
    </row>
    <row r="846" ht="15.75" customHeight="1">
      <c r="F846" s="27"/>
      <c r="G846" s="27"/>
      <c r="I846" s="27"/>
      <c r="J846" s="27"/>
      <c r="K846" s="27"/>
    </row>
    <row r="847" ht="15.75" customHeight="1">
      <c r="F847" s="27"/>
      <c r="G847" s="27"/>
      <c r="I847" s="27"/>
      <c r="J847" s="27"/>
      <c r="K847" s="27"/>
    </row>
    <row r="848" ht="15.75" customHeight="1">
      <c r="F848" s="27"/>
      <c r="G848" s="27"/>
      <c r="I848" s="27"/>
      <c r="J848" s="27"/>
      <c r="K848" s="27"/>
    </row>
    <row r="849" ht="15.75" customHeight="1">
      <c r="F849" s="27"/>
      <c r="G849" s="27"/>
      <c r="I849" s="27"/>
      <c r="J849" s="27"/>
      <c r="K849" s="27"/>
    </row>
    <row r="850" ht="15.75" customHeight="1">
      <c r="F850" s="27"/>
      <c r="G850" s="27"/>
      <c r="I850" s="27"/>
      <c r="J850" s="27"/>
      <c r="K850" s="27"/>
    </row>
    <row r="851" ht="15.75" customHeight="1">
      <c r="F851" s="27"/>
      <c r="G851" s="27"/>
      <c r="I851" s="27"/>
      <c r="J851" s="27"/>
      <c r="K851" s="27"/>
    </row>
    <row r="852" ht="15.75" customHeight="1">
      <c r="F852" s="27"/>
      <c r="G852" s="27"/>
      <c r="I852" s="27"/>
      <c r="J852" s="27"/>
      <c r="K852" s="27"/>
    </row>
    <row r="853" ht="15.75" customHeight="1">
      <c r="F853" s="27"/>
      <c r="G853" s="27"/>
      <c r="I853" s="27"/>
      <c r="J853" s="27"/>
      <c r="K853" s="27"/>
    </row>
    <row r="854" ht="15.75" customHeight="1">
      <c r="F854" s="27"/>
      <c r="G854" s="27"/>
      <c r="I854" s="27"/>
      <c r="J854" s="27"/>
      <c r="K854" s="27"/>
    </row>
    <row r="855" ht="15.75" customHeight="1">
      <c r="F855" s="27"/>
      <c r="G855" s="27"/>
      <c r="I855" s="27"/>
      <c r="J855" s="27"/>
      <c r="K855" s="27"/>
    </row>
    <row r="856" ht="15.75" customHeight="1">
      <c r="F856" s="27"/>
      <c r="G856" s="27"/>
      <c r="I856" s="27"/>
      <c r="J856" s="27"/>
      <c r="K856" s="27"/>
    </row>
    <row r="857" ht="15.75" customHeight="1">
      <c r="F857" s="27"/>
      <c r="G857" s="27"/>
      <c r="I857" s="27"/>
      <c r="J857" s="27"/>
      <c r="K857" s="27"/>
    </row>
    <row r="858" ht="15.75" customHeight="1">
      <c r="F858" s="27"/>
      <c r="G858" s="27"/>
      <c r="I858" s="27"/>
      <c r="J858" s="27"/>
      <c r="K858" s="27"/>
    </row>
    <row r="859" ht="15.75" customHeight="1">
      <c r="F859" s="27"/>
      <c r="G859" s="27"/>
      <c r="I859" s="27"/>
      <c r="J859" s="27"/>
      <c r="K859" s="27"/>
    </row>
    <row r="860" ht="15.75" customHeight="1">
      <c r="F860" s="27"/>
      <c r="G860" s="27"/>
      <c r="I860" s="27"/>
      <c r="J860" s="27"/>
      <c r="K860" s="27"/>
    </row>
    <row r="861" ht="15.75" customHeight="1">
      <c r="F861" s="27"/>
      <c r="G861" s="27"/>
      <c r="I861" s="27"/>
      <c r="J861" s="27"/>
      <c r="K861" s="27"/>
    </row>
    <row r="862" ht="15.75" customHeight="1">
      <c r="F862" s="27"/>
      <c r="G862" s="27"/>
      <c r="I862" s="27"/>
      <c r="J862" s="27"/>
      <c r="K862" s="27"/>
    </row>
    <row r="863" ht="15.75" customHeight="1">
      <c r="F863" s="27"/>
      <c r="G863" s="27"/>
      <c r="I863" s="27"/>
      <c r="J863" s="27"/>
      <c r="K863" s="27"/>
    </row>
    <row r="864" ht="15.75" customHeight="1">
      <c r="F864" s="27"/>
      <c r="G864" s="27"/>
      <c r="I864" s="27"/>
      <c r="J864" s="27"/>
      <c r="K864" s="27"/>
    </row>
    <row r="865" ht="15.75" customHeight="1">
      <c r="F865" s="27"/>
      <c r="G865" s="27"/>
      <c r="I865" s="27"/>
      <c r="J865" s="27"/>
      <c r="K865" s="27"/>
    </row>
    <row r="866" ht="15.75" customHeight="1">
      <c r="F866" s="27"/>
      <c r="G866" s="27"/>
      <c r="I866" s="27"/>
      <c r="J866" s="27"/>
      <c r="K866" s="27"/>
    </row>
    <row r="867" ht="15.75" customHeight="1">
      <c r="F867" s="27"/>
      <c r="G867" s="27"/>
      <c r="I867" s="27"/>
      <c r="J867" s="27"/>
      <c r="K867" s="27"/>
    </row>
    <row r="868" ht="15.75" customHeight="1">
      <c r="F868" s="27"/>
      <c r="G868" s="27"/>
      <c r="I868" s="27"/>
      <c r="J868" s="27"/>
      <c r="K868" s="27"/>
    </row>
    <row r="869" ht="15.75" customHeight="1">
      <c r="F869" s="27"/>
      <c r="G869" s="27"/>
      <c r="I869" s="27"/>
      <c r="J869" s="27"/>
      <c r="K869" s="27"/>
    </row>
    <row r="870" ht="15.75" customHeight="1">
      <c r="F870" s="27"/>
      <c r="G870" s="27"/>
      <c r="I870" s="27"/>
      <c r="J870" s="27"/>
      <c r="K870" s="27"/>
    </row>
    <row r="871" ht="15.75" customHeight="1">
      <c r="F871" s="27"/>
      <c r="G871" s="27"/>
      <c r="I871" s="27"/>
      <c r="J871" s="27"/>
      <c r="K871" s="27"/>
    </row>
    <row r="872" ht="15.75" customHeight="1">
      <c r="F872" s="27"/>
      <c r="G872" s="27"/>
      <c r="I872" s="27"/>
      <c r="J872" s="27"/>
      <c r="K872" s="27"/>
    </row>
    <row r="873" ht="15.75" customHeight="1">
      <c r="F873" s="27"/>
      <c r="G873" s="27"/>
      <c r="I873" s="27"/>
      <c r="J873" s="27"/>
      <c r="K873" s="27"/>
    </row>
    <row r="874" ht="15.75" customHeight="1">
      <c r="F874" s="27"/>
      <c r="G874" s="27"/>
      <c r="I874" s="27"/>
      <c r="J874" s="27"/>
      <c r="K874" s="27"/>
    </row>
    <row r="875" ht="15.75" customHeight="1">
      <c r="F875" s="27"/>
      <c r="G875" s="27"/>
      <c r="I875" s="27"/>
      <c r="J875" s="27"/>
      <c r="K875" s="27"/>
    </row>
    <row r="876" ht="15.75" customHeight="1">
      <c r="F876" s="27"/>
      <c r="G876" s="27"/>
      <c r="I876" s="27"/>
      <c r="J876" s="27"/>
      <c r="K876" s="27"/>
    </row>
    <row r="877" ht="15.75" customHeight="1">
      <c r="F877" s="27"/>
      <c r="G877" s="27"/>
      <c r="I877" s="27"/>
      <c r="J877" s="27"/>
      <c r="K877" s="27"/>
    </row>
    <row r="878" ht="15.75" customHeight="1">
      <c r="F878" s="27"/>
      <c r="G878" s="27"/>
      <c r="I878" s="27"/>
      <c r="J878" s="27"/>
      <c r="K878" s="27"/>
    </row>
    <row r="879" ht="15.75" customHeight="1">
      <c r="F879" s="27"/>
      <c r="G879" s="27"/>
      <c r="I879" s="27"/>
      <c r="J879" s="27"/>
      <c r="K879" s="27"/>
    </row>
    <row r="880" ht="15.75" customHeight="1">
      <c r="F880" s="27"/>
      <c r="G880" s="27"/>
      <c r="I880" s="27"/>
      <c r="J880" s="27"/>
      <c r="K880" s="27"/>
    </row>
    <row r="881" ht="15.75" customHeight="1">
      <c r="F881" s="27"/>
      <c r="G881" s="27"/>
      <c r="I881" s="27"/>
      <c r="J881" s="27"/>
      <c r="K881" s="27"/>
    </row>
    <row r="882" ht="15.75" customHeight="1">
      <c r="F882" s="27"/>
      <c r="G882" s="27"/>
      <c r="I882" s="27"/>
      <c r="J882" s="27"/>
      <c r="K882" s="27"/>
    </row>
    <row r="883" ht="15.75" customHeight="1">
      <c r="F883" s="27"/>
      <c r="G883" s="27"/>
      <c r="I883" s="27"/>
      <c r="J883" s="27"/>
      <c r="K883" s="27"/>
    </row>
    <row r="884" ht="15.75" customHeight="1">
      <c r="F884" s="27"/>
      <c r="G884" s="27"/>
      <c r="I884" s="27"/>
      <c r="J884" s="27"/>
      <c r="K884" s="27"/>
    </row>
    <row r="885" ht="15.75" customHeight="1">
      <c r="F885" s="27"/>
      <c r="G885" s="27"/>
      <c r="I885" s="27"/>
      <c r="J885" s="27"/>
      <c r="K885" s="27"/>
    </row>
    <row r="886" ht="15.75" customHeight="1">
      <c r="F886" s="27"/>
      <c r="G886" s="27"/>
      <c r="I886" s="27"/>
      <c r="J886" s="27"/>
      <c r="K886" s="27"/>
    </row>
    <row r="887" ht="15.75" customHeight="1">
      <c r="F887" s="27"/>
      <c r="G887" s="27"/>
      <c r="I887" s="27"/>
      <c r="J887" s="27"/>
      <c r="K887" s="27"/>
    </row>
    <row r="888" ht="15.75" customHeight="1">
      <c r="F888" s="27"/>
      <c r="G888" s="27"/>
      <c r="I888" s="27"/>
      <c r="J888" s="27"/>
      <c r="K888" s="27"/>
    </row>
    <row r="889" ht="15.75" customHeight="1">
      <c r="F889" s="27"/>
      <c r="G889" s="27"/>
      <c r="I889" s="27"/>
      <c r="J889" s="27"/>
      <c r="K889" s="27"/>
    </row>
    <row r="890" ht="15.75" customHeight="1">
      <c r="F890" s="27"/>
      <c r="G890" s="27"/>
      <c r="I890" s="27"/>
      <c r="J890" s="27"/>
      <c r="K890" s="27"/>
    </row>
    <row r="891" ht="15.75" customHeight="1">
      <c r="F891" s="27"/>
      <c r="G891" s="27"/>
      <c r="I891" s="27"/>
      <c r="J891" s="27"/>
      <c r="K891" s="27"/>
    </row>
    <row r="892" ht="15.75" customHeight="1">
      <c r="F892" s="27"/>
      <c r="G892" s="27"/>
      <c r="I892" s="27"/>
      <c r="J892" s="27"/>
      <c r="K892" s="27"/>
    </row>
    <row r="893" ht="15.75" customHeight="1">
      <c r="F893" s="27"/>
      <c r="G893" s="27"/>
      <c r="I893" s="27"/>
      <c r="J893" s="27"/>
      <c r="K893" s="27"/>
    </row>
    <row r="894" ht="15.75" customHeight="1">
      <c r="F894" s="27"/>
      <c r="G894" s="27"/>
      <c r="I894" s="27"/>
      <c r="J894" s="27"/>
      <c r="K894" s="27"/>
    </row>
    <row r="895" ht="15.75" customHeight="1">
      <c r="F895" s="27"/>
      <c r="G895" s="27"/>
      <c r="I895" s="27"/>
      <c r="J895" s="27"/>
      <c r="K895" s="27"/>
    </row>
    <row r="896" ht="15.75" customHeight="1">
      <c r="F896" s="27"/>
      <c r="G896" s="27"/>
      <c r="I896" s="27"/>
      <c r="J896" s="27"/>
      <c r="K896" s="27"/>
    </row>
    <row r="897" ht="15.75" customHeight="1">
      <c r="F897" s="27"/>
      <c r="G897" s="27"/>
      <c r="I897" s="27"/>
      <c r="J897" s="27"/>
      <c r="K897" s="27"/>
    </row>
    <row r="898" ht="15.75" customHeight="1">
      <c r="F898" s="27"/>
      <c r="G898" s="27"/>
      <c r="I898" s="27"/>
      <c r="J898" s="27"/>
      <c r="K898" s="27"/>
    </row>
    <row r="899" ht="15.75" customHeight="1">
      <c r="F899" s="27"/>
      <c r="G899" s="27"/>
      <c r="I899" s="27"/>
      <c r="J899" s="27"/>
      <c r="K899" s="27"/>
    </row>
    <row r="900" ht="15.75" customHeight="1">
      <c r="F900" s="27"/>
      <c r="G900" s="27"/>
      <c r="I900" s="27"/>
      <c r="J900" s="27"/>
      <c r="K900" s="27"/>
    </row>
    <row r="901" ht="15.75" customHeight="1">
      <c r="F901" s="27"/>
      <c r="G901" s="27"/>
      <c r="I901" s="27"/>
      <c r="J901" s="27"/>
      <c r="K901" s="27"/>
    </row>
    <row r="902" ht="15.75" customHeight="1">
      <c r="F902" s="27"/>
      <c r="G902" s="27"/>
      <c r="I902" s="27"/>
      <c r="J902" s="27"/>
      <c r="K902" s="27"/>
    </row>
    <row r="903" ht="15.75" customHeight="1">
      <c r="F903" s="27"/>
      <c r="G903" s="27"/>
      <c r="I903" s="27"/>
      <c r="J903" s="27"/>
      <c r="K903" s="27"/>
    </row>
    <row r="904" ht="15.75" customHeight="1">
      <c r="F904" s="27"/>
      <c r="G904" s="27"/>
      <c r="I904" s="27"/>
      <c r="J904" s="27"/>
      <c r="K904" s="27"/>
    </row>
    <row r="905" ht="15.75" customHeight="1">
      <c r="F905" s="27"/>
      <c r="G905" s="27"/>
      <c r="I905" s="27"/>
      <c r="J905" s="27"/>
      <c r="K905" s="27"/>
    </row>
    <row r="906" ht="15.75" customHeight="1">
      <c r="F906" s="27"/>
      <c r="G906" s="27"/>
      <c r="I906" s="27"/>
      <c r="J906" s="27"/>
      <c r="K906" s="27"/>
    </row>
    <row r="907" ht="15.75" customHeight="1">
      <c r="F907" s="27"/>
      <c r="G907" s="27"/>
      <c r="I907" s="27"/>
      <c r="J907" s="27"/>
      <c r="K907" s="27"/>
    </row>
    <row r="908" ht="15.75" customHeight="1">
      <c r="F908" s="27"/>
      <c r="G908" s="27"/>
      <c r="I908" s="27"/>
      <c r="J908" s="27"/>
      <c r="K908" s="27"/>
    </row>
    <row r="909" ht="15.75" customHeight="1">
      <c r="F909" s="27"/>
      <c r="G909" s="27"/>
      <c r="I909" s="27"/>
      <c r="J909" s="27"/>
      <c r="K909" s="27"/>
    </row>
    <row r="910" ht="15.75" customHeight="1">
      <c r="F910" s="27"/>
      <c r="G910" s="27"/>
      <c r="I910" s="27"/>
      <c r="J910" s="27"/>
      <c r="K910" s="27"/>
    </row>
    <row r="911" ht="15.75" customHeight="1">
      <c r="F911" s="27"/>
      <c r="G911" s="27"/>
      <c r="I911" s="27"/>
      <c r="J911" s="27"/>
      <c r="K911" s="27"/>
    </row>
    <row r="912" ht="15.75" customHeight="1">
      <c r="F912" s="27"/>
      <c r="G912" s="27"/>
      <c r="I912" s="27"/>
      <c r="J912" s="27"/>
      <c r="K912" s="27"/>
    </row>
    <row r="913" ht="15.75" customHeight="1">
      <c r="F913" s="27"/>
      <c r="G913" s="27"/>
      <c r="I913" s="27"/>
      <c r="J913" s="27"/>
      <c r="K913" s="27"/>
    </row>
    <row r="914" ht="15.75" customHeight="1">
      <c r="F914" s="27"/>
      <c r="G914" s="27"/>
      <c r="I914" s="27"/>
      <c r="J914" s="27"/>
      <c r="K914" s="27"/>
    </row>
    <row r="915" ht="15.75" customHeight="1">
      <c r="F915" s="27"/>
      <c r="G915" s="27"/>
      <c r="I915" s="27"/>
      <c r="J915" s="27"/>
      <c r="K915" s="27"/>
    </row>
    <row r="916" ht="15.75" customHeight="1">
      <c r="F916" s="27"/>
      <c r="G916" s="27"/>
      <c r="I916" s="27"/>
      <c r="J916" s="27"/>
      <c r="K916" s="27"/>
    </row>
    <row r="917" ht="15.75" customHeight="1">
      <c r="F917" s="27"/>
      <c r="G917" s="27"/>
      <c r="I917" s="27"/>
      <c r="J917" s="27"/>
      <c r="K917" s="27"/>
    </row>
    <row r="918" ht="15.75" customHeight="1">
      <c r="F918" s="27"/>
      <c r="G918" s="27"/>
      <c r="I918" s="27"/>
      <c r="J918" s="27"/>
      <c r="K918" s="27"/>
    </row>
    <row r="919" ht="15.75" customHeight="1">
      <c r="F919" s="27"/>
      <c r="G919" s="27"/>
      <c r="I919" s="27"/>
      <c r="J919" s="27"/>
      <c r="K919" s="27"/>
    </row>
    <row r="920" ht="15.75" customHeight="1">
      <c r="F920" s="27"/>
      <c r="G920" s="27"/>
      <c r="I920" s="27"/>
      <c r="J920" s="27"/>
      <c r="K920" s="27"/>
    </row>
    <row r="921" ht="15.75" customHeight="1">
      <c r="F921" s="27"/>
      <c r="G921" s="27"/>
      <c r="I921" s="27"/>
      <c r="J921" s="27"/>
      <c r="K921" s="27"/>
    </row>
    <row r="922" ht="15.75" customHeight="1">
      <c r="F922" s="27"/>
      <c r="G922" s="27"/>
      <c r="I922" s="27"/>
      <c r="J922" s="27"/>
      <c r="K922" s="27"/>
    </row>
    <row r="923" ht="15.75" customHeight="1">
      <c r="F923" s="27"/>
      <c r="G923" s="27"/>
      <c r="I923" s="27"/>
      <c r="J923" s="27"/>
      <c r="K923" s="27"/>
    </row>
    <row r="924" ht="15.75" customHeight="1">
      <c r="F924" s="27"/>
      <c r="G924" s="27"/>
      <c r="I924" s="27"/>
      <c r="J924" s="27"/>
      <c r="K924" s="27"/>
    </row>
    <row r="925" ht="15.75" customHeight="1">
      <c r="F925" s="27"/>
      <c r="G925" s="27"/>
      <c r="I925" s="27"/>
      <c r="J925" s="27"/>
      <c r="K925" s="27"/>
    </row>
    <row r="926" ht="15.75" customHeight="1">
      <c r="F926" s="27"/>
      <c r="G926" s="27"/>
      <c r="I926" s="27"/>
      <c r="J926" s="27"/>
      <c r="K926" s="27"/>
    </row>
    <row r="927" ht="15.75" customHeight="1">
      <c r="F927" s="27"/>
      <c r="G927" s="27"/>
      <c r="I927" s="27"/>
      <c r="J927" s="27"/>
      <c r="K927" s="27"/>
    </row>
    <row r="928" ht="15.75" customHeight="1">
      <c r="F928" s="27"/>
      <c r="G928" s="27"/>
      <c r="I928" s="27"/>
      <c r="J928" s="27"/>
      <c r="K928" s="27"/>
    </row>
    <row r="929" ht="15.75" customHeight="1">
      <c r="F929" s="27"/>
      <c r="G929" s="27"/>
      <c r="I929" s="27"/>
      <c r="J929" s="27"/>
      <c r="K929" s="27"/>
    </row>
    <row r="930" ht="15.75" customHeight="1">
      <c r="F930" s="27"/>
      <c r="G930" s="27"/>
      <c r="I930" s="27"/>
      <c r="J930" s="27"/>
      <c r="K930" s="27"/>
    </row>
    <row r="931" ht="15.75" customHeight="1">
      <c r="F931" s="27"/>
      <c r="G931" s="27"/>
      <c r="I931" s="27"/>
      <c r="J931" s="27"/>
      <c r="K931" s="27"/>
    </row>
    <row r="932" ht="15.75" customHeight="1">
      <c r="F932" s="27"/>
      <c r="G932" s="27"/>
      <c r="I932" s="27"/>
      <c r="J932" s="27"/>
      <c r="K932" s="27"/>
    </row>
    <row r="933" ht="15.75" customHeight="1">
      <c r="F933" s="27"/>
      <c r="G933" s="27"/>
      <c r="I933" s="27"/>
      <c r="J933" s="27"/>
      <c r="K933" s="27"/>
    </row>
    <row r="934" ht="15.75" customHeight="1">
      <c r="F934" s="27"/>
      <c r="G934" s="27"/>
      <c r="I934" s="27"/>
      <c r="J934" s="27"/>
      <c r="K934" s="27"/>
    </row>
    <row r="935" ht="15.75" customHeight="1">
      <c r="F935" s="27"/>
      <c r="G935" s="27"/>
      <c r="I935" s="27"/>
      <c r="J935" s="27"/>
      <c r="K935" s="27"/>
    </row>
    <row r="936" ht="15.75" customHeight="1">
      <c r="F936" s="27"/>
      <c r="G936" s="27"/>
      <c r="I936" s="27"/>
      <c r="J936" s="27"/>
      <c r="K936" s="27"/>
    </row>
    <row r="937" ht="15.75" customHeight="1">
      <c r="F937" s="27"/>
      <c r="G937" s="27"/>
      <c r="I937" s="27"/>
      <c r="J937" s="27"/>
      <c r="K937" s="27"/>
    </row>
    <row r="938" ht="15.75" customHeight="1">
      <c r="F938" s="27"/>
      <c r="G938" s="27"/>
      <c r="I938" s="27"/>
      <c r="J938" s="27"/>
      <c r="K938" s="27"/>
    </row>
    <row r="939" ht="15.75" customHeight="1">
      <c r="F939" s="27"/>
      <c r="G939" s="27"/>
      <c r="I939" s="27"/>
      <c r="J939" s="27"/>
      <c r="K939" s="27"/>
    </row>
    <row r="940" ht="15.75" customHeight="1">
      <c r="F940" s="27"/>
      <c r="G940" s="27"/>
      <c r="I940" s="27"/>
      <c r="J940" s="27"/>
      <c r="K940" s="27"/>
    </row>
    <row r="941" ht="15.75" customHeight="1">
      <c r="F941" s="27"/>
      <c r="G941" s="27"/>
      <c r="I941" s="27"/>
      <c r="J941" s="27"/>
      <c r="K941" s="27"/>
    </row>
    <row r="942" ht="15.75" customHeight="1">
      <c r="F942" s="27"/>
      <c r="G942" s="27"/>
      <c r="I942" s="27"/>
      <c r="J942" s="27"/>
      <c r="K942" s="27"/>
    </row>
    <row r="943" ht="15.75" customHeight="1">
      <c r="F943" s="27"/>
      <c r="G943" s="27"/>
      <c r="I943" s="27"/>
      <c r="J943" s="27"/>
      <c r="K943" s="27"/>
    </row>
    <row r="944" ht="15.75" customHeight="1">
      <c r="F944" s="27"/>
      <c r="G944" s="27"/>
      <c r="I944" s="27"/>
      <c r="J944" s="27"/>
      <c r="K944" s="27"/>
    </row>
    <row r="945" ht="15.75" customHeight="1">
      <c r="F945" s="27"/>
      <c r="G945" s="27"/>
      <c r="I945" s="27"/>
      <c r="J945" s="27"/>
      <c r="K945" s="27"/>
    </row>
    <row r="946" ht="15.75" customHeight="1">
      <c r="F946" s="27"/>
      <c r="G946" s="27"/>
      <c r="I946" s="27"/>
      <c r="J946" s="27"/>
      <c r="K946" s="27"/>
    </row>
    <row r="947" ht="15.75" customHeight="1">
      <c r="F947" s="27"/>
      <c r="G947" s="27"/>
      <c r="I947" s="27"/>
      <c r="J947" s="27"/>
      <c r="K947" s="27"/>
    </row>
    <row r="948" ht="15.75" customHeight="1">
      <c r="F948" s="27"/>
      <c r="G948" s="27"/>
      <c r="I948" s="27"/>
      <c r="J948" s="27"/>
      <c r="K948" s="27"/>
    </row>
    <row r="949" ht="15.75" customHeight="1">
      <c r="F949" s="27"/>
      <c r="G949" s="27"/>
      <c r="I949" s="27"/>
      <c r="J949" s="27"/>
      <c r="K949" s="27"/>
    </row>
    <row r="950" ht="15.75" customHeight="1">
      <c r="F950" s="27"/>
      <c r="G950" s="27"/>
      <c r="I950" s="27"/>
      <c r="J950" s="27"/>
      <c r="K950" s="27"/>
    </row>
    <row r="951" ht="15.75" customHeight="1">
      <c r="F951" s="27"/>
      <c r="G951" s="27"/>
      <c r="I951" s="27"/>
      <c r="J951" s="27"/>
      <c r="K951" s="27"/>
    </row>
    <row r="952" ht="15.75" customHeight="1">
      <c r="F952" s="27"/>
      <c r="G952" s="27"/>
      <c r="I952" s="27"/>
      <c r="J952" s="27"/>
      <c r="K952" s="27"/>
    </row>
    <row r="953" ht="15.75" customHeight="1">
      <c r="F953" s="27"/>
      <c r="G953" s="27"/>
      <c r="I953" s="27"/>
      <c r="J953" s="27"/>
      <c r="K953" s="27"/>
    </row>
    <row r="954" ht="15.75" customHeight="1">
      <c r="F954" s="27"/>
      <c r="G954" s="27"/>
      <c r="I954" s="27"/>
      <c r="J954" s="27"/>
      <c r="K954" s="27"/>
    </row>
    <row r="955" ht="15.75" customHeight="1">
      <c r="F955" s="27"/>
      <c r="G955" s="27"/>
      <c r="I955" s="27"/>
      <c r="J955" s="27"/>
      <c r="K955" s="27"/>
    </row>
    <row r="956" ht="15.75" customHeight="1">
      <c r="F956" s="27"/>
      <c r="G956" s="27"/>
      <c r="I956" s="27"/>
      <c r="J956" s="27"/>
      <c r="K956" s="27"/>
    </row>
    <row r="957" ht="15.75" customHeight="1">
      <c r="F957" s="27"/>
      <c r="G957" s="27"/>
      <c r="I957" s="27"/>
      <c r="J957" s="27"/>
      <c r="K957" s="27"/>
    </row>
    <row r="958" ht="15.75" customHeight="1">
      <c r="F958" s="27"/>
      <c r="G958" s="27"/>
      <c r="I958" s="27"/>
      <c r="J958" s="27"/>
      <c r="K958" s="27"/>
    </row>
    <row r="959" ht="15.75" customHeight="1">
      <c r="F959" s="27"/>
      <c r="G959" s="27"/>
      <c r="I959" s="27"/>
      <c r="J959" s="27"/>
      <c r="K959" s="27"/>
    </row>
    <row r="960" ht="15.75" customHeight="1">
      <c r="F960" s="27"/>
      <c r="G960" s="27"/>
      <c r="I960" s="27"/>
      <c r="J960" s="27"/>
      <c r="K960" s="27"/>
    </row>
    <row r="961" ht="15.75" customHeight="1">
      <c r="F961" s="27"/>
      <c r="G961" s="27"/>
      <c r="I961" s="27"/>
      <c r="J961" s="27"/>
      <c r="K961" s="27"/>
    </row>
    <row r="962" ht="15.75" customHeight="1">
      <c r="F962" s="27"/>
      <c r="G962" s="27"/>
      <c r="I962" s="27"/>
      <c r="J962" s="27"/>
      <c r="K962" s="27"/>
    </row>
    <row r="963" ht="15.75" customHeight="1">
      <c r="F963" s="27"/>
      <c r="G963" s="27"/>
      <c r="I963" s="27"/>
      <c r="J963" s="27"/>
      <c r="K963" s="27"/>
    </row>
    <row r="964" ht="15.75" customHeight="1">
      <c r="F964" s="27"/>
      <c r="G964" s="27"/>
      <c r="I964" s="27"/>
      <c r="J964" s="27"/>
      <c r="K964" s="27"/>
    </row>
    <row r="965" ht="15.75" customHeight="1">
      <c r="F965" s="27"/>
      <c r="G965" s="27"/>
      <c r="I965" s="27"/>
      <c r="J965" s="27"/>
      <c r="K965" s="27"/>
    </row>
    <row r="966" ht="15.75" customHeight="1">
      <c r="F966" s="27"/>
      <c r="G966" s="27"/>
      <c r="I966" s="27"/>
      <c r="J966" s="27"/>
      <c r="K966" s="27"/>
    </row>
    <row r="967" ht="15.75" customHeight="1">
      <c r="F967" s="27"/>
      <c r="G967" s="27"/>
      <c r="I967" s="27"/>
      <c r="J967" s="27"/>
      <c r="K967" s="27"/>
    </row>
    <row r="968" ht="15.75" customHeight="1">
      <c r="F968" s="27"/>
      <c r="G968" s="27"/>
      <c r="I968" s="27"/>
      <c r="J968" s="27"/>
      <c r="K968" s="27"/>
    </row>
    <row r="969" ht="15.75" customHeight="1">
      <c r="F969" s="27"/>
      <c r="G969" s="27"/>
      <c r="I969" s="27"/>
      <c r="J969" s="27"/>
      <c r="K969" s="27"/>
    </row>
    <row r="970" ht="15.75" customHeight="1">
      <c r="F970" s="27"/>
      <c r="G970" s="27"/>
      <c r="I970" s="27"/>
      <c r="J970" s="27"/>
      <c r="K970" s="27"/>
    </row>
    <row r="971" ht="15.75" customHeight="1">
      <c r="F971" s="27"/>
      <c r="G971" s="27"/>
      <c r="I971" s="27"/>
      <c r="J971" s="27"/>
      <c r="K971" s="27"/>
    </row>
    <row r="972" ht="15.75" customHeight="1">
      <c r="F972" s="27"/>
      <c r="G972" s="27"/>
      <c r="I972" s="27"/>
      <c r="J972" s="27"/>
      <c r="K972" s="27"/>
    </row>
    <row r="973" ht="15.75" customHeight="1">
      <c r="F973" s="27"/>
      <c r="G973" s="27"/>
      <c r="I973" s="27"/>
      <c r="J973" s="27"/>
      <c r="K973" s="27"/>
    </row>
    <row r="974" ht="15.75" customHeight="1">
      <c r="F974" s="27"/>
      <c r="G974" s="27"/>
      <c r="I974" s="27"/>
      <c r="J974" s="27"/>
      <c r="K974" s="27"/>
    </row>
    <row r="975" ht="15.75" customHeight="1">
      <c r="F975" s="27"/>
      <c r="G975" s="27"/>
      <c r="I975" s="27"/>
      <c r="J975" s="27"/>
      <c r="K975" s="27"/>
    </row>
    <row r="976" ht="15.75" customHeight="1">
      <c r="F976" s="27"/>
      <c r="G976" s="27"/>
      <c r="I976" s="27"/>
      <c r="J976" s="27"/>
      <c r="K976" s="27"/>
    </row>
    <row r="977" ht="15.75" customHeight="1">
      <c r="F977" s="27"/>
      <c r="G977" s="27"/>
      <c r="I977" s="27"/>
      <c r="J977" s="27"/>
      <c r="K977" s="27"/>
    </row>
    <row r="978" ht="15.75" customHeight="1">
      <c r="F978" s="27"/>
      <c r="G978" s="27"/>
      <c r="I978" s="27"/>
      <c r="J978" s="27"/>
      <c r="K978" s="27"/>
    </row>
    <row r="979" ht="15.75" customHeight="1">
      <c r="F979" s="27"/>
      <c r="G979" s="27"/>
      <c r="I979" s="27"/>
      <c r="J979" s="27"/>
      <c r="K979" s="27"/>
    </row>
    <row r="980" ht="15.75" customHeight="1">
      <c r="F980" s="27"/>
      <c r="G980" s="27"/>
      <c r="I980" s="27"/>
      <c r="J980" s="27"/>
      <c r="K980" s="27"/>
    </row>
    <row r="981" ht="15.75" customHeight="1">
      <c r="F981" s="27"/>
      <c r="G981" s="27"/>
      <c r="I981" s="27"/>
      <c r="J981" s="27"/>
      <c r="K981" s="27"/>
    </row>
    <row r="982" ht="15.75" customHeight="1">
      <c r="F982" s="27"/>
      <c r="G982" s="27"/>
      <c r="I982" s="27"/>
      <c r="J982" s="27"/>
      <c r="K982" s="27"/>
    </row>
    <row r="983" ht="15.75" customHeight="1">
      <c r="F983" s="27"/>
      <c r="G983" s="27"/>
      <c r="I983" s="27"/>
      <c r="J983" s="27"/>
      <c r="K983" s="27"/>
    </row>
    <row r="984" ht="15.75" customHeight="1">
      <c r="F984" s="27"/>
      <c r="G984" s="27"/>
      <c r="I984" s="27"/>
      <c r="J984" s="27"/>
      <c r="K984" s="27"/>
    </row>
    <row r="985" ht="15.75" customHeight="1">
      <c r="F985" s="27"/>
      <c r="G985" s="27"/>
      <c r="I985" s="27"/>
      <c r="J985" s="27"/>
      <c r="K985" s="27"/>
    </row>
    <row r="986" ht="15.75" customHeight="1">
      <c r="F986" s="27"/>
      <c r="G986" s="27"/>
      <c r="I986" s="27"/>
      <c r="J986" s="27"/>
      <c r="K986" s="27"/>
    </row>
    <row r="987" ht="15.75" customHeight="1">
      <c r="F987" s="27"/>
      <c r="G987" s="27"/>
      <c r="I987" s="27"/>
      <c r="J987" s="27"/>
      <c r="K987" s="27"/>
    </row>
    <row r="988" ht="15.75" customHeight="1">
      <c r="F988" s="27"/>
      <c r="G988" s="27"/>
      <c r="I988" s="27"/>
      <c r="J988" s="27"/>
      <c r="K988" s="27"/>
    </row>
    <row r="989" ht="15.75" customHeight="1">
      <c r="F989" s="27"/>
      <c r="G989" s="27"/>
      <c r="I989" s="27"/>
      <c r="J989" s="27"/>
      <c r="K989" s="27"/>
    </row>
    <row r="990" ht="15.75" customHeight="1">
      <c r="F990" s="27"/>
      <c r="G990" s="27"/>
      <c r="I990" s="27"/>
      <c r="J990" s="27"/>
      <c r="K990" s="27"/>
    </row>
    <row r="991" ht="15.75" customHeight="1">
      <c r="F991" s="27"/>
      <c r="G991" s="27"/>
      <c r="I991" s="27"/>
      <c r="J991" s="27"/>
      <c r="K991" s="27"/>
    </row>
    <row r="992" ht="15.75" customHeight="1">
      <c r="F992" s="27"/>
      <c r="G992" s="27"/>
      <c r="I992" s="27"/>
      <c r="J992" s="27"/>
      <c r="K992" s="27"/>
    </row>
    <row r="993" ht="15.75" customHeight="1">
      <c r="F993" s="27"/>
      <c r="G993" s="27"/>
      <c r="I993" s="27"/>
      <c r="J993" s="27"/>
      <c r="K993" s="27"/>
    </row>
    <row r="994" ht="15.75" customHeight="1">
      <c r="F994" s="27"/>
      <c r="G994" s="27"/>
      <c r="I994" s="27"/>
      <c r="J994" s="27"/>
      <c r="K994" s="27"/>
    </row>
    <row r="995" ht="15.75" customHeight="1">
      <c r="F995" s="27"/>
      <c r="G995" s="27"/>
      <c r="I995" s="27"/>
      <c r="J995" s="27"/>
      <c r="K995" s="27"/>
    </row>
    <row r="996" ht="15.75" customHeight="1">
      <c r="F996" s="27"/>
      <c r="G996" s="27"/>
      <c r="I996" s="27"/>
      <c r="J996" s="27"/>
      <c r="K996" s="27"/>
    </row>
    <row r="997" ht="15.75" customHeight="1">
      <c r="F997" s="27"/>
      <c r="G997" s="27"/>
      <c r="I997" s="27"/>
      <c r="J997" s="27"/>
      <c r="K997" s="27"/>
    </row>
    <row r="998" ht="15.75" customHeight="1">
      <c r="F998" s="27"/>
      <c r="G998" s="27"/>
      <c r="I998" s="27"/>
      <c r="J998" s="27"/>
      <c r="K998" s="27"/>
    </row>
    <row r="999" ht="15.75" customHeight="1">
      <c r="F999" s="27"/>
      <c r="G999" s="27"/>
      <c r="I999" s="27"/>
      <c r="J999" s="27"/>
      <c r="K999" s="27"/>
    </row>
    <row r="1000" ht="15.75" customHeight="1">
      <c r="F1000" s="27"/>
      <c r="G1000" s="27"/>
      <c r="I1000" s="27"/>
      <c r="J1000" s="27"/>
      <c r="K1000" s="27"/>
    </row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 outlineLevelRow="1"/>
  <cols>
    <col customWidth="1" min="1" max="1" width="23.75"/>
    <col customWidth="1" min="2" max="2" width="6.0"/>
    <col customWidth="1" min="3" max="5" width="11.63"/>
    <col customWidth="1" min="6" max="6" width="12.25"/>
    <col customWidth="1" min="7" max="7" width="10.75"/>
    <col customWidth="1" min="8" max="8" width="10.75" outlineLevel="1"/>
    <col customWidth="1" min="9" max="9" width="16.88"/>
    <col customWidth="1" min="10" max="10" width="18.13" outlineLevel="1"/>
    <col customWidth="1" min="11" max="11" width="18.25" outlineLevel="1"/>
    <col customWidth="1" min="12" max="12" width="13.75" outlineLevel="1"/>
    <col customWidth="1" min="13" max="13" width="20.63" outlineLevel="1"/>
    <col customWidth="1" min="14" max="14" width="14.75" outlineLevel="1"/>
    <col customWidth="1" min="15" max="15" width="20.38"/>
    <col customWidth="1" min="16" max="16" width="15.0"/>
    <col customWidth="1" min="17" max="17" width="19.0"/>
    <col customWidth="1" min="18" max="18" width="17.25"/>
    <col customWidth="1" min="19" max="19" width="9.88"/>
    <col customWidth="1" min="20" max="20" width="12.75"/>
    <col customWidth="1" min="21" max="21" width="17.63"/>
    <col customWidth="1" min="22" max="22" width="17.75"/>
    <col customWidth="1" min="23" max="26" width="57.38"/>
  </cols>
  <sheetData>
    <row r="1">
      <c r="A1" s="50" t="s">
        <v>312</v>
      </c>
      <c r="C1" s="282" t="s">
        <v>1472</v>
      </c>
      <c r="D1" s="282" t="s">
        <v>1472</v>
      </c>
      <c r="E1" s="50"/>
      <c r="F1" s="282" t="s">
        <v>1472</v>
      </c>
      <c r="G1" s="282" t="s">
        <v>1472</v>
      </c>
      <c r="H1" s="282"/>
    </row>
    <row r="2">
      <c r="A2" s="50" t="s">
        <v>1473</v>
      </c>
      <c r="C2" s="282" t="s">
        <v>1474</v>
      </c>
      <c r="D2" s="282" t="s">
        <v>1474</v>
      </c>
      <c r="E2" s="50"/>
      <c r="F2" s="282" t="s">
        <v>1474</v>
      </c>
      <c r="G2" s="282" t="s">
        <v>1474</v>
      </c>
      <c r="H2" s="282"/>
      <c r="S2" s="283" t="s">
        <v>1475</v>
      </c>
      <c r="T2" s="283" t="s">
        <v>1476</v>
      </c>
      <c r="U2" s="283" t="s">
        <v>1477</v>
      </c>
      <c r="V2" s="283" t="s">
        <v>1478</v>
      </c>
    </row>
    <row r="3">
      <c r="C3" s="282" t="s">
        <v>1479</v>
      </c>
      <c r="D3" s="282" t="s">
        <v>1479</v>
      </c>
      <c r="F3" s="282" t="s">
        <v>1480</v>
      </c>
      <c r="G3" s="282" t="s">
        <v>1480</v>
      </c>
      <c r="H3" s="282" t="s">
        <v>641</v>
      </c>
    </row>
    <row r="4">
      <c r="C4" s="284" t="s">
        <v>1481</v>
      </c>
      <c r="D4" s="284" t="s">
        <v>1482</v>
      </c>
      <c r="F4" s="182"/>
      <c r="G4" s="182"/>
      <c r="H4" s="182"/>
      <c r="I4" s="50" t="s">
        <v>1483</v>
      </c>
      <c r="J4" s="50"/>
    </row>
    <row r="5">
      <c r="A5" s="2" t="s">
        <v>1484</v>
      </c>
      <c r="B5" s="2" t="s">
        <v>1485</v>
      </c>
      <c r="C5" s="282" t="s">
        <v>1486</v>
      </c>
      <c r="D5" s="282" t="s">
        <v>1487</v>
      </c>
      <c r="E5" s="2" t="s">
        <v>1472</v>
      </c>
      <c r="F5" s="282" t="s">
        <v>1488</v>
      </c>
      <c r="G5" s="282" t="s">
        <v>406</v>
      </c>
      <c r="H5" s="282" t="s">
        <v>1489</v>
      </c>
      <c r="I5" s="285" t="s">
        <v>1490</v>
      </c>
      <c r="J5" s="285" t="s">
        <v>1491</v>
      </c>
      <c r="K5" s="285" t="s">
        <v>1492</v>
      </c>
      <c r="L5" s="285" t="s">
        <v>1493</v>
      </c>
      <c r="M5" s="285" t="s">
        <v>1494</v>
      </c>
      <c r="N5" s="285" t="s">
        <v>1495</v>
      </c>
      <c r="O5" s="285" t="s">
        <v>1496</v>
      </c>
      <c r="P5" s="285" t="s">
        <v>1497</v>
      </c>
      <c r="Q5" s="285" t="s">
        <v>1498</v>
      </c>
      <c r="R5" s="285" t="s">
        <v>1499</v>
      </c>
      <c r="S5" s="2"/>
    </row>
    <row r="6">
      <c r="A6" s="286" t="s">
        <v>1120</v>
      </c>
      <c r="B6" s="286" t="s">
        <v>840</v>
      </c>
      <c r="C6" s="287">
        <v>118854.24</v>
      </c>
      <c r="D6" s="287">
        <v>195902.74</v>
      </c>
      <c r="E6" s="287">
        <v>77048.49999999999</v>
      </c>
      <c r="F6" s="288"/>
      <c r="G6" s="288"/>
      <c r="H6" s="288"/>
      <c r="I6" s="8" t="s">
        <v>1500</v>
      </c>
      <c r="J6" s="289" t="s">
        <v>1475</v>
      </c>
      <c r="K6" s="290"/>
      <c r="L6" s="283" t="str">
        <f t="shared" ref="L6:L222" si="1">+J6</f>
        <v>Unrestricted</v>
      </c>
      <c r="M6" s="290"/>
      <c r="O6" s="290"/>
      <c r="P6" s="290"/>
      <c r="S6" s="286"/>
      <c r="T6" s="286"/>
    </row>
    <row r="7">
      <c r="A7" s="286" t="s">
        <v>1127</v>
      </c>
      <c r="B7" s="286" t="s">
        <v>833</v>
      </c>
      <c r="C7" s="287">
        <v>32423.99</v>
      </c>
      <c r="D7" s="287">
        <v>32424.68</v>
      </c>
      <c r="E7" s="287">
        <v>0.6899999999986903</v>
      </c>
      <c r="F7" s="288"/>
      <c r="G7" s="288"/>
      <c r="H7" s="288"/>
      <c r="I7" s="8" t="s">
        <v>1500</v>
      </c>
      <c r="J7" s="289" t="s">
        <v>1475</v>
      </c>
      <c r="K7" s="290"/>
      <c r="L7" s="283" t="str">
        <f t="shared" si="1"/>
        <v>Unrestricted</v>
      </c>
      <c r="M7" s="290"/>
      <c r="O7" s="290"/>
      <c r="P7" s="290"/>
      <c r="S7" s="286"/>
      <c r="T7" s="286"/>
    </row>
    <row r="8">
      <c r="A8" s="286" t="s">
        <v>1133</v>
      </c>
      <c r="B8" s="286" t="s">
        <v>836</v>
      </c>
      <c r="C8" s="287">
        <v>0.0</v>
      </c>
      <c r="D8" s="287">
        <v>0.0</v>
      </c>
      <c r="E8" s="287">
        <v>0.0</v>
      </c>
      <c r="F8" s="288"/>
      <c r="G8" s="288"/>
      <c r="H8" s="288"/>
      <c r="I8" s="8" t="s">
        <v>1500</v>
      </c>
      <c r="J8" s="289" t="s">
        <v>1475</v>
      </c>
      <c r="K8" s="290"/>
      <c r="L8" s="283" t="str">
        <f t="shared" si="1"/>
        <v>Unrestricted</v>
      </c>
      <c r="M8" s="290"/>
      <c r="O8" s="290"/>
      <c r="P8" s="290"/>
      <c r="S8" s="286"/>
      <c r="T8" s="286"/>
    </row>
    <row r="9">
      <c r="A9" s="286" t="s">
        <v>1140</v>
      </c>
      <c r="B9" s="286" t="s">
        <v>838</v>
      </c>
      <c r="C9" s="287">
        <v>133988.54</v>
      </c>
      <c r="D9" s="287">
        <v>134016.99</v>
      </c>
      <c r="E9" s="287">
        <v>28.449999999982538</v>
      </c>
      <c r="F9" s="288"/>
      <c r="G9" s="288"/>
      <c r="H9" s="288"/>
      <c r="I9" s="8" t="s">
        <v>1500</v>
      </c>
      <c r="J9" s="289" t="s">
        <v>1476</v>
      </c>
      <c r="K9" s="290"/>
      <c r="L9" s="283" t="str">
        <f t="shared" si="1"/>
        <v>Board Restricted</v>
      </c>
      <c r="M9" s="290"/>
      <c r="O9" s="290"/>
      <c r="P9" s="290"/>
      <c r="S9" s="286"/>
      <c r="T9" s="286"/>
    </row>
    <row r="10">
      <c r="A10" s="286" t="s">
        <v>1146</v>
      </c>
      <c r="B10" s="286" t="s">
        <v>842</v>
      </c>
      <c r="C10" s="287">
        <v>12863.62</v>
      </c>
      <c r="D10" s="287">
        <v>8666.42</v>
      </c>
      <c r="E10" s="287">
        <v>-4197.200000000001</v>
      </c>
      <c r="F10" s="288"/>
      <c r="G10" s="288"/>
      <c r="H10" s="288"/>
      <c r="I10" s="8" t="s">
        <v>1500</v>
      </c>
      <c r="J10" s="289" t="s">
        <v>1477</v>
      </c>
      <c r="K10" s="290"/>
      <c r="L10" s="283" t="str">
        <f t="shared" si="1"/>
        <v>Temporarily Restricted</v>
      </c>
      <c r="M10" s="290"/>
      <c r="O10" s="290"/>
      <c r="P10" s="290"/>
      <c r="S10" s="286"/>
      <c r="T10" s="286"/>
    </row>
    <row r="11">
      <c r="A11" s="286" t="s">
        <v>1153</v>
      </c>
      <c r="B11" s="286" t="s">
        <v>844</v>
      </c>
      <c r="C11" s="287">
        <v>300.0</v>
      </c>
      <c r="D11" s="287">
        <v>300.0</v>
      </c>
      <c r="E11" s="287">
        <v>0.0</v>
      </c>
      <c r="F11" s="288"/>
      <c r="G11" s="288"/>
      <c r="H11" s="288"/>
      <c r="I11" s="8" t="s">
        <v>1500</v>
      </c>
      <c r="J11" s="283" t="s">
        <v>1478</v>
      </c>
      <c r="K11" s="290"/>
      <c r="L11" s="283" t="str">
        <f t="shared" si="1"/>
        <v>Permanently Restricted</v>
      </c>
      <c r="M11" s="290"/>
      <c r="O11" s="290"/>
      <c r="P11" s="290"/>
      <c r="S11" s="286"/>
      <c r="T11" s="286"/>
    </row>
    <row r="12">
      <c r="A12" s="286" t="s">
        <v>847</v>
      </c>
      <c r="B12" s="286" t="s">
        <v>846</v>
      </c>
      <c r="C12" s="287">
        <v>655.46</v>
      </c>
      <c r="D12" s="287">
        <v>1741.8</v>
      </c>
      <c r="E12" s="287">
        <v>1086.34</v>
      </c>
      <c r="F12" s="288"/>
      <c r="G12" s="288"/>
      <c r="H12" s="288"/>
      <c r="I12" s="8" t="s">
        <v>1500</v>
      </c>
      <c r="J12" s="283" t="s">
        <v>1475</v>
      </c>
      <c r="K12" s="290"/>
      <c r="L12" s="283" t="str">
        <f t="shared" si="1"/>
        <v>Unrestricted</v>
      </c>
      <c r="M12" s="290"/>
      <c r="O12" s="290"/>
      <c r="P12" s="290"/>
      <c r="S12" s="286"/>
      <c r="T12" s="286"/>
    </row>
    <row r="13">
      <c r="A13" s="286" t="s">
        <v>1171</v>
      </c>
      <c r="B13" s="286" t="s">
        <v>1170</v>
      </c>
      <c r="C13" s="287">
        <v>-16.8</v>
      </c>
      <c r="D13" s="287">
        <v>1585.35</v>
      </c>
      <c r="E13" s="287">
        <v>1602.1499999999999</v>
      </c>
      <c r="F13" s="288"/>
      <c r="G13" s="288"/>
      <c r="H13" s="288"/>
      <c r="I13" s="8" t="s">
        <v>1500</v>
      </c>
      <c r="J13" s="283" t="s">
        <v>1475</v>
      </c>
      <c r="K13" s="290"/>
      <c r="L13" s="283" t="str">
        <f t="shared" si="1"/>
        <v>Unrestricted</v>
      </c>
      <c r="M13" s="290"/>
      <c r="O13" s="290"/>
      <c r="P13" s="290"/>
      <c r="S13" s="286"/>
      <c r="T13" s="286"/>
    </row>
    <row r="14">
      <c r="A14" s="286" t="s">
        <v>1159</v>
      </c>
      <c r="B14" s="286" t="s">
        <v>848</v>
      </c>
      <c r="C14" s="287">
        <v>245394.69</v>
      </c>
      <c r="D14" s="287">
        <v>140793.14</v>
      </c>
      <c r="E14" s="287">
        <v>-104601.54999999999</v>
      </c>
      <c r="F14" s="288"/>
      <c r="G14" s="288"/>
      <c r="H14" s="288"/>
      <c r="I14" s="8" t="s">
        <v>1501</v>
      </c>
      <c r="J14" s="289" t="s">
        <v>1475</v>
      </c>
      <c r="K14" s="290"/>
      <c r="L14" s="283" t="str">
        <f t="shared" si="1"/>
        <v>Unrestricted</v>
      </c>
      <c r="M14" s="290"/>
      <c r="O14" s="290"/>
      <c r="P14" s="290"/>
      <c r="S14" s="286"/>
      <c r="T14" s="286"/>
    </row>
    <row r="15">
      <c r="A15" s="286" t="s">
        <v>1179</v>
      </c>
      <c r="B15" s="286" t="s">
        <v>850</v>
      </c>
      <c r="C15" s="287">
        <v>-8087.54</v>
      </c>
      <c r="D15" s="287">
        <v>-8087.54</v>
      </c>
      <c r="E15" s="287">
        <v>0.0</v>
      </c>
      <c r="F15" s="288"/>
      <c r="G15" s="288"/>
      <c r="H15" s="288"/>
      <c r="I15" s="8" t="s">
        <v>1501</v>
      </c>
      <c r="J15" s="289" t="s">
        <v>1475</v>
      </c>
      <c r="K15" s="290"/>
      <c r="L15" s="283" t="str">
        <f t="shared" si="1"/>
        <v>Unrestricted</v>
      </c>
      <c r="M15" s="290"/>
      <c r="O15" s="290"/>
      <c r="P15" s="290"/>
      <c r="S15" s="286"/>
      <c r="T15" s="286"/>
    </row>
    <row r="16">
      <c r="A16" s="286" t="s">
        <v>853</v>
      </c>
      <c r="B16" s="286" t="s">
        <v>852</v>
      </c>
      <c r="C16" s="287">
        <v>6987.16</v>
      </c>
      <c r="D16" s="287">
        <v>6987.16</v>
      </c>
      <c r="E16" s="287">
        <v>0.0</v>
      </c>
      <c r="F16" s="288"/>
      <c r="G16" s="288"/>
      <c r="H16" s="288"/>
      <c r="I16" s="8" t="s">
        <v>1501</v>
      </c>
      <c r="J16" s="289" t="s">
        <v>1475</v>
      </c>
      <c r="K16" s="290"/>
      <c r="L16" s="283" t="str">
        <f t="shared" si="1"/>
        <v>Unrestricted</v>
      </c>
      <c r="M16" s="290"/>
      <c r="O16" s="290"/>
      <c r="P16" s="290"/>
      <c r="S16" s="286"/>
      <c r="T16" s="286"/>
    </row>
    <row r="17">
      <c r="A17" s="286" t="s">
        <v>1192</v>
      </c>
      <c r="B17" s="286" t="s">
        <v>854</v>
      </c>
      <c r="C17" s="287">
        <v>757.16</v>
      </c>
      <c r="D17" s="287">
        <v>757.16</v>
      </c>
      <c r="E17" s="287">
        <v>0.0</v>
      </c>
      <c r="F17" s="288"/>
      <c r="G17" s="288"/>
      <c r="H17" s="288"/>
      <c r="I17" s="8" t="s">
        <v>1192</v>
      </c>
      <c r="J17" s="289" t="s">
        <v>1475</v>
      </c>
      <c r="K17" s="290"/>
      <c r="L17" s="283" t="str">
        <f t="shared" si="1"/>
        <v>Unrestricted</v>
      </c>
      <c r="M17" s="290"/>
      <c r="O17" s="290"/>
      <c r="P17" s="290"/>
      <c r="S17" s="286"/>
      <c r="T17" s="286"/>
    </row>
    <row r="18">
      <c r="A18" s="286" t="s">
        <v>1194</v>
      </c>
      <c r="B18" s="286" t="s">
        <v>856</v>
      </c>
      <c r="C18" s="287">
        <v>6693.34</v>
      </c>
      <c r="D18" s="287">
        <v>7900.61</v>
      </c>
      <c r="E18" s="287">
        <v>1207.2699999999995</v>
      </c>
      <c r="F18" s="288"/>
      <c r="G18" s="288"/>
      <c r="H18" s="288"/>
      <c r="I18" s="8" t="s">
        <v>1194</v>
      </c>
      <c r="J18" s="289" t="s">
        <v>1475</v>
      </c>
      <c r="K18" s="290"/>
      <c r="L18" s="283" t="str">
        <f t="shared" si="1"/>
        <v>Unrestricted</v>
      </c>
      <c r="M18" s="290"/>
      <c r="O18" s="290"/>
      <c r="P18" s="290"/>
      <c r="S18" s="286"/>
      <c r="T18" s="286"/>
    </row>
    <row r="19">
      <c r="A19" s="286" t="s">
        <v>1196</v>
      </c>
      <c r="B19" s="286" t="s">
        <v>858</v>
      </c>
      <c r="C19" s="287">
        <v>3301.92</v>
      </c>
      <c r="D19" s="287">
        <v>2201.26</v>
      </c>
      <c r="E19" s="287">
        <v>-1100.6599999999999</v>
      </c>
      <c r="F19" s="288"/>
      <c r="G19" s="288"/>
      <c r="H19" s="288"/>
      <c r="I19" s="8" t="s">
        <v>1194</v>
      </c>
      <c r="J19" s="289" t="s">
        <v>1475</v>
      </c>
      <c r="K19" s="290"/>
      <c r="L19" s="283" t="str">
        <f t="shared" si="1"/>
        <v>Unrestricted</v>
      </c>
      <c r="M19" s="290"/>
      <c r="O19" s="290"/>
      <c r="P19" s="290"/>
      <c r="S19" s="286"/>
      <c r="T19" s="286"/>
    </row>
    <row r="20">
      <c r="A20" s="286" t="s">
        <v>1198</v>
      </c>
      <c r="B20" s="286" t="s">
        <v>860</v>
      </c>
      <c r="C20" s="287">
        <v>20566.78</v>
      </c>
      <c r="D20" s="287">
        <v>13711.19</v>
      </c>
      <c r="E20" s="287">
        <v>-6855.589999999998</v>
      </c>
      <c r="F20" s="288"/>
      <c r="G20" s="288"/>
      <c r="H20" s="288"/>
      <c r="I20" s="8" t="s">
        <v>1194</v>
      </c>
      <c r="J20" s="289" t="s">
        <v>1475</v>
      </c>
      <c r="K20" s="290"/>
      <c r="L20" s="283" t="str">
        <f t="shared" si="1"/>
        <v>Unrestricted</v>
      </c>
      <c r="M20" s="290"/>
      <c r="O20" s="290"/>
      <c r="P20" s="290"/>
      <c r="S20" s="286"/>
      <c r="T20" s="286"/>
    </row>
    <row r="21" ht="15.75" customHeight="1">
      <c r="A21" s="286" t="s">
        <v>1200</v>
      </c>
      <c r="B21" s="286" t="s">
        <v>862</v>
      </c>
      <c r="C21" s="287">
        <v>15213.32</v>
      </c>
      <c r="D21" s="287">
        <v>10142.22</v>
      </c>
      <c r="E21" s="287">
        <v>-5071.1</v>
      </c>
      <c r="F21" s="288"/>
      <c r="G21" s="288"/>
      <c r="H21" s="288"/>
      <c r="I21" s="8" t="s">
        <v>1194</v>
      </c>
      <c r="J21" s="289" t="s">
        <v>1475</v>
      </c>
      <c r="K21" s="290"/>
      <c r="L21" s="283" t="str">
        <f t="shared" si="1"/>
        <v>Unrestricted</v>
      </c>
      <c r="M21" s="290"/>
      <c r="O21" s="290"/>
      <c r="P21" s="290"/>
      <c r="S21" s="286"/>
      <c r="T21" s="286"/>
    </row>
    <row r="22" ht="15.75" customHeight="1">
      <c r="A22" s="286" t="s">
        <v>1202</v>
      </c>
      <c r="B22" s="286" t="s">
        <v>864</v>
      </c>
      <c r="C22" s="287">
        <v>24297.03</v>
      </c>
      <c r="D22" s="287">
        <v>24297.03</v>
      </c>
      <c r="E22" s="287">
        <v>0.0</v>
      </c>
      <c r="F22" s="288"/>
      <c r="G22" s="288"/>
      <c r="H22" s="288"/>
      <c r="I22" s="8" t="s">
        <v>1502</v>
      </c>
      <c r="J22" s="289" t="s">
        <v>1475</v>
      </c>
      <c r="K22" s="290"/>
      <c r="L22" s="283" t="str">
        <f t="shared" si="1"/>
        <v>Unrestricted</v>
      </c>
      <c r="M22" s="290"/>
      <c r="O22" s="290"/>
      <c r="P22" s="290"/>
      <c r="S22" s="286"/>
      <c r="T22" s="286"/>
    </row>
    <row r="23" ht="15.75" customHeight="1">
      <c r="A23" s="286" t="s">
        <v>139</v>
      </c>
      <c r="B23" s="286" t="s">
        <v>866</v>
      </c>
      <c r="C23" s="287">
        <v>80035.03</v>
      </c>
      <c r="D23" s="287">
        <v>80035.03</v>
      </c>
      <c r="E23" s="287">
        <v>0.0</v>
      </c>
      <c r="F23" s="288"/>
      <c r="G23" s="288"/>
      <c r="H23" s="288"/>
      <c r="I23" s="8" t="s">
        <v>1502</v>
      </c>
      <c r="J23" s="289" t="s">
        <v>1475</v>
      </c>
      <c r="K23" s="290"/>
      <c r="L23" s="283" t="str">
        <f t="shared" si="1"/>
        <v>Unrestricted</v>
      </c>
      <c r="M23" s="290"/>
      <c r="O23" s="290"/>
      <c r="P23" s="290"/>
      <c r="S23" s="286"/>
      <c r="T23" s="286"/>
    </row>
    <row r="24" ht="15.75" customHeight="1">
      <c r="A24" s="286" t="s">
        <v>1205</v>
      </c>
      <c r="B24" s="286" t="s">
        <v>867</v>
      </c>
      <c r="C24" s="287">
        <v>75060.71</v>
      </c>
      <c r="D24" s="287">
        <v>75060.71</v>
      </c>
      <c r="E24" s="287">
        <v>0.0</v>
      </c>
      <c r="F24" s="288"/>
      <c r="G24" s="288"/>
      <c r="H24" s="288"/>
      <c r="I24" s="8" t="s">
        <v>1502</v>
      </c>
      <c r="J24" s="289" t="s">
        <v>1475</v>
      </c>
      <c r="K24" s="290"/>
      <c r="L24" s="283" t="str">
        <f t="shared" si="1"/>
        <v>Unrestricted</v>
      </c>
      <c r="M24" s="290"/>
      <c r="O24" s="290"/>
      <c r="P24" s="290"/>
      <c r="S24" s="286"/>
      <c r="T24" s="286"/>
    </row>
    <row r="25" ht="15.75" customHeight="1">
      <c r="A25" s="286" t="s">
        <v>870</v>
      </c>
      <c r="B25" s="286" t="s">
        <v>869</v>
      </c>
      <c r="C25" s="287">
        <v>2193.14</v>
      </c>
      <c r="D25" s="287">
        <v>2193.14</v>
      </c>
      <c r="E25" s="287">
        <v>0.0</v>
      </c>
      <c r="F25" s="288"/>
      <c r="G25" s="288"/>
      <c r="H25" s="288"/>
      <c r="I25" s="8" t="s">
        <v>1502</v>
      </c>
      <c r="J25" s="289" t="s">
        <v>1475</v>
      </c>
      <c r="K25" s="290"/>
      <c r="L25" s="283" t="str">
        <f t="shared" si="1"/>
        <v>Unrestricted</v>
      </c>
      <c r="M25" s="290"/>
      <c r="O25" s="290"/>
      <c r="P25" s="290"/>
      <c r="S25" s="286"/>
      <c r="T25" s="286"/>
    </row>
    <row r="26" ht="15.75" customHeight="1">
      <c r="A26" s="286" t="s">
        <v>196</v>
      </c>
      <c r="B26" s="286" t="s">
        <v>871</v>
      </c>
      <c r="C26" s="287">
        <v>77848.36</v>
      </c>
      <c r="D26" s="287">
        <v>77848.36</v>
      </c>
      <c r="E26" s="287">
        <v>0.0</v>
      </c>
      <c r="F26" s="288"/>
      <c r="G26" s="288"/>
      <c r="H26" s="288"/>
      <c r="I26" s="8" t="s">
        <v>1502</v>
      </c>
      <c r="J26" s="289" t="s">
        <v>1475</v>
      </c>
      <c r="K26" s="290"/>
      <c r="L26" s="283" t="str">
        <f t="shared" si="1"/>
        <v>Unrestricted</v>
      </c>
      <c r="M26" s="290"/>
      <c r="O26" s="290"/>
      <c r="P26" s="290"/>
      <c r="S26" s="286"/>
      <c r="T26" s="286"/>
    </row>
    <row r="27" ht="15.75" customHeight="1">
      <c r="A27" s="286" t="s">
        <v>1209</v>
      </c>
      <c r="B27" s="286" t="s">
        <v>872</v>
      </c>
      <c r="C27" s="287">
        <v>59868.74</v>
      </c>
      <c r="D27" s="287">
        <v>59868.74</v>
      </c>
      <c r="E27" s="287">
        <v>0.0</v>
      </c>
      <c r="F27" s="288"/>
      <c r="G27" s="288"/>
      <c r="H27" s="288"/>
      <c r="I27" s="8" t="s">
        <v>1502</v>
      </c>
      <c r="J27" s="289" t="s">
        <v>1475</v>
      </c>
      <c r="K27" s="290"/>
      <c r="L27" s="283" t="str">
        <f t="shared" si="1"/>
        <v>Unrestricted</v>
      </c>
      <c r="M27" s="290"/>
      <c r="O27" s="290"/>
      <c r="P27" s="290"/>
      <c r="S27" s="286"/>
      <c r="T27" s="286"/>
    </row>
    <row r="28" ht="15.75" customHeight="1">
      <c r="A28" s="286" t="s">
        <v>1211</v>
      </c>
      <c r="B28" s="286" t="s">
        <v>874</v>
      </c>
      <c r="C28" s="287">
        <v>7230.0</v>
      </c>
      <c r="D28" s="287">
        <v>7230.0</v>
      </c>
      <c r="E28" s="287">
        <v>0.0</v>
      </c>
      <c r="F28" s="288"/>
      <c r="G28" s="288"/>
      <c r="H28" s="288"/>
      <c r="I28" s="8" t="s">
        <v>1502</v>
      </c>
      <c r="J28" s="289" t="s">
        <v>1475</v>
      </c>
      <c r="K28" s="290"/>
      <c r="L28" s="283" t="str">
        <f t="shared" si="1"/>
        <v>Unrestricted</v>
      </c>
      <c r="M28" s="290"/>
      <c r="O28" s="290"/>
      <c r="P28" s="290"/>
      <c r="S28" s="286"/>
      <c r="T28" s="286"/>
    </row>
    <row r="29" ht="15.75" customHeight="1">
      <c r="A29" s="286" t="s">
        <v>1213</v>
      </c>
      <c r="B29" s="286" t="s">
        <v>876</v>
      </c>
      <c r="C29" s="287">
        <v>15924.84</v>
      </c>
      <c r="D29" s="287">
        <v>18424.84</v>
      </c>
      <c r="E29" s="287">
        <v>2500.0</v>
      </c>
      <c r="F29" s="288"/>
      <c r="G29" s="288"/>
      <c r="H29" s="288"/>
      <c r="I29" s="8" t="s">
        <v>1502</v>
      </c>
      <c r="J29" s="289" t="s">
        <v>1475</v>
      </c>
      <c r="K29" s="290"/>
      <c r="L29" s="283" t="str">
        <f t="shared" si="1"/>
        <v>Unrestricted</v>
      </c>
      <c r="M29" s="290"/>
      <c r="O29" s="290"/>
      <c r="P29" s="290"/>
      <c r="S29" s="286"/>
      <c r="T29" s="286"/>
    </row>
    <row r="30" ht="15.75" customHeight="1">
      <c r="A30" s="286" t="s">
        <v>1215</v>
      </c>
      <c r="B30" s="286" t="s">
        <v>878</v>
      </c>
      <c r="C30" s="287">
        <v>-23893.63</v>
      </c>
      <c r="D30" s="287">
        <v>-23994.47</v>
      </c>
      <c r="E30" s="287">
        <v>-100.84000000000015</v>
      </c>
      <c r="F30" s="288"/>
      <c r="G30" s="288"/>
      <c r="H30" s="288"/>
      <c r="I30" s="8" t="s">
        <v>1502</v>
      </c>
      <c r="J30" s="289" t="s">
        <v>1475</v>
      </c>
      <c r="K30" s="290"/>
      <c r="L30" s="283" t="str">
        <f t="shared" si="1"/>
        <v>Unrestricted</v>
      </c>
      <c r="M30" s="290"/>
      <c r="O30" s="290"/>
      <c r="P30" s="290"/>
      <c r="S30" s="286"/>
      <c r="T30" s="286"/>
    </row>
    <row r="31" ht="15.75" customHeight="1">
      <c r="A31" s="286" t="s">
        <v>1217</v>
      </c>
      <c r="B31" s="286" t="s">
        <v>880</v>
      </c>
      <c r="C31" s="287">
        <v>-79057.4</v>
      </c>
      <c r="D31" s="287">
        <v>-79147.1</v>
      </c>
      <c r="E31" s="287">
        <v>-89.70000000001164</v>
      </c>
      <c r="F31" s="288"/>
      <c r="G31" s="288"/>
      <c r="H31" s="288"/>
      <c r="I31" s="8" t="s">
        <v>1502</v>
      </c>
      <c r="J31" s="289" t="s">
        <v>1475</v>
      </c>
      <c r="K31" s="290"/>
      <c r="L31" s="283" t="str">
        <f t="shared" si="1"/>
        <v>Unrestricted</v>
      </c>
      <c r="M31" s="290"/>
      <c r="O31" s="290"/>
      <c r="P31" s="290"/>
      <c r="S31" s="286"/>
      <c r="T31" s="286"/>
    </row>
    <row r="32" ht="15.75" customHeight="1">
      <c r="A32" s="286" t="s">
        <v>1219</v>
      </c>
      <c r="B32" s="286" t="s">
        <v>882</v>
      </c>
      <c r="C32" s="287">
        <v>-62899.16</v>
      </c>
      <c r="D32" s="287">
        <v>-63247.57</v>
      </c>
      <c r="E32" s="287">
        <v>-348.4099999999962</v>
      </c>
      <c r="F32" s="288"/>
      <c r="G32" s="288"/>
      <c r="H32" s="288"/>
      <c r="I32" s="8" t="s">
        <v>1502</v>
      </c>
      <c r="J32" s="289" t="s">
        <v>1475</v>
      </c>
      <c r="K32" s="290"/>
      <c r="L32" s="283" t="str">
        <f t="shared" si="1"/>
        <v>Unrestricted</v>
      </c>
      <c r="M32" s="290"/>
      <c r="O32" s="290"/>
      <c r="P32" s="290"/>
      <c r="S32" s="286"/>
      <c r="T32" s="286"/>
    </row>
    <row r="33" ht="15.75" customHeight="1">
      <c r="A33" s="286" t="s">
        <v>1221</v>
      </c>
      <c r="B33" s="286" t="s">
        <v>884</v>
      </c>
      <c r="C33" s="287">
        <v>-2193.14</v>
      </c>
      <c r="D33" s="287">
        <v>-2193.14</v>
      </c>
      <c r="E33" s="287">
        <v>0.0</v>
      </c>
      <c r="F33" s="288"/>
      <c r="G33" s="288"/>
      <c r="H33" s="288"/>
      <c r="I33" s="8" t="s">
        <v>1502</v>
      </c>
      <c r="J33" s="289" t="s">
        <v>1475</v>
      </c>
      <c r="K33" s="290"/>
      <c r="L33" s="283" t="str">
        <f t="shared" si="1"/>
        <v>Unrestricted</v>
      </c>
      <c r="M33" s="290"/>
      <c r="O33" s="290"/>
      <c r="P33" s="290"/>
      <c r="S33" s="286"/>
      <c r="T33" s="286"/>
    </row>
    <row r="34" ht="15.75" customHeight="1">
      <c r="A34" s="286" t="s">
        <v>1226</v>
      </c>
      <c r="B34" s="286" t="s">
        <v>886</v>
      </c>
      <c r="C34" s="287">
        <v>-66395.65</v>
      </c>
      <c r="D34" s="287">
        <v>-66711.53</v>
      </c>
      <c r="E34" s="287">
        <v>-315.88000000000466</v>
      </c>
      <c r="F34" s="288"/>
      <c r="G34" s="288"/>
      <c r="H34" s="288"/>
      <c r="I34" s="8" t="s">
        <v>1502</v>
      </c>
      <c r="J34" s="289" t="s">
        <v>1475</v>
      </c>
      <c r="K34" s="290"/>
      <c r="L34" s="283" t="str">
        <f t="shared" si="1"/>
        <v>Unrestricted</v>
      </c>
      <c r="M34" s="290"/>
      <c r="O34" s="290"/>
      <c r="P34" s="290"/>
      <c r="S34" s="286"/>
      <c r="T34" s="286"/>
    </row>
    <row r="35" ht="15.75" customHeight="1">
      <c r="A35" s="286" t="s">
        <v>1228</v>
      </c>
      <c r="B35" s="286" t="s">
        <v>888</v>
      </c>
      <c r="C35" s="287">
        <v>-30932.21</v>
      </c>
      <c r="D35" s="287">
        <v>-31431.12</v>
      </c>
      <c r="E35" s="287">
        <v>-498.90999999999985</v>
      </c>
      <c r="F35" s="288"/>
      <c r="G35" s="288"/>
      <c r="H35" s="288"/>
      <c r="I35" s="8" t="s">
        <v>1502</v>
      </c>
      <c r="J35" s="289" t="s">
        <v>1475</v>
      </c>
      <c r="K35" s="290"/>
      <c r="L35" s="283" t="str">
        <f t="shared" si="1"/>
        <v>Unrestricted</v>
      </c>
      <c r="M35" s="290"/>
      <c r="O35" s="290"/>
      <c r="P35" s="290"/>
      <c r="S35" s="286"/>
      <c r="T35" s="286"/>
    </row>
    <row r="36" ht="15.75" customHeight="1">
      <c r="A36" s="286" t="s">
        <v>1230</v>
      </c>
      <c r="B36" s="286" t="s">
        <v>890</v>
      </c>
      <c r="C36" s="287">
        <v>-7230.0</v>
      </c>
      <c r="D36" s="287">
        <v>-7230.0</v>
      </c>
      <c r="E36" s="287">
        <v>0.0</v>
      </c>
      <c r="F36" s="288"/>
      <c r="G36" s="288"/>
      <c r="H36" s="288"/>
      <c r="I36" s="8" t="s">
        <v>1502</v>
      </c>
      <c r="J36" s="289" t="s">
        <v>1475</v>
      </c>
      <c r="K36" s="290"/>
      <c r="L36" s="283" t="str">
        <f t="shared" si="1"/>
        <v>Unrestricted</v>
      </c>
      <c r="M36" s="290"/>
      <c r="O36" s="290"/>
      <c r="P36" s="290"/>
      <c r="S36" s="286"/>
      <c r="T36" s="286"/>
    </row>
    <row r="37" ht="15.75" customHeight="1">
      <c r="A37" s="286" t="s">
        <v>1232</v>
      </c>
      <c r="B37" s="286" t="s">
        <v>892</v>
      </c>
      <c r="C37" s="287">
        <v>-4436.71</v>
      </c>
      <c r="D37" s="287">
        <v>-4653.18</v>
      </c>
      <c r="E37" s="287">
        <v>-216.47000000000025</v>
      </c>
      <c r="F37" s="288"/>
      <c r="G37" s="288"/>
      <c r="H37" s="288"/>
      <c r="I37" s="8" t="s">
        <v>1502</v>
      </c>
      <c r="J37" s="289" t="s">
        <v>1475</v>
      </c>
      <c r="K37" s="290"/>
      <c r="L37" s="283" t="str">
        <f t="shared" si="1"/>
        <v>Unrestricted</v>
      </c>
      <c r="M37" s="290"/>
      <c r="O37" s="290"/>
      <c r="P37" s="290"/>
      <c r="S37" s="286"/>
      <c r="T37" s="286"/>
    </row>
    <row r="38" ht="15.75" customHeight="1">
      <c r="A38" s="286" t="s">
        <v>1234</v>
      </c>
      <c r="B38" s="286" t="s">
        <v>894</v>
      </c>
      <c r="C38" s="291">
        <v>3963.85</v>
      </c>
      <c r="D38" s="291">
        <v>3608.62</v>
      </c>
      <c r="E38" s="291">
        <v>-355.23</v>
      </c>
      <c r="F38" s="288"/>
      <c r="G38" s="288"/>
      <c r="H38" s="288"/>
      <c r="I38" s="8" t="s">
        <v>1234</v>
      </c>
      <c r="J38" s="289" t="s">
        <v>1475</v>
      </c>
      <c r="K38" s="290"/>
      <c r="L38" s="283" t="str">
        <f t="shared" si="1"/>
        <v>Unrestricted</v>
      </c>
      <c r="M38" s="290"/>
      <c r="O38" s="290"/>
      <c r="P38" s="290"/>
      <c r="S38" s="286"/>
      <c r="T38" s="286"/>
    </row>
    <row r="39" ht="15.75" customHeight="1">
      <c r="A39" s="286" t="s">
        <v>1236</v>
      </c>
      <c r="B39" s="286" t="s">
        <v>897</v>
      </c>
      <c r="C39" s="291">
        <v>-278327.55</v>
      </c>
      <c r="D39" s="291">
        <v>-183701.09</v>
      </c>
      <c r="E39" s="291">
        <v>94626.45999999999</v>
      </c>
      <c r="F39" s="288"/>
      <c r="G39" s="288"/>
      <c r="H39" s="288"/>
      <c r="I39" s="8" t="s">
        <v>1503</v>
      </c>
      <c r="J39" s="289" t="s">
        <v>1475</v>
      </c>
      <c r="K39" s="290"/>
      <c r="L39" s="283" t="str">
        <f t="shared" si="1"/>
        <v>Unrestricted</v>
      </c>
      <c r="M39" s="290"/>
      <c r="O39" s="290"/>
      <c r="P39" s="290"/>
      <c r="S39" s="286"/>
      <c r="T39" s="286"/>
    </row>
    <row r="40" ht="15.75" customHeight="1">
      <c r="A40" s="286" t="s">
        <v>900</v>
      </c>
      <c r="B40" s="286" t="s">
        <v>899</v>
      </c>
      <c r="C40" s="291">
        <v>2087.5</v>
      </c>
      <c r="D40" s="291">
        <v>2087.5</v>
      </c>
      <c r="E40" s="291">
        <v>0.0</v>
      </c>
      <c r="F40" s="288"/>
      <c r="G40" s="288"/>
      <c r="H40" s="288"/>
      <c r="I40" s="8" t="s">
        <v>1503</v>
      </c>
      <c r="J40" s="289" t="s">
        <v>1475</v>
      </c>
      <c r="K40" s="290"/>
      <c r="L40" s="283" t="str">
        <f t="shared" si="1"/>
        <v>Unrestricted</v>
      </c>
      <c r="M40" s="290"/>
      <c r="O40" s="290"/>
      <c r="P40" s="290"/>
      <c r="S40" s="286"/>
      <c r="T40" s="286"/>
    </row>
    <row r="41" ht="15.75" customHeight="1">
      <c r="A41" s="286" t="s">
        <v>1239</v>
      </c>
      <c r="B41" s="286" t="s">
        <v>901</v>
      </c>
      <c r="C41" s="291">
        <v>-3126.29</v>
      </c>
      <c r="D41" s="291">
        <v>-2684.18</v>
      </c>
      <c r="E41" s="291">
        <v>442.1100000000001</v>
      </c>
      <c r="F41" s="288"/>
      <c r="G41" s="288"/>
      <c r="H41" s="288"/>
      <c r="I41" s="8" t="s">
        <v>1503</v>
      </c>
      <c r="J41" s="289" t="s">
        <v>1475</v>
      </c>
      <c r="K41" s="290"/>
      <c r="L41" s="283" t="str">
        <f t="shared" si="1"/>
        <v>Unrestricted</v>
      </c>
      <c r="M41" s="290"/>
      <c r="O41" s="290"/>
      <c r="P41" s="290"/>
      <c r="S41" s="286"/>
      <c r="T41" s="286"/>
    </row>
    <row r="42" ht="15.75" customHeight="1">
      <c r="A42" s="286" t="s">
        <v>904</v>
      </c>
      <c r="B42" s="286" t="s">
        <v>903</v>
      </c>
      <c r="C42" s="291">
        <v>-840.0</v>
      </c>
      <c r="D42" s="291">
        <v>-23747.85</v>
      </c>
      <c r="E42" s="291">
        <v>-22907.85</v>
      </c>
      <c r="F42" s="288"/>
      <c r="G42" s="288"/>
      <c r="H42" s="288"/>
      <c r="I42" s="8" t="s">
        <v>1504</v>
      </c>
      <c r="J42" s="289" t="s">
        <v>1475</v>
      </c>
      <c r="K42" s="290"/>
      <c r="L42" s="283" t="str">
        <f t="shared" si="1"/>
        <v>Unrestricted</v>
      </c>
      <c r="M42" s="290"/>
      <c r="O42" s="290"/>
      <c r="P42" s="290"/>
      <c r="S42" s="286"/>
      <c r="T42" s="286"/>
    </row>
    <row r="43" ht="15.75" customHeight="1">
      <c r="A43" s="286" t="s">
        <v>906</v>
      </c>
      <c r="B43" s="286" t="s">
        <v>905</v>
      </c>
      <c r="C43" s="291">
        <v>-55779.12</v>
      </c>
      <c r="D43" s="291">
        <v>-64360.53</v>
      </c>
      <c r="E43" s="291">
        <v>-8581.409999999996</v>
      </c>
      <c r="F43" s="288"/>
      <c r="G43" s="288"/>
      <c r="H43" s="288"/>
      <c r="I43" s="8" t="s">
        <v>1504</v>
      </c>
      <c r="J43" s="289" t="s">
        <v>1475</v>
      </c>
      <c r="K43" s="290"/>
      <c r="L43" s="283" t="str">
        <f t="shared" si="1"/>
        <v>Unrestricted</v>
      </c>
      <c r="M43" s="290"/>
      <c r="O43" s="290"/>
      <c r="P43" s="290"/>
      <c r="S43" s="286"/>
      <c r="T43" s="286"/>
    </row>
    <row r="44" ht="15.75" customHeight="1">
      <c r="A44" s="286" t="s">
        <v>1243</v>
      </c>
      <c r="B44" s="286" t="s">
        <v>907</v>
      </c>
      <c r="C44" s="291">
        <v>0.0</v>
      </c>
      <c r="D44" s="291">
        <v>25.0</v>
      </c>
      <c r="E44" s="291">
        <v>25.0</v>
      </c>
      <c r="F44" s="288"/>
      <c r="G44" s="288"/>
      <c r="H44" s="288"/>
      <c r="I44" s="8" t="s">
        <v>1504</v>
      </c>
      <c r="J44" s="289" t="s">
        <v>1475</v>
      </c>
      <c r="K44" s="290"/>
      <c r="L44" s="283" t="str">
        <f t="shared" si="1"/>
        <v>Unrestricted</v>
      </c>
      <c r="M44" s="290"/>
      <c r="O44" s="290"/>
      <c r="P44" s="290"/>
      <c r="S44" s="286"/>
      <c r="T44" s="286"/>
    </row>
    <row r="45" ht="15.75" customHeight="1">
      <c r="A45" s="286" t="s">
        <v>1245</v>
      </c>
      <c r="B45" s="286" t="s">
        <v>911</v>
      </c>
      <c r="C45" s="291">
        <v>-669.93</v>
      </c>
      <c r="D45" s="291">
        <v>-335.89</v>
      </c>
      <c r="E45" s="291">
        <v>334.03999999999996</v>
      </c>
      <c r="F45" s="288"/>
      <c r="G45" s="288"/>
      <c r="H45" s="288"/>
      <c r="I45" s="8" t="s">
        <v>1504</v>
      </c>
      <c r="J45" s="289" t="s">
        <v>1475</v>
      </c>
      <c r="K45" s="290"/>
      <c r="L45" s="283" t="str">
        <f t="shared" si="1"/>
        <v>Unrestricted</v>
      </c>
      <c r="M45" s="290"/>
      <c r="O45" s="290"/>
      <c r="P45" s="290"/>
      <c r="S45" s="286"/>
      <c r="T45" s="286"/>
    </row>
    <row r="46" ht="15.75" customHeight="1">
      <c r="A46" s="286" t="s">
        <v>1247</v>
      </c>
      <c r="B46" s="286" t="s">
        <v>913</v>
      </c>
      <c r="C46" s="291">
        <v>-3824.6</v>
      </c>
      <c r="D46" s="291">
        <v>-3042.5</v>
      </c>
      <c r="E46" s="291">
        <v>782.0999999999999</v>
      </c>
      <c r="F46" s="288"/>
      <c r="G46" s="288"/>
      <c r="H46" s="288"/>
      <c r="I46" s="8" t="s">
        <v>1504</v>
      </c>
      <c r="J46" s="289" t="s">
        <v>1475</v>
      </c>
      <c r="K46" s="290"/>
      <c r="L46" s="283" t="str">
        <f t="shared" si="1"/>
        <v>Unrestricted</v>
      </c>
      <c r="M46" s="290"/>
      <c r="O46" s="290"/>
      <c r="P46" s="290"/>
      <c r="S46" s="286"/>
      <c r="T46" s="286"/>
    </row>
    <row r="47" ht="15.75" customHeight="1">
      <c r="A47" s="286" t="s">
        <v>1249</v>
      </c>
      <c r="B47" s="286" t="s">
        <v>909</v>
      </c>
      <c r="C47" s="291">
        <v>-287.47</v>
      </c>
      <c r="D47" s="291">
        <v>156.98</v>
      </c>
      <c r="E47" s="291">
        <v>444.45000000000005</v>
      </c>
      <c r="F47" s="288"/>
      <c r="G47" s="288"/>
      <c r="H47" s="288"/>
      <c r="I47" s="8" t="s">
        <v>1504</v>
      </c>
      <c r="J47" s="289" t="s">
        <v>1475</v>
      </c>
      <c r="K47" s="290"/>
      <c r="L47" s="283" t="str">
        <f t="shared" si="1"/>
        <v>Unrestricted</v>
      </c>
      <c r="M47" s="290"/>
      <c r="O47" s="290"/>
      <c r="P47" s="290"/>
      <c r="S47" s="286"/>
      <c r="T47" s="286"/>
    </row>
    <row r="48" ht="15.75" customHeight="1">
      <c r="A48" s="286" t="s">
        <v>1251</v>
      </c>
      <c r="B48" s="286" t="s">
        <v>915</v>
      </c>
      <c r="C48" s="291">
        <v>-157.15</v>
      </c>
      <c r="D48" s="291">
        <v>-132.71</v>
      </c>
      <c r="E48" s="291">
        <v>24.439999999999998</v>
      </c>
      <c r="F48" s="288"/>
      <c r="G48" s="288"/>
      <c r="H48" s="288"/>
      <c r="I48" s="8" t="s">
        <v>1504</v>
      </c>
      <c r="J48" s="289" t="s">
        <v>1475</v>
      </c>
      <c r="K48" s="290"/>
      <c r="L48" s="283" t="str">
        <f t="shared" si="1"/>
        <v>Unrestricted</v>
      </c>
      <c r="M48" s="290"/>
      <c r="O48" s="290"/>
      <c r="P48" s="290"/>
      <c r="S48" s="286"/>
      <c r="T48" s="286"/>
    </row>
    <row r="49" ht="15.75" customHeight="1">
      <c r="A49" s="286" t="s">
        <v>918</v>
      </c>
      <c r="B49" s="286" t="s">
        <v>917</v>
      </c>
      <c r="C49" s="291">
        <v>53.82</v>
      </c>
      <c r="D49" s="291">
        <v>26.91</v>
      </c>
      <c r="E49" s="291">
        <v>-26.91</v>
      </c>
      <c r="F49" s="288"/>
      <c r="G49" s="288"/>
      <c r="H49" s="288"/>
      <c r="I49" s="8" t="s">
        <v>1504</v>
      </c>
      <c r="J49" s="289" t="s">
        <v>1475</v>
      </c>
      <c r="K49" s="290"/>
      <c r="L49" s="283" t="str">
        <f t="shared" si="1"/>
        <v>Unrestricted</v>
      </c>
      <c r="M49" s="290"/>
      <c r="O49" s="290"/>
      <c r="P49" s="290"/>
      <c r="S49" s="286"/>
      <c r="T49" s="286"/>
    </row>
    <row r="50" ht="15.75" customHeight="1">
      <c r="A50" s="286" t="s">
        <v>1254</v>
      </c>
      <c r="B50" s="286" t="s">
        <v>919</v>
      </c>
      <c r="C50" s="291">
        <v>-26.01</v>
      </c>
      <c r="D50" s="291">
        <v>697.21</v>
      </c>
      <c r="E50" s="291">
        <v>723.22</v>
      </c>
      <c r="F50" s="288"/>
      <c r="G50" s="288"/>
      <c r="H50" s="288"/>
      <c r="I50" s="8" t="s">
        <v>1504</v>
      </c>
      <c r="J50" s="289" t="s">
        <v>1475</v>
      </c>
      <c r="K50" s="290"/>
      <c r="L50" s="283" t="str">
        <f t="shared" si="1"/>
        <v>Unrestricted</v>
      </c>
      <c r="M50" s="290"/>
      <c r="O50" s="290"/>
      <c r="P50" s="290"/>
      <c r="S50" s="286"/>
      <c r="T50" s="286"/>
    </row>
    <row r="51" ht="15.75" customHeight="1">
      <c r="A51" s="286" t="s">
        <v>1256</v>
      </c>
      <c r="B51" s="286" t="s">
        <v>921</v>
      </c>
      <c r="C51" s="291">
        <v>-30.5</v>
      </c>
      <c r="D51" s="291">
        <v>-30.5</v>
      </c>
      <c r="E51" s="291">
        <v>0.0</v>
      </c>
      <c r="F51" s="288"/>
      <c r="G51" s="288"/>
      <c r="H51" s="288"/>
      <c r="I51" s="8" t="s">
        <v>1504</v>
      </c>
      <c r="J51" s="289" t="s">
        <v>1475</v>
      </c>
      <c r="K51" s="290"/>
      <c r="L51" s="283" t="str">
        <f t="shared" si="1"/>
        <v>Unrestricted</v>
      </c>
      <c r="M51" s="290"/>
      <c r="O51" s="290"/>
      <c r="P51" s="290"/>
      <c r="S51" s="286"/>
      <c r="T51" s="286"/>
    </row>
    <row r="52" ht="15.75" customHeight="1">
      <c r="A52" s="286" t="s">
        <v>1258</v>
      </c>
      <c r="B52" s="286" t="s">
        <v>923</v>
      </c>
      <c r="C52" s="291">
        <v>-8403.33</v>
      </c>
      <c r="D52" s="291">
        <v>-8403.33</v>
      </c>
      <c r="E52" s="291">
        <v>0.0</v>
      </c>
      <c r="F52" s="288"/>
      <c r="G52" s="288"/>
      <c r="H52" s="288"/>
      <c r="I52" s="8" t="s">
        <v>1505</v>
      </c>
      <c r="J52" s="289" t="s">
        <v>1475</v>
      </c>
      <c r="K52" s="290"/>
      <c r="L52" s="283" t="str">
        <f t="shared" si="1"/>
        <v>Unrestricted</v>
      </c>
      <c r="M52" s="290"/>
      <c r="O52" s="290"/>
      <c r="P52" s="290"/>
      <c r="S52" s="286"/>
      <c r="T52" s="286"/>
    </row>
    <row r="53" ht="15.75" customHeight="1">
      <c r="A53" s="286" t="s">
        <v>1260</v>
      </c>
      <c r="B53" s="286" t="s">
        <v>925</v>
      </c>
      <c r="C53" s="291">
        <v>-3.99</v>
      </c>
      <c r="D53" s="291">
        <v>-2.73</v>
      </c>
      <c r="E53" s="291">
        <v>1.2600000000000002</v>
      </c>
      <c r="F53" s="288"/>
      <c r="G53" s="288"/>
      <c r="H53" s="288"/>
      <c r="I53" s="8" t="s">
        <v>1504</v>
      </c>
      <c r="J53" s="289" t="s">
        <v>1475</v>
      </c>
      <c r="K53" s="290"/>
      <c r="L53" s="283" t="str">
        <f t="shared" si="1"/>
        <v>Unrestricted</v>
      </c>
      <c r="M53" s="290"/>
      <c r="O53" s="290"/>
      <c r="P53" s="290"/>
      <c r="S53" s="286"/>
      <c r="T53" s="286"/>
    </row>
    <row r="54" ht="15.75" customHeight="1">
      <c r="A54" s="286" t="s">
        <v>1262</v>
      </c>
      <c r="B54" s="286" t="s">
        <v>927</v>
      </c>
      <c r="C54" s="291">
        <v>-0.93</v>
      </c>
      <c r="D54" s="291">
        <v>-0.63</v>
      </c>
      <c r="E54" s="291">
        <v>0.30000000000000004</v>
      </c>
      <c r="F54" s="288"/>
      <c r="G54" s="288"/>
      <c r="H54" s="288"/>
      <c r="I54" s="8" t="s">
        <v>1504</v>
      </c>
      <c r="J54" s="289" t="s">
        <v>1475</v>
      </c>
      <c r="K54" s="290"/>
      <c r="L54" s="283" t="str">
        <f t="shared" si="1"/>
        <v>Unrestricted</v>
      </c>
      <c r="M54" s="290"/>
      <c r="O54" s="290"/>
      <c r="P54" s="290"/>
      <c r="S54" s="286"/>
      <c r="T54" s="286"/>
    </row>
    <row r="55" ht="15.75" customHeight="1">
      <c r="A55" s="286" t="s">
        <v>1264</v>
      </c>
      <c r="B55" s="286" t="s">
        <v>929</v>
      </c>
      <c r="C55" s="291">
        <v>209.22</v>
      </c>
      <c r="D55" s="291">
        <v>209.22</v>
      </c>
      <c r="E55" s="291">
        <v>0.0</v>
      </c>
      <c r="F55" s="288"/>
      <c r="G55" s="288"/>
      <c r="H55" s="288"/>
      <c r="I55" s="8" t="s">
        <v>1504</v>
      </c>
      <c r="J55" s="289" t="s">
        <v>1475</v>
      </c>
      <c r="K55" s="290"/>
      <c r="L55" s="283" t="str">
        <f t="shared" si="1"/>
        <v>Unrestricted</v>
      </c>
      <c r="M55" s="290"/>
      <c r="O55" s="290"/>
      <c r="P55" s="290"/>
      <c r="S55" s="286"/>
      <c r="T55" s="286"/>
    </row>
    <row r="56" ht="15.75" customHeight="1">
      <c r="A56" s="286" t="s">
        <v>932</v>
      </c>
      <c r="B56" s="286" t="s">
        <v>931</v>
      </c>
      <c r="C56" s="291">
        <v>0.04</v>
      </c>
      <c r="D56" s="291">
        <v>0.0</v>
      </c>
      <c r="E56" s="291">
        <v>-0.04</v>
      </c>
      <c r="F56" s="288"/>
      <c r="G56" s="288"/>
      <c r="H56" s="288"/>
      <c r="I56" s="8" t="s">
        <v>1504</v>
      </c>
      <c r="J56" s="289" t="s">
        <v>1475</v>
      </c>
      <c r="K56" s="290"/>
      <c r="L56" s="283" t="str">
        <f t="shared" si="1"/>
        <v>Unrestricted</v>
      </c>
      <c r="M56" s="290"/>
      <c r="O56" s="290"/>
      <c r="P56" s="290"/>
      <c r="S56" s="286"/>
      <c r="T56" s="286"/>
    </row>
    <row r="57" ht="15.75" customHeight="1">
      <c r="A57" s="286" t="s">
        <v>1267</v>
      </c>
      <c r="B57" s="286" t="s">
        <v>933</v>
      </c>
      <c r="C57" s="291">
        <v>0.0</v>
      </c>
      <c r="D57" s="291">
        <v>0.0</v>
      </c>
      <c r="E57" s="291">
        <v>0.0</v>
      </c>
      <c r="F57" s="288"/>
      <c r="G57" s="288"/>
      <c r="H57" s="288"/>
      <c r="I57" s="8" t="s">
        <v>1504</v>
      </c>
      <c r="J57" s="289" t="s">
        <v>1475</v>
      </c>
      <c r="K57" s="290"/>
      <c r="L57" s="283" t="str">
        <f t="shared" si="1"/>
        <v>Unrestricted</v>
      </c>
      <c r="M57" s="290"/>
      <c r="O57" s="290"/>
      <c r="P57" s="290"/>
      <c r="S57" s="286"/>
      <c r="T57" s="286"/>
    </row>
    <row r="58" ht="15.75" customHeight="1">
      <c r="A58" s="286" t="s">
        <v>1270</v>
      </c>
      <c r="B58" s="286" t="s">
        <v>935</v>
      </c>
      <c r="C58" s="291">
        <v>-2643.4</v>
      </c>
      <c r="D58" s="291">
        <v>-1807.34</v>
      </c>
      <c r="E58" s="291">
        <v>836.0600000000002</v>
      </c>
      <c r="F58" s="288"/>
      <c r="G58" s="288"/>
      <c r="H58" s="288"/>
      <c r="I58" s="8" t="s">
        <v>1506</v>
      </c>
      <c r="J58" s="289" t="s">
        <v>1475</v>
      </c>
      <c r="K58" s="290"/>
      <c r="L58" s="283" t="str">
        <f t="shared" si="1"/>
        <v>Unrestricted</v>
      </c>
      <c r="M58" s="290"/>
      <c r="O58" s="290"/>
      <c r="P58" s="290"/>
      <c r="S58" s="286"/>
      <c r="T58" s="286"/>
    </row>
    <row r="59" ht="15.75" customHeight="1">
      <c r="A59" s="286" t="s">
        <v>938</v>
      </c>
      <c r="B59" s="286" t="s">
        <v>937</v>
      </c>
      <c r="C59" s="291">
        <v>-908.26</v>
      </c>
      <c r="D59" s="291">
        <v>-908.26</v>
      </c>
      <c r="E59" s="291">
        <v>0.0</v>
      </c>
      <c r="F59" s="288"/>
      <c r="G59" s="288"/>
      <c r="H59" s="288"/>
      <c r="I59" s="8" t="s">
        <v>1504</v>
      </c>
      <c r="J59" s="289" t="s">
        <v>1475</v>
      </c>
      <c r="K59" s="290"/>
      <c r="L59" s="283" t="str">
        <f t="shared" si="1"/>
        <v>Unrestricted</v>
      </c>
      <c r="M59" s="290"/>
      <c r="O59" s="290"/>
      <c r="P59" s="290"/>
      <c r="S59" s="286"/>
      <c r="T59" s="286"/>
    </row>
    <row r="60" ht="15.75" customHeight="1">
      <c r="A60" s="286" t="s">
        <v>1272</v>
      </c>
      <c r="B60" s="286" t="s">
        <v>942</v>
      </c>
      <c r="C60" s="292">
        <v>-181914.66</v>
      </c>
      <c r="D60" s="292">
        <v>-181914.66</v>
      </c>
      <c r="E60" s="292">
        <v>0.0</v>
      </c>
      <c r="F60" s="288"/>
      <c r="G60" s="288"/>
      <c r="H60" s="288"/>
      <c r="I60" s="8" t="s">
        <v>1507</v>
      </c>
      <c r="J60" s="289" t="s">
        <v>1475</v>
      </c>
      <c r="K60" s="290"/>
      <c r="L60" s="283" t="str">
        <f t="shared" si="1"/>
        <v>Unrestricted</v>
      </c>
      <c r="M60" s="290"/>
      <c r="O60" s="290"/>
      <c r="P60" s="290"/>
      <c r="S60" s="286"/>
      <c r="T60" s="286"/>
    </row>
    <row r="61" ht="15.75" customHeight="1">
      <c r="A61" s="286" t="s">
        <v>1274</v>
      </c>
      <c r="B61" s="286" t="s">
        <v>939</v>
      </c>
      <c r="C61" s="292">
        <v>-133781.0</v>
      </c>
      <c r="D61" s="292">
        <v>-133781.0</v>
      </c>
      <c r="E61" s="292">
        <v>0.0</v>
      </c>
      <c r="F61" s="288"/>
      <c r="G61" s="288"/>
      <c r="H61" s="288"/>
      <c r="I61" s="8" t="s">
        <v>1507</v>
      </c>
      <c r="J61" s="283" t="s">
        <v>1476</v>
      </c>
      <c r="K61" s="290"/>
      <c r="L61" s="283" t="str">
        <f t="shared" si="1"/>
        <v>Board Restricted</v>
      </c>
      <c r="M61" s="290"/>
      <c r="O61" s="290"/>
      <c r="P61" s="290"/>
      <c r="S61" s="286"/>
      <c r="T61" s="286"/>
    </row>
    <row r="62" ht="15.75" customHeight="1">
      <c r="A62" s="286" t="s">
        <v>1276</v>
      </c>
      <c r="B62" s="286" t="s">
        <v>944</v>
      </c>
      <c r="C62" s="292">
        <v>-24449.0</v>
      </c>
      <c r="D62" s="292">
        <v>-24449.0</v>
      </c>
      <c r="E62" s="292">
        <v>0.0</v>
      </c>
      <c r="F62" s="288"/>
      <c r="G62" s="288"/>
      <c r="H62" s="288"/>
      <c r="I62" s="8" t="s">
        <v>1507</v>
      </c>
      <c r="J62" s="283" t="s">
        <v>1477</v>
      </c>
      <c r="K62" s="290"/>
      <c r="L62" s="283" t="str">
        <f t="shared" si="1"/>
        <v>Temporarily Restricted</v>
      </c>
      <c r="M62" s="290"/>
      <c r="O62" s="290"/>
      <c r="P62" s="290"/>
      <c r="S62" s="286"/>
      <c r="T62" s="286"/>
    </row>
    <row r="63" ht="15.75" customHeight="1">
      <c r="A63" s="286" t="s">
        <v>1278</v>
      </c>
      <c r="B63" s="286" t="s">
        <v>946</v>
      </c>
      <c r="C63" s="292">
        <v>-300.0</v>
      </c>
      <c r="D63" s="292">
        <v>-300.0</v>
      </c>
      <c r="E63" s="292">
        <v>0.0</v>
      </c>
      <c r="F63" s="288"/>
      <c r="G63" s="288"/>
      <c r="H63" s="288"/>
      <c r="I63" s="8" t="s">
        <v>1507</v>
      </c>
      <c r="J63" s="283" t="s">
        <v>1478</v>
      </c>
      <c r="K63" s="290"/>
      <c r="L63" s="283" t="str">
        <f t="shared" si="1"/>
        <v>Permanently Restricted</v>
      </c>
      <c r="M63" s="290"/>
      <c r="O63" s="290"/>
      <c r="P63" s="290"/>
      <c r="S63" s="286"/>
      <c r="T63" s="286"/>
    </row>
    <row r="64" ht="15.75" customHeight="1">
      <c r="A64" s="286" t="s">
        <v>1280</v>
      </c>
      <c r="B64" s="286" t="s">
        <v>948</v>
      </c>
      <c r="C64" s="293">
        <v>-10610.0</v>
      </c>
      <c r="D64" s="293">
        <v>-10610.0</v>
      </c>
      <c r="E64" s="293">
        <v>0.0</v>
      </c>
      <c r="F64" s="293">
        <v>0.0</v>
      </c>
      <c r="G64" s="293">
        <v>6000.0</v>
      </c>
      <c r="H64" s="293">
        <v>-4610.0</v>
      </c>
      <c r="I64" s="8" t="s">
        <v>1507</v>
      </c>
      <c r="J64" s="283" t="s">
        <v>1475</v>
      </c>
      <c r="K64" s="8" t="s">
        <v>45</v>
      </c>
      <c r="L64" s="283" t="str">
        <f t="shared" si="1"/>
        <v>Unrestricted</v>
      </c>
      <c r="M64" s="8" t="s">
        <v>45</v>
      </c>
      <c r="N64" s="27" t="str">
        <f t="shared" ref="N64:R64" si="2">+L64</f>
        <v>Unrestricted</v>
      </c>
      <c r="O64" s="8" t="str">
        <f t="shared" si="2"/>
        <v>Contributions</v>
      </c>
      <c r="P64" s="27" t="str">
        <f t="shared" si="2"/>
        <v>Unrestricted</v>
      </c>
      <c r="Q64" s="8" t="str">
        <f t="shared" si="2"/>
        <v>Contributions</v>
      </c>
      <c r="R64" s="27" t="str">
        <f t="shared" si="2"/>
        <v>Unrestricted</v>
      </c>
      <c r="S64" s="286"/>
      <c r="T64" s="286"/>
    </row>
    <row r="65" ht="15.75" customHeight="1">
      <c r="A65" s="286" t="s">
        <v>1282</v>
      </c>
      <c r="B65" s="286" t="s">
        <v>951</v>
      </c>
      <c r="C65" s="293">
        <v>-2278.65</v>
      </c>
      <c r="D65" s="293">
        <v>-2412.67</v>
      </c>
      <c r="E65" s="293">
        <v>-134.01999999999998</v>
      </c>
      <c r="F65" s="293">
        <v>2083.3333333333335</v>
      </c>
      <c r="G65" s="293">
        <v>18750.0</v>
      </c>
      <c r="H65" s="293">
        <v>16337.33</v>
      </c>
      <c r="I65" s="8" t="s">
        <v>1507</v>
      </c>
      <c r="J65" s="289" t="s">
        <v>1475</v>
      </c>
      <c r="K65" s="8" t="s">
        <v>45</v>
      </c>
      <c r="L65" s="283" t="str">
        <f t="shared" si="1"/>
        <v>Unrestricted</v>
      </c>
      <c r="M65" s="8" t="s">
        <v>45</v>
      </c>
      <c r="N65" s="27" t="str">
        <f t="shared" ref="N65:R65" si="3">+L65</f>
        <v>Unrestricted</v>
      </c>
      <c r="O65" s="8" t="str">
        <f t="shared" si="3"/>
        <v>Contributions</v>
      </c>
      <c r="P65" s="27" t="str">
        <f t="shared" si="3"/>
        <v>Unrestricted</v>
      </c>
      <c r="Q65" s="8" t="str">
        <f t="shared" si="3"/>
        <v>Contributions</v>
      </c>
      <c r="R65" s="27" t="str">
        <f t="shared" si="3"/>
        <v>Unrestricted</v>
      </c>
      <c r="S65" s="286"/>
      <c r="T65" s="286"/>
    </row>
    <row r="66" ht="15.75" customHeight="1">
      <c r="A66" s="286" t="s">
        <v>953</v>
      </c>
      <c r="B66" s="286" t="s">
        <v>952</v>
      </c>
      <c r="C66" s="293">
        <v>-1750.0</v>
      </c>
      <c r="D66" s="293">
        <v>-2478.89</v>
      </c>
      <c r="E66" s="293">
        <v>-728.8899999999999</v>
      </c>
      <c r="F66" s="293">
        <v>0.0</v>
      </c>
      <c r="G66" s="293">
        <v>0.0</v>
      </c>
      <c r="H66" s="293">
        <v>-2478.89</v>
      </c>
      <c r="I66" s="8" t="s">
        <v>1507</v>
      </c>
      <c r="J66" s="289" t="s">
        <v>1475</v>
      </c>
      <c r="K66" s="8" t="s">
        <v>45</v>
      </c>
      <c r="L66" s="283" t="str">
        <f t="shared" si="1"/>
        <v>Unrestricted</v>
      </c>
      <c r="M66" s="8" t="s">
        <v>45</v>
      </c>
      <c r="N66" s="27" t="s">
        <v>1475</v>
      </c>
      <c r="O66" s="8" t="s">
        <v>45</v>
      </c>
      <c r="P66" s="27" t="s">
        <v>1475</v>
      </c>
      <c r="Q66" s="8" t="s">
        <v>45</v>
      </c>
      <c r="R66" s="27" t="s">
        <v>1475</v>
      </c>
      <c r="S66" s="286"/>
      <c r="T66" s="286"/>
    </row>
    <row r="67" ht="15.75" customHeight="1">
      <c r="A67" s="286" t="s">
        <v>52</v>
      </c>
      <c r="B67" s="286" t="s">
        <v>955</v>
      </c>
      <c r="C67" s="293">
        <v>0.0</v>
      </c>
      <c r="D67" s="293">
        <v>0.0</v>
      </c>
      <c r="E67" s="293">
        <v>0.0</v>
      </c>
      <c r="F67" s="293">
        <v>0.0</v>
      </c>
      <c r="G67" s="293">
        <v>500.0</v>
      </c>
      <c r="H67" s="293">
        <v>500.0</v>
      </c>
      <c r="I67" s="8" t="s">
        <v>1507</v>
      </c>
      <c r="J67" s="289" t="s">
        <v>1475</v>
      </c>
      <c r="K67" s="8" t="s">
        <v>45</v>
      </c>
      <c r="L67" s="283" t="str">
        <f t="shared" si="1"/>
        <v>Unrestricted</v>
      </c>
      <c r="M67" s="8" t="s">
        <v>45</v>
      </c>
      <c r="N67" s="27" t="str">
        <f t="shared" ref="N67:R67" si="4">+L67</f>
        <v>Unrestricted</v>
      </c>
      <c r="O67" s="8" t="str">
        <f t="shared" si="4"/>
        <v>Contributions</v>
      </c>
      <c r="P67" s="27" t="str">
        <f t="shared" si="4"/>
        <v>Unrestricted</v>
      </c>
      <c r="Q67" s="8" t="str">
        <f t="shared" si="4"/>
        <v>Contributions</v>
      </c>
      <c r="R67" s="27" t="str">
        <f t="shared" si="4"/>
        <v>Unrestricted</v>
      </c>
      <c r="S67" s="286"/>
      <c r="T67" s="286"/>
    </row>
    <row r="68" ht="15.75" customHeight="1">
      <c r="A68" s="286" t="s">
        <v>1285</v>
      </c>
      <c r="B68" s="286" t="s">
        <v>956</v>
      </c>
      <c r="C68" s="293">
        <v>-3100.0</v>
      </c>
      <c r="D68" s="293">
        <v>-3100.0</v>
      </c>
      <c r="E68" s="293">
        <v>0.0</v>
      </c>
      <c r="F68" s="293">
        <v>1000.0</v>
      </c>
      <c r="G68" s="293">
        <v>8000.0</v>
      </c>
      <c r="H68" s="293">
        <v>4900.0</v>
      </c>
      <c r="I68" s="8" t="s">
        <v>1507</v>
      </c>
      <c r="J68" s="289" t="s">
        <v>1477</v>
      </c>
      <c r="K68" s="8" t="s">
        <v>45</v>
      </c>
      <c r="L68" s="283" t="str">
        <f t="shared" si="1"/>
        <v>Temporarily Restricted</v>
      </c>
      <c r="M68" s="8" t="s">
        <v>45</v>
      </c>
      <c r="N68" s="27" t="str">
        <f t="shared" ref="N68:R68" si="5">+L68</f>
        <v>Temporarily Restricted</v>
      </c>
      <c r="O68" s="8" t="str">
        <f t="shared" si="5"/>
        <v>Contributions</v>
      </c>
      <c r="P68" s="27" t="str">
        <f t="shared" si="5"/>
        <v>Temporarily Restricted</v>
      </c>
      <c r="Q68" s="8" t="str">
        <f t="shared" si="5"/>
        <v>Contributions</v>
      </c>
      <c r="R68" s="27" t="str">
        <f t="shared" si="5"/>
        <v>Temporarily Restricted</v>
      </c>
      <c r="S68" s="286"/>
      <c r="T68" s="286"/>
    </row>
    <row r="69" ht="15.75" customHeight="1">
      <c r="A69" s="286" t="s">
        <v>1287</v>
      </c>
      <c r="B69" s="286" t="s">
        <v>972</v>
      </c>
      <c r="C69" s="293">
        <v>-590684.94</v>
      </c>
      <c r="D69" s="293">
        <v>-688523.09</v>
      </c>
      <c r="E69" s="293">
        <v>-97838.15000000002</v>
      </c>
      <c r="F69" s="293">
        <v>101134.1052631579</v>
      </c>
      <c r="G69" s="293">
        <v>758505.7894736842</v>
      </c>
      <c r="H69" s="293">
        <v>69982.69947368419</v>
      </c>
      <c r="I69" s="8" t="s">
        <v>1507</v>
      </c>
      <c r="J69" s="289" t="s">
        <v>1475</v>
      </c>
      <c r="K69" s="8" t="s">
        <v>1287</v>
      </c>
      <c r="L69" s="283" t="str">
        <f t="shared" si="1"/>
        <v>Unrestricted</v>
      </c>
      <c r="M69" s="8" t="s">
        <v>42</v>
      </c>
      <c r="N69" s="27" t="str">
        <f t="shared" ref="N69:R69" si="6">+L69</f>
        <v>Unrestricted</v>
      </c>
      <c r="O69" s="8" t="str">
        <f t="shared" si="6"/>
        <v>Tuition and Fees</v>
      </c>
      <c r="P69" s="27" t="str">
        <f t="shared" si="6"/>
        <v>Unrestricted</v>
      </c>
      <c r="Q69" s="8" t="str">
        <f t="shared" si="6"/>
        <v>Tuition and Fees</v>
      </c>
      <c r="R69" s="27" t="str">
        <f t="shared" si="6"/>
        <v>Unrestricted</v>
      </c>
      <c r="S69" s="286"/>
      <c r="T69" s="286"/>
    </row>
    <row r="70" ht="15.75" customHeight="1">
      <c r="A70" s="286" t="s">
        <v>46</v>
      </c>
      <c r="B70" s="286" t="s">
        <v>999</v>
      </c>
      <c r="C70" s="293">
        <v>-1200.0</v>
      </c>
      <c r="D70" s="293">
        <v>-1400.0</v>
      </c>
      <c r="E70" s="293">
        <v>-200.0</v>
      </c>
      <c r="F70" s="293">
        <v>0.0</v>
      </c>
      <c r="G70" s="293">
        <v>0.0</v>
      </c>
      <c r="H70" s="293">
        <v>-1400.0</v>
      </c>
      <c r="I70" s="8" t="s">
        <v>1507</v>
      </c>
      <c r="J70" s="289" t="s">
        <v>1475</v>
      </c>
      <c r="K70" s="8" t="s">
        <v>1287</v>
      </c>
      <c r="L70" s="283" t="str">
        <f t="shared" si="1"/>
        <v>Unrestricted</v>
      </c>
      <c r="M70" s="8" t="s">
        <v>42</v>
      </c>
      <c r="N70" s="27" t="str">
        <f t="shared" ref="N70:R70" si="7">+L70</f>
        <v>Unrestricted</v>
      </c>
      <c r="O70" s="8" t="str">
        <f t="shared" si="7"/>
        <v>Tuition and Fees</v>
      </c>
      <c r="P70" s="27" t="str">
        <f t="shared" si="7"/>
        <v>Unrestricted</v>
      </c>
      <c r="Q70" s="8" t="str">
        <f t="shared" si="7"/>
        <v>Tuition and Fees</v>
      </c>
      <c r="R70" s="27" t="str">
        <f t="shared" si="7"/>
        <v>Unrestricted</v>
      </c>
      <c r="S70" s="286"/>
      <c r="T70" s="286"/>
    </row>
    <row r="71" ht="15.75" customHeight="1">
      <c r="A71" s="286" t="s">
        <v>74</v>
      </c>
      <c r="B71" s="286" t="s">
        <v>1004</v>
      </c>
      <c r="C71" s="293">
        <v>-24375.0</v>
      </c>
      <c r="D71" s="293">
        <v>-24375.0</v>
      </c>
      <c r="E71" s="293">
        <v>0.0</v>
      </c>
      <c r="F71" s="293">
        <v>0.0</v>
      </c>
      <c r="G71" s="293">
        <v>23250.0</v>
      </c>
      <c r="H71" s="293">
        <v>-1125.0</v>
      </c>
      <c r="I71" s="8" t="s">
        <v>1507</v>
      </c>
      <c r="J71" s="289" t="s">
        <v>1475</v>
      </c>
      <c r="K71" s="8" t="s">
        <v>1287</v>
      </c>
      <c r="L71" s="283" t="str">
        <f t="shared" si="1"/>
        <v>Unrestricted</v>
      </c>
      <c r="M71" s="8" t="s">
        <v>42</v>
      </c>
      <c r="N71" s="27" t="str">
        <f t="shared" ref="N71:R71" si="8">+L71</f>
        <v>Unrestricted</v>
      </c>
      <c r="O71" s="8" t="str">
        <f t="shared" si="8"/>
        <v>Tuition and Fees</v>
      </c>
      <c r="P71" s="27" t="str">
        <f t="shared" si="8"/>
        <v>Unrestricted</v>
      </c>
      <c r="Q71" s="8" t="str">
        <f t="shared" si="8"/>
        <v>Tuition and Fees</v>
      </c>
      <c r="R71" s="27" t="str">
        <f t="shared" si="8"/>
        <v>Unrestricted</v>
      </c>
      <c r="S71" s="286"/>
      <c r="T71" s="286"/>
    </row>
    <row r="72" ht="15.75" customHeight="1">
      <c r="A72" s="286" t="s">
        <v>1508</v>
      </c>
      <c r="B72" s="286" t="s">
        <v>1005</v>
      </c>
      <c r="C72" s="293">
        <v>0.0</v>
      </c>
      <c r="D72" s="293">
        <v>0.0</v>
      </c>
      <c r="E72" s="293">
        <v>0.0</v>
      </c>
      <c r="F72" s="293">
        <v>0.0</v>
      </c>
      <c r="G72" s="293">
        <v>1000.0</v>
      </c>
      <c r="H72" s="293">
        <v>1000.0</v>
      </c>
      <c r="I72" s="8" t="s">
        <v>1507</v>
      </c>
      <c r="J72" s="289" t="s">
        <v>1475</v>
      </c>
      <c r="K72" s="8" t="s">
        <v>1287</v>
      </c>
      <c r="L72" s="283" t="str">
        <f t="shared" si="1"/>
        <v>Unrestricted</v>
      </c>
      <c r="M72" s="8" t="s">
        <v>42</v>
      </c>
      <c r="N72" s="27" t="str">
        <f t="shared" ref="N72:R72" si="9">+L72</f>
        <v>Unrestricted</v>
      </c>
      <c r="O72" s="8" t="str">
        <f t="shared" si="9"/>
        <v>Tuition and Fees</v>
      </c>
      <c r="P72" s="27" t="str">
        <f t="shared" si="9"/>
        <v>Unrestricted</v>
      </c>
      <c r="Q72" s="8" t="str">
        <f t="shared" si="9"/>
        <v>Tuition and Fees</v>
      </c>
      <c r="R72" s="27" t="str">
        <f t="shared" si="9"/>
        <v>Unrestricted</v>
      </c>
      <c r="S72" s="286"/>
      <c r="T72" s="286"/>
    </row>
    <row r="73" ht="15.75" customHeight="1">
      <c r="A73" s="286" t="s">
        <v>1291</v>
      </c>
      <c r="B73" s="286" t="s">
        <v>1038</v>
      </c>
      <c r="C73" s="293">
        <v>28752.65</v>
      </c>
      <c r="D73" s="293">
        <v>33823.75</v>
      </c>
      <c r="E73" s="293">
        <v>5071.0999999999985</v>
      </c>
      <c r="F73" s="293">
        <v>-3789.4736842105262</v>
      </c>
      <c r="G73" s="293">
        <v>-28421.052631578947</v>
      </c>
      <c r="H73" s="293">
        <v>5402.697368421053</v>
      </c>
      <c r="I73" s="8" t="s">
        <v>1507</v>
      </c>
      <c r="J73" s="289" t="s">
        <v>1475</v>
      </c>
      <c r="K73" s="8" t="s">
        <v>1509</v>
      </c>
      <c r="L73" s="283" t="str">
        <f t="shared" si="1"/>
        <v>Unrestricted</v>
      </c>
      <c r="M73" s="8" t="s">
        <v>173</v>
      </c>
      <c r="N73" s="27" t="str">
        <f t="shared" ref="N73:R73" si="10">+L73</f>
        <v>Unrestricted</v>
      </c>
      <c r="O73" s="8" t="str">
        <f t="shared" si="10"/>
        <v>Scholarships and Discounts</v>
      </c>
      <c r="P73" s="27" t="str">
        <f t="shared" si="10"/>
        <v>Unrestricted</v>
      </c>
      <c r="Q73" s="8" t="str">
        <f t="shared" si="10"/>
        <v>Scholarships and Discounts</v>
      </c>
      <c r="R73" s="27" t="str">
        <f t="shared" si="10"/>
        <v>Unrestricted</v>
      </c>
      <c r="S73" s="286"/>
      <c r="T73" s="286"/>
    </row>
    <row r="74" ht="15.75" customHeight="1">
      <c r="A74" s="286" t="s">
        <v>1293</v>
      </c>
      <c r="B74" s="286" t="s">
        <v>1039</v>
      </c>
      <c r="C74" s="293">
        <v>6567.16</v>
      </c>
      <c r="D74" s="293">
        <v>7667.82</v>
      </c>
      <c r="E74" s="293">
        <v>1100.6599999999999</v>
      </c>
      <c r="F74" s="293">
        <v>-1052.6315789473683</v>
      </c>
      <c r="G74" s="293">
        <v>-7894.736842105262</v>
      </c>
      <c r="H74" s="293">
        <v>-226.91684210526273</v>
      </c>
      <c r="I74" s="8" t="s">
        <v>1507</v>
      </c>
      <c r="J74" s="289" t="s">
        <v>1475</v>
      </c>
      <c r="K74" s="8" t="s">
        <v>1509</v>
      </c>
      <c r="L74" s="283" t="str">
        <f t="shared" si="1"/>
        <v>Unrestricted</v>
      </c>
      <c r="M74" s="8" t="s">
        <v>173</v>
      </c>
      <c r="N74" s="27" t="str">
        <f t="shared" ref="N74:R74" si="11">+L74</f>
        <v>Unrestricted</v>
      </c>
      <c r="O74" s="8" t="str">
        <f t="shared" si="11"/>
        <v>Scholarships and Discounts</v>
      </c>
      <c r="P74" s="27" t="str">
        <f t="shared" si="11"/>
        <v>Unrestricted</v>
      </c>
      <c r="Q74" s="8" t="str">
        <f t="shared" si="11"/>
        <v>Scholarships and Discounts</v>
      </c>
      <c r="R74" s="27" t="str">
        <f t="shared" si="11"/>
        <v>Unrestricted</v>
      </c>
      <c r="S74" s="286"/>
      <c r="T74" s="286"/>
    </row>
    <row r="75" ht="15.75" customHeight="1">
      <c r="A75" s="286" t="s">
        <v>1295</v>
      </c>
      <c r="B75" s="286" t="s">
        <v>1006</v>
      </c>
      <c r="C75" s="293">
        <v>-500.0</v>
      </c>
      <c r="D75" s="293">
        <v>-600.0</v>
      </c>
      <c r="E75" s="293">
        <v>-100.0</v>
      </c>
      <c r="F75" s="293">
        <v>0.0</v>
      </c>
      <c r="G75" s="293">
        <v>500.0</v>
      </c>
      <c r="H75" s="293">
        <v>-100.0</v>
      </c>
      <c r="I75" s="8" t="s">
        <v>1507</v>
      </c>
      <c r="J75" s="289" t="s">
        <v>1475</v>
      </c>
      <c r="K75" s="8" t="s">
        <v>1510</v>
      </c>
      <c r="L75" s="283" t="str">
        <f t="shared" si="1"/>
        <v>Unrestricted</v>
      </c>
      <c r="M75" s="8" t="s">
        <v>42</v>
      </c>
      <c r="N75" s="27" t="str">
        <f t="shared" ref="N75:R75" si="12">+L75</f>
        <v>Unrestricted</v>
      </c>
      <c r="O75" s="8" t="str">
        <f t="shared" si="12"/>
        <v>Tuition and Fees</v>
      </c>
      <c r="P75" s="27" t="str">
        <f t="shared" si="12"/>
        <v>Unrestricted</v>
      </c>
      <c r="Q75" s="8" t="str">
        <f t="shared" si="12"/>
        <v>Tuition and Fees</v>
      </c>
      <c r="R75" s="27" t="str">
        <f t="shared" si="12"/>
        <v>Unrestricted</v>
      </c>
      <c r="S75" s="286"/>
      <c r="T75" s="286"/>
    </row>
    <row r="76" ht="15.75" customHeight="1">
      <c r="A76" s="286" t="s">
        <v>83</v>
      </c>
      <c r="B76" s="286" t="s">
        <v>1007</v>
      </c>
      <c r="C76" s="293">
        <v>-2873.71</v>
      </c>
      <c r="D76" s="293">
        <v>-3315.82</v>
      </c>
      <c r="E76" s="293">
        <v>-442.1100000000001</v>
      </c>
      <c r="F76" s="293">
        <v>300.0</v>
      </c>
      <c r="G76" s="293">
        <v>2400.0</v>
      </c>
      <c r="H76" s="293">
        <v>-915.8200000000002</v>
      </c>
      <c r="I76" s="8" t="s">
        <v>1507</v>
      </c>
      <c r="J76" s="289" t="s">
        <v>1475</v>
      </c>
      <c r="K76" s="8" t="s">
        <v>1287</v>
      </c>
      <c r="L76" s="283" t="str">
        <f t="shared" si="1"/>
        <v>Unrestricted</v>
      </c>
      <c r="M76" s="8" t="s">
        <v>42</v>
      </c>
      <c r="N76" s="27" t="str">
        <f t="shared" ref="N76:R76" si="13">+L76</f>
        <v>Unrestricted</v>
      </c>
      <c r="O76" s="8" t="str">
        <f t="shared" si="13"/>
        <v>Tuition and Fees</v>
      </c>
      <c r="P76" s="27" t="str">
        <f t="shared" si="13"/>
        <v>Unrestricted</v>
      </c>
      <c r="Q76" s="8" t="str">
        <f t="shared" si="13"/>
        <v>Tuition and Fees</v>
      </c>
      <c r="R76" s="27" t="str">
        <f t="shared" si="13"/>
        <v>Unrestricted</v>
      </c>
      <c r="S76" s="286"/>
      <c r="T76" s="286"/>
      <c r="U76" s="294"/>
    </row>
    <row r="77" ht="15.75" customHeight="1">
      <c r="A77" s="286" t="s">
        <v>1511</v>
      </c>
      <c r="B77" s="286" t="s">
        <v>1008</v>
      </c>
      <c r="C77" s="293">
        <v>0.0</v>
      </c>
      <c r="D77" s="293">
        <v>0.0</v>
      </c>
      <c r="E77" s="293">
        <v>0.0</v>
      </c>
      <c r="F77" s="293">
        <v>0.0</v>
      </c>
      <c r="G77" s="293">
        <v>0.0</v>
      </c>
      <c r="H77" s="293">
        <v>0.0</v>
      </c>
      <c r="I77" s="8" t="s">
        <v>1507</v>
      </c>
      <c r="J77" s="289" t="s">
        <v>1475</v>
      </c>
      <c r="K77" s="8" t="s">
        <v>1510</v>
      </c>
      <c r="L77" s="283" t="str">
        <f t="shared" si="1"/>
        <v>Unrestricted</v>
      </c>
      <c r="M77" s="8" t="s">
        <v>42</v>
      </c>
      <c r="N77" s="27" t="str">
        <f t="shared" ref="N77:R77" si="14">+L77</f>
        <v>Unrestricted</v>
      </c>
      <c r="O77" s="8" t="str">
        <f t="shared" si="14"/>
        <v>Tuition and Fees</v>
      </c>
      <c r="P77" s="27" t="str">
        <f t="shared" si="14"/>
        <v>Unrestricted</v>
      </c>
      <c r="Q77" s="8" t="str">
        <f t="shared" si="14"/>
        <v>Tuition and Fees</v>
      </c>
      <c r="R77" s="27" t="str">
        <f t="shared" si="14"/>
        <v>Unrestricted</v>
      </c>
      <c r="S77" s="286"/>
      <c r="T77" s="286"/>
      <c r="U77" s="294"/>
    </row>
    <row r="78" ht="15.75" customHeight="1">
      <c r="A78" s="286" t="s">
        <v>1298</v>
      </c>
      <c r="B78" s="286" t="s">
        <v>1009</v>
      </c>
      <c r="C78" s="293">
        <v>-5446.0</v>
      </c>
      <c r="D78" s="293">
        <v>-5852.0</v>
      </c>
      <c r="E78" s="293">
        <v>-406.0</v>
      </c>
      <c r="F78" s="293">
        <v>768.421052631579</v>
      </c>
      <c r="G78" s="293">
        <v>5763.1578947368425</v>
      </c>
      <c r="H78" s="293">
        <v>-88.84210526315746</v>
      </c>
      <c r="I78" s="8" t="s">
        <v>1507</v>
      </c>
      <c r="J78" s="289" t="s">
        <v>1475</v>
      </c>
      <c r="K78" s="8" t="s">
        <v>1510</v>
      </c>
      <c r="L78" s="283" t="str">
        <f t="shared" si="1"/>
        <v>Unrestricted</v>
      </c>
      <c r="M78" s="8" t="s">
        <v>50</v>
      </c>
      <c r="N78" s="27" t="str">
        <f t="shared" ref="N78:R78" si="15">+L78</f>
        <v>Unrestricted</v>
      </c>
      <c r="O78" s="8" t="str">
        <f t="shared" si="15"/>
        <v>Aftercare</v>
      </c>
      <c r="P78" s="27" t="str">
        <f t="shared" si="15"/>
        <v>Unrestricted</v>
      </c>
      <c r="Q78" s="8" t="str">
        <f t="shared" si="15"/>
        <v>Aftercare</v>
      </c>
      <c r="R78" s="27" t="str">
        <f t="shared" si="15"/>
        <v>Unrestricted</v>
      </c>
      <c r="S78" s="286"/>
      <c r="T78" s="286"/>
      <c r="U78" s="294"/>
    </row>
    <row r="79" ht="15.75" customHeight="1">
      <c r="A79" s="286" t="s">
        <v>1300</v>
      </c>
      <c r="B79" s="286" t="s">
        <v>1010</v>
      </c>
      <c r="C79" s="293">
        <v>-180.0</v>
      </c>
      <c r="D79" s="293">
        <v>-180.0</v>
      </c>
      <c r="E79" s="293">
        <v>0.0</v>
      </c>
      <c r="F79" s="293">
        <v>0.0</v>
      </c>
      <c r="G79" s="293">
        <v>200.0</v>
      </c>
      <c r="H79" s="293">
        <v>20.0</v>
      </c>
      <c r="I79" s="8" t="s">
        <v>1507</v>
      </c>
      <c r="J79" s="289" t="s">
        <v>1475</v>
      </c>
      <c r="K79" s="8" t="s">
        <v>1510</v>
      </c>
      <c r="L79" s="283" t="str">
        <f t="shared" si="1"/>
        <v>Unrestricted</v>
      </c>
      <c r="M79" s="8" t="s">
        <v>50</v>
      </c>
      <c r="N79" s="27" t="str">
        <f t="shared" ref="N79:R79" si="16">+L79</f>
        <v>Unrestricted</v>
      </c>
      <c r="O79" s="8" t="str">
        <f t="shared" si="16"/>
        <v>Aftercare</v>
      </c>
      <c r="P79" s="27" t="str">
        <f t="shared" si="16"/>
        <v>Unrestricted</v>
      </c>
      <c r="Q79" s="8" t="str">
        <f t="shared" si="16"/>
        <v>Aftercare</v>
      </c>
      <c r="R79" s="27" t="str">
        <f t="shared" si="16"/>
        <v>Unrestricted</v>
      </c>
      <c r="S79" s="286"/>
      <c r="T79" s="286"/>
      <c r="U79" s="294"/>
    </row>
    <row r="80" ht="15.75" customHeight="1">
      <c r="A80" s="286" t="s">
        <v>1512</v>
      </c>
      <c r="B80" s="286" t="s">
        <v>1011</v>
      </c>
      <c r="C80" s="293">
        <v>0.0</v>
      </c>
      <c r="D80" s="293">
        <v>0.0</v>
      </c>
      <c r="E80" s="293">
        <v>0.0</v>
      </c>
      <c r="F80" s="293">
        <v>105.26315789473684</v>
      </c>
      <c r="G80" s="293">
        <v>789.4736842105264</v>
      </c>
      <c r="H80" s="293">
        <v>789.4736842105264</v>
      </c>
      <c r="I80" s="8" t="s">
        <v>1507</v>
      </c>
      <c r="J80" s="289" t="s">
        <v>1475</v>
      </c>
      <c r="K80" s="8" t="s">
        <v>1510</v>
      </c>
      <c r="L80" s="283" t="str">
        <f t="shared" si="1"/>
        <v>Unrestricted</v>
      </c>
      <c r="M80" s="8" t="s">
        <v>59</v>
      </c>
      <c r="N80" s="27" t="str">
        <f t="shared" ref="N80:R80" si="17">+L80</f>
        <v>Unrestricted</v>
      </c>
      <c r="O80" s="8" t="str">
        <f t="shared" si="17"/>
        <v>Transportation</v>
      </c>
      <c r="P80" s="27" t="str">
        <f t="shared" si="17"/>
        <v>Unrestricted</v>
      </c>
      <c r="Q80" s="8" t="str">
        <f t="shared" si="17"/>
        <v>Transportation</v>
      </c>
      <c r="R80" s="27" t="str">
        <f t="shared" si="17"/>
        <v>Unrestricted</v>
      </c>
      <c r="S80" s="286"/>
      <c r="T80" s="286"/>
      <c r="U80" s="294"/>
    </row>
    <row r="81" ht="15.75" customHeight="1">
      <c r="A81" s="286" t="s">
        <v>1302</v>
      </c>
      <c r="B81" s="286" t="s">
        <v>1012</v>
      </c>
      <c r="C81" s="293">
        <v>-218.0</v>
      </c>
      <c r="D81" s="293">
        <v>-218.0</v>
      </c>
      <c r="E81" s="293">
        <v>0.0</v>
      </c>
      <c r="F81" s="293">
        <v>0.0</v>
      </c>
      <c r="G81" s="293">
        <v>0.0</v>
      </c>
      <c r="H81" s="293">
        <v>-218.0</v>
      </c>
      <c r="I81" s="8" t="s">
        <v>1507</v>
      </c>
      <c r="J81" s="289" t="s">
        <v>1475</v>
      </c>
      <c r="K81" s="8" t="s">
        <v>102</v>
      </c>
      <c r="L81" s="283" t="str">
        <f t="shared" si="1"/>
        <v>Unrestricted</v>
      </c>
      <c r="M81" s="8" t="s">
        <v>60</v>
      </c>
      <c r="N81" s="27" t="str">
        <f t="shared" ref="N81:R81" si="18">+L81</f>
        <v>Unrestricted</v>
      </c>
      <c r="O81" s="8" t="str">
        <f t="shared" si="18"/>
        <v>Merchandise Sales</v>
      </c>
      <c r="P81" s="27" t="str">
        <f t="shared" si="18"/>
        <v>Unrestricted</v>
      </c>
      <c r="Q81" s="8" t="str">
        <f t="shared" si="18"/>
        <v>Merchandise Sales</v>
      </c>
      <c r="R81" s="27" t="str">
        <f t="shared" si="18"/>
        <v>Unrestricted</v>
      </c>
      <c r="S81" s="286"/>
      <c r="T81" s="286"/>
    </row>
    <row r="82" ht="15.75" customHeight="1">
      <c r="A82" s="286" t="s">
        <v>1304</v>
      </c>
      <c r="B82" s="286" t="s">
        <v>1013</v>
      </c>
      <c r="C82" s="293">
        <v>-150.0</v>
      </c>
      <c r="D82" s="293">
        <v>-150.0</v>
      </c>
      <c r="E82" s="293">
        <v>0.0</v>
      </c>
      <c r="F82" s="293">
        <v>0.0</v>
      </c>
      <c r="G82" s="293">
        <v>1250.0</v>
      </c>
      <c r="H82" s="293">
        <v>1100.0</v>
      </c>
      <c r="I82" s="8" t="s">
        <v>1507</v>
      </c>
      <c r="J82" s="289" t="s">
        <v>1475</v>
      </c>
      <c r="K82" s="8" t="s">
        <v>102</v>
      </c>
      <c r="L82" s="283" t="str">
        <f t="shared" si="1"/>
        <v>Unrestricted</v>
      </c>
      <c r="M82" s="8" t="s">
        <v>60</v>
      </c>
      <c r="N82" s="27" t="str">
        <f t="shared" ref="N82:R82" si="19">+L82</f>
        <v>Unrestricted</v>
      </c>
      <c r="O82" s="8" t="str">
        <f t="shared" si="19"/>
        <v>Merchandise Sales</v>
      </c>
      <c r="P82" s="27" t="str">
        <f t="shared" si="19"/>
        <v>Unrestricted</v>
      </c>
      <c r="Q82" s="8" t="str">
        <f t="shared" si="19"/>
        <v>Merchandise Sales</v>
      </c>
      <c r="R82" s="27" t="str">
        <f t="shared" si="19"/>
        <v>Unrestricted</v>
      </c>
      <c r="S82" s="286"/>
      <c r="T82" s="286"/>
    </row>
    <row r="83" ht="15.75" customHeight="1">
      <c r="A83" s="286" t="s">
        <v>1306</v>
      </c>
      <c r="B83" s="286" t="s">
        <v>1014</v>
      </c>
      <c r="C83" s="293">
        <v>-16415.13</v>
      </c>
      <c r="D83" s="293">
        <v>-18028.96</v>
      </c>
      <c r="E83" s="293">
        <v>-1613.829999999998</v>
      </c>
      <c r="F83" s="293">
        <v>2842.1052631578946</v>
      </c>
      <c r="G83" s="293">
        <v>21315.78947368421</v>
      </c>
      <c r="H83" s="293">
        <v>3286.829473684211</v>
      </c>
      <c r="I83" s="8" t="s">
        <v>1507</v>
      </c>
      <c r="J83" s="289" t="s">
        <v>1475</v>
      </c>
      <c r="K83" s="8" t="s">
        <v>102</v>
      </c>
      <c r="L83" s="283" t="str">
        <f t="shared" si="1"/>
        <v>Unrestricted</v>
      </c>
      <c r="M83" s="8" t="s">
        <v>60</v>
      </c>
      <c r="N83" s="27" t="str">
        <f t="shared" ref="N83:R83" si="20">+L83</f>
        <v>Unrestricted</v>
      </c>
      <c r="O83" s="8" t="str">
        <f t="shared" si="20"/>
        <v>Merchandise Sales</v>
      </c>
      <c r="P83" s="27" t="str">
        <f t="shared" si="20"/>
        <v>Unrestricted</v>
      </c>
      <c r="Q83" s="8" t="str">
        <f t="shared" si="20"/>
        <v>Merchandise Sales</v>
      </c>
      <c r="R83" s="27" t="str">
        <f t="shared" si="20"/>
        <v>Unrestricted</v>
      </c>
      <c r="S83" s="286"/>
      <c r="T83" s="286"/>
      <c r="U83" s="294"/>
    </row>
    <row r="84" ht="15.75" customHeight="1">
      <c r="A84" s="286" t="s">
        <v>1513</v>
      </c>
      <c r="B84" s="286" t="s">
        <v>1514</v>
      </c>
      <c r="C84" s="293">
        <v>0.0</v>
      </c>
      <c r="D84" s="293">
        <v>0.0</v>
      </c>
      <c r="E84" s="293">
        <v>0.0</v>
      </c>
      <c r="F84" s="293">
        <v>0.0</v>
      </c>
      <c r="G84" s="293">
        <v>0.0</v>
      </c>
      <c r="H84" s="293">
        <v>0.0</v>
      </c>
      <c r="I84" s="8" t="s">
        <v>1507</v>
      </c>
      <c r="J84" s="289" t="s">
        <v>1475</v>
      </c>
      <c r="K84" s="8" t="s">
        <v>102</v>
      </c>
      <c r="L84" s="283" t="str">
        <f t="shared" si="1"/>
        <v>Unrestricted</v>
      </c>
      <c r="M84" s="8" t="s">
        <v>55</v>
      </c>
      <c r="N84" s="27" t="str">
        <f t="shared" ref="N84:R84" si="21">+L84</f>
        <v>Unrestricted</v>
      </c>
      <c r="O84" s="8" t="str">
        <f t="shared" si="21"/>
        <v>Student Activities &amp; Athletics</v>
      </c>
      <c r="P84" s="27" t="str">
        <f t="shared" si="21"/>
        <v>Unrestricted</v>
      </c>
      <c r="Q84" s="8" t="str">
        <f t="shared" si="21"/>
        <v>Student Activities &amp; Athletics</v>
      </c>
      <c r="R84" s="27" t="str">
        <f t="shared" si="21"/>
        <v>Unrestricted</v>
      </c>
      <c r="S84" s="286"/>
      <c r="T84" s="286"/>
      <c r="U84" s="294"/>
    </row>
    <row r="85" ht="15.75" customHeight="1">
      <c r="A85" s="286" t="s">
        <v>1515</v>
      </c>
      <c r="B85" s="286" t="s">
        <v>1015</v>
      </c>
      <c r="C85" s="293">
        <v>0.0</v>
      </c>
      <c r="D85" s="293">
        <v>0.0</v>
      </c>
      <c r="E85" s="293">
        <v>0.0</v>
      </c>
      <c r="F85" s="293">
        <v>1000.0</v>
      </c>
      <c r="G85" s="293">
        <v>1000.0</v>
      </c>
      <c r="H85" s="293">
        <v>1000.0</v>
      </c>
      <c r="I85" s="8" t="s">
        <v>1507</v>
      </c>
      <c r="J85" s="289" t="s">
        <v>1475</v>
      </c>
      <c r="K85" s="8" t="s">
        <v>102</v>
      </c>
      <c r="L85" s="283" t="str">
        <f t="shared" si="1"/>
        <v>Unrestricted</v>
      </c>
      <c r="M85" s="8" t="s">
        <v>55</v>
      </c>
      <c r="N85" s="27" t="str">
        <f t="shared" ref="N85:R85" si="22">+L85</f>
        <v>Unrestricted</v>
      </c>
      <c r="O85" s="8" t="str">
        <f t="shared" si="22"/>
        <v>Student Activities &amp; Athletics</v>
      </c>
      <c r="P85" s="27" t="str">
        <f t="shared" si="22"/>
        <v>Unrestricted</v>
      </c>
      <c r="Q85" s="8" t="str">
        <f t="shared" si="22"/>
        <v>Student Activities &amp; Athletics</v>
      </c>
      <c r="R85" s="27" t="str">
        <f t="shared" si="22"/>
        <v>Unrestricted</v>
      </c>
      <c r="S85" s="286"/>
      <c r="T85" s="286"/>
      <c r="U85" s="294"/>
    </row>
    <row r="86" ht="15.75" customHeight="1">
      <c r="A86" s="286" t="s">
        <v>1308</v>
      </c>
      <c r="B86" s="286" t="s">
        <v>1016</v>
      </c>
      <c r="C86" s="293">
        <v>0.0</v>
      </c>
      <c r="D86" s="293">
        <v>-689.0</v>
      </c>
      <c r="E86" s="293">
        <v>-689.0</v>
      </c>
      <c r="F86" s="293">
        <v>250.0</v>
      </c>
      <c r="G86" s="293">
        <v>500.0</v>
      </c>
      <c r="H86" s="293">
        <v>-189.0</v>
      </c>
      <c r="I86" s="8" t="s">
        <v>1507</v>
      </c>
      <c r="J86" s="289" t="s">
        <v>1475</v>
      </c>
      <c r="K86" s="8" t="s">
        <v>102</v>
      </c>
      <c r="L86" s="283" t="str">
        <f t="shared" si="1"/>
        <v>Unrestricted</v>
      </c>
      <c r="M86" s="8" t="s">
        <v>55</v>
      </c>
      <c r="N86" s="27" t="str">
        <f t="shared" ref="N86:R86" si="23">+L86</f>
        <v>Unrestricted</v>
      </c>
      <c r="O86" s="8" t="str">
        <f t="shared" si="23"/>
        <v>Student Activities &amp; Athletics</v>
      </c>
      <c r="P86" s="27" t="str">
        <f t="shared" si="23"/>
        <v>Unrestricted</v>
      </c>
      <c r="Q86" s="8" t="str">
        <f t="shared" si="23"/>
        <v>Student Activities &amp; Athletics</v>
      </c>
      <c r="R86" s="27" t="str">
        <f t="shared" si="23"/>
        <v>Unrestricted</v>
      </c>
      <c r="S86" s="286"/>
      <c r="T86" s="286"/>
      <c r="U86" s="294"/>
    </row>
    <row r="87" ht="15.75" customHeight="1">
      <c r="A87" s="286" t="s">
        <v>1310</v>
      </c>
      <c r="B87" s="286" t="s">
        <v>1017</v>
      </c>
      <c r="C87" s="293">
        <v>-3668.82</v>
      </c>
      <c r="D87" s="293">
        <v>-3931.32</v>
      </c>
      <c r="E87" s="293">
        <v>-262.5</v>
      </c>
      <c r="F87" s="293">
        <v>500.0</v>
      </c>
      <c r="G87" s="293">
        <v>4500.0</v>
      </c>
      <c r="H87" s="293">
        <v>568.6799999999998</v>
      </c>
      <c r="I87" s="8" t="s">
        <v>1507</v>
      </c>
      <c r="J87" s="289" t="s">
        <v>1475</v>
      </c>
      <c r="K87" s="8" t="s">
        <v>102</v>
      </c>
      <c r="L87" s="283" t="str">
        <f t="shared" si="1"/>
        <v>Unrestricted</v>
      </c>
      <c r="M87" s="8" t="s">
        <v>55</v>
      </c>
      <c r="N87" s="27" t="str">
        <f t="shared" ref="N87:R87" si="24">+L87</f>
        <v>Unrestricted</v>
      </c>
      <c r="O87" s="8" t="str">
        <f t="shared" si="24"/>
        <v>Student Activities &amp; Athletics</v>
      </c>
      <c r="P87" s="27" t="str">
        <f t="shared" si="24"/>
        <v>Unrestricted</v>
      </c>
      <c r="Q87" s="8" t="str">
        <f t="shared" si="24"/>
        <v>Student Activities &amp; Athletics</v>
      </c>
      <c r="R87" s="27" t="str">
        <f t="shared" si="24"/>
        <v>Unrestricted</v>
      </c>
      <c r="S87" s="286"/>
      <c r="T87" s="286"/>
      <c r="U87" s="294"/>
    </row>
    <row r="88" ht="15.75" customHeight="1">
      <c r="A88" s="286" t="s">
        <v>1019</v>
      </c>
      <c r="B88" s="286" t="s">
        <v>1018</v>
      </c>
      <c r="C88" s="293">
        <v>0.0</v>
      </c>
      <c r="D88" s="293">
        <v>0.0</v>
      </c>
      <c r="E88" s="293">
        <v>0.0</v>
      </c>
      <c r="F88" s="293">
        <v>0.0</v>
      </c>
      <c r="G88" s="293">
        <v>1250.0</v>
      </c>
      <c r="H88" s="293">
        <v>1250.0</v>
      </c>
      <c r="I88" s="8" t="s">
        <v>1507</v>
      </c>
      <c r="J88" s="289" t="s">
        <v>1475</v>
      </c>
      <c r="K88" s="8" t="s">
        <v>102</v>
      </c>
      <c r="L88" s="283" t="str">
        <f t="shared" si="1"/>
        <v>Unrestricted</v>
      </c>
      <c r="M88" s="8" t="s">
        <v>55</v>
      </c>
      <c r="N88" s="27" t="str">
        <f t="shared" ref="N88:R88" si="25">+L88</f>
        <v>Unrestricted</v>
      </c>
      <c r="O88" s="8" t="str">
        <f t="shared" si="25"/>
        <v>Student Activities &amp; Athletics</v>
      </c>
      <c r="P88" s="27" t="str">
        <f t="shared" si="25"/>
        <v>Unrestricted</v>
      </c>
      <c r="Q88" s="8" t="str">
        <f t="shared" si="25"/>
        <v>Student Activities &amp; Athletics</v>
      </c>
      <c r="R88" s="27" t="str">
        <f t="shared" si="25"/>
        <v>Unrestricted</v>
      </c>
      <c r="S88" s="286"/>
      <c r="T88" s="286"/>
      <c r="U88" s="294"/>
    </row>
    <row r="89" ht="15.75" customHeight="1">
      <c r="A89" s="286" t="s">
        <v>1516</v>
      </c>
      <c r="B89" s="286" t="s">
        <v>1020</v>
      </c>
      <c r="C89" s="293">
        <v>0.0</v>
      </c>
      <c r="D89" s="293">
        <v>0.0</v>
      </c>
      <c r="E89" s="293">
        <v>0.0</v>
      </c>
      <c r="F89" s="293">
        <v>0.0</v>
      </c>
      <c r="G89" s="293">
        <v>0.0</v>
      </c>
      <c r="H89" s="293">
        <v>0.0</v>
      </c>
      <c r="I89" s="8" t="s">
        <v>1507</v>
      </c>
      <c r="J89" s="289" t="s">
        <v>1475</v>
      </c>
      <c r="K89" s="8" t="s">
        <v>102</v>
      </c>
      <c r="L89" s="283" t="str">
        <f t="shared" si="1"/>
        <v>Unrestricted</v>
      </c>
      <c r="M89" s="8" t="s">
        <v>55</v>
      </c>
      <c r="N89" s="27" t="str">
        <f t="shared" ref="N89:R89" si="26">+L89</f>
        <v>Unrestricted</v>
      </c>
      <c r="O89" s="8" t="str">
        <f t="shared" si="26"/>
        <v>Student Activities &amp; Athletics</v>
      </c>
      <c r="P89" s="27" t="str">
        <f t="shared" si="26"/>
        <v>Unrestricted</v>
      </c>
      <c r="Q89" s="8" t="str">
        <f t="shared" si="26"/>
        <v>Student Activities &amp; Athletics</v>
      </c>
      <c r="R89" s="27" t="str">
        <f t="shared" si="26"/>
        <v>Unrestricted</v>
      </c>
      <c r="S89" s="286"/>
      <c r="T89" s="286"/>
      <c r="U89" s="294"/>
    </row>
    <row r="90" ht="15.75" customHeight="1">
      <c r="A90" s="286" t="s">
        <v>1517</v>
      </c>
      <c r="B90" s="286" t="s">
        <v>1518</v>
      </c>
      <c r="C90" s="293">
        <v>0.0</v>
      </c>
      <c r="D90" s="293">
        <v>0.0</v>
      </c>
      <c r="E90" s="293">
        <v>0.0</v>
      </c>
      <c r="F90" s="293">
        <v>0.0</v>
      </c>
      <c r="G90" s="293">
        <v>0.0</v>
      </c>
      <c r="H90" s="293">
        <v>0.0</v>
      </c>
      <c r="I90" s="8" t="s">
        <v>1507</v>
      </c>
      <c r="J90" s="289" t="s">
        <v>1475</v>
      </c>
      <c r="K90" s="8" t="s">
        <v>102</v>
      </c>
      <c r="L90" s="283" t="str">
        <f t="shared" si="1"/>
        <v>Unrestricted</v>
      </c>
      <c r="M90" s="8" t="s">
        <v>107</v>
      </c>
      <c r="N90" s="27" t="str">
        <f t="shared" ref="N90:R90" si="27">+L90</f>
        <v>Unrestricted</v>
      </c>
      <c r="O90" s="8" t="str">
        <f t="shared" si="27"/>
        <v>Miscellaneous</v>
      </c>
      <c r="P90" s="27" t="str">
        <f t="shared" si="27"/>
        <v>Unrestricted</v>
      </c>
      <c r="Q90" s="8" t="str">
        <f t="shared" si="27"/>
        <v>Miscellaneous</v>
      </c>
      <c r="R90" s="27" t="str">
        <f t="shared" si="27"/>
        <v>Unrestricted</v>
      </c>
      <c r="S90" s="286"/>
      <c r="T90" s="286"/>
    </row>
    <row r="91" ht="15.75" customHeight="1">
      <c r="A91" s="286" t="s">
        <v>198</v>
      </c>
      <c r="B91" s="286" t="s">
        <v>1021</v>
      </c>
      <c r="C91" s="293">
        <v>0.0</v>
      </c>
      <c r="D91" s="293">
        <v>0.0</v>
      </c>
      <c r="E91" s="293">
        <v>0.0</v>
      </c>
      <c r="F91" s="293">
        <v>0.0</v>
      </c>
      <c r="G91" s="293">
        <v>0.0</v>
      </c>
      <c r="H91" s="293">
        <v>0.0</v>
      </c>
      <c r="I91" s="8" t="s">
        <v>1507</v>
      </c>
      <c r="J91" s="289" t="s">
        <v>1475</v>
      </c>
      <c r="K91" s="8" t="s">
        <v>102</v>
      </c>
      <c r="L91" s="283" t="str">
        <f t="shared" si="1"/>
        <v>Unrestricted</v>
      </c>
      <c r="M91" s="8" t="s">
        <v>42</v>
      </c>
      <c r="N91" s="27" t="str">
        <f t="shared" ref="N91:R91" si="28">+L91</f>
        <v>Unrestricted</v>
      </c>
      <c r="O91" s="8" t="str">
        <f t="shared" si="28"/>
        <v>Tuition and Fees</v>
      </c>
      <c r="P91" s="27" t="str">
        <f t="shared" si="28"/>
        <v>Unrestricted</v>
      </c>
      <c r="Q91" s="8" t="str">
        <f t="shared" si="28"/>
        <v>Tuition and Fees</v>
      </c>
      <c r="R91" s="27" t="str">
        <f t="shared" si="28"/>
        <v>Unrestricted</v>
      </c>
      <c r="S91" s="286"/>
      <c r="T91" s="286"/>
    </row>
    <row r="92" ht="15.75" customHeight="1">
      <c r="A92" s="286" t="s">
        <v>1453</v>
      </c>
      <c r="B92" s="286" t="s">
        <v>1022</v>
      </c>
      <c r="C92" s="293">
        <v>-50.88</v>
      </c>
      <c r="D92" s="293">
        <v>-58.93</v>
      </c>
      <c r="E92" s="293">
        <v>-8.049999999999997</v>
      </c>
      <c r="F92" s="293">
        <v>20.833333333333332</v>
      </c>
      <c r="G92" s="293">
        <v>187.5</v>
      </c>
      <c r="H92" s="293">
        <v>128.57</v>
      </c>
      <c r="I92" s="8" t="s">
        <v>1507</v>
      </c>
      <c r="J92" s="289" t="s">
        <v>1475</v>
      </c>
      <c r="K92" s="8" t="s">
        <v>103</v>
      </c>
      <c r="L92" s="283" t="str">
        <f t="shared" si="1"/>
        <v>Unrestricted</v>
      </c>
      <c r="M92" s="8" t="s">
        <v>103</v>
      </c>
      <c r="N92" s="27" t="str">
        <f t="shared" ref="N92:R92" si="29">+L92</f>
        <v>Unrestricted</v>
      </c>
      <c r="O92" s="8" t="str">
        <f t="shared" si="29"/>
        <v>Investment Income</v>
      </c>
      <c r="P92" s="27" t="str">
        <f t="shared" si="29"/>
        <v>Unrestricted</v>
      </c>
      <c r="Q92" s="8" t="str">
        <f t="shared" si="29"/>
        <v>Investment Income</v>
      </c>
      <c r="R92" s="27" t="str">
        <f t="shared" si="29"/>
        <v>Unrestricted</v>
      </c>
      <c r="S92" s="286"/>
      <c r="T92" s="286"/>
    </row>
    <row r="93" ht="15.75" customHeight="1">
      <c r="A93" s="286" t="s">
        <v>1024</v>
      </c>
      <c r="B93" s="286" t="s">
        <v>1023</v>
      </c>
      <c r="C93" s="293">
        <v>-222.82</v>
      </c>
      <c r="D93" s="293">
        <v>-251.27</v>
      </c>
      <c r="E93" s="293">
        <v>-28.450000000000017</v>
      </c>
      <c r="F93" s="293">
        <v>0.0</v>
      </c>
      <c r="G93" s="293">
        <v>0.0</v>
      </c>
      <c r="H93" s="293">
        <v>-251.27</v>
      </c>
      <c r="I93" s="8" t="s">
        <v>1507</v>
      </c>
      <c r="J93" s="289" t="s">
        <v>1476</v>
      </c>
      <c r="K93" s="8" t="s">
        <v>103</v>
      </c>
      <c r="L93" s="283" t="str">
        <f t="shared" si="1"/>
        <v>Board Restricted</v>
      </c>
      <c r="M93" s="8" t="s">
        <v>103</v>
      </c>
      <c r="N93" s="27" t="str">
        <f t="shared" ref="N93:R93" si="30">+L93</f>
        <v>Board Restricted</v>
      </c>
      <c r="O93" s="8" t="str">
        <f t="shared" si="30"/>
        <v>Investment Income</v>
      </c>
      <c r="P93" s="27" t="str">
        <f t="shared" si="30"/>
        <v>Board Restricted</v>
      </c>
      <c r="Q93" s="8" t="str">
        <f t="shared" si="30"/>
        <v>Investment Income</v>
      </c>
      <c r="R93" s="27" t="str">
        <f t="shared" si="30"/>
        <v>Board Restricted</v>
      </c>
      <c r="S93" s="286"/>
      <c r="T93" s="286"/>
    </row>
    <row r="94" ht="15.75" customHeight="1">
      <c r="A94" s="286" t="s">
        <v>1312</v>
      </c>
      <c r="B94" s="286" t="s">
        <v>1025</v>
      </c>
      <c r="C94" s="293">
        <v>-9963.16</v>
      </c>
      <c r="D94" s="293">
        <v>-14143.46</v>
      </c>
      <c r="E94" s="293">
        <v>-4180.299999999999</v>
      </c>
      <c r="F94" s="293">
        <v>8500.0</v>
      </c>
      <c r="G94" s="293">
        <v>10000.0</v>
      </c>
      <c r="H94" s="293">
        <v>-4143.459999999999</v>
      </c>
      <c r="I94" s="8" t="s">
        <v>1507</v>
      </c>
      <c r="J94" s="289" t="s">
        <v>1475</v>
      </c>
      <c r="K94" s="8" t="s">
        <v>1519</v>
      </c>
      <c r="L94" s="283" t="str">
        <f t="shared" si="1"/>
        <v>Unrestricted</v>
      </c>
      <c r="M94" s="8" t="s">
        <v>84</v>
      </c>
      <c r="N94" s="27" t="str">
        <f t="shared" ref="N94:R94" si="31">+L94</f>
        <v>Unrestricted</v>
      </c>
      <c r="O94" s="8" t="str">
        <f t="shared" si="31"/>
        <v>Fundraising</v>
      </c>
      <c r="P94" s="27" t="str">
        <f t="shared" si="31"/>
        <v>Unrestricted</v>
      </c>
      <c r="Q94" s="8" t="str">
        <f t="shared" si="31"/>
        <v>Fundraising</v>
      </c>
      <c r="R94" s="27" t="str">
        <f t="shared" si="31"/>
        <v>Unrestricted</v>
      </c>
      <c r="S94" s="286"/>
      <c r="T94" s="286"/>
    </row>
    <row r="95" ht="15.75" customHeight="1">
      <c r="A95" s="286" t="s">
        <v>1314</v>
      </c>
      <c r="B95" s="286" t="s">
        <v>1027</v>
      </c>
      <c r="C95" s="293">
        <v>0.0</v>
      </c>
      <c r="D95" s="293">
        <v>-9565.88</v>
      </c>
      <c r="E95" s="293">
        <v>-9565.88</v>
      </c>
      <c r="F95" s="293">
        <v>7000.0</v>
      </c>
      <c r="G95" s="293">
        <v>7000.0</v>
      </c>
      <c r="H95" s="293">
        <v>-2565.879999999999</v>
      </c>
      <c r="I95" s="8" t="s">
        <v>1507</v>
      </c>
      <c r="J95" s="289" t="s">
        <v>1475</v>
      </c>
      <c r="K95" s="8" t="s">
        <v>1519</v>
      </c>
      <c r="L95" s="283" t="str">
        <f t="shared" si="1"/>
        <v>Unrestricted</v>
      </c>
      <c r="M95" s="8" t="s">
        <v>84</v>
      </c>
      <c r="N95" s="27" t="str">
        <f t="shared" ref="N95:R95" si="32">+L95</f>
        <v>Unrestricted</v>
      </c>
      <c r="O95" s="8" t="str">
        <f t="shared" si="32"/>
        <v>Fundraising</v>
      </c>
      <c r="P95" s="27" t="str">
        <f t="shared" si="32"/>
        <v>Unrestricted</v>
      </c>
      <c r="Q95" s="8" t="str">
        <f t="shared" si="32"/>
        <v>Fundraising</v>
      </c>
      <c r="R95" s="27" t="str">
        <f t="shared" si="32"/>
        <v>Unrestricted</v>
      </c>
      <c r="S95" s="286"/>
      <c r="T95" s="286"/>
      <c r="U95" s="294"/>
    </row>
    <row r="96" ht="15.75" customHeight="1">
      <c r="A96" s="286" t="s">
        <v>1316</v>
      </c>
      <c r="B96" s="286" t="s">
        <v>1028</v>
      </c>
      <c r="C96" s="293">
        <v>-12250.0</v>
      </c>
      <c r="D96" s="293">
        <v>-16500.0</v>
      </c>
      <c r="E96" s="293">
        <v>-4250.0</v>
      </c>
      <c r="F96" s="293">
        <v>750.0</v>
      </c>
      <c r="G96" s="293">
        <v>2750.0</v>
      </c>
      <c r="H96" s="293">
        <v>-13750.0</v>
      </c>
      <c r="I96" s="8" t="s">
        <v>1507</v>
      </c>
      <c r="J96" s="289" t="s">
        <v>1475</v>
      </c>
      <c r="K96" s="8" t="s">
        <v>1519</v>
      </c>
      <c r="L96" s="283" t="str">
        <f t="shared" si="1"/>
        <v>Unrestricted</v>
      </c>
      <c r="M96" s="8" t="s">
        <v>84</v>
      </c>
      <c r="N96" s="27" t="str">
        <f t="shared" ref="N96:R96" si="33">+L96</f>
        <v>Unrestricted</v>
      </c>
      <c r="O96" s="8" t="str">
        <f t="shared" si="33"/>
        <v>Fundraising</v>
      </c>
      <c r="P96" s="27" t="str">
        <f t="shared" si="33"/>
        <v>Unrestricted</v>
      </c>
      <c r="Q96" s="8" t="str">
        <f t="shared" si="33"/>
        <v>Fundraising</v>
      </c>
      <c r="R96" s="27" t="str">
        <f t="shared" si="33"/>
        <v>Unrestricted</v>
      </c>
      <c r="S96" s="286"/>
      <c r="T96" s="286"/>
      <c r="U96" s="294"/>
    </row>
    <row r="97" ht="15.75" customHeight="1">
      <c r="A97" s="286" t="s">
        <v>1318</v>
      </c>
      <c r="B97" s="286" t="s">
        <v>1029</v>
      </c>
      <c r="C97" s="293">
        <v>-296.8</v>
      </c>
      <c r="D97" s="293">
        <v>-6398.77</v>
      </c>
      <c r="E97" s="293">
        <v>-6101.97</v>
      </c>
      <c r="F97" s="293">
        <v>8000.0</v>
      </c>
      <c r="G97" s="293">
        <v>12000.0</v>
      </c>
      <c r="H97" s="293">
        <v>5601.23</v>
      </c>
      <c r="I97" s="8" t="s">
        <v>1507</v>
      </c>
      <c r="J97" s="289" t="s">
        <v>1475</v>
      </c>
      <c r="K97" s="8" t="s">
        <v>1519</v>
      </c>
      <c r="L97" s="283" t="str">
        <f t="shared" si="1"/>
        <v>Unrestricted</v>
      </c>
      <c r="M97" s="8" t="s">
        <v>84</v>
      </c>
      <c r="N97" s="27" t="str">
        <f t="shared" ref="N97:R97" si="34">+L97</f>
        <v>Unrestricted</v>
      </c>
      <c r="O97" s="8" t="str">
        <f t="shared" si="34"/>
        <v>Fundraising</v>
      </c>
      <c r="P97" s="27" t="str">
        <f t="shared" si="34"/>
        <v>Unrestricted</v>
      </c>
      <c r="Q97" s="8" t="str">
        <f t="shared" si="34"/>
        <v>Fundraising</v>
      </c>
      <c r="R97" s="27" t="str">
        <f t="shared" si="34"/>
        <v>Unrestricted</v>
      </c>
      <c r="S97" s="286"/>
      <c r="T97" s="286"/>
      <c r="U97" s="294"/>
    </row>
    <row r="98" ht="15.75" customHeight="1">
      <c r="A98" s="286" t="s">
        <v>1320</v>
      </c>
      <c r="B98" s="286" t="s">
        <v>1030</v>
      </c>
      <c r="C98" s="293">
        <v>0.0</v>
      </c>
      <c r="D98" s="293">
        <v>-1560.0</v>
      </c>
      <c r="E98" s="293">
        <v>-1560.0</v>
      </c>
      <c r="F98" s="293">
        <v>1500.0</v>
      </c>
      <c r="G98" s="293">
        <v>1500.0</v>
      </c>
      <c r="H98" s="293">
        <v>-60.0</v>
      </c>
      <c r="I98" s="8" t="s">
        <v>1507</v>
      </c>
      <c r="J98" s="289" t="s">
        <v>1475</v>
      </c>
      <c r="K98" s="8" t="s">
        <v>1519</v>
      </c>
      <c r="L98" s="283" t="str">
        <f t="shared" si="1"/>
        <v>Unrestricted</v>
      </c>
      <c r="M98" s="8" t="s">
        <v>84</v>
      </c>
      <c r="N98" s="27" t="str">
        <f t="shared" ref="N98:R98" si="35">+L98</f>
        <v>Unrestricted</v>
      </c>
      <c r="O98" s="8" t="str">
        <f t="shared" si="35"/>
        <v>Fundraising</v>
      </c>
      <c r="P98" s="27" t="str">
        <f t="shared" si="35"/>
        <v>Unrestricted</v>
      </c>
      <c r="Q98" s="8" t="str">
        <f t="shared" si="35"/>
        <v>Fundraising</v>
      </c>
      <c r="R98" s="27" t="str">
        <f t="shared" si="35"/>
        <v>Unrestricted</v>
      </c>
      <c r="S98" s="286"/>
      <c r="T98" s="286"/>
      <c r="U98" s="294"/>
    </row>
    <row r="99" ht="15.75" customHeight="1">
      <c r="A99" s="286" t="s">
        <v>1322</v>
      </c>
      <c r="B99" s="286" t="s">
        <v>1026</v>
      </c>
      <c r="C99" s="293">
        <v>-5563.75</v>
      </c>
      <c r="D99" s="293">
        <v>-5563.75</v>
      </c>
      <c r="E99" s="293">
        <v>0.0</v>
      </c>
      <c r="F99" s="293">
        <v>0.0</v>
      </c>
      <c r="G99" s="293">
        <v>6500.0</v>
      </c>
      <c r="H99" s="293">
        <v>936.25</v>
      </c>
      <c r="I99" s="8" t="s">
        <v>1507</v>
      </c>
      <c r="J99" s="289" t="s">
        <v>1475</v>
      </c>
      <c r="K99" s="8" t="s">
        <v>1519</v>
      </c>
      <c r="L99" s="283" t="str">
        <f t="shared" si="1"/>
        <v>Unrestricted</v>
      </c>
      <c r="M99" s="8" t="s">
        <v>84</v>
      </c>
      <c r="N99" s="27" t="str">
        <f t="shared" ref="N99:R99" si="36">+L99</f>
        <v>Unrestricted</v>
      </c>
      <c r="O99" s="8" t="str">
        <f t="shared" si="36"/>
        <v>Fundraising</v>
      </c>
      <c r="P99" s="27" t="str">
        <f t="shared" si="36"/>
        <v>Unrestricted</v>
      </c>
      <c r="Q99" s="8" t="str">
        <f t="shared" si="36"/>
        <v>Fundraising</v>
      </c>
      <c r="R99" s="27" t="str">
        <f t="shared" si="36"/>
        <v>Unrestricted</v>
      </c>
      <c r="S99" s="286"/>
      <c r="T99" s="286"/>
      <c r="U99" s="294"/>
    </row>
    <row r="100" ht="15.75" customHeight="1">
      <c r="A100" s="286" t="s">
        <v>1520</v>
      </c>
      <c r="B100" s="286" t="s">
        <v>1031</v>
      </c>
      <c r="C100" s="293">
        <v>-14685.79</v>
      </c>
      <c r="D100" s="293">
        <v>-18882.99</v>
      </c>
      <c r="E100" s="293">
        <v>-4197.200000000001</v>
      </c>
      <c r="F100" s="293">
        <v>250.0</v>
      </c>
      <c r="G100" s="293">
        <v>8750.0</v>
      </c>
      <c r="H100" s="293">
        <v>-10132.990000000002</v>
      </c>
      <c r="I100" s="8" t="s">
        <v>1507</v>
      </c>
      <c r="J100" s="289" t="s">
        <v>1475</v>
      </c>
      <c r="K100" s="8" t="s">
        <v>1521</v>
      </c>
      <c r="L100" s="283" t="str">
        <f t="shared" si="1"/>
        <v>Unrestricted</v>
      </c>
      <c r="M100" s="8" t="s">
        <v>94</v>
      </c>
      <c r="N100" s="27" t="str">
        <f t="shared" ref="N100:R100" si="37">+L100</f>
        <v>Unrestricted</v>
      </c>
      <c r="O100" s="8" t="str">
        <f t="shared" si="37"/>
        <v>Restricted Released</v>
      </c>
      <c r="P100" s="27" t="str">
        <f t="shared" si="37"/>
        <v>Unrestricted</v>
      </c>
      <c r="Q100" s="8" t="str">
        <f t="shared" si="37"/>
        <v>Restricted Released</v>
      </c>
      <c r="R100" s="27" t="str">
        <f t="shared" si="37"/>
        <v>Unrestricted</v>
      </c>
      <c r="S100" s="286"/>
      <c r="T100" s="286"/>
      <c r="U100" s="294"/>
    </row>
    <row r="101" ht="15.75" customHeight="1">
      <c r="A101" s="286" t="s">
        <v>1522</v>
      </c>
      <c r="B101" s="286" t="s">
        <v>1032</v>
      </c>
      <c r="C101" s="293">
        <v>14685.79</v>
      </c>
      <c r="D101" s="293">
        <v>18882.99</v>
      </c>
      <c r="E101" s="293">
        <v>4197.200000000001</v>
      </c>
      <c r="F101" s="293">
        <v>0.0</v>
      </c>
      <c r="G101" s="293">
        <v>0.0</v>
      </c>
      <c r="H101" s="293">
        <v>18882.99</v>
      </c>
      <c r="I101" s="8" t="s">
        <v>1507</v>
      </c>
      <c r="J101" s="289" t="s">
        <v>1477</v>
      </c>
      <c r="K101" s="8" t="s">
        <v>1521</v>
      </c>
      <c r="L101" s="283" t="str">
        <f t="shared" si="1"/>
        <v>Temporarily Restricted</v>
      </c>
      <c r="M101" s="8" t="s">
        <v>94</v>
      </c>
      <c r="N101" s="27" t="str">
        <f t="shared" ref="N101:R101" si="38">+L101</f>
        <v>Temporarily Restricted</v>
      </c>
      <c r="O101" s="8" t="str">
        <f t="shared" si="38"/>
        <v>Restricted Released</v>
      </c>
      <c r="P101" s="27" t="str">
        <f t="shared" si="38"/>
        <v>Temporarily Restricted</v>
      </c>
      <c r="Q101" s="8" t="str">
        <f t="shared" si="38"/>
        <v>Restricted Released</v>
      </c>
      <c r="R101" s="27" t="str">
        <f t="shared" si="38"/>
        <v>Temporarily Restricted</v>
      </c>
      <c r="S101" s="286"/>
      <c r="T101" s="286"/>
      <c r="U101" s="294"/>
    </row>
    <row r="102" ht="15.75" customHeight="1">
      <c r="A102" s="286" t="s">
        <v>289</v>
      </c>
      <c r="B102" s="286" t="s">
        <v>1033</v>
      </c>
      <c r="C102" s="295">
        <v>104.38</v>
      </c>
      <c r="D102" s="295">
        <v>104.38</v>
      </c>
      <c r="E102" s="295">
        <v>0.0</v>
      </c>
      <c r="F102" s="295">
        <v>0.0</v>
      </c>
      <c r="G102" s="295">
        <v>0.0</v>
      </c>
      <c r="H102" s="295">
        <v>104.38</v>
      </c>
      <c r="I102" s="8" t="s">
        <v>1507</v>
      </c>
      <c r="J102" s="289" t="s">
        <v>1475</v>
      </c>
      <c r="K102" s="8" t="s">
        <v>1523</v>
      </c>
      <c r="L102" s="283" t="str">
        <f t="shared" si="1"/>
        <v>Unrestricted</v>
      </c>
      <c r="M102" s="8" t="s">
        <v>87</v>
      </c>
      <c r="N102" s="27" t="str">
        <f t="shared" ref="N102:N222" si="40">+L102</f>
        <v>Unrestricted</v>
      </c>
      <c r="O102" s="8" t="s">
        <v>87</v>
      </c>
      <c r="P102" s="27" t="str">
        <f t="shared" ref="P102:R102" si="39">+N102</f>
        <v>Unrestricted</v>
      </c>
      <c r="Q102" s="8" t="str">
        <f t="shared" si="39"/>
        <v>Cost of Fundraising</v>
      </c>
      <c r="R102" s="27" t="str">
        <f t="shared" si="39"/>
        <v>Unrestricted</v>
      </c>
      <c r="S102" s="286"/>
      <c r="T102" s="286"/>
    </row>
    <row r="103" ht="15.75" customHeight="1">
      <c r="A103" s="286" t="s">
        <v>1330</v>
      </c>
      <c r="B103" s="286" t="s">
        <v>1034</v>
      </c>
      <c r="C103" s="295">
        <v>6941.48</v>
      </c>
      <c r="D103" s="295">
        <v>17171.47</v>
      </c>
      <c r="E103" s="295">
        <v>10229.990000000002</v>
      </c>
      <c r="F103" s="295">
        <v>-12500.0</v>
      </c>
      <c r="G103" s="295">
        <v>-19500.0</v>
      </c>
      <c r="H103" s="295">
        <v>-2328.529999999999</v>
      </c>
      <c r="I103" s="8" t="s">
        <v>1507</v>
      </c>
      <c r="J103" s="289" t="s">
        <v>1475</v>
      </c>
      <c r="K103" s="8" t="s">
        <v>1523</v>
      </c>
      <c r="L103" s="283" t="str">
        <f t="shared" si="1"/>
        <v>Unrestricted</v>
      </c>
      <c r="M103" s="8" t="s">
        <v>87</v>
      </c>
      <c r="N103" s="27" t="str">
        <f t="shared" si="40"/>
        <v>Unrestricted</v>
      </c>
      <c r="O103" s="8" t="s">
        <v>87</v>
      </c>
      <c r="P103" s="27" t="str">
        <f t="shared" ref="P103:R103" si="41">+N103</f>
        <v>Unrestricted</v>
      </c>
      <c r="Q103" s="8" t="str">
        <f t="shared" si="41"/>
        <v>Cost of Fundraising</v>
      </c>
      <c r="R103" s="27" t="str">
        <f t="shared" si="41"/>
        <v>Unrestricted</v>
      </c>
      <c r="S103" s="286"/>
      <c r="T103" s="286"/>
    </row>
    <row r="104" ht="15.75" customHeight="1">
      <c r="A104" s="286" t="s">
        <v>64</v>
      </c>
      <c r="B104" s="286" t="s">
        <v>1035</v>
      </c>
      <c r="C104" s="295">
        <v>129.31</v>
      </c>
      <c r="D104" s="295">
        <v>129.31</v>
      </c>
      <c r="E104" s="295">
        <v>0.0</v>
      </c>
      <c r="F104" s="295">
        <v>0.0</v>
      </c>
      <c r="G104" s="295">
        <v>-750.0</v>
      </c>
      <c r="H104" s="295">
        <v>-620.69</v>
      </c>
      <c r="I104" s="8" t="s">
        <v>1507</v>
      </c>
      <c r="J104" s="289" t="s">
        <v>1475</v>
      </c>
      <c r="K104" s="8" t="s">
        <v>1523</v>
      </c>
      <c r="L104" s="283" t="str">
        <f t="shared" si="1"/>
        <v>Unrestricted</v>
      </c>
      <c r="M104" s="8" t="s">
        <v>64</v>
      </c>
      <c r="N104" s="27" t="str">
        <f t="shared" si="40"/>
        <v>Unrestricted</v>
      </c>
      <c r="O104" s="8" t="str">
        <f t="shared" ref="O104:R104" si="42">+M104</f>
        <v>Cost of Merchandise</v>
      </c>
      <c r="P104" s="27" t="str">
        <f t="shared" si="42"/>
        <v>Unrestricted</v>
      </c>
      <c r="Q104" s="8" t="str">
        <f t="shared" si="42"/>
        <v>Cost of Merchandise</v>
      </c>
      <c r="R104" s="27" t="str">
        <f t="shared" si="42"/>
        <v>Unrestricted</v>
      </c>
      <c r="S104" s="286"/>
      <c r="T104" s="286"/>
    </row>
    <row r="105" ht="15.75" customHeight="1">
      <c r="A105" s="286" t="s">
        <v>1333</v>
      </c>
      <c r="B105" s="286" t="s">
        <v>1036</v>
      </c>
      <c r="C105" s="295">
        <v>12305.47</v>
      </c>
      <c r="D105" s="295">
        <v>14046.69</v>
      </c>
      <c r="E105" s="295">
        <v>1741.2200000000012</v>
      </c>
      <c r="F105" s="295">
        <v>-1947.3684210526317</v>
      </c>
      <c r="G105" s="295">
        <v>-14605.263157894738</v>
      </c>
      <c r="H105" s="295">
        <v>-558.573157894738</v>
      </c>
      <c r="I105" s="8" t="s">
        <v>1507</v>
      </c>
      <c r="J105" s="289" t="s">
        <v>1475</v>
      </c>
      <c r="K105" s="8" t="s">
        <v>1523</v>
      </c>
      <c r="L105" s="283" t="str">
        <f t="shared" si="1"/>
        <v>Unrestricted</v>
      </c>
      <c r="M105" s="8" t="s">
        <v>64</v>
      </c>
      <c r="N105" s="27" t="str">
        <f t="shared" si="40"/>
        <v>Unrestricted</v>
      </c>
      <c r="O105" s="8" t="str">
        <f t="shared" ref="O105:R105" si="43">+M105</f>
        <v>Cost of Merchandise</v>
      </c>
      <c r="P105" s="27" t="str">
        <f t="shared" si="43"/>
        <v>Unrestricted</v>
      </c>
      <c r="Q105" s="8" t="str">
        <f t="shared" si="43"/>
        <v>Cost of Merchandise</v>
      </c>
      <c r="R105" s="27" t="str">
        <f t="shared" si="43"/>
        <v>Unrestricted</v>
      </c>
      <c r="S105" s="286"/>
      <c r="T105" s="286"/>
    </row>
    <row r="106" ht="15.75" customHeight="1">
      <c r="A106" s="286" t="s">
        <v>343</v>
      </c>
      <c r="B106" s="286" t="s">
        <v>1037</v>
      </c>
      <c r="C106" s="295">
        <v>0.0</v>
      </c>
      <c r="D106" s="295">
        <v>0.0</v>
      </c>
      <c r="E106" s="295">
        <v>0.0</v>
      </c>
      <c r="F106" s="295">
        <v>0.0</v>
      </c>
      <c r="G106" s="295">
        <v>0.0</v>
      </c>
      <c r="H106" s="295">
        <v>0.0</v>
      </c>
      <c r="I106" s="8" t="s">
        <v>1507</v>
      </c>
      <c r="J106" s="289" t="s">
        <v>1475</v>
      </c>
      <c r="K106" s="8" t="s">
        <v>1523</v>
      </c>
      <c r="L106" s="283" t="str">
        <f t="shared" si="1"/>
        <v>Unrestricted</v>
      </c>
      <c r="M106" s="8" t="s">
        <v>64</v>
      </c>
      <c r="N106" s="27" t="str">
        <f t="shared" si="40"/>
        <v>Unrestricted</v>
      </c>
      <c r="O106" s="8" t="str">
        <f t="shared" ref="O106:R106" si="44">+M106</f>
        <v>Cost of Merchandise</v>
      </c>
      <c r="P106" s="27" t="str">
        <f t="shared" si="44"/>
        <v>Unrestricted</v>
      </c>
      <c r="Q106" s="8" t="str">
        <f t="shared" si="44"/>
        <v>Cost of Merchandise</v>
      </c>
      <c r="R106" s="27" t="str">
        <f t="shared" si="44"/>
        <v>Unrestricted</v>
      </c>
      <c r="S106" s="286"/>
      <c r="T106" s="286"/>
    </row>
    <row r="107" ht="15.75" customHeight="1">
      <c r="A107" s="286" t="s">
        <v>374</v>
      </c>
      <c r="B107" s="286" t="s">
        <v>1040</v>
      </c>
      <c r="C107" s="295">
        <v>1040.0</v>
      </c>
      <c r="D107" s="295">
        <v>1170.0</v>
      </c>
      <c r="E107" s="295">
        <v>130.0</v>
      </c>
      <c r="F107" s="295">
        <v>-126.66666666666667</v>
      </c>
      <c r="G107" s="295">
        <v>-1140.0</v>
      </c>
      <c r="H107" s="295">
        <v>30.0</v>
      </c>
      <c r="I107" s="8" t="s">
        <v>1507</v>
      </c>
      <c r="J107" s="289" t="s">
        <v>1475</v>
      </c>
      <c r="K107" s="8" t="s">
        <v>1524</v>
      </c>
      <c r="L107" s="283" t="str">
        <f t="shared" si="1"/>
        <v>Unrestricted</v>
      </c>
      <c r="M107" s="8" t="s">
        <v>146</v>
      </c>
      <c r="N107" s="27" t="str">
        <f t="shared" si="40"/>
        <v>Unrestricted</v>
      </c>
      <c r="O107" s="8" t="str">
        <f t="shared" ref="O107:R107" si="45">+M107</f>
        <v>Office Supplies</v>
      </c>
      <c r="P107" s="27" t="str">
        <f t="shared" si="45"/>
        <v>Unrestricted</v>
      </c>
      <c r="Q107" s="8" t="str">
        <f t="shared" si="45"/>
        <v>Office Supplies</v>
      </c>
      <c r="R107" s="27" t="str">
        <f t="shared" si="45"/>
        <v>Unrestricted</v>
      </c>
      <c r="S107" s="286"/>
      <c r="T107" s="286"/>
    </row>
    <row r="108" ht="15.75" customHeight="1">
      <c r="A108" s="296" t="s">
        <v>1336</v>
      </c>
      <c r="B108" s="296" t="s">
        <v>1041</v>
      </c>
      <c r="C108" s="295">
        <v>2583.0</v>
      </c>
      <c r="D108" s="295">
        <v>3003.0</v>
      </c>
      <c r="E108" s="295">
        <v>420.0</v>
      </c>
      <c r="F108" s="295">
        <v>-473.6842105263158</v>
      </c>
      <c r="G108" s="295">
        <v>-3552.6315789473683</v>
      </c>
      <c r="H108" s="295">
        <v>-549.6315789473683</v>
      </c>
      <c r="I108" s="76" t="s">
        <v>1507</v>
      </c>
      <c r="J108" s="297" t="s">
        <v>1475</v>
      </c>
      <c r="K108" s="76" t="s">
        <v>1524</v>
      </c>
      <c r="L108" s="298" t="str">
        <f t="shared" si="1"/>
        <v>Unrestricted</v>
      </c>
      <c r="M108" s="76" t="s">
        <v>121</v>
      </c>
      <c r="N108" s="299" t="str">
        <f t="shared" si="40"/>
        <v>Unrestricted</v>
      </c>
      <c r="O108" s="76" t="str">
        <f t="shared" ref="O108:R108" si="46">+M108</f>
        <v>Salaries and Wages</v>
      </c>
      <c r="P108" s="299" t="str">
        <f t="shared" si="46"/>
        <v>Unrestricted</v>
      </c>
      <c r="Q108" s="76" t="str">
        <f t="shared" si="46"/>
        <v>Salaries and Wages</v>
      </c>
      <c r="R108" s="299" t="str">
        <f t="shared" si="46"/>
        <v>Unrestricted</v>
      </c>
      <c r="S108" s="286"/>
      <c r="T108" s="286"/>
    </row>
    <row r="109" ht="15.75" customHeight="1">
      <c r="A109" s="296" t="s">
        <v>384</v>
      </c>
      <c r="B109" s="296" t="s">
        <v>1044</v>
      </c>
      <c r="C109" s="295">
        <v>219071.5</v>
      </c>
      <c r="D109" s="295">
        <v>252694.93</v>
      </c>
      <c r="E109" s="295">
        <v>33623.42999999999</v>
      </c>
      <c r="F109" s="295">
        <v>-34468.0848</v>
      </c>
      <c r="G109" s="295">
        <v>-258510.636</v>
      </c>
      <c r="H109" s="295">
        <v>-5815.706000000006</v>
      </c>
      <c r="I109" s="76" t="s">
        <v>1507</v>
      </c>
      <c r="J109" s="297" t="s">
        <v>1475</v>
      </c>
      <c r="K109" s="76" t="s">
        <v>1524</v>
      </c>
      <c r="L109" s="298" t="str">
        <f t="shared" si="1"/>
        <v>Unrestricted</v>
      </c>
      <c r="M109" s="76" t="s">
        <v>121</v>
      </c>
      <c r="N109" s="299" t="str">
        <f t="shared" si="40"/>
        <v>Unrestricted</v>
      </c>
      <c r="O109" s="76" t="str">
        <f t="shared" ref="O109:R109" si="47">+M109</f>
        <v>Salaries and Wages</v>
      </c>
      <c r="P109" s="299" t="str">
        <f t="shared" si="47"/>
        <v>Unrestricted</v>
      </c>
      <c r="Q109" s="76" t="str">
        <f t="shared" si="47"/>
        <v>Salaries and Wages</v>
      </c>
      <c r="R109" s="299" t="str">
        <f t="shared" si="47"/>
        <v>Unrestricted</v>
      </c>
      <c r="S109" s="286"/>
      <c r="T109" s="286"/>
    </row>
    <row r="110" ht="15.75" customHeight="1">
      <c r="A110" s="296" t="s">
        <v>386</v>
      </c>
      <c r="B110" s="296" t="s">
        <v>1525</v>
      </c>
      <c r="C110" s="295">
        <v>0.0</v>
      </c>
      <c r="D110" s="295">
        <v>0.0</v>
      </c>
      <c r="E110" s="295">
        <v>0.0</v>
      </c>
      <c r="F110" s="295">
        <v>0.0</v>
      </c>
      <c r="G110" s="295">
        <v>0.0</v>
      </c>
      <c r="H110" s="295">
        <v>0.0</v>
      </c>
      <c r="I110" s="76" t="s">
        <v>1507</v>
      </c>
      <c r="J110" s="297" t="s">
        <v>1475</v>
      </c>
      <c r="K110" s="76" t="s">
        <v>1524</v>
      </c>
      <c r="L110" s="298" t="str">
        <f t="shared" si="1"/>
        <v>Unrestricted</v>
      </c>
      <c r="M110" s="76" t="s">
        <v>121</v>
      </c>
      <c r="N110" s="299" t="str">
        <f t="shared" si="40"/>
        <v>Unrestricted</v>
      </c>
      <c r="O110" s="76" t="str">
        <f t="shared" ref="O110:R110" si="48">+M110</f>
        <v>Salaries and Wages</v>
      </c>
      <c r="P110" s="299" t="str">
        <f t="shared" si="48"/>
        <v>Unrestricted</v>
      </c>
      <c r="Q110" s="76" t="str">
        <f t="shared" si="48"/>
        <v>Salaries and Wages</v>
      </c>
      <c r="R110" s="299" t="str">
        <f t="shared" si="48"/>
        <v>Unrestricted</v>
      </c>
      <c r="S110" s="286"/>
      <c r="T110" s="286"/>
    </row>
    <row r="111" ht="15.75" customHeight="1">
      <c r="A111" s="296" t="s">
        <v>388</v>
      </c>
      <c r="B111" s="296" t="s">
        <v>1526</v>
      </c>
      <c r="C111" s="295">
        <v>0.0</v>
      </c>
      <c r="D111" s="295">
        <v>0.0</v>
      </c>
      <c r="E111" s="295">
        <v>0.0</v>
      </c>
      <c r="F111" s="295">
        <v>0.0</v>
      </c>
      <c r="G111" s="295">
        <v>0.0</v>
      </c>
      <c r="H111" s="295">
        <v>0.0</v>
      </c>
      <c r="I111" s="76" t="s">
        <v>1507</v>
      </c>
      <c r="J111" s="297" t="s">
        <v>1475</v>
      </c>
      <c r="K111" s="76" t="s">
        <v>1524</v>
      </c>
      <c r="L111" s="298" t="str">
        <f t="shared" si="1"/>
        <v>Unrestricted</v>
      </c>
      <c r="M111" s="76" t="s">
        <v>121</v>
      </c>
      <c r="N111" s="299" t="str">
        <f t="shared" si="40"/>
        <v>Unrestricted</v>
      </c>
      <c r="O111" s="76" t="str">
        <f t="shared" ref="O111:R111" si="49">+M111</f>
        <v>Salaries and Wages</v>
      </c>
      <c r="P111" s="299" t="str">
        <f t="shared" si="49"/>
        <v>Unrestricted</v>
      </c>
      <c r="Q111" s="76" t="str">
        <f t="shared" si="49"/>
        <v>Salaries and Wages</v>
      </c>
      <c r="R111" s="299" t="str">
        <f t="shared" si="49"/>
        <v>Unrestricted</v>
      </c>
      <c r="S111" s="286"/>
      <c r="T111" s="286"/>
    </row>
    <row r="112" ht="15.75" customHeight="1">
      <c r="A112" s="296" t="s">
        <v>390</v>
      </c>
      <c r="B112" s="296" t="s">
        <v>1045</v>
      </c>
      <c r="C112" s="295">
        <v>158684.38</v>
      </c>
      <c r="D112" s="295">
        <v>178311.88</v>
      </c>
      <c r="E112" s="295">
        <v>19627.5</v>
      </c>
      <c r="F112" s="295">
        <v>-19233.704999999998</v>
      </c>
      <c r="G112" s="295">
        <v>-173103.34499999997</v>
      </c>
      <c r="H112" s="295">
        <v>5208.535000000033</v>
      </c>
      <c r="I112" s="76" t="s">
        <v>1507</v>
      </c>
      <c r="J112" s="297" t="s">
        <v>1475</v>
      </c>
      <c r="K112" s="76" t="s">
        <v>1524</v>
      </c>
      <c r="L112" s="298" t="str">
        <f t="shared" si="1"/>
        <v>Unrestricted</v>
      </c>
      <c r="M112" s="76" t="s">
        <v>121</v>
      </c>
      <c r="N112" s="299" t="str">
        <f t="shared" si="40"/>
        <v>Unrestricted</v>
      </c>
      <c r="O112" s="76" t="str">
        <f t="shared" ref="O112:R112" si="50">+M112</f>
        <v>Salaries and Wages</v>
      </c>
      <c r="P112" s="299" t="str">
        <f t="shared" si="50"/>
        <v>Unrestricted</v>
      </c>
      <c r="Q112" s="76" t="str">
        <f t="shared" si="50"/>
        <v>Salaries and Wages</v>
      </c>
      <c r="R112" s="299" t="str">
        <f t="shared" si="50"/>
        <v>Unrestricted</v>
      </c>
      <c r="S112" s="286"/>
      <c r="T112" s="286"/>
    </row>
    <row r="113" ht="15.75" customHeight="1">
      <c r="A113" s="296" t="s">
        <v>392</v>
      </c>
      <c r="B113" s="296" t="s">
        <v>1046</v>
      </c>
      <c r="C113" s="295">
        <v>0.0</v>
      </c>
      <c r="D113" s="295">
        <v>0.0</v>
      </c>
      <c r="E113" s="295">
        <v>0.0</v>
      </c>
      <c r="F113" s="295">
        <v>0.0</v>
      </c>
      <c r="G113" s="295">
        <v>0.0</v>
      </c>
      <c r="H113" s="295">
        <v>0.0</v>
      </c>
      <c r="I113" s="76" t="s">
        <v>1507</v>
      </c>
      <c r="J113" s="297" t="s">
        <v>1475</v>
      </c>
      <c r="K113" s="76" t="s">
        <v>1524</v>
      </c>
      <c r="L113" s="298" t="str">
        <f t="shared" si="1"/>
        <v>Unrestricted</v>
      </c>
      <c r="M113" s="76" t="s">
        <v>121</v>
      </c>
      <c r="N113" s="299" t="str">
        <f t="shared" si="40"/>
        <v>Unrestricted</v>
      </c>
      <c r="O113" s="76" t="str">
        <f t="shared" ref="O113:R113" si="51">+M113</f>
        <v>Salaries and Wages</v>
      </c>
      <c r="P113" s="299" t="str">
        <f t="shared" si="51"/>
        <v>Unrestricted</v>
      </c>
      <c r="Q113" s="76" t="str">
        <f t="shared" si="51"/>
        <v>Salaries and Wages</v>
      </c>
      <c r="R113" s="299" t="str">
        <f t="shared" si="51"/>
        <v>Unrestricted</v>
      </c>
      <c r="S113" s="286"/>
      <c r="T113" s="286"/>
    </row>
    <row r="114" ht="15.75" customHeight="1">
      <c r="A114" s="296" t="s">
        <v>394</v>
      </c>
      <c r="B114" s="296" t="s">
        <v>1527</v>
      </c>
      <c r="C114" s="295">
        <v>0.0</v>
      </c>
      <c r="D114" s="295">
        <v>0.0</v>
      </c>
      <c r="E114" s="295">
        <v>0.0</v>
      </c>
      <c r="F114" s="295">
        <v>0.0</v>
      </c>
      <c r="G114" s="295">
        <v>0.0</v>
      </c>
      <c r="H114" s="295">
        <v>0.0</v>
      </c>
      <c r="I114" s="76" t="s">
        <v>1507</v>
      </c>
      <c r="J114" s="297" t="s">
        <v>1475</v>
      </c>
      <c r="K114" s="76" t="s">
        <v>1524</v>
      </c>
      <c r="L114" s="298" t="str">
        <f t="shared" si="1"/>
        <v>Unrestricted</v>
      </c>
      <c r="M114" s="76" t="s">
        <v>121</v>
      </c>
      <c r="N114" s="299" t="str">
        <f t="shared" si="40"/>
        <v>Unrestricted</v>
      </c>
      <c r="O114" s="76" t="str">
        <f t="shared" ref="O114:R114" si="52">+M114</f>
        <v>Salaries and Wages</v>
      </c>
      <c r="P114" s="299" t="str">
        <f t="shared" si="52"/>
        <v>Unrestricted</v>
      </c>
      <c r="Q114" s="76" t="str">
        <f t="shared" si="52"/>
        <v>Salaries and Wages</v>
      </c>
      <c r="R114" s="299" t="str">
        <f t="shared" si="52"/>
        <v>Unrestricted</v>
      </c>
      <c r="S114" s="286"/>
      <c r="T114" s="286"/>
    </row>
    <row r="115" ht="15.75" customHeight="1">
      <c r="A115" s="296" t="s">
        <v>396</v>
      </c>
      <c r="B115" s="296" t="s">
        <v>1047</v>
      </c>
      <c r="C115" s="295">
        <v>5017.5</v>
      </c>
      <c r="D115" s="295">
        <v>5228.02</v>
      </c>
      <c r="E115" s="295">
        <v>210.52000000000044</v>
      </c>
      <c r="F115" s="295">
        <v>0.0</v>
      </c>
      <c r="G115" s="295">
        <v>0.0</v>
      </c>
      <c r="H115" s="295">
        <v>5228.02</v>
      </c>
      <c r="I115" s="76" t="s">
        <v>1507</v>
      </c>
      <c r="J115" s="297" t="s">
        <v>1475</v>
      </c>
      <c r="K115" s="76" t="s">
        <v>1524</v>
      </c>
      <c r="L115" s="298" t="str">
        <f t="shared" si="1"/>
        <v>Unrestricted</v>
      </c>
      <c r="M115" s="76" t="s">
        <v>121</v>
      </c>
      <c r="N115" s="299" t="str">
        <f t="shared" si="40"/>
        <v>Unrestricted</v>
      </c>
      <c r="O115" s="76" t="str">
        <f t="shared" ref="O115:R115" si="53">+M115</f>
        <v>Salaries and Wages</v>
      </c>
      <c r="P115" s="299" t="str">
        <f t="shared" si="53"/>
        <v>Unrestricted</v>
      </c>
      <c r="Q115" s="76" t="str">
        <f t="shared" si="53"/>
        <v>Salaries and Wages</v>
      </c>
      <c r="R115" s="299" t="str">
        <f t="shared" si="53"/>
        <v>Unrestricted</v>
      </c>
      <c r="S115" s="286"/>
      <c r="T115" s="286"/>
    </row>
    <row r="116" ht="15.75" customHeight="1">
      <c r="A116" s="296" t="s">
        <v>398</v>
      </c>
      <c r="B116" s="296" t="s">
        <v>1048</v>
      </c>
      <c r="C116" s="295">
        <v>3078.92</v>
      </c>
      <c r="D116" s="295">
        <v>3552.6</v>
      </c>
      <c r="E116" s="295">
        <v>473.67999999999984</v>
      </c>
      <c r="F116" s="295">
        <v>-487.89473684210526</v>
      </c>
      <c r="G116" s="295">
        <v>-3659.21052631579</v>
      </c>
      <c r="H116" s="295">
        <v>-106.61052631579014</v>
      </c>
      <c r="I116" s="76" t="s">
        <v>1507</v>
      </c>
      <c r="J116" s="297" t="s">
        <v>1475</v>
      </c>
      <c r="K116" s="76" t="s">
        <v>1524</v>
      </c>
      <c r="L116" s="298" t="str">
        <f t="shared" si="1"/>
        <v>Unrestricted</v>
      </c>
      <c r="M116" s="76" t="s">
        <v>121</v>
      </c>
      <c r="N116" s="299" t="str">
        <f t="shared" si="40"/>
        <v>Unrestricted</v>
      </c>
      <c r="O116" s="76" t="str">
        <f t="shared" ref="O116:R116" si="54">+M116</f>
        <v>Salaries and Wages</v>
      </c>
      <c r="P116" s="299" t="str">
        <f t="shared" si="54"/>
        <v>Unrestricted</v>
      </c>
      <c r="Q116" s="76" t="str">
        <f t="shared" si="54"/>
        <v>Salaries and Wages</v>
      </c>
      <c r="R116" s="299" t="str">
        <f t="shared" si="54"/>
        <v>Unrestricted</v>
      </c>
      <c r="S116" s="286"/>
      <c r="T116" s="286"/>
    </row>
    <row r="117" ht="15.75" customHeight="1">
      <c r="A117" s="296" t="s">
        <v>400</v>
      </c>
      <c r="B117" s="296" t="s">
        <v>1528</v>
      </c>
      <c r="C117" s="295">
        <v>0.0</v>
      </c>
      <c r="D117" s="295">
        <v>0.0</v>
      </c>
      <c r="E117" s="295">
        <v>0.0</v>
      </c>
      <c r="F117" s="295">
        <v>0.0</v>
      </c>
      <c r="G117" s="295">
        <v>0.0</v>
      </c>
      <c r="H117" s="295">
        <v>0.0</v>
      </c>
      <c r="I117" s="76" t="s">
        <v>1507</v>
      </c>
      <c r="J117" s="297" t="s">
        <v>1475</v>
      </c>
      <c r="K117" s="76" t="s">
        <v>1524</v>
      </c>
      <c r="L117" s="298" t="str">
        <f t="shared" si="1"/>
        <v>Unrestricted</v>
      </c>
      <c r="M117" s="76" t="s">
        <v>121</v>
      </c>
      <c r="N117" s="299" t="str">
        <f t="shared" si="40"/>
        <v>Unrestricted</v>
      </c>
      <c r="O117" s="76" t="str">
        <f t="shared" ref="O117:R117" si="55">+M117</f>
        <v>Salaries and Wages</v>
      </c>
      <c r="P117" s="299" t="str">
        <f t="shared" si="55"/>
        <v>Unrestricted</v>
      </c>
      <c r="Q117" s="76" t="str">
        <f t="shared" si="55"/>
        <v>Salaries and Wages</v>
      </c>
      <c r="R117" s="299" t="str">
        <f t="shared" si="55"/>
        <v>Unrestricted</v>
      </c>
      <c r="S117" s="286"/>
      <c r="T117" s="286"/>
    </row>
    <row r="118" ht="15.75" customHeight="1">
      <c r="A118" s="296" t="s">
        <v>1343</v>
      </c>
      <c r="B118" s="296" t="s">
        <v>1049</v>
      </c>
      <c r="C118" s="295">
        <v>6395.8</v>
      </c>
      <c r="D118" s="295">
        <v>6973.3</v>
      </c>
      <c r="E118" s="295">
        <v>577.5</v>
      </c>
      <c r="F118" s="295">
        <v>-967.1052631578947</v>
      </c>
      <c r="G118" s="295">
        <v>-7253.289473684211</v>
      </c>
      <c r="H118" s="295">
        <v>-279.9894736842107</v>
      </c>
      <c r="I118" s="76" t="s">
        <v>1507</v>
      </c>
      <c r="J118" s="297" t="s">
        <v>1475</v>
      </c>
      <c r="K118" s="76" t="s">
        <v>1524</v>
      </c>
      <c r="L118" s="298" t="str">
        <f t="shared" si="1"/>
        <v>Unrestricted</v>
      </c>
      <c r="M118" s="76" t="s">
        <v>121</v>
      </c>
      <c r="N118" s="299" t="str">
        <f t="shared" si="40"/>
        <v>Unrestricted</v>
      </c>
      <c r="O118" s="76" t="str">
        <f t="shared" ref="O118:R118" si="56">+M118</f>
        <v>Salaries and Wages</v>
      </c>
      <c r="P118" s="299" t="str">
        <f t="shared" si="56"/>
        <v>Unrestricted</v>
      </c>
      <c r="Q118" s="76" t="str">
        <f t="shared" si="56"/>
        <v>Salaries and Wages</v>
      </c>
      <c r="R118" s="299" t="str">
        <f t="shared" si="56"/>
        <v>Unrestricted</v>
      </c>
      <c r="S118" s="286"/>
      <c r="T118" s="286"/>
    </row>
    <row r="119" ht="15.75" customHeight="1">
      <c r="A119" s="296" t="s">
        <v>1345</v>
      </c>
      <c r="B119" s="296" t="s">
        <v>1050</v>
      </c>
      <c r="C119" s="295">
        <v>975.0</v>
      </c>
      <c r="D119" s="295">
        <v>975.0</v>
      </c>
      <c r="E119" s="295">
        <v>0.0</v>
      </c>
      <c r="F119" s="295">
        <v>0.0</v>
      </c>
      <c r="G119" s="295">
        <v>0.0</v>
      </c>
      <c r="H119" s="295">
        <v>975.0</v>
      </c>
      <c r="I119" s="76" t="s">
        <v>1507</v>
      </c>
      <c r="J119" s="297" t="s">
        <v>1475</v>
      </c>
      <c r="K119" s="76" t="s">
        <v>1524</v>
      </c>
      <c r="L119" s="298" t="str">
        <f t="shared" si="1"/>
        <v>Unrestricted</v>
      </c>
      <c r="M119" s="76" t="s">
        <v>121</v>
      </c>
      <c r="N119" s="299" t="str">
        <f t="shared" si="40"/>
        <v>Unrestricted</v>
      </c>
      <c r="O119" s="76" t="str">
        <f t="shared" ref="O119:R119" si="57">+M119</f>
        <v>Salaries and Wages</v>
      </c>
      <c r="P119" s="299" t="str">
        <f t="shared" si="57"/>
        <v>Unrestricted</v>
      </c>
      <c r="Q119" s="76" t="str">
        <f t="shared" si="57"/>
        <v>Salaries and Wages</v>
      </c>
      <c r="R119" s="299" t="str">
        <f t="shared" si="57"/>
        <v>Unrestricted</v>
      </c>
      <c r="S119" s="286"/>
      <c r="T119" s="286"/>
    </row>
    <row r="120" ht="15.75" customHeight="1">
      <c r="A120" s="296" t="s">
        <v>1529</v>
      </c>
      <c r="B120" s="296" t="s">
        <v>1052</v>
      </c>
      <c r="C120" s="295">
        <v>0.0</v>
      </c>
      <c r="D120" s="295">
        <v>0.0</v>
      </c>
      <c r="E120" s="295">
        <v>0.0</v>
      </c>
      <c r="F120" s="295">
        <v>0.0</v>
      </c>
      <c r="G120" s="295">
        <v>0.0</v>
      </c>
      <c r="H120" s="295">
        <v>0.0</v>
      </c>
      <c r="I120" s="76" t="s">
        <v>1507</v>
      </c>
      <c r="J120" s="297" t="s">
        <v>1475</v>
      </c>
      <c r="K120" s="76" t="s">
        <v>1524</v>
      </c>
      <c r="L120" s="298" t="str">
        <f t="shared" si="1"/>
        <v>Unrestricted</v>
      </c>
      <c r="M120" s="76" t="s">
        <v>121</v>
      </c>
      <c r="N120" s="299" t="str">
        <f t="shared" si="40"/>
        <v>Unrestricted</v>
      </c>
      <c r="O120" s="76" t="str">
        <f t="shared" ref="O120:R120" si="58">+M120</f>
        <v>Salaries and Wages</v>
      </c>
      <c r="P120" s="299" t="str">
        <f t="shared" si="58"/>
        <v>Unrestricted</v>
      </c>
      <c r="Q120" s="76" t="str">
        <f t="shared" si="58"/>
        <v>Salaries and Wages</v>
      </c>
      <c r="R120" s="299" t="str">
        <f t="shared" si="58"/>
        <v>Unrestricted</v>
      </c>
      <c r="S120" s="286"/>
      <c r="T120" s="286"/>
    </row>
    <row r="121" ht="15.75" customHeight="1">
      <c r="A121" s="296" t="s">
        <v>1347</v>
      </c>
      <c r="B121" s="296" t="s">
        <v>1054</v>
      </c>
      <c r="C121" s="295">
        <v>3900.0</v>
      </c>
      <c r="D121" s="295">
        <v>4500.0</v>
      </c>
      <c r="E121" s="295">
        <v>600.0</v>
      </c>
      <c r="F121" s="295">
        <v>-631.578947368421</v>
      </c>
      <c r="G121" s="295">
        <v>-4736.842105263157</v>
      </c>
      <c r="H121" s="295">
        <v>-236.84210526315655</v>
      </c>
      <c r="I121" s="76" t="s">
        <v>1507</v>
      </c>
      <c r="J121" s="297" t="s">
        <v>1475</v>
      </c>
      <c r="K121" s="76" t="s">
        <v>1524</v>
      </c>
      <c r="L121" s="298" t="str">
        <f t="shared" si="1"/>
        <v>Unrestricted</v>
      </c>
      <c r="M121" s="76" t="s">
        <v>121</v>
      </c>
      <c r="N121" s="299" t="str">
        <f t="shared" si="40"/>
        <v>Unrestricted</v>
      </c>
      <c r="O121" s="76" t="str">
        <f t="shared" ref="O121:R121" si="59">+M121</f>
        <v>Salaries and Wages</v>
      </c>
      <c r="P121" s="299" t="str">
        <f t="shared" si="59"/>
        <v>Unrestricted</v>
      </c>
      <c r="Q121" s="76" t="str">
        <f t="shared" si="59"/>
        <v>Salaries and Wages</v>
      </c>
      <c r="R121" s="299" t="str">
        <f t="shared" si="59"/>
        <v>Unrestricted</v>
      </c>
      <c r="S121" s="286"/>
      <c r="T121" s="286"/>
    </row>
    <row r="122" ht="15.75" customHeight="1">
      <c r="A122" s="296" t="s">
        <v>434</v>
      </c>
      <c r="B122" s="296" t="s">
        <v>1055</v>
      </c>
      <c r="C122" s="295">
        <v>4376.85</v>
      </c>
      <c r="D122" s="295">
        <v>4376.85</v>
      </c>
      <c r="E122" s="295">
        <v>0.0</v>
      </c>
      <c r="F122" s="295">
        <v>0.0</v>
      </c>
      <c r="G122" s="295">
        <v>-3734.786599999999</v>
      </c>
      <c r="H122" s="295">
        <v>642.0634000000014</v>
      </c>
      <c r="I122" s="76" t="s">
        <v>1507</v>
      </c>
      <c r="J122" s="297" t="s">
        <v>1475</v>
      </c>
      <c r="K122" s="76" t="s">
        <v>1524</v>
      </c>
      <c r="L122" s="298" t="str">
        <f t="shared" si="1"/>
        <v>Unrestricted</v>
      </c>
      <c r="M122" s="76" t="s">
        <v>121</v>
      </c>
      <c r="N122" s="299" t="str">
        <f t="shared" si="40"/>
        <v>Unrestricted</v>
      </c>
      <c r="O122" s="76" t="str">
        <f t="shared" ref="O122:R122" si="60">+M122</f>
        <v>Salaries and Wages</v>
      </c>
      <c r="P122" s="299" t="str">
        <f t="shared" si="60"/>
        <v>Unrestricted</v>
      </c>
      <c r="Q122" s="76" t="str">
        <f t="shared" si="60"/>
        <v>Salaries and Wages</v>
      </c>
      <c r="R122" s="299" t="str">
        <f t="shared" si="60"/>
        <v>Unrestricted</v>
      </c>
      <c r="S122" s="286"/>
      <c r="T122" s="286"/>
    </row>
    <row r="123" ht="15.75" customHeight="1">
      <c r="A123" s="286" t="s">
        <v>1350</v>
      </c>
      <c r="B123" s="286" t="s">
        <v>1056</v>
      </c>
      <c r="C123" s="295">
        <v>4682.37</v>
      </c>
      <c r="D123" s="295">
        <v>5446.67</v>
      </c>
      <c r="E123" s="295">
        <v>764.3000000000002</v>
      </c>
      <c r="F123" s="295">
        <v>-1104.802331845263</v>
      </c>
      <c r="G123" s="295">
        <v>-8286.017488839474</v>
      </c>
      <c r="H123" s="295">
        <v>-2839.347488839474</v>
      </c>
      <c r="I123" s="8" t="s">
        <v>1507</v>
      </c>
      <c r="J123" s="289" t="s">
        <v>1475</v>
      </c>
      <c r="K123" s="8" t="s">
        <v>1524</v>
      </c>
      <c r="L123" s="283" t="str">
        <f t="shared" si="1"/>
        <v>Unrestricted</v>
      </c>
      <c r="M123" s="8" t="s">
        <v>125</v>
      </c>
      <c r="N123" s="27" t="str">
        <f t="shared" si="40"/>
        <v>Unrestricted</v>
      </c>
      <c r="O123" s="8" t="str">
        <f t="shared" ref="O123:R123" si="61">+M123</f>
        <v>Employee Benefits</v>
      </c>
      <c r="P123" s="27" t="str">
        <f t="shared" si="61"/>
        <v>Unrestricted</v>
      </c>
      <c r="Q123" s="8" t="str">
        <f t="shared" si="61"/>
        <v>Employee Benefits</v>
      </c>
      <c r="R123" s="27" t="str">
        <f t="shared" si="61"/>
        <v>Unrestricted</v>
      </c>
      <c r="S123" s="286"/>
      <c r="T123" s="286"/>
    </row>
    <row r="124" ht="15.75" customHeight="1">
      <c r="A124" s="286" t="s">
        <v>1352</v>
      </c>
      <c r="B124" s="286" t="s">
        <v>1057</v>
      </c>
      <c r="C124" s="295">
        <v>2692.24</v>
      </c>
      <c r="D124" s="295">
        <v>2981.86</v>
      </c>
      <c r="E124" s="295">
        <v>289.62000000000035</v>
      </c>
      <c r="F124" s="295">
        <v>-604.886189</v>
      </c>
      <c r="G124" s="295">
        <v>-5443.975700999999</v>
      </c>
      <c r="H124" s="295">
        <v>-2462.1157009999993</v>
      </c>
      <c r="I124" s="8" t="s">
        <v>1507</v>
      </c>
      <c r="J124" s="289" t="s">
        <v>1475</v>
      </c>
      <c r="K124" s="8" t="s">
        <v>1524</v>
      </c>
      <c r="L124" s="283" t="str">
        <f t="shared" si="1"/>
        <v>Unrestricted</v>
      </c>
      <c r="M124" s="8" t="s">
        <v>125</v>
      </c>
      <c r="N124" s="27" t="str">
        <f t="shared" si="40"/>
        <v>Unrestricted</v>
      </c>
      <c r="O124" s="8" t="str">
        <f t="shared" ref="O124:R124" si="62">+M124</f>
        <v>Employee Benefits</v>
      </c>
      <c r="P124" s="27" t="str">
        <f t="shared" si="62"/>
        <v>Unrestricted</v>
      </c>
      <c r="Q124" s="8" t="str">
        <f t="shared" si="62"/>
        <v>Employee Benefits</v>
      </c>
      <c r="R124" s="27" t="str">
        <f t="shared" si="62"/>
        <v>Unrestricted</v>
      </c>
      <c r="S124" s="286"/>
      <c r="T124" s="286"/>
    </row>
    <row r="125" ht="15.75" customHeight="1">
      <c r="A125" s="286" t="s">
        <v>1530</v>
      </c>
      <c r="B125" s="286" t="s">
        <v>1531</v>
      </c>
      <c r="C125" s="295">
        <v>0.0</v>
      </c>
      <c r="D125" s="295">
        <v>0.0</v>
      </c>
      <c r="E125" s="295">
        <v>0.0</v>
      </c>
      <c r="F125" s="295">
        <v>0.0</v>
      </c>
      <c r="G125" s="295">
        <v>0.0</v>
      </c>
      <c r="H125" s="295">
        <v>0.0</v>
      </c>
      <c r="I125" s="8" t="s">
        <v>1507</v>
      </c>
      <c r="J125" s="289" t="s">
        <v>1475</v>
      </c>
      <c r="K125" s="8" t="s">
        <v>1524</v>
      </c>
      <c r="L125" s="283" t="str">
        <f t="shared" si="1"/>
        <v>Unrestricted</v>
      </c>
      <c r="M125" s="8" t="s">
        <v>125</v>
      </c>
      <c r="N125" s="27" t="str">
        <f t="shared" si="40"/>
        <v>Unrestricted</v>
      </c>
      <c r="O125" s="8" t="str">
        <f t="shared" ref="O125:R125" si="63">+M125</f>
        <v>Employee Benefits</v>
      </c>
      <c r="P125" s="27" t="str">
        <f t="shared" si="63"/>
        <v>Unrestricted</v>
      </c>
      <c r="Q125" s="8" t="str">
        <f t="shared" si="63"/>
        <v>Employee Benefits</v>
      </c>
      <c r="R125" s="27" t="str">
        <f t="shared" si="63"/>
        <v>Unrestricted</v>
      </c>
      <c r="S125" s="286"/>
      <c r="T125" s="286"/>
    </row>
    <row r="126" ht="15.75" customHeight="1">
      <c r="A126" s="286" t="s">
        <v>1354</v>
      </c>
      <c r="B126" s="286" t="s">
        <v>1058</v>
      </c>
      <c r="C126" s="295">
        <v>24541.56</v>
      </c>
      <c r="D126" s="295">
        <v>27647.03</v>
      </c>
      <c r="E126" s="295">
        <v>3105.4699999999975</v>
      </c>
      <c r="F126" s="295">
        <v>-4501.894736842106</v>
      </c>
      <c r="G126" s="295">
        <v>-33764.210526315794</v>
      </c>
      <c r="H126" s="295">
        <v>-6117.180526315795</v>
      </c>
      <c r="I126" s="8" t="s">
        <v>1507</v>
      </c>
      <c r="J126" s="289" t="s">
        <v>1475</v>
      </c>
      <c r="K126" s="8" t="s">
        <v>1524</v>
      </c>
      <c r="L126" s="283" t="str">
        <f t="shared" si="1"/>
        <v>Unrestricted</v>
      </c>
      <c r="M126" s="8" t="s">
        <v>125</v>
      </c>
      <c r="N126" s="27" t="str">
        <f t="shared" si="40"/>
        <v>Unrestricted</v>
      </c>
      <c r="O126" s="8" t="str">
        <f t="shared" ref="O126:R126" si="64">+M126</f>
        <v>Employee Benefits</v>
      </c>
      <c r="P126" s="27" t="str">
        <f t="shared" si="64"/>
        <v>Unrestricted</v>
      </c>
      <c r="Q126" s="8" t="str">
        <f t="shared" si="64"/>
        <v>Employee Benefits</v>
      </c>
      <c r="R126" s="27" t="str">
        <f t="shared" si="64"/>
        <v>Unrestricted</v>
      </c>
      <c r="S126" s="286"/>
      <c r="T126" s="286"/>
    </row>
    <row r="127" ht="15.75" customHeight="1">
      <c r="A127" s="286" t="s">
        <v>1060</v>
      </c>
      <c r="B127" s="286" t="s">
        <v>1059</v>
      </c>
      <c r="C127" s="295">
        <v>684.0</v>
      </c>
      <c r="D127" s="295">
        <v>684.0</v>
      </c>
      <c r="E127" s="295">
        <v>0.0</v>
      </c>
      <c r="F127" s="295">
        <v>-1584.0000000000002</v>
      </c>
      <c r="G127" s="295">
        <v>-14256.000000000002</v>
      </c>
      <c r="H127" s="295">
        <v>-13572.000000000002</v>
      </c>
      <c r="I127" s="8" t="s">
        <v>1507</v>
      </c>
      <c r="J127" s="289" t="s">
        <v>1475</v>
      </c>
      <c r="K127" s="8" t="s">
        <v>1524</v>
      </c>
      <c r="L127" s="283" t="str">
        <f t="shared" si="1"/>
        <v>Unrestricted</v>
      </c>
      <c r="M127" s="8" t="s">
        <v>125</v>
      </c>
      <c r="N127" s="27" t="str">
        <f t="shared" si="40"/>
        <v>Unrestricted</v>
      </c>
      <c r="O127" s="8" t="str">
        <f t="shared" ref="O127:R127" si="65">+M127</f>
        <v>Employee Benefits</v>
      </c>
      <c r="P127" s="27" t="str">
        <f t="shared" si="65"/>
        <v>Unrestricted</v>
      </c>
      <c r="Q127" s="8" t="str">
        <f t="shared" si="65"/>
        <v>Employee Benefits</v>
      </c>
      <c r="R127" s="27" t="str">
        <f t="shared" si="65"/>
        <v>Unrestricted</v>
      </c>
      <c r="S127" s="286"/>
      <c r="T127" s="286"/>
    </row>
    <row r="128" ht="15.75" customHeight="1">
      <c r="A128" s="286" t="s">
        <v>1532</v>
      </c>
      <c r="B128" s="286" t="s">
        <v>1533</v>
      </c>
      <c r="C128" s="295">
        <v>0.0</v>
      </c>
      <c r="D128" s="295">
        <v>0.0</v>
      </c>
      <c r="E128" s="295">
        <v>0.0</v>
      </c>
      <c r="F128" s="295">
        <v>0.0</v>
      </c>
      <c r="G128" s="295">
        <v>0.0</v>
      </c>
      <c r="H128" s="295">
        <v>0.0</v>
      </c>
      <c r="I128" s="8" t="s">
        <v>1507</v>
      </c>
      <c r="J128" s="289" t="s">
        <v>1475</v>
      </c>
      <c r="K128" s="8" t="s">
        <v>1524</v>
      </c>
      <c r="L128" s="283" t="str">
        <f t="shared" si="1"/>
        <v>Unrestricted</v>
      </c>
      <c r="M128" s="8" t="s">
        <v>125</v>
      </c>
      <c r="N128" s="27" t="str">
        <f t="shared" si="40"/>
        <v>Unrestricted</v>
      </c>
      <c r="O128" s="8" t="str">
        <f t="shared" ref="O128:R128" si="66">+M128</f>
        <v>Employee Benefits</v>
      </c>
      <c r="P128" s="27" t="str">
        <f t="shared" si="66"/>
        <v>Unrestricted</v>
      </c>
      <c r="Q128" s="8" t="str">
        <f t="shared" si="66"/>
        <v>Employee Benefits</v>
      </c>
      <c r="R128" s="27" t="str">
        <f t="shared" si="66"/>
        <v>Unrestricted</v>
      </c>
      <c r="S128" s="286"/>
      <c r="T128" s="286"/>
    </row>
    <row r="129" ht="15.75" customHeight="1">
      <c r="A129" s="286" t="s">
        <v>1357</v>
      </c>
      <c r="B129" s="286" t="s">
        <v>1061</v>
      </c>
      <c r="C129" s="295">
        <v>631.75</v>
      </c>
      <c r="D129" s="295">
        <v>684.95</v>
      </c>
      <c r="E129" s="295">
        <v>53.200000000000045</v>
      </c>
      <c r="F129" s="295">
        <v>-71.60813100000003</v>
      </c>
      <c r="G129" s="295">
        <v>-644.4731790000003</v>
      </c>
      <c r="H129" s="295">
        <v>40.476820999999745</v>
      </c>
      <c r="I129" s="8" t="s">
        <v>1507</v>
      </c>
      <c r="J129" s="289" t="s">
        <v>1475</v>
      </c>
      <c r="K129" s="8" t="s">
        <v>1524</v>
      </c>
      <c r="L129" s="283" t="str">
        <f t="shared" si="1"/>
        <v>Unrestricted</v>
      </c>
      <c r="M129" s="8" t="s">
        <v>125</v>
      </c>
      <c r="N129" s="27" t="str">
        <f t="shared" si="40"/>
        <v>Unrestricted</v>
      </c>
      <c r="O129" s="8" t="str">
        <f t="shared" ref="O129:R129" si="67">+M129</f>
        <v>Employee Benefits</v>
      </c>
      <c r="P129" s="27" t="str">
        <f t="shared" si="67"/>
        <v>Unrestricted</v>
      </c>
      <c r="Q129" s="8" t="str">
        <f t="shared" si="67"/>
        <v>Employee Benefits</v>
      </c>
      <c r="R129" s="27" t="str">
        <f t="shared" si="67"/>
        <v>Unrestricted</v>
      </c>
      <c r="S129" s="286"/>
      <c r="T129" s="286"/>
    </row>
    <row r="130" ht="15.75" customHeight="1">
      <c r="A130" s="286" t="s">
        <v>1359</v>
      </c>
      <c r="B130" s="286" t="s">
        <v>1062</v>
      </c>
      <c r="C130" s="295">
        <v>212.8</v>
      </c>
      <c r="D130" s="295">
        <v>239.4</v>
      </c>
      <c r="E130" s="295">
        <v>26.599999999999994</v>
      </c>
      <c r="F130" s="295">
        <v>-23.869377000000004</v>
      </c>
      <c r="G130" s="295">
        <v>-214.82439300000007</v>
      </c>
      <c r="H130" s="295">
        <v>24.575606999999934</v>
      </c>
      <c r="I130" s="8" t="s">
        <v>1507</v>
      </c>
      <c r="J130" s="289" t="s">
        <v>1475</v>
      </c>
      <c r="K130" s="8" t="s">
        <v>1524</v>
      </c>
      <c r="L130" s="283" t="str">
        <f t="shared" si="1"/>
        <v>Unrestricted</v>
      </c>
      <c r="M130" s="8" t="s">
        <v>125</v>
      </c>
      <c r="N130" s="27" t="str">
        <f t="shared" si="40"/>
        <v>Unrestricted</v>
      </c>
      <c r="O130" s="8" t="str">
        <f t="shared" ref="O130:R130" si="68">+M130</f>
        <v>Employee Benefits</v>
      </c>
      <c r="P130" s="27" t="str">
        <f t="shared" si="68"/>
        <v>Unrestricted</v>
      </c>
      <c r="Q130" s="8" t="str">
        <f t="shared" si="68"/>
        <v>Employee Benefits</v>
      </c>
      <c r="R130" s="27" t="str">
        <f t="shared" si="68"/>
        <v>Unrestricted</v>
      </c>
      <c r="S130" s="286"/>
      <c r="T130" s="286"/>
    </row>
    <row r="131" ht="15.75" customHeight="1">
      <c r="A131" s="286" t="s">
        <v>1361</v>
      </c>
      <c r="B131" s="286" t="s">
        <v>1064</v>
      </c>
      <c r="C131" s="295">
        <v>14995.41</v>
      </c>
      <c r="D131" s="295">
        <v>16354.36</v>
      </c>
      <c r="E131" s="295">
        <v>1358.9500000000007</v>
      </c>
      <c r="F131" s="295">
        <v>-2415.3181524802103</v>
      </c>
      <c r="G131" s="295">
        <v>-18114.886143601572</v>
      </c>
      <c r="H131" s="295">
        <v>-1760.5261436015717</v>
      </c>
      <c r="I131" s="8" t="s">
        <v>1507</v>
      </c>
      <c r="J131" s="289" t="s">
        <v>1475</v>
      </c>
      <c r="K131" s="8" t="s">
        <v>1524</v>
      </c>
      <c r="L131" s="283" t="str">
        <f t="shared" si="1"/>
        <v>Unrestricted</v>
      </c>
      <c r="M131" s="8" t="s">
        <v>131</v>
      </c>
      <c r="N131" s="27" t="str">
        <f t="shared" si="40"/>
        <v>Unrestricted</v>
      </c>
      <c r="O131" s="8" t="str">
        <f t="shared" ref="O131:R131" si="69">+M131</f>
        <v>Payroll Taxes</v>
      </c>
      <c r="P131" s="27" t="str">
        <f t="shared" si="69"/>
        <v>Unrestricted</v>
      </c>
      <c r="Q131" s="8" t="str">
        <f t="shared" si="69"/>
        <v>Payroll Taxes</v>
      </c>
      <c r="R131" s="27" t="str">
        <f t="shared" si="69"/>
        <v>Unrestricted</v>
      </c>
      <c r="S131" s="286"/>
      <c r="T131" s="286"/>
    </row>
    <row r="132" ht="15.75" customHeight="1">
      <c r="A132" s="286" t="s">
        <v>1363</v>
      </c>
      <c r="B132" s="286" t="s">
        <v>1065</v>
      </c>
      <c r="C132" s="295">
        <v>8844.6</v>
      </c>
      <c r="D132" s="295">
        <v>9346.73</v>
      </c>
      <c r="E132" s="295">
        <v>502.1299999999992</v>
      </c>
      <c r="F132" s="295">
        <v>-1250.0981239333335</v>
      </c>
      <c r="G132" s="295">
        <v>-11250.883115400002</v>
      </c>
      <c r="H132" s="295">
        <v>-1904.1531154000022</v>
      </c>
      <c r="I132" s="8" t="s">
        <v>1507</v>
      </c>
      <c r="J132" s="289" t="s">
        <v>1475</v>
      </c>
      <c r="K132" s="8" t="s">
        <v>1524</v>
      </c>
      <c r="L132" s="283" t="str">
        <f t="shared" si="1"/>
        <v>Unrestricted</v>
      </c>
      <c r="M132" s="8" t="s">
        <v>131</v>
      </c>
      <c r="N132" s="27" t="str">
        <f t="shared" si="40"/>
        <v>Unrestricted</v>
      </c>
      <c r="O132" s="8" t="str">
        <f t="shared" ref="O132:R132" si="70">+M132</f>
        <v>Payroll Taxes</v>
      </c>
      <c r="P132" s="27" t="str">
        <f t="shared" si="70"/>
        <v>Unrestricted</v>
      </c>
      <c r="Q132" s="8" t="str">
        <f t="shared" si="70"/>
        <v>Payroll Taxes</v>
      </c>
      <c r="R132" s="27" t="str">
        <f t="shared" si="70"/>
        <v>Unrestricted</v>
      </c>
      <c r="S132" s="286"/>
      <c r="T132" s="286"/>
    </row>
    <row r="133" ht="15.75" customHeight="1">
      <c r="A133" s="286" t="s">
        <v>1534</v>
      </c>
      <c r="B133" s="286" t="s">
        <v>1535</v>
      </c>
      <c r="C133" s="295">
        <v>0.0</v>
      </c>
      <c r="D133" s="295">
        <v>0.0</v>
      </c>
      <c r="E133" s="295">
        <v>0.0</v>
      </c>
      <c r="F133" s="295">
        <v>0.0</v>
      </c>
      <c r="G133" s="295">
        <v>0.0</v>
      </c>
      <c r="H133" s="295">
        <v>0.0</v>
      </c>
      <c r="I133" s="8" t="s">
        <v>1507</v>
      </c>
      <c r="J133" s="289" t="s">
        <v>1475</v>
      </c>
      <c r="K133" s="8" t="s">
        <v>1524</v>
      </c>
      <c r="L133" s="283" t="str">
        <f t="shared" si="1"/>
        <v>Unrestricted</v>
      </c>
      <c r="M133" s="8" t="s">
        <v>131</v>
      </c>
      <c r="N133" s="27" t="str">
        <f t="shared" si="40"/>
        <v>Unrestricted</v>
      </c>
      <c r="O133" s="8" t="str">
        <f t="shared" ref="O133:R133" si="71">+M133</f>
        <v>Payroll Taxes</v>
      </c>
      <c r="P133" s="27" t="str">
        <f t="shared" si="71"/>
        <v>Unrestricted</v>
      </c>
      <c r="Q133" s="8" t="str">
        <f t="shared" si="71"/>
        <v>Payroll Taxes</v>
      </c>
      <c r="R133" s="27" t="str">
        <f t="shared" si="71"/>
        <v>Unrestricted</v>
      </c>
      <c r="S133" s="286"/>
      <c r="T133" s="286"/>
    </row>
    <row r="134" ht="15.75" customHeight="1">
      <c r="A134" s="286" t="s">
        <v>1365</v>
      </c>
      <c r="B134" s="286" t="s">
        <v>1067</v>
      </c>
      <c r="C134" s="295">
        <v>3506.76</v>
      </c>
      <c r="D134" s="295">
        <v>3824.56</v>
      </c>
      <c r="E134" s="295">
        <v>317.7999999999997</v>
      </c>
      <c r="F134" s="295">
        <v>-564.8727937252106</v>
      </c>
      <c r="G134" s="295">
        <v>-4236.545952939079</v>
      </c>
      <c r="H134" s="295">
        <v>-411.9859529390792</v>
      </c>
      <c r="I134" s="8" t="s">
        <v>1507</v>
      </c>
      <c r="J134" s="289" t="s">
        <v>1475</v>
      </c>
      <c r="K134" s="8" t="s">
        <v>1524</v>
      </c>
      <c r="L134" s="283" t="str">
        <f t="shared" si="1"/>
        <v>Unrestricted</v>
      </c>
      <c r="M134" s="8" t="s">
        <v>131</v>
      </c>
      <c r="N134" s="27" t="str">
        <f t="shared" si="40"/>
        <v>Unrestricted</v>
      </c>
      <c r="O134" s="8" t="str">
        <f t="shared" ref="O134:R134" si="72">+M134</f>
        <v>Payroll Taxes</v>
      </c>
      <c r="P134" s="27" t="str">
        <f t="shared" si="72"/>
        <v>Unrestricted</v>
      </c>
      <c r="Q134" s="8" t="str">
        <f t="shared" si="72"/>
        <v>Payroll Taxes</v>
      </c>
      <c r="R134" s="27" t="str">
        <f t="shared" si="72"/>
        <v>Unrestricted</v>
      </c>
      <c r="S134" s="286"/>
      <c r="T134" s="286"/>
    </row>
    <row r="135" ht="15.75" customHeight="1">
      <c r="A135" s="286" t="s">
        <v>1367</v>
      </c>
      <c r="B135" s="286" t="s">
        <v>1068</v>
      </c>
      <c r="C135" s="295">
        <v>2068.59</v>
      </c>
      <c r="D135" s="295">
        <v>2186.03</v>
      </c>
      <c r="E135" s="295">
        <v>117.44000000000005</v>
      </c>
      <c r="F135" s="295">
        <v>-292.3616580166667</v>
      </c>
      <c r="G135" s="295">
        <v>-2631.2549221500003</v>
      </c>
      <c r="H135" s="295">
        <v>-445.2249221500001</v>
      </c>
      <c r="I135" s="8" t="s">
        <v>1507</v>
      </c>
      <c r="J135" s="289" t="s">
        <v>1475</v>
      </c>
      <c r="K135" s="8" t="s">
        <v>1524</v>
      </c>
      <c r="L135" s="283" t="str">
        <f t="shared" si="1"/>
        <v>Unrestricted</v>
      </c>
      <c r="M135" s="8" t="s">
        <v>131</v>
      </c>
      <c r="N135" s="27" t="str">
        <f t="shared" si="40"/>
        <v>Unrestricted</v>
      </c>
      <c r="O135" s="8" t="str">
        <f t="shared" ref="O135:R135" si="73">+M135</f>
        <v>Payroll Taxes</v>
      </c>
      <c r="P135" s="27" t="str">
        <f t="shared" si="73"/>
        <v>Unrestricted</v>
      </c>
      <c r="Q135" s="8" t="str">
        <f t="shared" si="73"/>
        <v>Payroll Taxes</v>
      </c>
      <c r="R135" s="27" t="str">
        <f t="shared" si="73"/>
        <v>Unrestricted</v>
      </c>
      <c r="S135" s="286"/>
      <c r="T135" s="286"/>
    </row>
    <row r="136" ht="15.75" customHeight="1">
      <c r="A136" s="286" t="s">
        <v>1536</v>
      </c>
      <c r="B136" s="286" t="s">
        <v>1537</v>
      </c>
      <c r="C136" s="295">
        <v>0.0</v>
      </c>
      <c r="D136" s="295">
        <v>0.0</v>
      </c>
      <c r="E136" s="295">
        <v>0.0</v>
      </c>
      <c r="F136" s="295">
        <v>0.0</v>
      </c>
      <c r="G136" s="295">
        <v>0.0</v>
      </c>
      <c r="H136" s="295">
        <v>0.0</v>
      </c>
      <c r="I136" s="8" t="s">
        <v>1507</v>
      </c>
      <c r="J136" s="289" t="s">
        <v>1475</v>
      </c>
      <c r="K136" s="8" t="s">
        <v>1524</v>
      </c>
      <c r="L136" s="283" t="str">
        <f t="shared" si="1"/>
        <v>Unrestricted</v>
      </c>
      <c r="M136" s="8" t="s">
        <v>131</v>
      </c>
      <c r="N136" s="27" t="str">
        <f t="shared" si="40"/>
        <v>Unrestricted</v>
      </c>
      <c r="O136" s="8" t="str">
        <f t="shared" ref="O136:R136" si="74">+M136</f>
        <v>Payroll Taxes</v>
      </c>
      <c r="P136" s="27" t="str">
        <f t="shared" si="74"/>
        <v>Unrestricted</v>
      </c>
      <c r="Q136" s="8" t="str">
        <f t="shared" si="74"/>
        <v>Payroll Taxes</v>
      </c>
      <c r="R136" s="27" t="str">
        <f t="shared" si="74"/>
        <v>Unrestricted</v>
      </c>
      <c r="S136" s="286"/>
      <c r="T136" s="286"/>
    </row>
    <row r="137" ht="15.75" customHeight="1">
      <c r="A137" s="296" t="s">
        <v>1369</v>
      </c>
      <c r="B137" s="296" t="s">
        <v>1042</v>
      </c>
      <c r="C137" s="295">
        <v>11220.0</v>
      </c>
      <c r="D137" s="295">
        <v>12060.0</v>
      </c>
      <c r="E137" s="295">
        <v>840.0</v>
      </c>
      <c r="F137" s="295">
        <v>-1684.2105263157894</v>
      </c>
      <c r="G137" s="295">
        <v>-12631.578947368422</v>
      </c>
      <c r="H137" s="295">
        <v>-571.5789473684217</v>
      </c>
      <c r="I137" s="76" t="s">
        <v>1507</v>
      </c>
      <c r="J137" s="297" t="s">
        <v>1475</v>
      </c>
      <c r="K137" s="76" t="s">
        <v>1524</v>
      </c>
      <c r="L137" s="298" t="str">
        <f t="shared" si="1"/>
        <v>Unrestricted</v>
      </c>
      <c r="M137" s="76" t="s">
        <v>121</v>
      </c>
      <c r="N137" s="299" t="str">
        <f t="shared" si="40"/>
        <v>Unrestricted</v>
      </c>
      <c r="O137" s="76" t="str">
        <f t="shared" ref="O137:R137" si="75">+M137</f>
        <v>Salaries and Wages</v>
      </c>
      <c r="P137" s="299" t="str">
        <f t="shared" si="75"/>
        <v>Unrestricted</v>
      </c>
      <c r="Q137" s="76" t="str">
        <f t="shared" si="75"/>
        <v>Salaries and Wages</v>
      </c>
      <c r="R137" s="299" t="str">
        <f t="shared" si="75"/>
        <v>Unrestricted</v>
      </c>
      <c r="S137" s="286"/>
      <c r="T137" s="286"/>
    </row>
    <row r="138" ht="15.75" customHeight="1">
      <c r="A138" s="286" t="s">
        <v>1371</v>
      </c>
      <c r="B138" s="286" t="s">
        <v>1070</v>
      </c>
      <c r="C138" s="295">
        <v>8400.0</v>
      </c>
      <c r="D138" s="295">
        <v>8400.0</v>
      </c>
      <c r="E138" s="295">
        <v>0.0</v>
      </c>
      <c r="F138" s="295">
        <v>0.0</v>
      </c>
      <c r="G138" s="295">
        <v>-10000.0</v>
      </c>
      <c r="H138" s="295">
        <v>-1600.0</v>
      </c>
      <c r="I138" s="8" t="s">
        <v>1507</v>
      </c>
      <c r="J138" s="289" t="s">
        <v>1475</v>
      </c>
      <c r="K138" s="8" t="s">
        <v>1524</v>
      </c>
      <c r="L138" s="283" t="str">
        <f t="shared" si="1"/>
        <v>Unrestricted</v>
      </c>
      <c r="M138" s="8" t="s">
        <v>132</v>
      </c>
      <c r="N138" s="27" t="str">
        <f t="shared" si="40"/>
        <v>Unrestricted</v>
      </c>
      <c r="O138" s="8" t="str">
        <f t="shared" ref="O138:R138" si="76">+M138</f>
        <v>Legal, Accounting, IT</v>
      </c>
      <c r="P138" s="27" t="str">
        <f t="shared" si="76"/>
        <v>Unrestricted</v>
      </c>
      <c r="Q138" s="8" t="str">
        <f t="shared" si="76"/>
        <v>Legal, Accounting, IT</v>
      </c>
      <c r="R138" s="27" t="str">
        <f t="shared" si="76"/>
        <v>Unrestricted</v>
      </c>
      <c r="S138" s="286"/>
      <c r="T138" s="286"/>
    </row>
    <row r="139" ht="15.75" customHeight="1">
      <c r="A139" s="286" t="s">
        <v>1373</v>
      </c>
      <c r="B139" s="286" t="s">
        <v>1071</v>
      </c>
      <c r="C139" s="295">
        <v>1469.08</v>
      </c>
      <c r="D139" s="295">
        <v>1547.21</v>
      </c>
      <c r="E139" s="295">
        <v>78.13000000000011</v>
      </c>
      <c r="F139" s="295">
        <v>-191.66666666666666</v>
      </c>
      <c r="G139" s="295">
        <v>-1725.0000000000002</v>
      </c>
      <c r="H139" s="295">
        <v>-177.7900000000002</v>
      </c>
      <c r="I139" s="8" t="s">
        <v>1507</v>
      </c>
      <c r="J139" s="289" t="s">
        <v>1475</v>
      </c>
      <c r="K139" s="8" t="s">
        <v>1524</v>
      </c>
      <c r="L139" s="283" t="str">
        <f t="shared" si="1"/>
        <v>Unrestricted</v>
      </c>
      <c r="M139" s="8" t="s">
        <v>132</v>
      </c>
      <c r="N139" s="27" t="str">
        <f t="shared" si="40"/>
        <v>Unrestricted</v>
      </c>
      <c r="O139" s="8" t="str">
        <f t="shared" ref="O139:R139" si="77">+M139</f>
        <v>Legal, Accounting, IT</v>
      </c>
      <c r="P139" s="27" t="str">
        <f t="shared" si="77"/>
        <v>Unrestricted</v>
      </c>
      <c r="Q139" s="8" t="str">
        <f t="shared" si="77"/>
        <v>Legal, Accounting, IT</v>
      </c>
      <c r="R139" s="27" t="str">
        <f t="shared" si="77"/>
        <v>Unrestricted</v>
      </c>
      <c r="S139" s="286"/>
      <c r="T139" s="286"/>
    </row>
    <row r="140" ht="15.75" customHeight="1">
      <c r="A140" s="286" t="s">
        <v>482</v>
      </c>
      <c r="B140" s="286" t="s">
        <v>1072</v>
      </c>
      <c r="C140" s="295">
        <v>17237.47</v>
      </c>
      <c r="D140" s="295">
        <v>19320.8</v>
      </c>
      <c r="E140" s="295">
        <v>2083.329999999998</v>
      </c>
      <c r="F140" s="295">
        <v>-2083.3333333333335</v>
      </c>
      <c r="G140" s="295">
        <v>-18750.0</v>
      </c>
      <c r="H140" s="295">
        <v>570.7999999999993</v>
      </c>
      <c r="I140" s="8" t="s">
        <v>1507</v>
      </c>
      <c r="J140" s="289" t="s">
        <v>1475</v>
      </c>
      <c r="K140" s="8" t="s">
        <v>1524</v>
      </c>
      <c r="L140" s="283" t="str">
        <f t="shared" si="1"/>
        <v>Unrestricted</v>
      </c>
      <c r="M140" s="8" t="s">
        <v>132</v>
      </c>
      <c r="N140" s="27" t="str">
        <f t="shared" si="40"/>
        <v>Unrestricted</v>
      </c>
      <c r="O140" s="8" t="str">
        <f t="shared" ref="O140:R140" si="78">+M140</f>
        <v>Legal, Accounting, IT</v>
      </c>
      <c r="P140" s="27" t="str">
        <f t="shared" si="78"/>
        <v>Unrestricted</v>
      </c>
      <c r="Q140" s="8" t="str">
        <f t="shared" si="78"/>
        <v>Legal, Accounting, IT</v>
      </c>
      <c r="R140" s="27" t="str">
        <f t="shared" si="78"/>
        <v>Unrestricted</v>
      </c>
      <c r="S140" s="286"/>
      <c r="T140" s="286"/>
    </row>
    <row r="141" ht="15.75" customHeight="1">
      <c r="A141" s="286" t="s">
        <v>484</v>
      </c>
      <c r="B141" s="286" t="s">
        <v>1073</v>
      </c>
      <c r="C141" s="295">
        <v>0.0</v>
      </c>
      <c r="D141" s="295">
        <v>0.0</v>
      </c>
      <c r="E141" s="295">
        <v>0.0</v>
      </c>
      <c r="F141" s="295">
        <v>-291.6666666666667</v>
      </c>
      <c r="G141" s="295">
        <v>-2625.0</v>
      </c>
      <c r="H141" s="295">
        <v>-2625.0</v>
      </c>
      <c r="I141" s="8" t="s">
        <v>1507</v>
      </c>
      <c r="J141" s="289" t="s">
        <v>1475</v>
      </c>
      <c r="K141" s="8" t="s">
        <v>1524</v>
      </c>
      <c r="L141" s="283" t="str">
        <f t="shared" si="1"/>
        <v>Unrestricted</v>
      </c>
      <c r="M141" s="8" t="s">
        <v>132</v>
      </c>
      <c r="N141" s="27" t="str">
        <f t="shared" si="40"/>
        <v>Unrestricted</v>
      </c>
      <c r="O141" s="8" t="str">
        <f t="shared" ref="O141:R141" si="79">+M141</f>
        <v>Legal, Accounting, IT</v>
      </c>
      <c r="P141" s="27" t="str">
        <f t="shared" si="79"/>
        <v>Unrestricted</v>
      </c>
      <c r="Q141" s="8" t="str">
        <f t="shared" si="79"/>
        <v>Legal, Accounting, IT</v>
      </c>
      <c r="R141" s="27" t="str">
        <f t="shared" si="79"/>
        <v>Unrestricted</v>
      </c>
      <c r="S141" s="286"/>
      <c r="T141" s="286"/>
    </row>
    <row r="142" ht="15.75" customHeight="1">
      <c r="A142" s="286" t="s">
        <v>1538</v>
      </c>
      <c r="B142" s="286" t="s">
        <v>1074</v>
      </c>
      <c r="C142" s="295">
        <v>0.0</v>
      </c>
      <c r="D142" s="295">
        <v>0.0</v>
      </c>
      <c r="E142" s="295">
        <v>0.0</v>
      </c>
      <c r="F142" s="295">
        <v>-708.3333333333334</v>
      </c>
      <c r="G142" s="295">
        <v>-6374.999999999999</v>
      </c>
      <c r="H142" s="295">
        <v>-6374.999999999999</v>
      </c>
      <c r="I142" s="8" t="s">
        <v>1507</v>
      </c>
      <c r="J142" s="289" t="s">
        <v>1475</v>
      </c>
      <c r="K142" s="8" t="s">
        <v>1524</v>
      </c>
      <c r="L142" s="283" t="str">
        <f t="shared" si="1"/>
        <v>Unrestricted</v>
      </c>
      <c r="M142" s="8" t="s">
        <v>132</v>
      </c>
      <c r="N142" s="27" t="str">
        <f t="shared" si="40"/>
        <v>Unrestricted</v>
      </c>
      <c r="O142" s="8" t="str">
        <f t="shared" ref="O142:R142" si="80">+M142</f>
        <v>Legal, Accounting, IT</v>
      </c>
      <c r="P142" s="27" t="str">
        <f t="shared" si="80"/>
        <v>Unrestricted</v>
      </c>
      <c r="Q142" s="8" t="str">
        <f t="shared" si="80"/>
        <v>Legal, Accounting, IT</v>
      </c>
      <c r="R142" s="27" t="str">
        <f t="shared" si="80"/>
        <v>Unrestricted</v>
      </c>
      <c r="S142" s="286"/>
      <c r="T142" s="286"/>
    </row>
    <row r="143" ht="15.75" customHeight="1">
      <c r="A143" s="286" t="s">
        <v>177</v>
      </c>
      <c r="B143" s="286" t="s">
        <v>1075</v>
      </c>
      <c r="C143" s="295">
        <v>4655.96</v>
      </c>
      <c r="D143" s="295">
        <v>5015.61</v>
      </c>
      <c r="E143" s="295">
        <v>359.64999999999964</v>
      </c>
      <c r="F143" s="295">
        <v>0.0</v>
      </c>
      <c r="G143" s="295">
        <v>-7000.0</v>
      </c>
      <c r="H143" s="295">
        <v>-1984.3900000000003</v>
      </c>
      <c r="I143" s="8" t="s">
        <v>1507</v>
      </c>
      <c r="J143" s="289" t="s">
        <v>1475</v>
      </c>
      <c r="K143" s="8" t="s">
        <v>1524</v>
      </c>
      <c r="L143" s="283" t="str">
        <f t="shared" si="1"/>
        <v>Unrestricted</v>
      </c>
      <c r="M143" s="8" t="s">
        <v>177</v>
      </c>
      <c r="N143" s="27" t="str">
        <f t="shared" si="40"/>
        <v>Unrestricted</v>
      </c>
      <c r="O143" s="8" t="str">
        <f t="shared" ref="O143:R143" si="81">+M143</f>
        <v>School Supplies</v>
      </c>
      <c r="P143" s="27" t="str">
        <f t="shared" si="81"/>
        <v>Unrestricted</v>
      </c>
      <c r="Q143" s="8" t="str">
        <f t="shared" si="81"/>
        <v>School Supplies</v>
      </c>
      <c r="R143" s="27" t="str">
        <f t="shared" si="81"/>
        <v>Unrestricted</v>
      </c>
      <c r="S143" s="286"/>
      <c r="T143" s="286"/>
    </row>
    <row r="144" ht="15.75" customHeight="1">
      <c r="A144" s="286" t="s">
        <v>1539</v>
      </c>
      <c r="B144" s="286" t="s">
        <v>1540</v>
      </c>
      <c r="C144" s="295">
        <v>0.0</v>
      </c>
      <c r="D144" s="295">
        <v>0.0</v>
      </c>
      <c r="E144" s="295">
        <v>0.0</v>
      </c>
      <c r="F144" s="295">
        <v>0.0</v>
      </c>
      <c r="G144" s="295">
        <v>0.0</v>
      </c>
      <c r="H144" s="295">
        <v>0.0</v>
      </c>
      <c r="I144" s="8" t="s">
        <v>1507</v>
      </c>
      <c r="J144" s="289" t="s">
        <v>1475</v>
      </c>
      <c r="K144" s="8" t="s">
        <v>1524</v>
      </c>
      <c r="L144" s="283" t="str">
        <f t="shared" si="1"/>
        <v>Unrestricted</v>
      </c>
      <c r="M144" s="8" t="s">
        <v>177</v>
      </c>
      <c r="N144" s="27" t="str">
        <f t="shared" si="40"/>
        <v>Unrestricted</v>
      </c>
      <c r="O144" s="8" t="str">
        <f t="shared" ref="O144:R144" si="82">+M144</f>
        <v>School Supplies</v>
      </c>
      <c r="P144" s="27" t="str">
        <f t="shared" si="82"/>
        <v>Unrestricted</v>
      </c>
      <c r="Q144" s="8" t="str">
        <f t="shared" si="82"/>
        <v>School Supplies</v>
      </c>
      <c r="R144" s="27" t="str">
        <f t="shared" si="82"/>
        <v>Unrestricted</v>
      </c>
      <c r="S144" s="286"/>
      <c r="T144" s="286"/>
    </row>
    <row r="145" ht="15.75" customHeight="1">
      <c r="A145" s="286" t="s">
        <v>146</v>
      </c>
      <c r="B145" s="286" t="s">
        <v>1076</v>
      </c>
      <c r="C145" s="295">
        <v>1644.81</v>
      </c>
      <c r="D145" s="295">
        <v>2347.82</v>
      </c>
      <c r="E145" s="295">
        <v>703.0100000000002</v>
      </c>
      <c r="F145" s="295">
        <v>0.0</v>
      </c>
      <c r="G145" s="295">
        <v>-2500.0</v>
      </c>
      <c r="H145" s="295">
        <v>-152.17999999999984</v>
      </c>
      <c r="I145" s="8" t="s">
        <v>1507</v>
      </c>
      <c r="J145" s="289" t="s">
        <v>1475</v>
      </c>
      <c r="K145" s="8" t="s">
        <v>1524</v>
      </c>
      <c r="L145" s="283" t="str">
        <f t="shared" si="1"/>
        <v>Unrestricted</v>
      </c>
      <c r="M145" s="8" t="s">
        <v>146</v>
      </c>
      <c r="N145" s="27" t="str">
        <f t="shared" si="40"/>
        <v>Unrestricted</v>
      </c>
      <c r="O145" s="8" t="str">
        <f t="shared" ref="O145:R145" si="83">+M145</f>
        <v>Office Supplies</v>
      </c>
      <c r="P145" s="27" t="str">
        <f t="shared" si="83"/>
        <v>Unrestricted</v>
      </c>
      <c r="Q145" s="8" t="str">
        <f t="shared" si="83"/>
        <v>Office Supplies</v>
      </c>
      <c r="R145" s="27" t="str">
        <f t="shared" si="83"/>
        <v>Unrestricted</v>
      </c>
      <c r="S145" s="286"/>
      <c r="T145" s="286"/>
    </row>
    <row r="146" ht="15.75" customHeight="1">
      <c r="A146" s="286" t="s">
        <v>1378</v>
      </c>
      <c r="B146" s="286" t="s">
        <v>1077</v>
      </c>
      <c r="C146" s="295">
        <v>42.62</v>
      </c>
      <c r="D146" s="295">
        <v>42.62</v>
      </c>
      <c r="E146" s="295">
        <v>0.0</v>
      </c>
      <c r="F146" s="295">
        <v>0.0</v>
      </c>
      <c r="G146" s="295">
        <v>-2000.0</v>
      </c>
      <c r="H146" s="295">
        <v>-1957.38</v>
      </c>
      <c r="I146" s="8" t="s">
        <v>1507</v>
      </c>
      <c r="J146" s="289" t="s">
        <v>1475</v>
      </c>
      <c r="K146" s="8" t="s">
        <v>1524</v>
      </c>
      <c r="L146" s="283" t="str">
        <f t="shared" si="1"/>
        <v>Unrestricted</v>
      </c>
      <c r="M146" s="8" t="s">
        <v>146</v>
      </c>
      <c r="N146" s="27" t="str">
        <f t="shared" si="40"/>
        <v>Unrestricted</v>
      </c>
      <c r="O146" s="8" t="str">
        <f t="shared" ref="O146:R146" si="84">+M146</f>
        <v>Office Supplies</v>
      </c>
      <c r="P146" s="27" t="str">
        <f t="shared" si="84"/>
        <v>Unrestricted</v>
      </c>
      <c r="Q146" s="8" t="str">
        <f t="shared" si="84"/>
        <v>Office Supplies</v>
      </c>
      <c r="R146" s="27" t="str">
        <f t="shared" si="84"/>
        <v>Unrestricted</v>
      </c>
      <c r="S146" s="286"/>
      <c r="T146" s="286"/>
    </row>
    <row r="147" ht="15.75" customHeight="1">
      <c r="A147" s="286" t="s">
        <v>1380</v>
      </c>
      <c r="B147" s="286" t="s">
        <v>1078</v>
      </c>
      <c r="C147" s="295">
        <v>2098.0</v>
      </c>
      <c r="D147" s="295">
        <v>2098.0</v>
      </c>
      <c r="E147" s="295">
        <v>0.0</v>
      </c>
      <c r="F147" s="295">
        <v>0.0</v>
      </c>
      <c r="G147" s="295">
        <v>0.0</v>
      </c>
      <c r="H147" s="295">
        <v>2098.0</v>
      </c>
      <c r="I147" s="8" t="s">
        <v>1507</v>
      </c>
      <c r="J147" s="289" t="s">
        <v>1475</v>
      </c>
      <c r="K147" s="8" t="s">
        <v>1524</v>
      </c>
      <c r="L147" s="283" t="str">
        <f t="shared" si="1"/>
        <v>Unrestricted</v>
      </c>
      <c r="M147" s="8" t="s">
        <v>146</v>
      </c>
      <c r="N147" s="27" t="str">
        <f t="shared" si="40"/>
        <v>Unrestricted</v>
      </c>
      <c r="O147" s="8" t="str">
        <f t="shared" ref="O147:R147" si="85">+M147</f>
        <v>Office Supplies</v>
      </c>
      <c r="P147" s="27" t="str">
        <f t="shared" si="85"/>
        <v>Unrestricted</v>
      </c>
      <c r="Q147" s="8" t="str">
        <f t="shared" si="85"/>
        <v>Office Supplies</v>
      </c>
      <c r="R147" s="27" t="str">
        <f t="shared" si="85"/>
        <v>Unrestricted</v>
      </c>
      <c r="S147" s="286"/>
      <c r="T147" s="286"/>
    </row>
    <row r="148" ht="15.75" customHeight="1">
      <c r="A148" s="286" t="s">
        <v>1382</v>
      </c>
      <c r="B148" s="286" t="s">
        <v>1079</v>
      </c>
      <c r="C148" s="295">
        <v>2090.03</v>
      </c>
      <c r="D148" s="295">
        <v>2480.51</v>
      </c>
      <c r="E148" s="295">
        <v>390.48</v>
      </c>
      <c r="F148" s="295">
        <v>-291.6666666666667</v>
      </c>
      <c r="G148" s="295">
        <v>-2625.0</v>
      </c>
      <c r="H148" s="295">
        <v>-144.48999999999978</v>
      </c>
      <c r="I148" s="8" t="s">
        <v>1507</v>
      </c>
      <c r="J148" s="289" t="s">
        <v>1475</v>
      </c>
      <c r="K148" s="8" t="s">
        <v>1524</v>
      </c>
      <c r="L148" s="283" t="str">
        <f t="shared" si="1"/>
        <v>Unrestricted</v>
      </c>
      <c r="M148" s="8" t="s">
        <v>169</v>
      </c>
      <c r="N148" s="27" t="str">
        <f t="shared" si="40"/>
        <v>Unrestricted</v>
      </c>
      <c r="O148" s="8" t="str">
        <f t="shared" ref="O148:R148" si="86">+M148</f>
        <v>Dues and Subscriptions</v>
      </c>
      <c r="P148" s="27" t="str">
        <f t="shared" si="86"/>
        <v>Unrestricted</v>
      </c>
      <c r="Q148" s="8" t="str">
        <f t="shared" si="86"/>
        <v>Dues and Subscriptions</v>
      </c>
      <c r="R148" s="27" t="str">
        <f t="shared" si="86"/>
        <v>Unrestricted</v>
      </c>
      <c r="S148" s="286"/>
      <c r="T148" s="286"/>
    </row>
    <row r="149" ht="15.75" customHeight="1">
      <c r="A149" s="286" t="s">
        <v>1384</v>
      </c>
      <c r="B149" s="286" t="s">
        <v>1080</v>
      </c>
      <c r="C149" s="295">
        <v>1480.75</v>
      </c>
      <c r="D149" s="295">
        <v>1915.5</v>
      </c>
      <c r="E149" s="295">
        <v>434.75</v>
      </c>
      <c r="F149" s="295">
        <v>0.0</v>
      </c>
      <c r="G149" s="295">
        <v>0.0</v>
      </c>
      <c r="H149" s="295">
        <v>1915.5</v>
      </c>
      <c r="I149" s="8" t="s">
        <v>1507</v>
      </c>
      <c r="J149" s="289" t="s">
        <v>1475</v>
      </c>
      <c r="K149" s="8" t="s">
        <v>1524</v>
      </c>
      <c r="L149" s="283" t="str">
        <f t="shared" si="1"/>
        <v>Unrestricted</v>
      </c>
      <c r="M149" s="8" t="s">
        <v>169</v>
      </c>
      <c r="N149" s="27" t="str">
        <f t="shared" si="40"/>
        <v>Unrestricted</v>
      </c>
      <c r="O149" s="8" t="str">
        <f t="shared" ref="O149:R149" si="87">+M149</f>
        <v>Dues and Subscriptions</v>
      </c>
      <c r="P149" s="27" t="str">
        <f t="shared" si="87"/>
        <v>Unrestricted</v>
      </c>
      <c r="Q149" s="8" t="str">
        <f t="shared" si="87"/>
        <v>Dues and Subscriptions</v>
      </c>
      <c r="R149" s="27" t="str">
        <f t="shared" si="87"/>
        <v>Unrestricted</v>
      </c>
      <c r="S149" s="286"/>
      <c r="T149" s="286"/>
    </row>
    <row r="150" ht="15.75" customHeight="1">
      <c r="A150" s="286" t="s">
        <v>1541</v>
      </c>
      <c r="B150" s="286" t="s">
        <v>1082</v>
      </c>
      <c r="C150" s="295">
        <v>0.0</v>
      </c>
      <c r="D150" s="295">
        <v>0.0</v>
      </c>
      <c r="E150" s="295">
        <v>0.0</v>
      </c>
      <c r="F150" s="295">
        <v>-125.0</v>
      </c>
      <c r="G150" s="295">
        <v>-1125.0</v>
      </c>
      <c r="H150" s="295">
        <v>-1125.0</v>
      </c>
      <c r="I150" s="8" t="s">
        <v>1507</v>
      </c>
      <c r="J150" s="289" t="s">
        <v>1475</v>
      </c>
      <c r="K150" s="8" t="s">
        <v>1524</v>
      </c>
      <c r="L150" s="283" t="str">
        <f t="shared" si="1"/>
        <v>Unrestricted</v>
      </c>
      <c r="M150" s="8" t="s">
        <v>169</v>
      </c>
      <c r="N150" s="27" t="str">
        <f t="shared" si="40"/>
        <v>Unrestricted</v>
      </c>
      <c r="O150" s="8" t="str">
        <f t="shared" ref="O150:R150" si="88">+M150</f>
        <v>Dues and Subscriptions</v>
      </c>
      <c r="P150" s="27" t="str">
        <f t="shared" si="88"/>
        <v>Unrestricted</v>
      </c>
      <c r="Q150" s="8" t="str">
        <f t="shared" si="88"/>
        <v>Dues and Subscriptions</v>
      </c>
      <c r="R150" s="27" t="str">
        <f t="shared" si="88"/>
        <v>Unrestricted</v>
      </c>
      <c r="S150" s="286"/>
      <c r="T150" s="286"/>
    </row>
    <row r="151" ht="15.75" customHeight="1">
      <c r="A151" s="286" t="s">
        <v>1386</v>
      </c>
      <c r="B151" s="286" t="s">
        <v>1083</v>
      </c>
      <c r="C151" s="295">
        <v>20.47</v>
      </c>
      <c r="D151" s="295">
        <v>20.47</v>
      </c>
      <c r="E151" s="295">
        <v>0.0</v>
      </c>
      <c r="F151" s="295">
        <v>-8.333333333333334</v>
      </c>
      <c r="G151" s="295">
        <v>-75.0</v>
      </c>
      <c r="H151" s="295">
        <v>-54.53</v>
      </c>
      <c r="I151" s="8" t="s">
        <v>1507</v>
      </c>
      <c r="J151" s="289" t="s">
        <v>1475</v>
      </c>
      <c r="K151" s="8" t="s">
        <v>1524</v>
      </c>
      <c r="L151" s="283" t="str">
        <f t="shared" si="1"/>
        <v>Unrestricted</v>
      </c>
      <c r="M151" s="8" t="s">
        <v>157</v>
      </c>
      <c r="N151" s="27" t="str">
        <f t="shared" si="40"/>
        <v>Unrestricted</v>
      </c>
      <c r="O151" s="8" t="str">
        <f t="shared" ref="O151:R151" si="89">+M151</f>
        <v>Tax and Licenses</v>
      </c>
      <c r="P151" s="27" t="str">
        <f t="shared" si="89"/>
        <v>Unrestricted</v>
      </c>
      <c r="Q151" s="8" t="str">
        <f t="shared" si="89"/>
        <v>Tax and Licenses</v>
      </c>
      <c r="R151" s="27" t="str">
        <f t="shared" si="89"/>
        <v>Unrestricted</v>
      </c>
      <c r="S151" s="286"/>
      <c r="T151" s="286"/>
    </row>
    <row r="152" ht="15.75" customHeight="1">
      <c r="A152" s="286" t="s">
        <v>1388</v>
      </c>
      <c r="B152" s="286" t="s">
        <v>1086</v>
      </c>
      <c r="C152" s="295">
        <v>6012.46</v>
      </c>
      <c r="D152" s="295">
        <v>6748.27</v>
      </c>
      <c r="E152" s="295">
        <v>735.8100000000004</v>
      </c>
      <c r="F152" s="295">
        <v>-1166.6666666666667</v>
      </c>
      <c r="G152" s="295">
        <v>-10500.0</v>
      </c>
      <c r="H152" s="295">
        <v>-3751.7299999999996</v>
      </c>
      <c r="I152" s="8" t="s">
        <v>1507</v>
      </c>
      <c r="J152" s="289" t="s">
        <v>1475</v>
      </c>
      <c r="K152" s="8" t="s">
        <v>1524</v>
      </c>
      <c r="L152" s="283" t="str">
        <f t="shared" si="1"/>
        <v>Unrestricted</v>
      </c>
      <c r="M152" s="8" t="s">
        <v>136</v>
      </c>
      <c r="N152" s="27" t="str">
        <f t="shared" si="40"/>
        <v>Unrestricted</v>
      </c>
      <c r="O152" s="8" t="str">
        <f t="shared" ref="O152:R152" si="90">+M152</f>
        <v>Insurance</v>
      </c>
      <c r="P152" s="27" t="str">
        <f t="shared" si="90"/>
        <v>Unrestricted</v>
      </c>
      <c r="Q152" s="8" t="str">
        <f t="shared" si="90"/>
        <v>Insurance</v>
      </c>
      <c r="R152" s="27" t="str">
        <f t="shared" si="90"/>
        <v>Unrestricted</v>
      </c>
      <c r="S152" s="286"/>
      <c r="T152" s="286"/>
    </row>
    <row r="153" ht="15.75" customHeight="1">
      <c r="A153" s="286" t="s">
        <v>1390</v>
      </c>
      <c r="B153" s="286" t="s">
        <v>1087</v>
      </c>
      <c r="C153" s="295">
        <v>1649.0</v>
      </c>
      <c r="D153" s="295">
        <v>1795.75</v>
      </c>
      <c r="E153" s="295">
        <v>146.75</v>
      </c>
      <c r="F153" s="295">
        <v>0.0</v>
      </c>
      <c r="G153" s="295">
        <v>0.0</v>
      </c>
      <c r="H153" s="295">
        <v>1795.75</v>
      </c>
      <c r="I153" s="8" t="s">
        <v>1507</v>
      </c>
      <c r="J153" s="289" t="s">
        <v>1475</v>
      </c>
      <c r="K153" s="8" t="s">
        <v>1524</v>
      </c>
      <c r="L153" s="283" t="str">
        <f t="shared" si="1"/>
        <v>Unrestricted</v>
      </c>
      <c r="M153" s="8" t="s">
        <v>136</v>
      </c>
      <c r="N153" s="27" t="str">
        <f t="shared" si="40"/>
        <v>Unrestricted</v>
      </c>
      <c r="O153" s="8" t="str">
        <f t="shared" ref="O153:R153" si="91">+M153</f>
        <v>Insurance</v>
      </c>
      <c r="P153" s="27" t="str">
        <f t="shared" si="91"/>
        <v>Unrestricted</v>
      </c>
      <c r="Q153" s="8" t="str">
        <f t="shared" si="91"/>
        <v>Insurance</v>
      </c>
      <c r="R153" s="27" t="str">
        <f t="shared" si="91"/>
        <v>Unrestricted</v>
      </c>
      <c r="S153" s="286"/>
      <c r="T153" s="286"/>
    </row>
    <row r="154" ht="15.75" customHeight="1">
      <c r="A154" s="286" t="s">
        <v>1392</v>
      </c>
      <c r="B154" s="286" t="s">
        <v>1088</v>
      </c>
      <c r="C154" s="295">
        <v>2319.52</v>
      </c>
      <c r="D154" s="295">
        <v>2539.46</v>
      </c>
      <c r="E154" s="295">
        <v>219.94000000000005</v>
      </c>
      <c r="F154" s="295">
        <v>0.0</v>
      </c>
      <c r="G154" s="295">
        <v>0.0</v>
      </c>
      <c r="H154" s="295">
        <v>2539.46</v>
      </c>
      <c r="I154" s="8" t="s">
        <v>1507</v>
      </c>
      <c r="J154" s="289" t="s">
        <v>1475</v>
      </c>
      <c r="K154" s="8" t="s">
        <v>1524</v>
      </c>
      <c r="L154" s="283" t="str">
        <f t="shared" si="1"/>
        <v>Unrestricted</v>
      </c>
      <c r="M154" s="8" t="s">
        <v>136</v>
      </c>
      <c r="N154" s="27" t="str">
        <f t="shared" si="40"/>
        <v>Unrestricted</v>
      </c>
      <c r="O154" s="8" t="str">
        <f t="shared" ref="O154:R154" si="92">+M154</f>
        <v>Insurance</v>
      </c>
      <c r="P154" s="27" t="str">
        <f t="shared" si="92"/>
        <v>Unrestricted</v>
      </c>
      <c r="Q154" s="8" t="str">
        <f t="shared" si="92"/>
        <v>Insurance</v>
      </c>
      <c r="R154" s="27" t="str">
        <f t="shared" si="92"/>
        <v>Unrestricted</v>
      </c>
      <c r="S154" s="286"/>
      <c r="T154" s="286"/>
    </row>
    <row r="155" ht="15.75" customHeight="1">
      <c r="A155" s="286" t="s">
        <v>1542</v>
      </c>
      <c r="B155" s="286" t="s">
        <v>1089</v>
      </c>
      <c r="C155" s="295">
        <v>0.0</v>
      </c>
      <c r="D155" s="295">
        <v>0.0</v>
      </c>
      <c r="E155" s="295">
        <v>0.0</v>
      </c>
      <c r="F155" s="295">
        <v>0.0</v>
      </c>
      <c r="G155" s="295">
        <v>0.0</v>
      </c>
      <c r="H155" s="295">
        <v>0.0</v>
      </c>
      <c r="I155" s="8" t="s">
        <v>1507</v>
      </c>
      <c r="J155" s="289" t="s">
        <v>1475</v>
      </c>
      <c r="K155" s="8" t="s">
        <v>1524</v>
      </c>
      <c r="L155" s="283" t="str">
        <f t="shared" si="1"/>
        <v>Unrestricted</v>
      </c>
      <c r="M155" s="8" t="s">
        <v>136</v>
      </c>
      <c r="N155" s="27" t="str">
        <f t="shared" si="40"/>
        <v>Unrestricted</v>
      </c>
      <c r="O155" s="8" t="str">
        <f t="shared" ref="O155:R155" si="93">+M155</f>
        <v>Insurance</v>
      </c>
      <c r="P155" s="27" t="str">
        <f t="shared" si="93"/>
        <v>Unrestricted</v>
      </c>
      <c r="Q155" s="8" t="str">
        <f t="shared" si="93"/>
        <v>Insurance</v>
      </c>
      <c r="R155" s="27" t="str">
        <f t="shared" si="93"/>
        <v>Unrestricted</v>
      </c>
      <c r="S155" s="286"/>
      <c r="T155" s="286"/>
    </row>
    <row r="156" ht="15.75" customHeight="1">
      <c r="A156" s="300" t="s">
        <v>56</v>
      </c>
      <c r="B156" s="300" t="s">
        <v>1092</v>
      </c>
      <c r="C156" s="295">
        <v>7729.53</v>
      </c>
      <c r="D156" s="295">
        <v>9169.53</v>
      </c>
      <c r="E156" s="295">
        <v>1440.000000000001</v>
      </c>
      <c r="F156" s="295">
        <v>0.0</v>
      </c>
      <c r="G156" s="295">
        <v>0.0</v>
      </c>
      <c r="H156" s="295">
        <v>9169.53</v>
      </c>
      <c r="I156" s="301" t="s">
        <v>1507</v>
      </c>
      <c r="J156" s="302" t="s">
        <v>1475</v>
      </c>
      <c r="K156" s="301" t="s">
        <v>1524</v>
      </c>
      <c r="L156" s="303" t="str">
        <f t="shared" si="1"/>
        <v>Unrestricted</v>
      </c>
      <c r="M156" s="301" t="s">
        <v>56</v>
      </c>
      <c r="N156" s="304" t="str">
        <f t="shared" si="40"/>
        <v>Unrestricted</v>
      </c>
      <c r="O156" s="301" t="str">
        <f t="shared" ref="O156:R156" si="94">+M156</f>
        <v>Student Activities</v>
      </c>
      <c r="P156" s="304" t="str">
        <f t="shared" si="94"/>
        <v>Unrestricted</v>
      </c>
      <c r="Q156" s="301" t="str">
        <f t="shared" si="94"/>
        <v>Student Activities</v>
      </c>
      <c r="R156" s="304" t="str">
        <f t="shared" si="94"/>
        <v>Unrestricted</v>
      </c>
      <c r="S156" s="286"/>
      <c r="T156" s="286"/>
    </row>
    <row r="157" ht="15.75" customHeight="1">
      <c r="A157" s="300" t="s">
        <v>512</v>
      </c>
      <c r="B157" s="300" t="s">
        <v>1543</v>
      </c>
      <c r="C157" s="295">
        <v>0.0</v>
      </c>
      <c r="D157" s="295">
        <v>0.0</v>
      </c>
      <c r="E157" s="295">
        <v>0.0</v>
      </c>
      <c r="F157" s="295">
        <v>0.0</v>
      </c>
      <c r="G157" s="295">
        <v>0.0</v>
      </c>
      <c r="H157" s="295">
        <v>0.0</v>
      </c>
      <c r="I157" s="301" t="s">
        <v>1507</v>
      </c>
      <c r="J157" s="302" t="s">
        <v>1475</v>
      </c>
      <c r="K157" s="301" t="s">
        <v>1524</v>
      </c>
      <c r="L157" s="303" t="str">
        <f t="shared" si="1"/>
        <v>Unrestricted</v>
      </c>
      <c r="M157" s="301" t="s">
        <v>56</v>
      </c>
      <c r="N157" s="304" t="str">
        <f t="shared" si="40"/>
        <v>Unrestricted</v>
      </c>
      <c r="O157" s="301" t="str">
        <f t="shared" ref="O157:R157" si="95">+M157</f>
        <v>Student Activities</v>
      </c>
      <c r="P157" s="304" t="str">
        <f t="shared" si="95"/>
        <v>Unrestricted</v>
      </c>
      <c r="Q157" s="301" t="str">
        <f t="shared" si="95"/>
        <v>Student Activities</v>
      </c>
      <c r="R157" s="304" t="str">
        <f t="shared" si="95"/>
        <v>Unrestricted</v>
      </c>
      <c r="S157" s="286"/>
      <c r="T157" s="286"/>
    </row>
    <row r="158" ht="15.75" customHeight="1">
      <c r="A158" s="300" t="s">
        <v>514</v>
      </c>
      <c r="B158" s="300" t="s">
        <v>1093</v>
      </c>
      <c r="C158" s="295">
        <v>62.1</v>
      </c>
      <c r="D158" s="295">
        <v>62.1</v>
      </c>
      <c r="E158" s="295">
        <v>0.0</v>
      </c>
      <c r="F158" s="295">
        <v>0.0</v>
      </c>
      <c r="G158" s="295">
        <v>0.0</v>
      </c>
      <c r="H158" s="295">
        <v>62.1</v>
      </c>
      <c r="I158" s="301" t="s">
        <v>1507</v>
      </c>
      <c r="J158" s="302" t="s">
        <v>1475</v>
      </c>
      <c r="K158" s="301" t="s">
        <v>1524</v>
      </c>
      <c r="L158" s="303" t="str">
        <f t="shared" si="1"/>
        <v>Unrestricted</v>
      </c>
      <c r="M158" s="301" t="s">
        <v>56</v>
      </c>
      <c r="N158" s="304" t="str">
        <f t="shared" si="40"/>
        <v>Unrestricted</v>
      </c>
      <c r="O158" s="301" t="str">
        <f t="shared" ref="O158:R158" si="96">+M158</f>
        <v>Student Activities</v>
      </c>
      <c r="P158" s="304" t="str">
        <f t="shared" si="96"/>
        <v>Unrestricted</v>
      </c>
      <c r="Q158" s="301" t="str">
        <f t="shared" si="96"/>
        <v>Student Activities</v>
      </c>
      <c r="R158" s="304" t="str">
        <f t="shared" si="96"/>
        <v>Unrestricted</v>
      </c>
      <c r="S158" s="286"/>
      <c r="T158" s="286"/>
    </row>
    <row r="159" ht="15.75" customHeight="1">
      <c r="A159" s="300" t="s">
        <v>516</v>
      </c>
      <c r="B159" s="300" t="s">
        <v>1095</v>
      </c>
      <c r="C159" s="295">
        <v>528.0</v>
      </c>
      <c r="D159" s="295">
        <v>528.0</v>
      </c>
      <c r="E159" s="295">
        <v>0.0</v>
      </c>
      <c r="F159" s="295">
        <v>0.0</v>
      </c>
      <c r="G159" s="295">
        <v>-800.0</v>
      </c>
      <c r="H159" s="295">
        <v>-272.0</v>
      </c>
      <c r="I159" s="301" t="s">
        <v>1507</v>
      </c>
      <c r="J159" s="302" t="s">
        <v>1475</v>
      </c>
      <c r="K159" s="301" t="s">
        <v>1524</v>
      </c>
      <c r="L159" s="303" t="str">
        <f t="shared" si="1"/>
        <v>Unrestricted</v>
      </c>
      <c r="M159" s="301" t="s">
        <v>56</v>
      </c>
      <c r="N159" s="304" t="str">
        <f t="shared" si="40"/>
        <v>Unrestricted</v>
      </c>
      <c r="O159" s="301" t="str">
        <f t="shared" ref="O159:R159" si="97">+M159</f>
        <v>Student Activities</v>
      </c>
      <c r="P159" s="304" t="str">
        <f t="shared" si="97"/>
        <v>Unrestricted</v>
      </c>
      <c r="Q159" s="301" t="str">
        <f t="shared" si="97"/>
        <v>Student Activities</v>
      </c>
      <c r="R159" s="304" t="str">
        <f t="shared" si="97"/>
        <v>Unrestricted</v>
      </c>
      <c r="S159" s="286"/>
      <c r="T159" s="286"/>
    </row>
    <row r="160" ht="15.75" customHeight="1">
      <c r="A160" s="300" t="s">
        <v>524</v>
      </c>
      <c r="B160" s="300" t="s">
        <v>1544</v>
      </c>
      <c r="C160" s="295">
        <v>0.0</v>
      </c>
      <c r="D160" s="295">
        <v>0.0</v>
      </c>
      <c r="E160" s="295">
        <v>0.0</v>
      </c>
      <c r="F160" s="295">
        <v>-200.0</v>
      </c>
      <c r="G160" s="295">
        <v>-600.0</v>
      </c>
      <c r="H160" s="295">
        <v>-600.0</v>
      </c>
      <c r="I160" s="301" t="s">
        <v>1507</v>
      </c>
      <c r="J160" s="302" t="s">
        <v>1475</v>
      </c>
      <c r="K160" s="301" t="s">
        <v>1524</v>
      </c>
      <c r="L160" s="303" t="str">
        <f t="shared" si="1"/>
        <v>Unrestricted</v>
      </c>
      <c r="M160" s="301" t="s">
        <v>56</v>
      </c>
      <c r="N160" s="304" t="str">
        <f t="shared" si="40"/>
        <v>Unrestricted</v>
      </c>
      <c r="O160" s="301" t="str">
        <f t="shared" ref="O160:R160" si="98">+M160</f>
        <v>Student Activities</v>
      </c>
      <c r="P160" s="304" t="str">
        <f t="shared" si="98"/>
        <v>Unrestricted</v>
      </c>
      <c r="Q160" s="301" t="str">
        <f t="shared" si="98"/>
        <v>Student Activities</v>
      </c>
      <c r="R160" s="304" t="str">
        <f t="shared" si="98"/>
        <v>Unrestricted</v>
      </c>
      <c r="S160" s="286"/>
      <c r="T160" s="286"/>
    </row>
    <row r="161" ht="15.75" customHeight="1">
      <c r="A161" s="300" t="s">
        <v>1397</v>
      </c>
      <c r="B161" s="300" t="s">
        <v>1100</v>
      </c>
      <c r="C161" s="295">
        <v>5953.55</v>
      </c>
      <c r="D161" s="295">
        <v>5953.55</v>
      </c>
      <c r="E161" s="295">
        <v>0.0</v>
      </c>
      <c r="F161" s="295">
        <v>-125.0</v>
      </c>
      <c r="G161" s="295">
        <v>-500.0</v>
      </c>
      <c r="H161" s="295">
        <v>5453.55</v>
      </c>
      <c r="I161" s="301" t="s">
        <v>1507</v>
      </c>
      <c r="J161" s="302" t="s">
        <v>1475</v>
      </c>
      <c r="K161" s="301" t="s">
        <v>1524</v>
      </c>
      <c r="L161" s="303" t="str">
        <f t="shared" si="1"/>
        <v>Unrestricted</v>
      </c>
      <c r="M161" s="301" t="s">
        <v>56</v>
      </c>
      <c r="N161" s="304" t="str">
        <f t="shared" si="40"/>
        <v>Unrestricted</v>
      </c>
      <c r="O161" s="301" t="str">
        <f t="shared" ref="O161:R161" si="99">+M161</f>
        <v>Student Activities</v>
      </c>
      <c r="P161" s="304" t="str">
        <f t="shared" si="99"/>
        <v>Unrestricted</v>
      </c>
      <c r="Q161" s="301" t="str">
        <f t="shared" si="99"/>
        <v>Student Activities</v>
      </c>
      <c r="R161" s="304" t="str">
        <f t="shared" si="99"/>
        <v>Unrestricted</v>
      </c>
      <c r="S161" s="286"/>
      <c r="T161" s="286"/>
    </row>
    <row r="162" ht="15.75" customHeight="1">
      <c r="A162" s="300" t="s">
        <v>518</v>
      </c>
      <c r="B162" s="300" t="s">
        <v>1096</v>
      </c>
      <c r="C162" s="295">
        <v>32.0</v>
      </c>
      <c r="D162" s="295">
        <v>32.0</v>
      </c>
      <c r="E162" s="295">
        <v>0.0</v>
      </c>
      <c r="F162" s="295">
        <v>0.0</v>
      </c>
      <c r="G162" s="295">
        <v>0.0</v>
      </c>
      <c r="H162" s="295">
        <v>32.0</v>
      </c>
      <c r="I162" s="301" t="s">
        <v>1507</v>
      </c>
      <c r="J162" s="302" t="s">
        <v>1475</v>
      </c>
      <c r="K162" s="301" t="s">
        <v>1524</v>
      </c>
      <c r="L162" s="303" t="str">
        <f t="shared" si="1"/>
        <v>Unrestricted</v>
      </c>
      <c r="M162" s="301" t="s">
        <v>56</v>
      </c>
      <c r="N162" s="304" t="str">
        <f t="shared" si="40"/>
        <v>Unrestricted</v>
      </c>
      <c r="O162" s="301" t="str">
        <f t="shared" ref="O162:R162" si="100">+M162</f>
        <v>Student Activities</v>
      </c>
      <c r="P162" s="304" t="str">
        <f t="shared" si="100"/>
        <v>Unrestricted</v>
      </c>
      <c r="Q162" s="301" t="str">
        <f t="shared" si="100"/>
        <v>Student Activities</v>
      </c>
      <c r="R162" s="304" t="str">
        <f t="shared" si="100"/>
        <v>Unrestricted</v>
      </c>
      <c r="S162" s="286"/>
      <c r="T162" s="286"/>
    </row>
    <row r="163" ht="15.75" customHeight="1">
      <c r="A163" s="286" t="s">
        <v>549</v>
      </c>
      <c r="B163" s="286" t="s">
        <v>1110</v>
      </c>
      <c r="C163" s="295">
        <v>1200.5</v>
      </c>
      <c r="D163" s="295">
        <v>1200.5</v>
      </c>
      <c r="E163" s="295">
        <v>0.0</v>
      </c>
      <c r="F163" s="295">
        <v>-250.0</v>
      </c>
      <c r="G163" s="295">
        <v>-750.0</v>
      </c>
      <c r="H163" s="295">
        <v>450.5</v>
      </c>
      <c r="I163" s="8" t="s">
        <v>1507</v>
      </c>
      <c r="J163" s="289" t="s">
        <v>1475</v>
      </c>
      <c r="K163" s="8" t="s">
        <v>1524</v>
      </c>
      <c r="L163" s="283" t="str">
        <f t="shared" si="1"/>
        <v>Unrestricted</v>
      </c>
      <c r="M163" s="8" t="s">
        <v>191</v>
      </c>
      <c r="N163" s="27" t="str">
        <f t="shared" si="40"/>
        <v>Unrestricted</v>
      </c>
      <c r="O163" s="8" t="str">
        <f t="shared" ref="O163:R163" si="101">+M163</f>
        <v>Test Expenses</v>
      </c>
      <c r="P163" s="27" t="str">
        <f t="shared" si="101"/>
        <v>Unrestricted</v>
      </c>
      <c r="Q163" s="8" t="str">
        <f t="shared" si="101"/>
        <v>Test Expenses</v>
      </c>
      <c r="R163" s="27" t="str">
        <f t="shared" si="101"/>
        <v>Unrestricted</v>
      </c>
      <c r="S163" s="286"/>
      <c r="T163" s="286"/>
    </row>
    <row r="164" ht="15.75" customHeight="1">
      <c r="A164" s="300" t="s">
        <v>522</v>
      </c>
      <c r="B164" s="300" t="s">
        <v>1099</v>
      </c>
      <c r="C164" s="295">
        <v>0.0</v>
      </c>
      <c r="D164" s="295">
        <v>0.0</v>
      </c>
      <c r="E164" s="295">
        <v>0.0</v>
      </c>
      <c r="F164" s="295">
        <v>0.0</v>
      </c>
      <c r="G164" s="295">
        <v>0.0</v>
      </c>
      <c r="H164" s="295">
        <v>0.0</v>
      </c>
      <c r="I164" s="301" t="s">
        <v>1507</v>
      </c>
      <c r="J164" s="302" t="s">
        <v>1475</v>
      </c>
      <c r="K164" s="301" t="s">
        <v>1524</v>
      </c>
      <c r="L164" s="303" t="str">
        <f t="shared" si="1"/>
        <v>Unrestricted</v>
      </c>
      <c r="M164" s="301" t="s">
        <v>56</v>
      </c>
      <c r="N164" s="304" t="str">
        <f t="shared" si="40"/>
        <v>Unrestricted</v>
      </c>
      <c r="O164" s="301" t="str">
        <f t="shared" ref="O164:R164" si="102">+M164</f>
        <v>Student Activities</v>
      </c>
      <c r="P164" s="304" t="str">
        <f t="shared" si="102"/>
        <v>Unrestricted</v>
      </c>
      <c r="Q164" s="301" t="str">
        <f t="shared" si="102"/>
        <v>Student Activities</v>
      </c>
      <c r="R164" s="304" t="str">
        <f t="shared" si="102"/>
        <v>Unrestricted</v>
      </c>
      <c r="S164" s="286"/>
      <c r="T164" s="286"/>
    </row>
    <row r="165" ht="15.75" customHeight="1">
      <c r="A165" s="300" t="s">
        <v>1401</v>
      </c>
      <c r="B165" s="300" t="s">
        <v>1102</v>
      </c>
      <c r="C165" s="295">
        <v>1166.0</v>
      </c>
      <c r="D165" s="295">
        <v>1521.0</v>
      </c>
      <c r="E165" s="295">
        <v>355.0</v>
      </c>
      <c r="F165" s="295">
        <v>0.0</v>
      </c>
      <c r="G165" s="295">
        <v>0.0</v>
      </c>
      <c r="H165" s="295">
        <v>1521.0</v>
      </c>
      <c r="I165" s="301" t="s">
        <v>1507</v>
      </c>
      <c r="J165" s="302" t="s">
        <v>1475</v>
      </c>
      <c r="K165" s="301" t="s">
        <v>1524</v>
      </c>
      <c r="L165" s="303" t="str">
        <f t="shared" si="1"/>
        <v>Unrestricted</v>
      </c>
      <c r="M165" s="301" t="s">
        <v>56</v>
      </c>
      <c r="N165" s="304" t="str">
        <f t="shared" si="40"/>
        <v>Unrestricted</v>
      </c>
      <c r="O165" s="301" t="str">
        <f t="shared" ref="O165:R165" si="103">+M165</f>
        <v>Student Activities</v>
      </c>
      <c r="P165" s="304" t="str">
        <f t="shared" si="103"/>
        <v>Unrestricted</v>
      </c>
      <c r="Q165" s="301" t="str">
        <f t="shared" si="103"/>
        <v>Student Activities</v>
      </c>
      <c r="R165" s="304" t="str">
        <f t="shared" si="103"/>
        <v>Unrestricted</v>
      </c>
      <c r="S165" s="286"/>
      <c r="T165" s="286"/>
    </row>
    <row r="166" ht="15.75" customHeight="1">
      <c r="A166" s="300" t="s">
        <v>532</v>
      </c>
      <c r="B166" s="300" t="s">
        <v>1103</v>
      </c>
      <c r="C166" s="295">
        <v>0.0</v>
      </c>
      <c r="D166" s="295">
        <v>0.0</v>
      </c>
      <c r="E166" s="295">
        <v>0.0</v>
      </c>
      <c r="F166" s="295">
        <v>0.0</v>
      </c>
      <c r="G166" s="295">
        <v>0.0</v>
      </c>
      <c r="H166" s="295">
        <v>0.0</v>
      </c>
      <c r="I166" s="301" t="s">
        <v>1507</v>
      </c>
      <c r="J166" s="302" t="s">
        <v>1475</v>
      </c>
      <c r="K166" s="301" t="s">
        <v>1524</v>
      </c>
      <c r="L166" s="303" t="str">
        <f t="shared" si="1"/>
        <v>Unrestricted</v>
      </c>
      <c r="M166" s="301" t="s">
        <v>56</v>
      </c>
      <c r="N166" s="304" t="str">
        <f t="shared" si="40"/>
        <v>Unrestricted</v>
      </c>
      <c r="O166" s="301" t="str">
        <f t="shared" ref="O166:R166" si="104">+M166</f>
        <v>Student Activities</v>
      </c>
      <c r="P166" s="304" t="str">
        <f t="shared" si="104"/>
        <v>Unrestricted</v>
      </c>
      <c r="Q166" s="301" t="str">
        <f t="shared" si="104"/>
        <v>Student Activities</v>
      </c>
      <c r="R166" s="304" t="str">
        <f t="shared" si="104"/>
        <v>Unrestricted</v>
      </c>
      <c r="S166" s="286"/>
      <c r="T166" s="286"/>
    </row>
    <row r="167" ht="15.75" customHeight="1">
      <c r="A167" s="300" t="s">
        <v>534</v>
      </c>
      <c r="B167" s="300" t="s">
        <v>1104</v>
      </c>
      <c r="C167" s="295">
        <v>0.0</v>
      </c>
      <c r="D167" s="295">
        <v>0.0</v>
      </c>
      <c r="E167" s="295">
        <v>0.0</v>
      </c>
      <c r="F167" s="295">
        <v>0.0</v>
      </c>
      <c r="G167" s="295">
        <v>0.0</v>
      </c>
      <c r="H167" s="295">
        <v>0.0</v>
      </c>
      <c r="I167" s="301" t="s">
        <v>1507</v>
      </c>
      <c r="J167" s="302" t="s">
        <v>1475</v>
      </c>
      <c r="K167" s="301" t="s">
        <v>1524</v>
      </c>
      <c r="L167" s="303" t="str">
        <f t="shared" si="1"/>
        <v>Unrestricted</v>
      </c>
      <c r="M167" s="301" t="s">
        <v>56</v>
      </c>
      <c r="N167" s="304" t="str">
        <f t="shared" si="40"/>
        <v>Unrestricted</v>
      </c>
      <c r="O167" s="301" t="str">
        <f t="shared" ref="O167:R167" si="105">+M167</f>
        <v>Student Activities</v>
      </c>
      <c r="P167" s="304" t="str">
        <f t="shared" si="105"/>
        <v>Unrestricted</v>
      </c>
      <c r="Q167" s="301" t="str">
        <f t="shared" si="105"/>
        <v>Student Activities</v>
      </c>
      <c r="R167" s="304" t="str">
        <f t="shared" si="105"/>
        <v>Unrestricted</v>
      </c>
      <c r="S167" s="286"/>
      <c r="T167" s="286"/>
    </row>
    <row r="168" ht="15.75" customHeight="1">
      <c r="A168" s="300" t="s">
        <v>544</v>
      </c>
      <c r="B168" s="300" t="s">
        <v>1106</v>
      </c>
      <c r="C168" s="295">
        <v>0.0</v>
      </c>
      <c r="D168" s="295">
        <v>0.0</v>
      </c>
      <c r="E168" s="295">
        <v>0.0</v>
      </c>
      <c r="F168" s="295">
        <v>0.0</v>
      </c>
      <c r="G168" s="295">
        <v>-1250.0</v>
      </c>
      <c r="H168" s="295">
        <v>-1250.0</v>
      </c>
      <c r="I168" s="301" t="s">
        <v>1507</v>
      </c>
      <c r="J168" s="302" t="s">
        <v>1475</v>
      </c>
      <c r="K168" s="301" t="s">
        <v>1524</v>
      </c>
      <c r="L168" s="303" t="str">
        <f t="shared" si="1"/>
        <v>Unrestricted</v>
      </c>
      <c r="M168" s="301" t="s">
        <v>56</v>
      </c>
      <c r="N168" s="304" t="str">
        <f t="shared" si="40"/>
        <v>Unrestricted</v>
      </c>
      <c r="O168" s="301" t="str">
        <f t="shared" ref="O168:R168" si="106">+M168</f>
        <v>Student Activities</v>
      </c>
      <c r="P168" s="304" t="str">
        <f t="shared" si="106"/>
        <v>Unrestricted</v>
      </c>
      <c r="Q168" s="301" t="str">
        <f t="shared" si="106"/>
        <v>Student Activities</v>
      </c>
      <c r="R168" s="304" t="str">
        <f t="shared" si="106"/>
        <v>Unrestricted</v>
      </c>
      <c r="S168" s="286"/>
      <c r="T168" s="286"/>
    </row>
    <row r="169" ht="15.75" customHeight="1">
      <c r="A169" s="286" t="s">
        <v>161</v>
      </c>
      <c r="B169" s="286" t="s">
        <v>1107</v>
      </c>
      <c r="C169" s="295">
        <v>191.59</v>
      </c>
      <c r="D169" s="295">
        <v>191.59</v>
      </c>
      <c r="E169" s="295">
        <v>0.0</v>
      </c>
      <c r="F169" s="295">
        <v>-166.66666666666666</v>
      </c>
      <c r="G169" s="295">
        <v>-1500.0</v>
      </c>
      <c r="H169" s="295">
        <v>-1308.41</v>
      </c>
      <c r="I169" s="8" t="s">
        <v>1507</v>
      </c>
      <c r="J169" s="289" t="s">
        <v>1475</v>
      </c>
      <c r="K169" s="8" t="s">
        <v>1524</v>
      </c>
      <c r="L169" s="283" t="str">
        <f t="shared" si="1"/>
        <v>Unrestricted</v>
      </c>
      <c r="M169" s="8" t="s">
        <v>161</v>
      </c>
      <c r="N169" s="27" t="str">
        <f t="shared" si="40"/>
        <v>Unrestricted</v>
      </c>
      <c r="O169" s="8" t="str">
        <f t="shared" ref="O169:R169" si="107">+M169</f>
        <v>Computer Expenses</v>
      </c>
      <c r="P169" s="27" t="str">
        <f t="shared" si="107"/>
        <v>Unrestricted</v>
      </c>
      <c r="Q169" s="8" t="str">
        <f t="shared" si="107"/>
        <v>Computer Expenses</v>
      </c>
      <c r="R169" s="27" t="str">
        <f t="shared" si="107"/>
        <v>Unrestricted</v>
      </c>
      <c r="S169" s="286"/>
      <c r="T169" s="286"/>
    </row>
    <row r="170" ht="15.75" customHeight="1">
      <c r="A170" s="286" t="s">
        <v>1545</v>
      </c>
      <c r="B170" s="286" t="s">
        <v>1109</v>
      </c>
      <c r="C170" s="295">
        <v>0.0</v>
      </c>
      <c r="D170" s="295">
        <v>0.0</v>
      </c>
      <c r="E170" s="295">
        <v>0.0</v>
      </c>
      <c r="F170" s="295">
        <v>-41.666666666666664</v>
      </c>
      <c r="G170" s="295">
        <v>-375.0</v>
      </c>
      <c r="H170" s="295">
        <v>-375.0</v>
      </c>
      <c r="I170" s="8" t="s">
        <v>1507</v>
      </c>
      <c r="J170" s="289" t="s">
        <v>1475</v>
      </c>
      <c r="K170" s="8" t="s">
        <v>1524</v>
      </c>
      <c r="L170" s="283" t="str">
        <f t="shared" si="1"/>
        <v>Unrestricted</v>
      </c>
      <c r="M170" s="8" t="s">
        <v>161</v>
      </c>
      <c r="N170" s="27" t="str">
        <f t="shared" si="40"/>
        <v>Unrestricted</v>
      </c>
      <c r="O170" s="8" t="str">
        <f t="shared" ref="O170:R170" si="108">+M170</f>
        <v>Computer Expenses</v>
      </c>
      <c r="P170" s="27" t="str">
        <f t="shared" si="108"/>
        <v>Unrestricted</v>
      </c>
      <c r="Q170" s="8" t="str">
        <f t="shared" si="108"/>
        <v>Computer Expenses</v>
      </c>
      <c r="R170" s="27" t="str">
        <f t="shared" si="108"/>
        <v>Unrestricted</v>
      </c>
      <c r="S170" s="286"/>
      <c r="T170" s="286"/>
    </row>
    <row r="171" ht="15.75" customHeight="1">
      <c r="A171" s="286" t="s">
        <v>580</v>
      </c>
      <c r="B171" s="286" t="s">
        <v>1111</v>
      </c>
      <c r="C171" s="295">
        <v>0.0</v>
      </c>
      <c r="D171" s="295">
        <v>0.0</v>
      </c>
      <c r="E171" s="295">
        <v>0.0</v>
      </c>
      <c r="F171" s="295">
        <v>-52.63157894736842</v>
      </c>
      <c r="G171" s="295">
        <v>-394.7368421052632</v>
      </c>
      <c r="H171" s="295">
        <v>-394.7368421052632</v>
      </c>
      <c r="I171" s="8" t="s">
        <v>1507</v>
      </c>
      <c r="J171" s="289" t="s">
        <v>1475</v>
      </c>
      <c r="K171" s="8" t="s">
        <v>1524</v>
      </c>
      <c r="L171" s="283" t="str">
        <f t="shared" si="1"/>
        <v>Unrestricted</v>
      </c>
      <c r="M171" s="8" t="s">
        <v>204</v>
      </c>
      <c r="N171" s="27" t="str">
        <f t="shared" si="40"/>
        <v>Unrestricted</v>
      </c>
      <c r="O171" s="8" t="str">
        <f t="shared" ref="O171:R171" si="109">+M171</f>
        <v>Aftercare Expenses</v>
      </c>
      <c r="P171" s="27" t="str">
        <f t="shared" si="109"/>
        <v>Unrestricted</v>
      </c>
      <c r="Q171" s="8" t="str">
        <f t="shared" si="109"/>
        <v>Aftercare Expenses</v>
      </c>
      <c r="R171" s="27" t="str">
        <f t="shared" si="109"/>
        <v>Unrestricted</v>
      </c>
      <c r="S171" s="286"/>
      <c r="T171" s="286"/>
    </row>
    <row r="172" ht="15.75" customHeight="1">
      <c r="A172" s="286" t="s">
        <v>1404</v>
      </c>
      <c r="B172" s="286" t="s">
        <v>1112</v>
      </c>
      <c r="C172" s="295">
        <v>10.95</v>
      </c>
      <c r="D172" s="295">
        <v>10.95</v>
      </c>
      <c r="E172" s="295">
        <v>0.0</v>
      </c>
      <c r="F172" s="295">
        <v>-2083.3333333333335</v>
      </c>
      <c r="G172" s="295">
        <v>-18750.0</v>
      </c>
      <c r="H172" s="295">
        <v>-18739.05</v>
      </c>
      <c r="I172" s="8" t="s">
        <v>1507</v>
      </c>
      <c r="J172" s="289" t="s">
        <v>1475</v>
      </c>
      <c r="K172" s="8" t="s">
        <v>1524</v>
      </c>
      <c r="L172" s="283" t="str">
        <f t="shared" si="1"/>
        <v>Unrestricted</v>
      </c>
      <c r="M172" s="8" t="s">
        <v>208</v>
      </c>
      <c r="N172" s="27" t="str">
        <f t="shared" si="40"/>
        <v>Unrestricted</v>
      </c>
      <c r="O172" s="8" t="str">
        <f t="shared" ref="O172:R172" si="110">+M172</f>
        <v>Marketing/PR/Advertising</v>
      </c>
      <c r="P172" s="27" t="str">
        <f t="shared" si="110"/>
        <v>Unrestricted</v>
      </c>
      <c r="Q172" s="8" t="str">
        <f t="shared" si="110"/>
        <v>Marketing/PR/Advertising</v>
      </c>
      <c r="R172" s="27" t="str">
        <f t="shared" si="110"/>
        <v>Unrestricted</v>
      </c>
      <c r="S172" s="286"/>
      <c r="T172" s="286"/>
    </row>
    <row r="173" ht="15.75" customHeight="1">
      <c r="A173" s="286" t="s">
        <v>1406</v>
      </c>
      <c r="B173" s="286" t="s">
        <v>1113</v>
      </c>
      <c r="C173" s="295">
        <v>3910.0</v>
      </c>
      <c r="D173" s="295">
        <v>3910.0</v>
      </c>
      <c r="E173" s="295">
        <v>0.0</v>
      </c>
      <c r="F173" s="295">
        <v>0.0</v>
      </c>
      <c r="G173" s="295">
        <v>0.0</v>
      </c>
      <c r="H173" s="295">
        <v>3910.0</v>
      </c>
      <c r="I173" s="8" t="s">
        <v>1507</v>
      </c>
      <c r="J173" s="289" t="s">
        <v>1475</v>
      </c>
      <c r="K173" s="8" t="s">
        <v>1524</v>
      </c>
      <c r="L173" s="283" t="str">
        <f t="shared" si="1"/>
        <v>Unrestricted</v>
      </c>
      <c r="M173" s="8" t="s">
        <v>208</v>
      </c>
      <c r="N173" s="27" t="str">
        <f t="shared" si="40"/>
        <v>Unrestricted</v>
      </c>
      <c r="O173" s="8" t="str">
        <f t="shared" ref="O173:R173" si="111">+M173</f>
        <v>Marketing/PR/Advertising</v>
      </c>
      <c r="P173" s="27" t="str">
        <f t="shared" si="111"/>
        <v>Unrestricted</v>
      </c>
      <c r="Q173" s="8" t="str">
        <f t="shared" si="111"/>
        <v>Marketing/PR/Advertising</v>
      </c>
      <c r="R173" s="27" t="str">
        <f t="shared" si="111"/>
        <v>Unrestricted</v>
      </c>
      <c r="S173" s="286"/>
      <c r="T173" s="286"/>
    </row>
    <row r="174" ht="15.75" customHeight="1">
      <c r="A174" s="286" t="s">
        <v>1546</v>
      </c>
      <c r="B174" s="286" t="s">
        <v>1114</v>
      </c>
      <c r="C174" s="295">
        <v>0.0</v>
      </c>
      <c r="D174" s="295">
        <v>0.0</v>
      </c>
      <c r="E174" s="295">
        <v>0.0</v>
      </c>
      <c r="F174" s="295">
        <v>0.0</v>
      </c>
      <c r="G174" s="295">
        <v>0.0</v>
      </c>
      <c r="H174" s="295">
        <v>0.0</v>
      </c>
      <c r="I174" s="8" t="s">
        <v>1507</v>
      </c>
      <c r="J174" s="289" t="s">
        <v>1475</v>
      </c>
      <c r="K174" s="8" t="s">
        <v>1524</v>
      </c>
      <c r="L174" s="283" t="str">
        <f t="shared" si="1"/>
        <v>Unrestricted</v>
      </c>
      <c r="M174" s="8" t="s">
        <v>208</v>
      </c>
      <c r="N174" s="27" t="str">
        <f t="shared" si="40"/>
        <v>Unrestricted</v>
      </c>
      <c r="O174" s="8" t="str">
        <f t="shared" ref="O174:R174" si="112">+M174</f>
        <v>Marketing/PR/Advertising</v>
      </c>
      <c r="P174" s="27" t="str">
        <f t="shared" si="112"/>
        <v>Unrestricted</v>
      </c>
      <c r="Q174" s="8" t="str">
        <f t="shared" si="112"/>
        <v>Marketing/PR/Advertising</v>
      </c>
      <c r="R174" s="27" t="str">
        <f t="shared" si="112"/>
        <v>Unrestricted</v>
      </c>
      <c r="S174" s="286"/>
      <c r="T174" s="286"/>
    </row>
    <row r="175" ht="15.75" customHeight="1">
      <c r="A175" s="286" t="s">
        <v>1408</v>
      </c>
      <c r="B175" s="286" t="s">
        <v>1115</v>
      </c>
      <c r="C175" s="295">
        <v>8539.15</v>
      </c>
      <c r="D175" s="295">
        <v>3481.62</v>
      </c>
      <c r="E175" s="295">
        <v>-5057.53</v>
      </c>
      <c r="F175" s="295">
        <v>0.0</v>
      </c>
      <c r="G175" s="295">
        <v>0.0</v>
      </c>
      <c r="H175" s="295">
        <v>3481.62</v>
      </c>
      <c r="I175" s="8" t="s">
        <v>1507</v>
      </c>
      <c r="J175" s="289" t="s">
        <v>1475</v>
      </c>
      <c r="K175" s="8" t="s">
        <v>1524</v>
      </c>
      <c r="L175" s="283" t="str">
        <f t="shared" si="1"/>
        <v>Unrestricted</v>
      </c>
      <c r="M175" s="8" t="s">
        <v>208</v>
      </c>
      <c r="N175" s="27" t="str">
        <f t="shared" si="40"/>
        <v>Unrestricted</v>
      </c>
      <c r="O175" s="8" t="str">
        <f t="shared" ref="O175:R175" si="113">+M175</f>
        <v>Marketing/PR/Advertising</v>
      </c>
      <c r="P175" s="27" t="str">
        <f t="shared" si="113"/>
        <v>Unrestricted</v>
      </c>
      <c r="Q175" s="8" t="str">
        <f t="shared" si="113"/>
        <v>Marketing/PR/Advertising</v>
      </c>
      <c r="R175" s="27" t="str">
        <f t="shared" si="113"/>
        <v>Unrestricted</v>
      </c>
      <c r="S175" s="286"/>
      <c r="T175" s="286"/>
    </row>
    <row r="176" ht="15.75" customHeight="1">
      <c r="A176" s="286" t="s">
        <v>1410</v>
      </c>
      <c r="B176" s="286" t="s">
        <v>1116</v>
      </c>
      <c r="C176" s="295">
        <v>8007.58</v>
      </c>
      <c r="D176" s="295">
        <v>8996.28</v>
      </c>
      <c r="E176" s="295">
        <v>988.7000000000007</v>
      </c>
      <c r="F176" s="295">
        <v>0.0</v>
      </c>
      <c r="G176" s="295">
        <v>0.0</v>
      </c>
      <c r="H176" s="295">
        <v>8996.28</v>
      </c>
      <c r="I176" s="8" t="s">
        <v>1507</v>
      </c>
      <c r="J176" s="289" t="s">
        <v>1475</v>
      </c>
      <c r="K176" s="8" t="s">
        <v>1524</v>
      </c>
      <c r="L176" s="283" t="str">
        <f t="shared" si="1"/>
        <v>Unrestricted</v>
      </c>
      <c r="M176" s="8" t="s">
        <v>208</v>
      </c>
      <c r="N176" s="27" t="str">
        <f t="shared" si="40"/>
        <v>Unrestricted</v>
      </c>
      <c r="O176" s="8" t="str">
        <f t="shared" ref="O176:R176" si="114">+M176</f>
        <v>Marketing/PR/Advertising</v>
      </c>
      <c r="P176" s="27" t="str">
        <f t="shared" si="114"/>
        <v>Unrestricted</v>
      </c>
      <c r="Q176" s="8" t="str">
        <f t="shared" si="114"/>
        <v>Marketing/PR/Advertising</v>
      </c>
      <c r="R176" s="27" t="str">
        <f t="shared" si="114"/>
        <v>Unrestricted</v>
      </c>
      <c r="S176" s="286"/>
      <c r="T176" s="286"/>
    </row>
    <row r="177" ht="15.75" customHeight="1">
      <c r="A177" s="286" t="s">
        <v>1547</v>
      </c>
      <c r="B177" s="286" t="s">
        <v>1117</v>
      </c>
      <c r="C177" s="295">
        <v>0.0</v>
      </c>
      <c r="D177" s="295">
        <v>0.0</v>
      </c>
      <c r="E177" s="295">
        <v>0.0</v>
      </c>
      <c r="F177" s="295">
        <v>0.0</v>
      </c>
      <c r="G177" s="295">
        <v>0.0</v>
      </c>
      <c r="H177" s="295">
        <v>0.0</v>
      </c>
      <c r="I177" s="8" t="s">
        <v>1507</v>
      </c>
      <c r="J177" s="289" t="s">
        <v>1475</v>
      </c>
      <c r="K177" s="8" t="s">
        <v>1524</v>
      </c>
      <c r="L177" s="283" t="str">
        <f t="shared" si="1"/>
        <v>Unrestricted</v>
      </c>
      <c r="M177" s="8" t="s">
        <v>208</v>
      </c>
      <c r="N177" s="27" t="str">
        <f t="shared" si="40"/>
        <v>Unrestricted</v>
      </c>
      <c r="O177" s="8" t="str">
        <f t="shared" ref="O177:R177" si="115">+M177</f>
        <v>Marketing/PR/Advertising</v>
      </c>
      <c r="P177" s="27" t="str">
        <f t="shared" si="115"/>
        <v>Unrestricted</v>
      </c>
      <c r="Q177" s="8" t="str">
        <f t="shared" si="115"/>
        <v>Marketing/PR/Advertising</v>
      </c>
      <c r="R177" s="27" t="str">
        <f t="shared" si="115"/>
        <v>Unrestricted</v>
      </c>
      <c r="S177" s="286"/>
      <c r="T177" s="286"/>
    </row>
    <row r="178" ht="15.75" customHeight="1">
      <c r="A178" s="286" t="s">
        <v>1412</v>
      </c>
      <c r="B178" s="286" t="s">
        <v>1118</v>
      </c>
      <c r="C178" s="295">
        <v>0.0</v>
      </c>
      <c r="D178" s="295">
        <v>21.17</v>
      </c>
      <c r="E178" s="295">
        <v>21.17</v>
      </c>
      <c r="F178" s="295">
        <v>0.0</v>
      </c>
      <c r="G178" s="295">
        <v>0.0</v>
      </c>
      <c r="H178" s="295">
        <v>21.17</v>
      </c>
      <c r="I178" s="8" t="s">
        <v>1507</v>
      </c>
      <c r="J178" s="289" t="s">
        <v>1475</v>
      </c>
      <c r="K178" s="8" t="s">
        <v>1524</v>
      </c>
      <c r="L178" s="283" t="str">
        <f t="shared" si="1"/>
        <v>Unrestricted</v>
      </c>
      <c r="M178" s="8" t="s">
        <v>208</v>
      </c>
      <c r="N178" s="27" t="str">
        <f t="shared" si="40"/>
        <v>Unrestricted</v>
      </c>
      <c r="O178" s="8" t="str">
        <f t="shared" ref="O178:R178" si="116">+M178</f>
        <v>Marketing/PR/Advertising</v>
      </c>
      <c r="P178" s="27" t="str">
        <f t="shared" si="116"/>
        <v>Unrestricted</v>
      </c>
      <c r="Q178" s="8" t="str">
        <f t="shared" si="116"/>
        <v>Marketing/PR/Advertising</v>
      </c>
      <c r="R178" s="27" t="str">
        <f t="shared" si="116"/>
        <v>Unrestricted</v>
      </c>
      <c r="S178" s="286"/>
      <c r="T178" s="286"/>
    </row>
    <row r="179" ht="15.75" customHeight="1">
      <c r="A179" s="286" t="s">
        <v>1414</v>
      </c>
      <c r="B179" s="286" t="s">
        <v>1119</v>
      </c>
      <c r="C179" s="295">
        <v>466.95</v>
      </c>
      <c r="D179" s="295">
        <v>483.38</v>
      </c>
      <c r="E179" s="295">
        <v>16.430000000000007</v>
      </c>
      <c r="F179" s="295">
        <v>0.0</v>
      </c>
      <c r="G179" s="295">
        <v>0.0</v>
      </c>
      <c r="H179" s="295">
        <v>483.38</v>
      </c>
      <c r="I179" s="8" t="s">
        <v>1507</v>
      </c>
      <c r="J179" s="289" t="s">
        <v>1475</v>
      </c>
      <c r="K179" s="8" t="s">
        <v>1524</v>
      </c>
      <c r="L179" s="283" t="str">
        <f t="shared" si="1"/>
        <v>Unrestricted</v>
      </c>
      <c r="M179" s="8" t="s">
        <v>208</v>
      </c>
      <c r="N179" s="27" t="str">
        <f t="shared" si="40"/>
        <v>Unrestricted</v>
      </c>
      <c r="O179" s="8" t="str">
        <f t="shared" ref="O179:R179" si="117">+M179</f>
        <v>Marketing/PR/Advertising</v>
      </c>
      <c r="P179" s="27" t="str">
        <f t="shared" si="117"/>
        <v>Unrestricted</v>
      </c>
      <c r="Q179" s="8" t="str">
        <f t="shared" si="117"/>
        <v>Marketing/PR/Advertising</v>
      </c>
      <c r="R179" s="27" t="str">
        <f t="shared" si="117"/>
        <v>Unrestricted</v>
      </c>
      <c r="S179" s="286"/>
      <c r="T179" s="286"/>
    </row>
    <row r="180" ht="15.75" customHeight="1">
      <c r="A180" s="286" t="s">
        <v>1416</v>
      </c>
      <c r="B180" s="286" t="s">
        <v>1121</v>
      </c>
      <c r="C180" s="295">
        <v>165.7</v>
      </c>
      <c r="D180" s="295">
        <v>402.7</v>
      </c>
      <c r="E180" s="295">
        <v>237.0</v>
      </c>
      <c r="F180" s="295">
        <v>0.0</v>
      </c>
      <c r="G180" s="295">
        <v>0.0</v>
      </c>
      <c r="H180" s="295">
        <v>402.7</v>
      </c>
      <c r="I180" s="8" t="s">
        <v>1507</v>
      </c>
      <c r="J180" s="289" t="s">
        <v>1475</v>
      </c>
      <c r="K180" s="8" t="s">
        <v>1524</v>
      </c>
      <c r="L180" s="283" t="str">
        <f t="shared" si="1"/>
        <v>Unrestricted</v>
      </c>
      <c r="M180" s="8" t="s">
        <v>208</v>
      </c>
      <c r="N180" s="27" t="str">
        <f t="shared" si="40"/>
        <v>Unrestricted</v>
      </c>
      <c r="O180" s="8" t="str">
        <f t="shared" ref="O180:R180" si="118">+M180</f>
        <v>Marketing/PR/Advertising</v>
      </c>
      <c r="P180" s="27" t="str">
        <f t="shared" si="118"/>
        <v>Unrestricted</v>
      </c>
      <c r="Q180" s="8" t="str">
        <f t="shared" si="118"/>
        <v>Marketing/PR/Advertising</v>
      </c>
      <c r="R180" s="27" t="str">
        <f t="shared" si="118"/>
        <v>Unrestricted</v>
      </c>
      <c r="S180" s="286"/>
      <c r="T180" s="286"/>
    </row>
    <row r="181" ht="15.75" customHeight="1">
      <c r="A181" s="286" t="s">
        <v>1418</v>
      </c>
      <c r="B181" s="286" t="s">
        <v>1122</v>
      </c>
      <c r="C181" s="295">
        <v>67.16</v>
      </c>
      <c r="D181" s="295">
        <v>67.16</v>
      </c>
      <c r="E181" s="295">
        <v>0.0</v>
      </c>
      <c r="F181" s="295">
        <v>0.0</v>
      </c>
      <c r="G181" s="295">
        <v>0.0</v>
      </c>
      <c r="H181" s="295">
        <v>67.16</v>
      </c>
      <c r="I181" s="8" t="s">
        <v>1507</v>
      </c>
      <c r="J181" s="289" t="s">
        <v>1475</v>
      </c>
      <c r="K181" s="8" t="s">
        <v>1524</v>
      </c>
      <c r="L181" s="283" t="str">
        <f t="shared" si="1"/>
        <v>Unrestricted</v>
      </c>
      <c r="M181" s="8" t="s">
        <v>208</v>
      </c>
      <c r="N181" s="27" t="str">
        <f t="shared" si="40"/>
        <v>Unrestricted</v>
      </c>
      <c r="O181" s="8" t="str">
        <f t="shared" ref="O181:R181" si="119">+M181</f>
        <v>Marketing/PR/Advertising</v>
      </c>
      <c r="P181" s="27" t="str">
        <f t="shared" si="119"/>
        <v>Unrestricted</v>
      </c>
      <c r="Q181" s="8" t="str">
        <f t="shared" si="119"/>
        <v>Marketing/PR/Advertising</v>
      </c>
      <c r="R181" s="27" t="str">
        <f t="shared" si="119"/>
        <v>Unrestricted</v>
      </c>
      <c r="S181" s="286"/>
      <c r="T181" s="286"/>
    </row>
    <row r="182" ht="15.75" customHeight="1">
      <c r="A182" s="286" t="s">
        <v>574</v>
      </c>
      <c r="B182" s="286" t="s">
        <v>1124</v>
      </c>
      <c r="C182" s="295">
        <v>2660.53</v>
      </c>
      <c r="D182" s="295">
        <v>2710.53</v>
      </c>
      <c r="E182" s="295">
        <v>50.0</v>
      </c>
      <c r="F182" s="295">
        <v>0.0</v>
      </c>
      <c r="G182" s="295">
        <v>-3500.0</v>
      </c>
      <c r="H182" s="295">
        <v>-789.4699999999998</v>
      </c>
      <c r="I182" s="8" t="s">
        <v>1507</v>
      </c>
      <c r="J182" s="289" t="s">
        <v>1475</v>
      </c>
      <c r="K182" s="8" t="s">
        <v>1524</v>
      </c>
      <c r="L182" s="283" t="str">
        <f t="shared" si="1"/>
        <v>Unrestricted</v>
      </c>
      <c r="M182" s="8" t="s">
        <v>154</v>
      </c>
      <c r="N182" s="27" t="str">
        <f t="shared" si="40"/>
        <v>Unrestricted</v>
      </c>
      <c r="O182" s="8" t="str">
        <f t="shared" ref="O182:R182" si="120">+M182</f>
        <v>Bank Charges</v>
      </c>
      <c r="P182" s="27" t="str">
        <f t="shared" si="120"/>
        <v>Unrestricted</v>
      </c>
      <c r="Q182" s="8" t="str">
        <f t="shared" si="120"/>
        <v>Bank Charges</v>
      </c>
      <c r="R182" s="27" t="str">
        <f t="shared" si="120"/>
        <v>Unrestricted</v>
      </c>
      <c r="S182" s="286"/>
      <c r="T182" s="286"/>
    </row>
    <row r="183" ht="15.75" customHeight="1">
      <c r="A183" s="286" t="s">
        <v>154</v>
      </c>
      <c r="B183" s="286" t="s">
        <v>1126</v>
      </c>
      <c r="C183" s="295">
        <v>1790.59</v>
      </c>
      <c r="D183" s="295">
        <v>1872.68</v>
      </c>
      <c r="E183" s="295">
        <v>82.09000000000015</v>
      </c>
      <c r="F183" s="295">
        <v>-83.33333333333333</v>
      </c>
      <c r="G183" s="295">
        <v>-750.0</v>
      </c>
      <c r="H183" s="295">
        <v>1122.68</v>
      </c>
      <c r="I183" s="8" t="s">
        <v>1507</v>
      </c>
      <c r="J183" s="289" t="s">
        <v>1475</v>
      </c>
      <c r="K183" s="8" t="s">
        <v>1524</v>
      </c>
      <c r="L183" s="283" t="str">
        <f t="shared" si="1"/>
        <v>Unrestricted</v>
      </c>
      <c r="M183" s="8" t="s">
        <v>154</v>
      </c>
      <c r="N183" s="27" t="str">
        <f t="shared" si="40"/>
        <v>Unrestricted</v>
      </c>
      <c r="O183" s="8" t="str">
        <f t="shared" ref="O183:R183" si="121">+M183</f>
        <v>Bank Charges</v>
      </c>
      <c r="P183" s="27" t="str">
        <f t="shared" si="121"/>
        <v>Unrestricted</v>
      </c>
      <c r="Q183" s="8" t="str">
        <f t="shared" si="121"/>
        <v>Bank Charges</v>
      </c>
      <c r="R183" s="27" t="str">
        <f t="shared" si="121"/>
        <v>Unrestricted</v>
      </c>
      <c r="S183" s="286"/>
      <c r="T183" s="286"/>
    </row>
    <row r="184" ht="15.75" customHeight="1">
      <c r="A184" s="286" t="s">
        <v>1422</v>
      </c>
      <c r="B184" s="286" t="s">
        <v>1128</v>
      </c>
      <c r="C184" s="295">
        <v>47.52</v>
      </c>
      <c r="D184" s="295">
        <v>47.52</v>
      </c>
      <c r="E184" s="295">
        <v>0.0</v>
      </c>
      <c r="F184" s="295">
        <v>0.0</v>
      </c>
      <c r="G184" s="295">
        <v>0.0</v>
      </c>
      <c r="H184" s="295">
        <v>47.52</v>
      </c>
      <c r="I184" s="8" t="s">
        <v>1507</v>
      </c>
      <c r="J184" s="289" t="s">
        <v>1475</v>
      </c>
      <c r="K184" s="8" t="s">
        <v>1524</v>
      </c>
      <c r="L184" s="283" t="str">
        <f t="shared" si="1"/>
        <v>Unrestricted</v>
      </c>
      <c r="M184" s="8" t="s">
        <v>154</v>
      </c>
      <c r="N184" s="27" t="str">
        <f t="shared" si="40"/>
        <v>Unrestricted</v>
      </c>
      <c r="O184" s="8" t="str">
        <f t="shared" ref="O184:R184" si="122">+M184</f>
        <v>Bank Charges</v>
      </c>
      <c r="P184" s="27" t="str">
        <f t="shared" si="122"/>
        <v>Unrestricted</v>
      </c>
      <c r="Q184" s="8" t="str">
        <f t="shared" si="122"/>
        <v>Bank Charges</v>
      </c>
      <c r="R184" s="27" t="str">
        <f t="shared" si="122"/>
        <v>Unrestricted</v>
      </c>
      <c r="S184" s="286"/>
      <c r="T184" s="286"/>
    </row>
    <row r="185" ht="15.75" customHeight="1">
      <c r="A185" s="286" t="s">
        <v>1424</v>
      </c>
      <c r="B185" s="286" t="s">
        <v>1129</v>
      </c>
      <c r="C185" s="295">
        <v>109.4</v>
      </c>
      <c r="D185" s="295">
        <v>109.4</v>
      </c>
      <c r="E185" s="295">
        <v>0.0</v>
      </c>
      <c r="F185" s="295">
        <v>0.0</v>
      </c>
      <c r="G185" s="295">
        <v>0.0</v>
      </c>
      <c r="H185" s="295">
        <v>109.4</v>
      </c>
      <c r="I185" s="8" t="s">
        <v>1507</v>
      </c>
      <c r="J185" s="289" t="s">
        <v>1475</v>
      </c>
      <c r="K185" s="8" t="s">
        <v>1524</v>
      </c>
      <c r="L185" s="283" t="str">
        <f t="shared" si="1"/>
        <v>Unrestricted</v>
      </c>
      <c r="M185" s="8" t="s">
        <v>154</v>
      </c>
      <c r="N185" s="27" t="str">
        <f t="shared" si="40"/>
        <v>Unrestricted</v>
      </c>
      <c r="O185" s="8" t="str">
        <f t="shared" ref="O185:R185" si="123">+M185</f>
        <v>Bank Charges</v>
      </c>
      <c r="P185" s="27" t="str">
        <f t="shared" si="123"/>
        <v>Unrestricted</v>
      </c>
      <c r="Q185" s="8" t="str">
        <f t="shared" si="123"/>
        <v>Bank Charges</v>
      </c>
      <c r="R185" s="27" t="str">
        <f t="shared" si="123"/>
        <v>Unrestricted</v>
      </c>
      <c r="S185" s="286"/>
      <c r="T185" s="286"/>
    </row>
    <row r="186" ht="15.75" customHeight="1">
      <c r="A186" s="286" t="s">
        <v>583</v>
      </c>
      <c r="B186" s="286" t="s">
        <v>1131</v>
      </c>
      <c r="C186" s="295">
        <v>1000.53</v>
      </c>
      <c r="D186" s="295">
        <v>1260.69</v>
      </c>
      <c r="E186" s="295">
        <v>260.1600000000001</v>
      </c>
      <c r="F186" s="295">
        <v>-166.66666666666666</v>
      </c>
      <c r="G186" s="295">
        <v>-1500.0</v>
      </c>
      <c r="H186" s="295">
        <v>-239.30999999999995</v>
      </c>
      <c r="I186" s="8" t="s">
        <v>1507</v>
      </c>
      <c r="J186" s="289" t="s">
        <v>1475</v>
      </c>
      <c r="K186" s="8" t="s">
        <v>1524</v>
      </c>
      <c r="L186" s="283" t="str">
        <f t="shared" si="1"/>
        <v>Unrestricted</v>
      </c>
      <c r="M186" s="8" t="s">
        <v>151</v>
      </c>
      <c r="N186" s="27" t="str">
        <f t="shared" si="40"/>
        <v>Unrestricted</v>
      </c>
      <c r="O186" s="8" t="str">
        <f t="shared" ref="O186:R186" si="124">+M186</f>
        <v>Telecommunications</v>
      </c>
      <c r="P186" s="27" t="str">
        <f t="shared" si="124"/>
        <v>Unrestricted</v>
      </c>
      <c r="Q186" s="8" t="str">
        <f t="shared" si="124"/>
        <v>Telecommunications</v>
      </c>
      <c r="R186" s="27" t="str">
        <f t="shared" si="124"/>
        <v>Unrestricted</v>
      </c>
      <c r="S186" s="286"/>
      <c r="T186" s="286"/>
    </row>
    <row r="187" ht="15.75" customHeight="1">
      <c r="A187" s="286" t="s">
        <v>1548</v>
      </c>
      <c r="B187" s="286" t="s">
        <v>1132</v>
      </c>
      <c r="C187" s="295">
        <v>0.0</v>
      </c>
      <c r="D187" s="295">
        <v>0.0</v>
      </c>
      <c r="E187" s="295">
        <v>0.0</v>
      </c>
      <c r="F187" s="295">
        <v>0.0</v>
      </c>
      <c r="G187" s="295">
        <v>0.0</v>
      </c>
      <c r="H187" s="295">
        <v>0.0</v>
      </c>
      <c r="I187" s="8" t="s">
        <v>1507</v>
      </c>
      <c r="J187" s="289" t="s">
        <v>1475</v>
      </c>
      <c r="K187" s="8" t="s">
        <v>1524</v>
      </c>
      <c r="L187" s="283" t="str">
        <f t="shared" si="1"/>
        <v>Unrestricted</v>
      </c>
      <c r="M187" s="8" t="s">
        <v>151</v>
      </c>
      <c r="N187" s="27" t="str">
        <f t="shared" si="40"/>
        <v>Unrestricted</v>
      </c>
      <c r="O187" s="8" t="str">
        <f t="shared" ref="O187:R187" si="125">+M187</f>
        <v>Telecommunications</v>
      </c>
      <c r="P187" s="27" t="str">
        <f t="shared" si="125"/>
        <v>Unrestricted</v>
      </c>
      <c r="Q187" s="8" t="str">
        <f t="shared" si="125"/>
        <v>Telecommunications</v>
      </c>
      <c r="R187" s="27" t="str">
        <f t="shared" si="125"/>
        <v>Unrestricted</v>
      </c>
      <c r="S187" s="286"/>
      <c r="T187" s="286"/>
    </row>
    <row r="188" ht="15.75" customHeight="1">
      <c r="A188" s="286" t="s">
        <v>1549</v>
      </c>
      <c r="B188" s="286" t="s">
        <v>1134</v>
      </c>
      <c r="C188" s="295">
        <v>0.0</v>
      </c>
      <c r="D188" s="295">
        <v>0.0</v>
      </c>
      <c r="E188" s="295">
        <v>0.0</v>
      </c>
      <c r="F188" s="295">
        <v>0.0</v>
      </c>
      <c r="G188" s="295">
        <v>0.0</v>
      </c>
      <c r="H188" s="295">
        <v>0.0</v>
      </c>
      <c r="I188" s="8" t="s">
        <v>1507</v>
      </c>
      <c r="J188" s="289" t="s">
        <v>1475</v>
      </c>
      <c r="K188" s="8" t="s">
        <v>1524</v>
      </c>
      <c r="L188" s="283" t="str">
        <f t="shared" si="1"/>
        <v>Unrestricted</v>
      </c>
      <c r="M188" s="8" t="s">
        <v>151</v>
      </c>
      <c r="N188" s="27" t="str">
        <f t="shared" si="40"/>
        <v>Unrestricted</v>
      </c>
      <c r="O188" s="8" t="str">
        <f t="shared" ref="O188:R188" si="126">+M188</f>
        <v>Telecommunications</v>
      </c>
      <c r="P188" s="27" t="str">
        <f t="shared" si="126"/>
        <v>Unrestricted</v>
      </c>
      <c r="Q188" s="8" t="str">
        <f t="shared" si="126"/>
        <v>Telecommunications</v>
      </c>
      <c r="R188" s="27" t="str">
        <f t="shared" si="126"/>
        <v>Unrestricted</v>
      </c>
      <c r="S188" s="286"/>
      <c r="T188" s="286"/>
    </row>
    <row r="189" ht="15.75" customHeight="1">
      <c r="A189" s="286" t="s">
        <v>591</v>
      </c>
      <c r="B189" s="286" t="s">
        <v>1135</v>
      </c>
      <c r="C189" s="295">
        <v>1221.82</v>
      </c>
      <c r="D189" s="295">
        <v>1585.6</v>
      </c>
      <c r="E189" s="295">
        <v>363.78</v>
      </c>
      <c r="F189" s="295">
        <v>-208.33333333333334</v>
      </c>
      <c r="G189" s="295">
        <v>-1874.9999999999998</v>
      </c>
      <c r="H189" s="295">
        <v>-289.39999999999986</v>
      </c>
      <c r="I189" s="8" t="s">
        <v>1507</v>
      </c>
      <c r="J189" s="289" t="s">
        <v>1475</v>
      </c>
      <c r="K189" s="8" t="s">
        <v>1524</v>
      </c>
      <c r="L189" s="283" t="str">
        <f t="shared" si="1"/>
        <v>Unrestricted</v>
      </c>
      <c r="M189" s="8" t="s">
        <v>151</v>
      </c>
      <c r="N189" s="27" t="str">
        <f t="shared" si="40"/>
        <v>Unrestricted</v>
      </c>
      <c r="O189" s="8" t="str">
        <f t="shared" ref="O189:R189" si="127">+M189</f>
        <v>Telecommunications</v>
      </c>
      <c r="P189" s="27" t="str">
        <f t="shared" si="127"/>
        <v>Unrestricted</v>
      </c>
      <c r="Q189" s="8" t="str">
        <f t="shared" si="127"/>
        <v>Telecommunications</v>
      </c>
      <c r="R189" s="27" t="str">
        <f t="shared" si="127"/>
        <v>Unrestricted</v>
      </c>
      <c r="S189" s="286"/>
      <c r="T189" s="286"/>
    </row>
    <row r="190" ht="15.75" customHeight="1">
      <c r="A190" s="286" t="s">
        <v>1428</v>
      </c>
      <c r="B190" s="286" t="s">
        <v>1138</v>
      </c>
      <c r="C190" s="295">
        <v>650.0</v>
      </c>
      <c r="D190" s="295">
        <v>650.0</v>
      </c>
      <c r="E190" s="295">
        <v>0.0</v>
      </c>
      <c r="F190" s="295">
        <v>-416.6666666666667</v>
      </c>
      <c r="G190" s="295">
        <v>-3749.9999999999995</v>
      </c>
      <c r="H190" s="295">
        <v>-3099.9999999999995</v>
      </c>
      <c r="I190" s="8" t="s">
        <v>1507</v>
      </c>
      <c r="J190" s="289" t="s">
        <v>1475</v>
      </c>
      <c r="K190" s="8" t="s">
        <v>1524</v>
      </c>
      <c r="L190" s="283" t="str">
        <f t="shared" si="1"/>
        <v>Unrestricted</v>
      </c>
      <c r="M190" s="8" t="s">
        <v>142</v>
      </c>
      <c r="N190" s="27" t="str">
        <f t="shared" si="40"/>
        <v>Unrestricted</v>
      </c>
      <c r="O190" s="8" t="str">
        <f t="shared" ref="O190:R190" si="128">+M190</f>
        <v>Postage and Shipping</v>
      </c>
      <c r="P190" s="27" t="str">
        <f t="shared" si="128"/>
        <v>Unrestricted</v>
      </c>
      <c r="Q190" s="8" t="str">
        <f t="shared" si="128"/>
        <v>Postage and Shipping</v>
      </c>
      <c r="R190" s="27" t="str">
        <f t="shared" si="128"/>
        <v>Unrestricted</v>
      </c>
      <c r="S190" s="286"/>
      <c r="T190" s="286"/>
    </row>
    <row r="191" ht="15.75" customHeight="1">
      <c r="A191" s="286" t="s">
        <v>1430</v>
      </c>
      <c r="B191" s="286" t="s">
        <v>1139</v>
      </c>
      <c r="C191" s="295">
        <v>331.68</v>
      </c>
      <c r="D191" s="295">
        <v>331.68</v>
      </c>
      <c r="E191" s="295">
        <v>0.0</v>
      </c>
      <c r="F191" s="295">
        <v>0.0</v>
      </c>
      <c r="G191" s="295">
        <v>0.0</v>
      </c>
      <c r="H191" s="295">
        <v>331.68</v>
      </c>
      <c r="I191" s="8" t="s">
        <v>1507</v>
      </c>
      <c r="J191" s="289" t="s">
        <v>1475</v>
      </c>
      <c r="K191" s="8" t="s">
        <v>1524</v>
      </c>
      <c r="L191" s="283" t="str">
        <f t="shared" si="1"/>
        <v>Unrestricted</v>
      </c>
      <c r="M191" s="8" t="s">
        <v>142</v>
      </c>
      <c r="N191" s="27" t="str">
        <f t="shared" si="40"/>
        <v>Unrestricted</v>
      </c>
      <c r="O191" s="8" t="str">
        <f t="shared" ref="O191:R191" si="129">+M191</f>
        <v>Postage and Shipping</v>
      </c>
      <c r="P191" s="27" t="str">
        <f t="shared" si="129"/>
        <v>Unrestricted</v>
      </c>
      <c r="Q191" s="8" t="str">
        <f t="shared" si="129"/>
        <v>Postage and Shipping</v>
      </c>
      <c r="R191" s="27" t="str">
        <f t="shared" si="129"/>
        <v>Unrestricted</v>
      </c>
      <c r="S191" s="286"/>
      <c r="T191" s="286"/>
    </row>
    <row r="192" ht="15.75" customHeight="1">
      <c r="A192" s="286" t="s">
        <v>1550</v>
      </c>
      <c r="B192" s="286" t="s">
        <v>1141</v>
      </c>
      <c r="C192" s="295">
        <v>0.0</v>
      </c>
      <c r="D192" s="295">
        <v>0.0</v>
      </c>
      <c r="E192" s="295">
        <v>0.0</v>
      </c>
      <c r="F192" s="295">
        <v>0.0</v>
      </c>
      <c r="G192" s="295">
        <v>0.0</v>
      </c>
      <c r="H192" s="295">
        <v>0.0</v>
      </c>
      <c r="I192" s="8" t="s">
        <v>1507</v>
      </c>
      <c r="J192" s="289" t="s">
        <v>1475</v>
      </c>
      <c r="K192" s="8" t="s">
        <v>1524</v>
      </c>
      <c r="L192" s="283" t="str">
        <f t="shared" si="1"/>
        <v>Unrestricted</v>
      </c>
      <c r="M192" s="8" t="s">
        <v>142</v>
      </c>
      <c r="N192" s="27" t="str">
        <f t="shared" si="40"/>
        <v>Unrestricted</v>
      </c>
      <c r="O192" s="8" t="str">
        <f t="shared" ref="O192:R192" si="130">+M192</f>
        <v>Postage and Shipping</v>
      </c>
      <c r="P192" s="27" t="str">
        <f t="shared" si="130"/>
        <v>Unrestricted</v>
      </c>
      <c r="Q192" s="8" t="str">
        <f t="shared" si="130"/>
        <v>Postage and Shipping</v>
      </c>
      <c r="R192" s="27" t="str">
        <f t="shared" si="130"/>
        <v>Unrestricted</v>
      </c>
      <c r="S192" s="286"/>
      <c r="T192" s="286"/>
    </row>
    <row r="193" ht="15.75" customHeight="1">
      <c r="A193" s="286" t="s">
        <v>1432</v>
      </c>
      <c r="B193" s="286" t="s">
        <v>1142</v>
      </c>
      <c r="C193" s="295">
        <v>62455.0</v>
      </c>
      <c r="D193" s="295">
        <v>70170.0</v>
      </c>
      <c r="E193" s="295">
        <v>7715.0</v>
      </c>
      <c r="F193" s="295">
        <v>-7500.0</v>
      </c>
      <c r="G193" s="295">
        <v>-67500.0</v>
      </c>
      <c r="H193" s="295">
        <v>2670.0</v>
      </c>
      <c r="I193" s="8" t="s">
        <v>1507</v>
      </c>
      <c r="J193" s="289" t="s">
        <v>1475</v>
      </c>
      <c r="K193" s="8" t="s">
        <v>1524</v>
      </c>
      <c r="L193" s="283" t="str">
        <f t="shared" si="1"/>
        <v>Unrestricted</v>
      </c>
      <c r="M193" s="8" t="s">
        <v>232</v>
      </c>
      <c r="N193" s="27" t="str">
        <f t="shared" si="40"/>
        <v>Unrestricted</v>
      </c>
      <c r="O193" s="8" t="str">
        <f t="shared" ref="O193:R193" si="131">+M193</f>
        <v>Occupancy Fixed</v>
      </c>
      <c r="P193" s="27" t="str">
        <f t="shared" si="131"/>
        <v>Unrestricted</v>
      </c>
      <c r="Q193" s="8" t="str">
        <f t="shared" si="131"/>
        <v>Occupancy Fixed</v>
      </c>
      <c r="R193" s="27" t="str">
        <f t="shared" si="131"/>
        <v>Unrestricted</v>
      </c>
      <c r="S193" s="286"/>
      <c r="T193" s="286"/>
    </row>
    <row r="194" ht="15.75" customHeight="1">
      <c r="A194" s="286" t="s">
        <v>1551</v>
      </c>
      <c r="B194" s="286" t="s">
        <v>1144</v>
      </c>
      <c r="C194" s="295">
        <v>0.0</v>
      </c>
      <c r="D194" s="295">
        <v>0.0</v>
      </c>
      <c r="E194" s="295">
        <v>0.0</v>
      </c>
      <c r="F194" s="295">
        <v>-215.0</v>
      </c>
      <c r="G194" s="295">
        <v>-1935.0</v>
      </c>
      <c r="H194" s="295">
        <v>-1935.0</v>
      </c>
      <c r="I194" s="8" t="s">
        <v>1507</v>
      </c>
      <c r="J194" s="289" t="s">
        <v>1475</v>
      </c>
      <c r="K194" s="8" t="s">
        <v>1524</v>
      </c>
      <c r="L194" s="283" t="str">
        <f t="shared" si="1"/>
        <v>Unrestricted</v>
      </c>
      <c r="M194" s="8" t="s">
        <v>232</v>
      </c>
      <c r="N194" s="27" t="str">
        <f t="shared" si="40"/>
        <v>Unrestricted</v>
      </c>
      <c r="O194" s="8" t="str">
        <f t="shared" ref="O194:R194" si="132">+M194</f>
        <v>Occupancy Fixed</v>
      </c>
      <c r="P194" s="27" t="str">
        <f t="shared" si="132"/>
        <v>Unrestricted</v>
      </c>
      <c r="Q194" s="8" t="str">
        <f t="shared" si="132"/>
        <v>Occupancy Fixed</v>
      </c>
      <c r="R194" s="27" t="str">
        <f t="shared" si="132"/>
        <v>Unrestricted</v>
      </c>
      <c r="S194" s="286"/>
      <c r="T194" s="286"/>
    </row>
    <row r="195" ht="15.75" customHeight="1">
      <c r="A195" s="286" t="s">
        <v>1552</v>
      </c>
      <c r="B195" s="286" t="s">
        <v>1145</v>
      </c>
      <c r="C195" s="295">
        <v>0.0</v>
      </c>
      <c r="D195" s="295">
        <v>0.0</v>
      </c>
      <c r="E195" s="295">
        <v>0.0</v>
      </c>
      <c r="F195" s="295">
        <v>0.0</v>
      </c>
      <c r="G195" s="295">
        <v>0.0</v>
      </c>
      <c r="H195" s="295">
        <v>0.0</v>
      </c>
      <c r="I195" s="8" t="s">
        <v>1507</v>
      </c>
      <c r="J195" s="289" t="s">
        <v>1475</v>
      </c>
      <c r="K195" s="8" t="s">
        <v>1524</v>
      </c>
      <c r="L195" s="283" t="str">
        <f t="shared" si="1"/>
        <v>Unrestricted</v>
      </c>
      <c r="M195" s="8" t="s">
        <v>232</v>
      </c>
      <c r="N195" s="27" t="str">
        <f t="shared" si="40"/>
        <v>Unrestricted</v>
      </c>
      <c r="O195" s="8" t="str">
        <f t="shared" ref="O195:R195" si="133">+M195</f>
        <v>Occupancy Fixed</v>
      </c>
      <c r="P195" s="27" t="str">
        <f t="shared" si="133"/>
        <v>Unrestricted</v>
      </c>
      <c r="Q195" s="8" t="str">
        <f t="shared" si="133"/>
        <v>Occupancy Fixed</v>
      </c>
      <c r="R195" s="27" t="str">
        <f t="shared" si="133"/>
        <v>Unrestricted</v>
      </c>
      <c r="S195" s="286"/>
      <c r="T195" s="286"/>
    </row>
    <row r="196" ht="15.75" customHeight="1">
      <c r="A196" s="286" t="s">
        <v>613</v>
      </c>
      <c r="B196" s="286" t="s">
        <v>1147</v>
      </c>
      <c r="C196" s="295">
        <v>0.0</v>
      </c>
      <c r="D196" s="295">
        <v>0.0</v>
      </c>
      <c r="E196" s="295">
        <v>0.0</v>
      </c>
      <c r="F196" s="295">
        <v>0.0</v>
      </c>
      <c r="G196" s="295">
        <v>0.0</v>
      </c>
      <c r="H196" s="295">
        <v>0.0</v>
      </c>
      <c r="I196" s="8" t="s">
        <v>1507</v>
      </c>
      <c r="J196" s="289" t="s">
        <v>1475</v>
      </c>
      <c r="K196" s="8" t="s">
        <v>1524</v>
      </c>
      <c r="L196" s="283" t="str">
        <f t="shared" si="1"/>
        <v>Unrestricted</v>
      </c>
      <c r="M196" s="8" t="s">
        <v>232</v>
      </c>
      <c r="N196" s="27" t="str">
        <f t="shared" si="40"/>
        <v>Unrestricted</v>
      </c>
      <c r="O196" s="8" t="str">
        <f t="shared" ref="O196:R196" si="134">+M196</f>
        <v>Occupancy Fixed</v>
      </c>
      <c r="P196" s="27" t="str">
        <f t="shared" si="134"/>
        <v>Unrestricted</v>
      </c>
      <c r="Q196" s="8" t="str">
        <f t="shared" si="134"/>
        <v>Occupancy Fixed</v>
      </c>
      <c r="R196" s="27" t="str">
        <f t="shared" si="134"/>
        <v>Unrestricted</v>
      </c>
      <c r="S196" s="286"/>
      <c r="T196" s="286"/>
    </row>
    <row r="197" ht="15.75" customHeight="1">
      <c r="A197" s="286" t="s">
        <v>629</v>
      </c>
      <c r="B197" s="286" t="s">
        <v>1148</v>
      </c>
      <c r="C197" s="295">
        <v>2434.8</v>
      </c>
      <c r="D197" s="295">
        <v>2723.04</v>
      </c>
      <c r="E197" s="295">
        <v>288.2399999999998</v>
      </c>
      <c r="F197" s="295">
        <v>-333.3333333333333</v>
      </c>
      <c r="G197" s="295">
        <v>-3000.0</v>
      </c>
      <c r="H197" s="295">
        <v>-276.96000000000004</v>
      </c>
      <c r="I197" s="8" t="s">
        <v>1507</v>
      </c>
      <c r="J197" s="289" t="s">
        <v>1475</v>
      </c>
      <c r="K197" s="8" t="s">
        <v>1524</v>
      </c>
      <c r="L197" s="283" t="str">
        <f t="shared" si="1"/>
        <v>Unrestricted</v>
      </c>
      <c r="M197" s="8" t="s">
        <v>139</v>
      </c>
      <c r="N197" s="27" t="str">
        <f t="shared" si="40"/>
        <v>Unrestricted</v>
      </c>
      <c r="O197" s="8" t="str">
        <f t="shared" ref="O197:R197" si="135">+M197</f>
        <v>Equipment</v>
      </c>
      <c r="P197" s="27" t="str">
        <f t="shared" si="135"/>
        <v>Unrestricted</v>
      </c>
      <c r="Q197" s="8" t="str">
        <f t="shared" si="135"/>
        <v>Equipment</v>
      </c>
      <c r="R197" s="27" t="str">
        <f t="shared" si="135"/>
        <v>Unrestricted</v>
      </c>
      <c r="S197" s="286"/>
      <c r="T197" s="286"/>
    </row>
    <row r="198" ht="15.75" customHeight="1">
      <c r="A198" s="286" t="s">
        <v>631</v>
      </c>
      <c r="B198" s="286" t="s">
        <v>1149</v>
      </c>
      <c r="C198" s="295">
        <v>1028.64</v>
      </c>
      <c r="D198" s="295">
        <v>1028.64</v>
      </c>
      <c r="E198" s="295">
        <v>0.0</v>
      </c>
      <c r="F198" s="295">
        <v>0.0</v>
      </c>
      <c r="G198" s="295">
        <v>0.0</v>
      </c>
      <c r="H198" s="295">
        <v>1028.64</v>
      </c>
      <c r="I198" s="8" t="s">
        <v>1507</v>
      </c>
      <c r="J198" s="289" t="s">
        <v>1475</v>
      </c>
      <c r="K198" s="8" t="s">
        <v>1524</v>
      </c>
      <c r="L198" s="283" t="str">
        <f t="shared" si="1"/>
        <v>Unrestricted</v>
      </c>
      <c r="M198" s="8" t="s">
        <v>139</v>
      </c>
      <c r="N198" s="27" t="str">
        <f t="shared" si="40"/>
        <v>Unrestricted</v>
      </c>
      <c r="O198" s="8" t="str">
        <f t="shared" ref="O198:R198" si="136">+M198</f>
        <v>Equipment</v>
      </c>
      <c r="P198" s="27" t="str">
        <f t="shared" si="136"/>
        <v>Unrestricted</v>
      </c>
      <c r="Q198" s="8" t="str">
        <f t="shared" si="136"/>
        <v>Equipment</v>
      </c>
      <c r="R198" s="27" t="str">
        <f t="shared" si="136"/>
        <v>Unrestricted</v>
      </c>
      <c r="S198" s="286"/>
      <c r="T198" s="286"/>
    </row>
    <row r="199" ht="15.75" customHeight="1">
      <c r="A199" s="286" t="s">
        <v>635</v>
      </c>
      <c r="B199" s="286" t="s">
        <v>1151</v>
      </c>
      <c r="C199" s="295">
        <v>550.64</v>
      </c>
      <c r="D199" s="295">
        <v>550.64</v>
      </c>
      <c r="E199" s="295">
        <v>0.0</v>
      </c>
      <c r="F199" s="295">
        <v>0.0</v>
      </c>
      <c r="G199" s="295">
        <v>0.0</v>
      </c>
      <c r="H199" s="295">
        <v>550.64</v>
      </c>
      <c r="I199" s="8" t="s">
        <v>1507</v>
      </c>
      <c r="J199" s="289" t="s">
        <v>1475</v>
      </c>
      <c r="K199" s="8" t="s">
        <v>1524</v>
      </c>
      <c r="L199" s="283" t="str">
        <f t="shared" si="1"/>
        <v>Unrestricted</v>
      </c>
      <c r="M199" s="8" t="s">
        <v>139</v>
      </c>
      <c r="N199" s="27" t="str">
        <f t="shared" si="40"/>
        <v>Unrestricted</v>
      </c>
      <c r="O199" s="8" t="str">
        <f t="shared" ref="O199:R199" si="137">+M199</f>
        <v>Equipment</v>
      </c>
      <c r="P199" s="27" t="str">
        <f t="shared" si="137"/>
        <v>Unrestricted</v>
      </c>
      <c r="Q199" s="8" t="str">
        <f t="shared" si="137"/>
        <v>Equipment</v>
      </c>
      <c r="R199" s="27" t="str">
        <f t="shared" si="137"/>
        <v>Unrestricted</v>
      </c>
      <c r="S199" s="286"/>
      <c r="T199" s="286"/>
    </row>
    <row r="200" ht="15.75" customHeight="1">
      <c r="A200" s="286" t="s">
        <v>1553</v>
      </c>
      <c r="B200" s="286" t="s">
        <v>1152</v>
      </c>
      <c r="C200" s="295">
        <v>0.0</v>
      </c>
      <c r="D200" s="295">
        <v>0.0</v>
      </c>
      <c r="E200" s="295">
        <v>0.0</v>
      </c>
      <c r="F200" s="295">
        <v>0.0</v>
      </c>
      <c r="G200" s="295">
        <v>0.0</v>
      </c>
      <c r="H200" s="295">
        <v>0.0</v>
      </c>
      <c r="I200" s="8" t="s">
        <v>1507</v>
      </c>
      <c r="J200" s="289" t="s">
        <v>1475</v>
      </c>
      <c r="K200" s="8" t="s">
        <v>1524</v>
      </c>
      <c r="L200" s="283" t="str">
        <f t="shared" si="1"/>
        <v>Unrestricted</v>
      </c>
      <c r="M200" s="8" t="s">
        <v>139</v>
      </c>
      <c r="N200" s="27" t="str">
        <f t="shared" si="40"/>
        <v>Unrestricted</v>
      </c>
      <c r="O200" s="8" t="str">
        <f t="shared" ref="O200:R200" si="138">+M200</f>
        <v>Equipment</v>
      </c>
      <c r="P200" s="27" t="str">
        <f t="shared" si="138"/>
        <v>Unrestricted</v>
      </c>
      <c r="Q200" s="8" t="str">
        <f t="shared" si="138"/>
        <v>Equipment</v>
      </c>
      <c r="R200" s="27" t="str">
        <f t="shared" si="138"/>
        <v>Unrestricted</v>
      </c>
      <c r="S200" s="286"/>
      <c r="T200" s="286"/>
    </row>
    <row r="201" ht="15.75" customHeight="1">
      <c r="A201" s="286" t="s">
        <v>640</v>
      </c>
      <c r="B201" s="286" t="s">
        <v>1154</v>
      </c>
      <c r="C201" s="295">
        <v>167.64</v>
      </c>
      <c r="D201" s="295">
        <v>167.64</v>
      </c>
      <c r="E201" s="295">
        <v>0.0</v>
      </c>
      <c r="F201" s="295">
        <v>0.0</v>
      </c>
      <c r="G201" s="295">
        <v>-100.0</v>
      </c>
      <c r="H201" s="295">
        <v>67.63999999999999</v>
      </c>
      <c r="I201" s="8" t="s">
        <v>1507</v>
      </c>
      <c r="J201" s="289" t="s">
        <v>1475</v>
      </c>
      <c r="K201" s="8" t="s">
        <v>1524</v>
      </c>
      <c r="L201" s="283" t="str">
        <f t="shared" si="1"/>
        <v>Unrestricted</v>
      </c>
      <c r="M201" s="8" t="s">
        <v>720</v>
      </c>
      <c r="N201" s="27" t="str">
        <f t="shared" si="40"/>
        <v>Unrestricted</v>
      </c>
      <c r="O201" s="8" t="str">
        <f t="shared" ref="O201:R201" si="139">+M201</f>
        <v>Professional Development</v>
      </c>
      <c r="P201" s="27" t="str">
        <f t="shared" si="139"/>
        <v>Unrestricted</v>
      </c>
      <c r="Q201" s="8" t="str">
        <f t="shared" si="139"/>
        <v>Professional Development</v>
      </c>
      <c r="R201" s="27" t="str">
        <f t="shared" si="139"/>
        <v>Unrestricted</v>
      </c>
      <c r="S201" s="286"/>
      <c r="T201" s="286"/>
    </row>
    <row r="202" ht="15.75" customHeight="1">
      <c r="A202" s="286" t="s">
        <v>1438</v>
      </c>
      <c r="B202" s="286" t="s">
        <v>1155</v>
      </c>
      <c r="C202" s="295">
        <v>795.5</v>
      </c>
      <c r="D202" s="295">
        <v>795.5</v>
      </c>
      <c r="E202" s="295">
        <v>0.0</v>
      </c>
      <c r="F202" s="295">
        <v>-500.0</v>
      </c>
      <c r="G202" s="295">
        <v>-2000.0</v>
      </c>
      <c r="H202" s="295">
        <v>-1204.5</v>
      </c>
      <c r="I202" s="8" t="s">
        <v>1507</v>
      </c>
      <c r="J202" s="289" t="s">
        <v>1475</v>
      </c>
      <c r="K202" s="8" t="s">
        <v>1524</v>
      </c>
      <c r="L202" s="283" t="str">
        <f t="shared" si="1"/>
        <v>Unrestricted</v>
      </c>
      <c r="M202" s="8" t="s">
        <v>720</v>
      </c>
      <c r="N202" s="27" t="str">
        <f t="shared" si="40"/>
        <v>Unrestricted</v>
      </c>
      <c r="O202" s="8" t="str">
        <f t="shared" ref="O202:R202" si="140">+M202</f>
        <v>Professional Development</v>
      </c>
      <c r="P202" s="27" t="str">
        <f t="shared" si="140"/>
        <v>Unrestricted</v>
      </c>
      <c r="Q202" s="8" t="str">
        <f t="shared" si="140"/>
        <v>Professional Development</v>
      </c>
      <c r="R202" s="27" t="str">
        <f t="shared" si="140"/>
        <v>Unrestricted</v>
      </c>
      <c r="S202" s="286"/>
      <c r="T202" s="286"/>
    </row>
    <row r="203" ht="15.75" customHeight="1">
      <c r="A203" s="286" t="s">
        <v>1440</v>
      </c>
      <c r="B203" s="286" t="s">
        <v>1157</v>
      </c>
      <c r="C203" s="295">
        <v>1558.0</v>
      </c>
      <c r="D203" s="295">
        <v>1558.0</v>
      </c>
      <c r="E203" s="295">
        <v>0.0</v>
      </c>
      <c r="F203" s="295">
        <v>0.0</v>
      </c>
      <c r="G203" s="295">
        <v>0.0</v>
      </c>
      <c r="H203" s="295">
        <v>1558.0</v>
      </c>
      <c r="I203" s="8" t="s">
        <v>1507</v>
      </c>
      <c r="J203" s="289" t="s">
        <v>1475</v>
      </c>
      <c r="K203" s="8" t="s">
        <v>1524</v>
      </c>
      <c r="L203" s="283" t="str">
        <f t="shared" si="1"/>
        <v>Unrestricted</v>
      </c>
      <c r="M203" s="8" t="s">
        <v>720</v>
      </c>
      <c r="N203" s="27" t="str">
        <f t="shared" si="40"/>
        <v>Unrestricted</v>
      </c>
      <c r="O203" s="8" t="str">
        <f t="shared" ref="O203:R203" si="141">+M203</f>
        <v>Professional Development</v>
      </c>
      <c r="P203" s="27" t="str">
        <f t="shared" si="141"/>
        <v>Unrestricted</v>
      </c>
      <c r="Q203" s="8" t="str">
        <f t="shared" si="141"/>
        <v>Professional Development</v>
      </c>
      <c r="R203" s="27" t="str">
        <f t="shared" si="141"/>
        <v>Unrestricted</v>
      </c>
      <c r="S203" s="286"/>
      <c r="T203" s="286"/>
    </row>
    <row r="204" ht="15.75" customHeight="1">
      <c r="A204" s="286" t="s">
        <v>212</v>
      </c>
      <c r="B204" s="286" t="s">
        <v>1158</v>
      </c>
      <c r="C204" s="295">
        <v>524.32</v>
      </c>
      <c r="D204" s="295">
        <v>572.32</v>
      </c>
      <c r="E204" s="295">
        <v>48.0</v>
      </c>
      <c r="F204" s="295">
        <v>-220.83333333333331</v>
      </c>
      <c r="G204" s="295">
        <v>-1312.5</v>
      </c>
      <c r="H204" s="295">
        <v>-740.18</v>
      </c>
      <c r="I204" s="8" t="s">
        <v>1507</v>
      </c>
      <c r="J204" s="289" t="s">
        <v>1475</v>
      </c>
      <c r="K204" s="8" t="s">
        <v>1524</v>
      </c>
      <c r="L204" s="283" t="str">
        <f t="shared" si="1"/>
        <v>Unrestricted</v>
      </c>
      <c r="M204" s="8" t="s">
        <v>212</v>
      </c>
      <c r="N204" s="27" t="str">
        <f t="shared" si="40"/>
        <v>Unrestricted</v>
      </c>
      <c r="O204" s="8" t="str">
        <f t="shared" ref="O204:R204" si="142">+M204</f>
        <v>Travel</v>
      </c>
      <c r="P204" s="27" t="str">
        <f t="shared" si="142"/>
        <v>Unrestricted</v>
      </c>
      <c r="Q204" s="8" t="str">
        <f t="shared" si="142"/>
        <v>Travel</v>
      </c>
      <c r="R204" s="27" t="str">
        <f t="shared" si="142"/>
        <v>Unrestricted</v>
      </c>
      <c r="S204" s="286"/>
      <c r="T204" s="286"/>
    </row>
    <row r="205" ht="15.75" customHeight="1">
      <c r="A205" s="286" t="s">
        <v>1443</v>
      </c>
      <c r="B205" s="286" t="s">
        <v>1160</v>
      </c>
      <c r="C205" s="295">
        <v>198.71</v>
      </c>
      <c r="D205" s="295">
        <v>220.88</v>
      </c>
      <c r="E205" s="295">
        <v>22.169999999999987</v>
      </c>
      <c r="F205" s="295">
        <v>-83.33333333333333</v>
      </c>
      <c r="G205" s="295">
        <v>-750.0</v>
      </c>
      <c r="H205" s="295">
        <v>-529.12</v>
      </c>
      <c r="I205" s="8" t="s">
        <v>1507</v>
      </c>
      <c r="J205" s="289" t="s">
        <v>1475</v>
      </c>
      <c r="K205" s="8" t="s">
        <v>1524</v>
      </c>
      <c r="L205" s="283" t="str">
        <f t="shared" si="1"/>
        <v>Unrestricted</v>
      </c>
      <c r="M205" s="8" t="s">
        <v>721</v>
      </c>
      <c r="N205" s="27" t="str">
        <f t="shared" si="40"/>
        <v>Unrestricted</v>
      </c>
      <c r="O205" s="8" t="str">
        <f t="shared" ref="O205:R205" si="143">+M205</f>
        <v>Transportation Expense</v>
      </c>
      <c r="P205" s="27" t="str">
        <f t="shared" si="143"/>
        <v>Unrestricted</v>
      </c>
      <c r="Q205" s="8" t="str">
        <f t="shared" si="143"/>
        <v>Transportation Expense</v>
      </c>
      <c r="R205" s="27" t="str">
        <f t="shared" si="143"/>
        <v>Unrestricted</v>
      </c>
      <c r="S205" s="286"/>
      <c r="T205" s="286"/>
    </row>
    <row r="206" ht="15.75" customHeight="1">
      <c r="A206" s="286" t="s">
        <v>1445</v>
      </c>
      <c r="B206" s="286" t="s">
        <v>1162</v>
      </c>
      <c r="C206" s="295">
        <v>493.75</v>
      </c>
      <c r="D206" s="295">
        <v>493.75</v>
      </c>
      <c r="E206" s="295">
        <v>0.0</v>
      </c>
      <c r="F206" s="295">
        <v>-83.33333333333333</v>
      </c>
      <c r="G206" s="295">
        <v>-750.0</v>
      </c>
      <c r="H206" s="295">
        <v>-256.25</v>
      </c>
      <c r="I206" s="8" t="s">
        <v>1507</v>
      </c>
      <c r="J206" s="289" t="s">
        <v>1475</v>
      </c>
      <c r="K206" s="8" t="s">
        <v>1524</v>
      </c>
      <c r="L206" s="283" t="str">
        <f t="shared" si="1"/>
        <v>Unrestricted</v>
      </c>
      <c r="M206" s="8" t="s">
        <v>721</v>
      </c>
      <c r="N206" s="27" t="str">
        <f t="shared" si="40"/>
        <v>Unrestricted</v>
      </c>
      <c r="O206" s="8" t="str">
        <f t="shared" ref="O206:R206" si="144">+M206</f>
        <v>Transportation Expense</v>
      </c>
      <c r="P206" s="27" t="str">
        <f t="shared" si="144"/>
        <v>Unrestricted</v>
      </c>
      <c r="Q206" s="8" t="str">
        <f t="shared" si="144"/>
        <v>Transportation Expense</v>
      </c>
      <c r="R206" s="27" t="str">
        <f t="shared" si="144"/>
        <v>Unrestricted</v>
      </c>
      <c r="S206" s="286"/>
      <c r="T206" s="286"/>
      <c r="U206" s="294"/>
    </row>
    <row r="207" ht="15.75" customHeight="1">
      <c r="A207" s="286" t="s">
        <v>1447</v>
      </c>
      <c r="B207" s="286" t="s">
        <v>1163</v>
      </c>
      <c r="C207" s="295">
        <v>99.1</v>
      </c>
      <c r="D207" s="295">
        <v>99.1</v>
      </c>
      <c r="E207" s="295">
        <v>0.0</v>
      </c>
      <c r="F207" s="295">
        <v>-41.666666666666664</v>
      </c>
      <c r="G207" s="295">
        <v>-375.0</v>
      </c>
      <c r="H207" s="295">
        <v>-275.9</v>
      </c>
      <c r="I207" s="8" t="s">
        <v>1507</v>
      </c>
      <c r="J207" s="289" t="s">
        <v>1475</v>
      </c>
      <c r="K207" s="8" t="s">
        <v>1524</v>
      </c>
      <c r="L207" s="283" t="str">
        <f t="shared" si="1"/>
        <v>Unrestricted</v>
      </c>
      <c r="M207" s="8" t="s">
        <v>721</v>
      </c>
      <c r="N207" s="27" t="str">
        <f t="shared" si="40"/>
        <v>Unrestricted</v>
      </c>
      <c r="O207" s="8" t="str">
        <f t="shared" ref="O207:R207" si="145">+M207</f>
        <v>Transportation Expense</v>
      </c>
      <c r="P207" s="27" t="str">
        <f t="shared" si="145"/>
        <v>Unrestricted</v>
      </c>
      <c r="Q207" s="8" t="str">
        <f t="shared" si="145"/>
        <v>Transportation Expense</v>
      </c>
      <c r="R207" s="27" t="str">
        <f t="shared" si="145"/>
        <v>Unrestricted</v>
      </c>
      <c r="S207" s="286"/>
      <c r="T207" s="286"/>
      <c r="U207" s="294"/>
    </row>
    <row r="208" ht="15.75" customHeight="1">
      <c r="A208" s="286" t="s">
        <v>1554</v>
      </c>
      <c r="B208" s="286" t="s">
        <v>1164</v>
      </c>
      <c r="C208" s="295">
        <v>0.0</v>
      </c>
      <c r="D208" s="295">
        <v>0.0</v>
      </c>
      <c r="E208" s="295">
        <v>0.0</v>
      </c>
      <c r="F208" s="295">
        <v>-41.666666666666664</v>
      </c>
      <c r="G208" s="295">
        <v>-375.0</v>
      </c>
      <c r="H208" s="295">
        <v>-375.0</v>
      </c>
      <c r="I208" s="8" t="s">
        <v>1507</v>
      </c>
      <c r="J208" s="289" t="s">
        <v>1475</v>
      </c>
      <c r="K208" s="8" t="s">
        <v>1524</v>
      </c>
      <c r="L208" s="283" t="str">
        <f t="shared" si="1"/>
        <v>Unrestricted</v>
      </c>
      <c r="M208" s="8" t="s">
        <v>721</v>
      </c>
      <c r="N208" s="27" t="str">
        <f t="shared" si="40"/>
        <v>Unrestricted</v>
      </c>
      <c r="O208" s="8" t="str">
        <f t="shared" ref="O208:R208" si="146">+M208</f>
        <v>Transportation Expense</v>
      </c>
      <c r="P208" s="27" t="str">
        <f t="shared" si="146"/>
        <v>Unrestricted</v>
      </c>
      <c r="Q208" s="8" t="str">
        <f t="shared" si="146"/>
        <v>Transportation Expense</v>
      </c>
      <c r="R208" s="27" t="str">
        <f t="shared" si="146"/>
        <v>Unrestricted</v>
      </c>
      <c r="S208" s="286"/>
      <c r="T208" s="286"/>
      <c r="U208" s="294"/>
    </row>
    <row r="209" ht="15.75" customHeight="1">
      <c r="A209" s="286" t="s">
        <v>255</v>
      </c>
      <c r="B209" s="286" t="s">
        <v>1165</v>
      </c>
      <c r="C209" s="295">
        <v>280.06</v>
      </c>
      <c r="D209" s="295">
        <v>319.84</v>
      </c>
      <c r="E209" s="295">
        <v>39.77999999999997</v>
      </c>
      <c r="F209" s="295">
        <v>-100.0</v>
      </c>
      <c r="G209" s="295">
        <v>-900.0</v>
      </c>
      <c r="H209" s="295">
        <v>-580.1600000000001</v>
      </c>
      <c r="I209" s="8" t="s">
        <v>1507</v>
      </c>
      <c r="J209" s="289" t="s">
        <v>1475</v>
      </c>
      <c r="K209" s="8" t="s">
        <v>1524</v>
      </c>
      <c r="L209" s="283" t="str">
        <f t="shared" si="1"/>
        <v>Unrestricted</v>
      </c>
      <c r="M209" s="8" t="s">
        <v>255</v>
      </c>
      <c r="N209" s="27" t="str">
        <f t="shared" si="40"/>
        <v>Unrestricted</v>
      </c>
      <c r="O209" s="8" t="str">
        <f t="shared" ref="O209:R209" si="147">+M209</f>
        <v>Interest Expense</v>
      </c>
      <c r="P209" s="27" t="str">
        <f t="shared" si="147"/>
        <v>Unrestricted</v>
      </c>
      <c r="Q209" s="8" t="str">
        <f t="shared" si="147"/>
        <v>Interest Expense</v>
      </c>
      <c r="R209" s="27" t="str">
        <f t="shared" si="147"/>
        <v>Unrestricted</v>
      </c>
      <c r="S209" s="286"/>
      <c r="T209" s="286"/>
      <c r="U209" s="294"/>
    </row>
    <row r="210" ht="15.75" customHeight="1">
      <c r="A210" s="286" t="s">
        <v>1450</v>
      </c>
      <c r="B210" s="286" t="s">
        <v>1166</v>
      </c>
      <c r="C210" s="295">
        <v>135.1</v>
      </c>
      <c r="D210" s="295">
        <v>135.1</v>
      </c>
      <c r="E210" s="295">
        <v>0.0</v>
      </c>
      <c r="F210" s="295">
        <v>0.0</v>
      </c>
      <c r="G210" s="295">
        <v>0.0</v>
      </c>
      <c r="H210" s="295">
        <v>135.1</v>
      </c>
      <c r="I210" s="8" t="s">
        <v>1507</v>
      </c>
      <c r="J210" s="289" t="s">
        <v>1475</v>
      </c>
      <c r="K210" s="8" t="s">
        <v>1524</v>
      </c>
      <c r="L210" s="283" t="str">
        <f t="shared" si="1"/>
        <v>Unrestricted</v>
      </c>
      <c r="M210" s="8" t="s">
        <v>255</v>
      </c>
      <c r="N210" s="27" t="str">
        <f t="shared" si="40"/>
        <v>Unrestricted</v>
      </c>
      <c r="O210" s="8" t="str">
        <f t="shared" ref="O210:R210" si="148">+M210</f>
        <v>Interest Expense</v>
      </c>
      <c r="P210" s="27" t="str">
        <f t="shared" si="148"/>
        <v>Unrestricted</v>
      </c>
      <c r="Q210" s="8" t="str">
        <f t="shared" si="148"/>
        <v>Interest Expense</v>
      </c>
      <c r="R210" s="27" t="str">
        <f t="shared" si="148"/>
        <v>Unrestricted</v>
      </c>
      <c r="S210" s="286"/>
      <c r="T210" s="286"/>
    </row>
    <row r="211" ht="15.75" customHeight="1">
      <c r="A211" s="286" t="s">
        <v>1555</v>
      </c>
      <c r="B211" s="286" t="s">
        <v>1167</v>
      </c>
      <c r="C211" s="295">
        <v>0.0</v>
      </c>
      <c r="D211" s="295">
        <v>0.0</v>
      </c>
      <c r="E211" s="295">
        <v>0.0</v>
      </c>
      <c r="F211" s="295">
        <v>0.0</v>
      </c>
      <c r="G211" s="295">
        <v>0.0</v>
      </c>
      <c r="H211" s="295">
        <v>0.0</v>
      </c>
      <c r="I211" s="8" t="s">
        <v>1507</v>
      </c>
      <c r="J211" s="289" t="s">
        <v>1475</v>
      </c>
      <c r="K211" s="8" t="s">
        <v>1524</v>
      </c>
      <c r="L211" s="283" t="str">
        <f t="shared" si="1"/>
        <v>Unrestricted</v>
      </c>
      <c r="M211" s="8" t="s">
        <v>255</v>
      </c>
      <c r="N211" s="27" t="str">
        <f t="shared" si="40"/>
        <v>Unrestricted</v>
      </c>
      <c r="O211" s="8" t="str">
        <f t="shared" ref="O211:R211" si="149">+M211</f>
        <v>Interest Expense</v>
      </c>
      <c r="P211" s="27" t="str">
        <f t="shared" si="149"/>
        <v>Unrestricted</v>
      </c>
      <c r="Q211" s="8" t="str">
        <f t="shared" si="149"/>
        <v>Interest Expense</v>
      </c>
      <c r="R211" s="27" t="str">
        <f t="shared" si="149"/>
        <v>Unrestricted</v>
      </c>
      <c r="S211" s="286"/>
      <c r="T211" s="286"/>
    </row>
    <row r="212" ht="15.75" customHeight="1">
      <c r="A212" s="286" t="s">
        <v>681</v>
      </c>
      <c r="B212" s="286" t="s">
        <v>1169</v>
      </c>
      <c r="C212" s="295">
        <v>12241.67</v>
      </c>
      <c r="D212" s="295">
        <v>13811.88</v>
      </c>
      <c r="E212" s="295">
        <v>1570.2099999999991</v>
      </c>
      <c r="F212" s="295">
        <v>-2083.3333333333335</v>
      </c>
      <c r="G212" s="295">
        <v>-18750.0</v>
      </c>
      <c r="H212" s="295">
        <v>-4938.120000000001</v>
      </c>
      <c r="I212" s="8" t="s">
        <v>1507</v>
      </c>
      <c r="J212" s="289" t="s">
        <v>1475</v>
      </c>
      <c r="K212" s="8" t="s">
        <v>1524</v>
      </c>
      <c r="L212" s="283" t="str">
        <f t="shared" si="1"/>
        <v>Unrestricted</v>
      </c>
      <c r="M212" s="8" t="s">
        <v>263</v>
      </c>
      <c r="N212" s="27" t="str">
        <f t="shared" si="40"/>
        <v>Unrestricted</v>
      </c>
      <c r="O212" s="8" t="str">
        <f t="shared" ref="O212:R212" si="150">+M212</f>
        <v>Depreciation</v>
      </c>
      <c r="P212" s="27" t="str">
        <f t="shared" si="150"/>
        <v>Unrestricted</v>
      </c>
      <c r="Q212" s="8" t="str">
        <f t="shared" si="150"/>
        <v>Depreciation</v>
      </c>
      <c r="R212" s="27" t="str">
        <f t="shared" si="150"/>
        <v>Unrestricted</v>
      </c>
      <c r="S212" s="286"/>
      <c r="T212" s="286"/>
    </row>
    <row r="213" ht="15.75" customHeight="1">
      <c r="A213" s="286" t="s">
        <v>1556</v>
      </c>
      <c r="B213" s="286" t="s">
        <v>1172</v>
      </c>
      <c r="C213" s="295">
        <v>0.0</v>
      </c>
      <c r="D213" s="295">
        <v>0.0</v>
      </c>
      <c r="E213" s="295">
        <v>0.0</v>
      </c>
      <c r="F213" s="295">
        <v>0.0</v>
      </c>
      <c r="G213" s="295">
        <v>0.0</v>
      </c>
      <c r="H213" s="295">
        <v>0.0</v>
      </c>
      <c r="I213" s="8" t="s">
        <v>1507</v>
      </c>
      <c r="J213" s="289" t="s">
        <v>1475</v>
      </c>
      <c r="K213" s="8" t="s">
        <v>1524</v>
      </c>
      <c r="L213" s="283" t="str">
        <f t="shared" si="1"/>
        <v>Unrestricted</v>
      </c>
      <c r="M213" s="8" t="s">
        <v>263</v>
      </c>
      <c r="N213" s="27" t="str">
        <f t="shared" si="40"/>
        <v>Unrestricted</v>
      </c>
      <c r="O213" s="8" t="str">
        <f t="shared" ref="O213:R213" si="151">+M213</f>
        <v>Depreciation</v>
      </c>
      <c r="P213" s="27" t="str">
        <f t="shared" si="151"/>
        <v>Unrestricted</v>
      </c>
      <c r="Q213" s="8" t="str">
        <f t="shared" si="151"/>
        <v>Depreciation</v>
      </c>
      <c r="R213" s="27" t="str">
        <f t="shared" si="151"/>
        <v>Unrestricted</v>
      </c>
      <c r="S213" s="286"/>
      <c r="T213" s="286"/>
    </row>
    <row r="214" ht="15.75" customHeight="1">
      <c r="A214" s="286" t="s">
        <v>1557</v>
      </c>
      <c r="B214" s="286" t="s">
        <v>1173</v>
      </c>
      <c r="C214" s="295">
        <v>0.0</v>
      </c>
      <c r="D214" s="295">
        <v>0.0</v>
      </c>
      <c r="E214" s="295">
        <v>0.0</v>
      </c>
      <c r="F214" s="295">
        <v>0.0</v>
      </c>
      <c r="G214" s="295">
        <v>0.0</v>
      </c>
      <c r="H214" s="295">
        <v>0.0</v>
      </c>
      <c r="I214" s="8" t="s">
        <v>1507</v>
      </c>
      <c r="J214" s="289" t="s">
        <v>1475</v>
      </c>
      <c r="K214" s="8" t="s">
        <v>1524</v>
      </c>
      <c r="L214" s="283" t="str">
        <f t="shared" si="1"/>
        <v>Unrestricted</v>
      </c>
      <c r="M214" s="8" t="s">
        <v>263</v>
      </c>
      <c r="N214" s="27" t="str">
        <f t="shared" si="40"/>
        <v>Unrestricted</v>
      </c>
      <c r="O214" s="8" t="str">
        <f t="shared" ref="O214:R214" si="152">+M214</f>
        <v>Depreciation</v>
      </c>
      <c r="P214" s="27" t="str">
        <f t="shared" si="152"/>
        <v>Unrestricted</v>
      </c>
      <c r="Q214" s="8" t="str">
        <f t="shared" si="152"/>
        <v>Depreciation</v>
      </c>
      <c r="R214" s="27" t="str">
        <f t="shared" si="152"/>
        <v>Unrestricted</v>
      </c>
      <c r="S214" s="286"/>
      <c r="T214" s="286"/>
    </row>
    <row r="215" ht="15.75" customHeight="1">
      <c r="A215" s="286" t="s">
        <v>1457</v>
      </c>
      <c r="B215" s="286" t="s">
        <v>1174</v>
      </c>
      <c r="C215" s="295">
        <v>0.0</v>
      </c>
      <c r="D215" s="295">
        <v>35.31</v>
      </c>
      <c r="E215" s="295">
        <v>35.31</v>
      </c>
      <c r="F215" s="295">
        <v>-270.8333333333333</v>
      </c>
      <c r="G215" s="295">
        <v>-2437.5</v>
      </c>
      <c r="H215" s="295">
        <v>-2402.19</v>
      </c>
      <c r="I215" s="8" t="s">
        <v>1507</v>
      </c>
      <c r="J215" s="289" t="s">
        <v>1475</v>
      </c>
      <c r="K215" s="8" t="s">
        <v>1524</v>
      </c>
      <c r="L215" s="283" t="str">
        <f t="shared" si="1"/>
        <v>Unrestricted</v>
      </c>
      <c r="M215" s="8" t="s">
        <v>217</v>
      </c>
      <c r="N215" s="27" t="str">
        <f t="shared" si="40"/>
        <v>Unrestricted</v>
      </c>
      <c r="O215" s="8" t="str">
        <f t="shared" ref="O215:R215" si="153">+M215</f>
        <v>Misc. Expense</v>
      </c>
      <c r="P215" s="27" t="str">
        <f t="shared" si="153"/>
        <v>Unrestricted</v>
      </c>
      <c r="Q215" s="8" t="str">
        <f t="shared" si="153"/>
        <v>Misc. Expense</v>
      </c>
      <c r="R215" s="27" t="str">
        <f t="shared" si="153"/>
        <v>Unrestricted</v>
      </c>
      <c r="S215" s="286"/>
      <c r="T215" s="286"/>
    </row>
    <row r="216" ht="15.75" customHeight="1">
      <c r="A216" s="286" t="s">
        <v>1558</v>
      </c>
      <c r="B216" s="286" t="s">
        <v>1176</v>
      </c>
      <c r="C216" s="295">
        <v>0.0</v>
      </c>
      <c r="D216" s="295">
        <v>0.0</v>
      </c>
      <c r="E216" s="295">
        <v>0.0</v>
      </c>
      <c r="F216" s="295">
        <v>0.0</v>
      </c>
      <c r="G216" s="295">
        <v>0.0</v>
      </c>
      <c r="H216" s="295">
        <v>0.0</v>
      </c>
      <c r="I216" s="8" t="s">
        <v>1507</v>
      </c>
      <c r="J216" s="289" t="s">
        <v>1475</v>
      </c>
      <c r="K216" s="8" t="s">
        <v>1524</v>
      </c>
      <c r="L216" s="283" t="str">
        <f t="shared" si="1"/>
        <v>Unrestricted</v>
      </c>
      <c r="M216" s="8" t="s">
        <v>217</v>
      </c>
      <c r="N216" s="27" t="str">
        <f t="shared" si="40"/>
        <v>Unrestricted</v>
      </c>
      <c r="O216" s="8" t="str">
        <f t="shared" ref="O216:R216" si="154">+M216</f>
        <v>Misc. Expense</v>
      </c>
      <c r="P216" s="27" t="str">
        <f t="shared" si="154"/>
        <v>Unrestricted</v>
      </c>
      <c r="Q216" s="8" t="str">
        <f t="shared" si="154"/>
        <v>Misc. Expense</v>
      </c>
      <c r="R216" s="27" t="str">
        <f t="shared" si="154"/>
        <v>Unrestricted</v>
      </c>
      <c r="S216" s="286"/>
      <c r="T216" s="286"/>
    </row>
    <row r="217" ht="15.75" customHeight="1">
      <c r="A217" s="286" t="s">
        <v>1559</v>
      </c>
      <c r="B217" s="286" t="s">
        <v>1177</v>
      </c>
      <c r="C217" s="295">
        <v>0.0</v>
      </c>
      <c r="D217" s="295">
        <v>0.0</v>
      </c>
      <c r="E217" s="295">
        <v>0.0</v>
      </c>
      <c r="F217" s="295">
        <v>0.0</v>
      </c>
      <c r="G217" s="295">
        <v>0.0</v>
      </c>
      <c r="H217" s="295">
        <v>0.0</v>
      </c>
      <c r="I217" s="8" t="s">
        <v>1507</v>
      </c>
      <c r="J217" s="289" t="s">
        <v>1475</v>
      </c>
      <c r="K217" s="8" t="s">
        <v>1524</v>
      </c>
      <c r="L217" s="283" t="str">
        <f t="shared" si="1"/>
        <v>Unrestricted</v>
      </c>
      <c r="M217" s="8" t="s">
        <v>217</v>
      </c>
      <c r="N217" s="27" t="str">
        <f t="shared" si="40"/>
        <v>Unrestricted</v>
      </c>
      <c r="O217" s="8" t="str">
        <f t="shared" ref="O217:R217" si="155">+M217</f>
        <v>Misc. Expense</v>
      </c>
      <c r="P217" s="27" t="str">
        <f t="shared" si="155"/>
        <v>Unrestricted</v>
      </c>
      <c r="Q217" s="8" t="str">
        <f t="shared" si="155"/>
        <v>Misc. Expense</v>
      </c>
      <c r="R217" s="27" t="str">
        <f t="shared" si="155"/>
        <v>Unrestricted</v>
      </c>
      <c r="S217" s="286"/>
      <c r="T217" s="286"/>
    </row>
    <row r="218" ht="15.75" customHeight="1">
      <c r="A218" s="286" t="s">
        <v>1180</v>
      </c>
      <c r="B218" s="286" t="s">
        <v>1560</v>
      </c>
      <c r="C218" s="295">
        <v>0.0</v>
      </c>
      <c r="D218" s="295">
        <v>0.0</v>
      </c>
      <c r="E218" s="295">
        <v>0.0</v>
      </c>
      <c r="F218" s="295">
        <v>0.0</v>
      </c>
      <c r="G218" s="295">
        <v>0.0</v>
      </c>
      <c r="H218" s="295">
        <v>0.0</v>
      </c>
      <c r="I218" s="8" t="s">
        <v>1507</v>
      </c>
      <c r="J218" s="289" t="s">
        <v>1475</v>
      </c>
      <c r="K218" s="8" t="s">
        <v>1524</v>
      </c>
      <c r="L218" s="283" t="str">
        <f t="shared" si="1"/>
        <v>Unrestricted</v>
      </c>
      <c r="M218" s="8" t="s">
        <v>217</v>
      </c>
      <c r="N218" s="27" t="str">
        <f t="shared" si="40"/>
        <v>Unrestricted</v>
      </c>
      <c r="O218" s="8" t="str">
        <f t="shared" ref="O218:R218" si="156">+M218</f>
        <v>Misc. Expense</v>
      </c>
      <c r="P218" s="27" t="str">
        <f t="shared" si="156"/>
        <v>Unrestricted</v>
      </c>
      <c r="Q218" s="8" t="str">
        <f t="shared" si="156"/>
        <v>Misc. Expense</v>
      </c>
      <c r="R218" s="27" t="str">
        <f t="shared" si="156"/>
        <v>Unrestricted</v>
      </c>
      <c r="S218" s="286"/>
      <c r="T218" s="286"/>
      <c r="U218" s="294"/>
    </row>
    <row r="219" ht="15.75" customHeight="1">
      <c r="A219" s="286" t="s">
        <v>245</v>
      </c>
      <c r="B219" s="286" t="s">
        <v>1181</v>
      </c>
      <c r="C219" s="295">
        <v>0.0</v>
      </c>
      <c r="D219" s="295">
        <v>0.0</v>
      </c>
      <c r="E219" s="295">
        <v>0.0</v>
      </c>
      <c r="F219" s="295">
        <v>0.0</v>
      </c>
      <c r="G219" s="295">
        <v>0.0</v>
      </c>
      <c r="H219" s="295">
        <v>0.0</v>
      </c>
      <c r="I219" s="8" t="s">
        <v>1507</v>
      </c>
      <c r="J219" s="289" t="s">
        <v>1475</v>
      </c>
      <c r="K219" s="8" t="s">
        <v>1524</v>
      </c>
      <c r="L219" s="283" t="str">
        <f t="shared" si="1"/>
        <v>Unrestricted</v>
      </c>
      <c r="M219" s="8" t="s">
        <v>245</v>
      </c>
      <c r="N219" s="27" t="str">
        <f t="shared" si="40"/>
        <v>Unrestricted</v>
      </c>
      <c r="O219" s="8" t="str">
        <f t="shared" ref="O219:R219" si="157">+M219</f>
        <v>Bad Debt Expense</v>
      </c>
      <c r="P219" s="27" t="str">
        <f t="shared" si="157"/>
        <v>Unrestricted</v>
      </c>
      <c r="Q219" s="8" t="str">
        <f t="shared" si="157"/>
        <v>Bad Debt Expense</v>
      </c>
      <c r="R219" s="27" t="str">
        <f t="shared" si="157"/>
        <v>Unrestricted</v>
      </c>
      <c r="S219" s="286"/>
      <c r="T219" s="286"/>
      <c r="U219" s="294"/>
    </row>
    <row r="220" ht="15.75" customHeight="1">
      <c r="A220" s="286" t="s">
        <v>249</v>
      </c>
      <c r="B220" s="286" t="s">
        <v>1182</v>
      </c>
      <c r="C220" s="295">
        <v>13711.18</v>
      </c>
      <c r="D220" s="295">
        <v>20566.77</v>
      </c>
      <c r="E220" s="295">
        <v>6855.59</v>
      </c>
      <c r="F220" s="295">
        <v>-2631.5789473684213</v>
      </c>
      <c r="G220" s="295">
        <v>-19736.84210526316</v>
      </c>
      <c r="H220" s="295">
        <v>829.9278947368402</v>
      </c>
      <c r="I220" s="8" t="s">
        <v>1507</v>
      </c>
      <c r="J220" s="289" t="s">
        <v>1475</v>
      </c>
      <c r="K220" s="8" t="s">
        <v>1524</v>
      </c>
      <c r="L220" s="283" t="str">
        <f t="shared" si="1"/>
        <v>Unrestricted</v>
      </c>
      <c r="M220" s="8" t="s">
        <v>249</v>
      </c>
      <c r="N220" s="27" t="str">
        <f t="shared" si="40"/>
        <v>Unrestricted</v>
      </c>
      <c r="O220" s="8" t="str">
        <f t="shared" ref="O220:R220" si="158">+M220</f>
        <v>Insurance Loss Expense</v>
      </c>
      <c r="P220" s="27" t="str">
        <f t="shared" si="158"/>
        <v>Unrestricted</v>
      </c>
      <c r="Q220" s="8" t="str">
        <f t="shared" si="158"/>
        <v>Insurance Loss Expense</v>
      </c>
      <c r="R220" s="27" t="str">
        <f t="shared" si="158"/>
        <v>Unrestricted</v>
      </c>
      <c r="S220" s="286"/>
      <c r="T220" s="286"/>
      <c r="U220" s="294"/>
    </row>
    <row r="221" ht="15.75" customHeight="1">
      <c r="A221" s="286" t="s">
        <v>699</v>
      </c>
      <c r="B221" s="286" t="s">
        <v>1185</v>
      </c>
      <c r="C221" s="295">
        <v>0.0</v>
      </c>
      <c r="D221" s="295">
        <v>0.0</v>
      </c>
      <c r="E221" s="295">
        <v>0.0</v>
      </c>
      <c r="F221" s="295">
        <v>0.0</v>
      </c>
      <c r="G221" s="295">
        <v>0.0</v>
      </c>
      <c r="H221" s="295">
        <v>0.0</v>
      </c>
      <c r="I221" s="8" t="s">
        <v>1507</v>
      </c>
      <c r="J221" s="289" t="s">
        <v>1476</v>
      </c>
      <c r="K221" s="8" t="s">
        <v>1561</v>
      </c>
      <c r="L221" s="283" t="str">
        <f t="shared" si="1"/>
        <v>Board Restricted</v>
      </c>
      <c r="M221" s="8"/>
      <c r="N221" s="27" t="str">
        <f t="shared" si="40"/>
        <v>Board Restricted</v>
      </c>
      <c r="O221" s="8" t="str">
        <f t="shared" ref="O221:R221" si="159">+M221</f>
        <v/>
      </c>
      <c r="P221" s="27" t="str">
        <f t="shared" si="159"/>
        <v>Board Restricted</v>
      </c>
      <c r="Q221" s="8" t="str">
        <f t="shared" si="159"/>
        <v/>
      </c>
      <c r="R221" s="27" t="str">
        <f t="shared" si="159"/>
        <v>Board Restricted</v>
      </c>
      <c r="S221" s="286"/>
      <c r="T221" s="286"/>
      <c r="U221" s="294"/>
    </row>
    <row r="222" ht="15.75" customHeight="1">
      <c r="A222" s="286" t="s">
        <v>697</v>
      </c>
      <c r="B222" s="286" t="s">
        <v>1184</v>
      </c>
      <c r="C222" s="295">
        <v>0.0</v>
      </c>
      <c r="D222" s="295">
        <v>0.0</v>
      </c>
      <c r="E222" s="295">
        <v>0.0</v>
      </c>
      <c r="F222" s="295">
        <v>0.0</v>
      </c>
      <c r="G222" s="295">
        <v>0.0</v>
      </c>
      <c r="H222" s="295">
        <v>0.0</v>
      </c>
      <c r="I222" s="8" t="s">
        <v>1507</v>
      </c>
      <c r="J222" s="289" t="s">
        <v>1475</v>
      </c>
      <c r="K222" s="8" t="s">
        <v>1561</v>
      </c>
      <c r="L222" s="283" t="str">
        <f t="shared" si="1"/>
        <v>Unrestricted</v>
      </c>
      <c r="M222" s="8"/>
      <c r="N222" s="27" t="str">
        <f t="shared" si="40"/>
        <v>Unrestricted</v>
      </c>
      <c r="O222" s="8" t="str">
        <f t="shared" ref="O222:R222" si="160">+M222</f>
        <v/>
      </c>
      <c r="P222" s="27" t="str">
        <f t="shared" si="160"/>
        <v>Unrestricted</v>
      </c>
      <c r="Q222" s="8" t="str">
        <f t="shared" si="160"/>
        <v/>
      </c>
      <c r="R222" s="27" t="str">
        <f t="shared" si="160"/>
        <v>Unrestricted</v>
      </c>
      <c r="S222" s="286"/>
      <c r="T222" s="286"/>
    </row>
    <row r="223" ht="15.75" customHeight="1"/>
    <row r="224" ht="15.75" customHeight="1"/>
    <row r="225" ht="15.75" customHeight="1">
      <c r="B225" s="286" t="s">
        <v>267</v>
      </c>
      <c r="C225" s="57">
        <f t="shared" ref="C225:G225" si="161">ROUND(SUM(C6:C224),2)</f>
        <v>0</v>
      </c>
      <c r="D225" s="57">
        <f t="shared" si="161"/>
        <v>0</v>
      </c>
      <c r="E225" s="57">
        <f t="shared" si="161"/>
        <v>0</v>
      </c>
      <c r="F225" s="57">
        <f t="shared" si="161"/>
        <v>23462.07</v>
      </c>
      <c r="G225" s="57">
        <f t="shared" si="161"/>
        <v>44308.69</v>
      </c>
      <c r="H225" s="57"/>
    </row>
    <row r="226" ht="15.75" customHeight="1">
      <c r="B226" s="286" t="s">
        <v>432</v>
      </c>
      <c r="C226" s="286"/>
      <c r="F226" s="27"/>
      <c r="G226" s="27"/>
      <c r="H226" s="27"/>
    </row>
    <row r="227" ht="15.75" customHeight="1">
      <c r="A227" s="8" t="s">
        <v>1562</v>
      </c>
      <c r="C227" s="57">
        <f t="shared" ref="C227:E227" si="162">+SUM(C64:C222)</f>
        <v>33842.93</v>
      </c>
      <c r="D227" s="57">
        <f t="shared" si="162"/>
        <v>7397.84</v>
      </c>
      <c r="E227" s="57">
        <f t="shared" si="162"/>
        <v>-26445.09</v>
      </c>
      <c r="F227" s="57">
        <f t="shared" ref="F227:G227" si="163">-F225</f>
        <v>-23462.07</v>
      </c>
      <c r="G227" s="57">
        <f t="shared" si="163"/>
        <v>-44308.69</v>
      </c>
      <c r="H227" s="57"/>
    </row>
    <row r="228" ht="15.75" customHeight="1">
      <c r="B228" s="8" t="s">
        <v>834</v>
      </c>
      <c r="C228" s="305">
        <f t="shared" ref="C228:D228" si="164">+SUM(C6:C37)</f>
        <v>655315.83</v>
      </c>
      <c r="D228" s="305">
        <f t="shared" si="164"/>
        <v>615392.92</v>
      </c>
      <c r="E228" s="305">
        <f t="shared" ref="E228:E232" si="167">+D228-C228</f>
        <v>-39922.91</v>
      </c>
      <c r="F228" s="305">
        <f t="shared" ref="F228:G228" si="165">+SUM(F6:F37)</f>
        <v>0</v>
      </c>
      <c r="G228" s="305">
        <f t="shared" si="165"/>
        <v>0</v>
      </c>
      <c r="H228" s="305"/>
    </row>
    <row r="229" ht="15.75" customHeight="1">
      <c r="B229" s="8" t="s">
        <v>895</v>
      </c>
      <c r="C229" s="306">
        <f t="shared" ref="C229:D229" si="166">+SUM(C38:C59)</f>
        <v>-348714.1</v>
      </c>
      <c r="D229" s="306">
        <f t="shared" si="166"/>
        <v>-282346.1</v>
      </c>
      <c r="E229" s="306">
        <f t="shared" si="167"/>
        <v>66368</v>
      </c>
      <c r="F229" s="306">
        <f t="shared" ref="F229:G229" si="168">+SUM(F38:F59)</f>
        <v>0</v>
      </c>
      <c r="G229" s="306">
        <f t="shared" si="168"/>
        <v>0</v>
      </c>
      <c r="H229" s="306"/>
    </row>
    <row r="230" ht="15.75" customHeight="1">
      <c r="B230" s="8" t="s">
        <v>1563</v>
      </c>
      <c r="C230" s="307">
        <f t="shared" ref="C230:D230" si="169">+SUM(C60:C63)</f>
        <v>-340444.66</v>
      </c>
      <c r="D230" s="307">
        <f t="shared" si="169"/>
        <v>-340444.66</v>
      </c>
      <c r="E230" s="307">
        <f t="shared" si="167"/>
        <v>0</v>
      </c>
      <c r="F230" s="307">
        <f t="shared" ref="F230:G230" si="170">+SUM(F60:F63)</f>
        <v>0</v>
      </c>
      <c r="G230" s="307">
        <f t="shared" si="170"/>
        <v>0</v>
      </c>
      <c r="H230" s="307"/>
    </row>
    <row r="231" ht="15.75" customHeight="1">
      <c r="B231" s="8" t="s">
        <v>949</v>
      </c>
      <c r="C231" s="308">
        <f t="shared" ref="C231:D231" si="171">+SUM(C64:C101)</f>
        <v>-656477.85</v>
      </c>
      <c r="D231" s="308">
        <f t="shared" si="171"/>
        <v>-778415.24</v>
      </c>
      <c r="E231" s="308">
        <f t="shared" si="167"/>
        <v>-121937.39</v>
      </c>
      <c r="F231" s="308">
        <f t="shared" ref="F231:G231" si="172">+SUM(F64:F101)</f>
        <v>131161.9561</v>
      </c>
      <c r="G231" s="308">
        <f t="shared" si="172"/>
        <v>867845.9211</v>
      </c>
      <c r="H231" s="308"/>
    </row>
    <row r="232" ht="15.75" customHeight="1">
      <c r="B232" s="8" t="s">
        <v>1564</v>
      </c>
      <c r="C232" s="309">
        <f t="shared" ref="C232:D232" si="173">+SUM(C102:C222)</f>
        <v>690320.78</v>
      </c>
      <c r="D232" s="309">
        <f t="shared" si="173"/>
        <v>785813.08</v>
      </c>
      <c r="E232" s="309">
        <f t="shared" si="167"/>
        <v>95492.3</v>
      </c>
      <c r="F232" s="309">
        <f t="shared" ref="F232:G232" si="174">+SUM(F102:F222)</f>
        <v>-107699.8873</v>
      </c>
      <c r="G232" s="309">
        <f t="shared" si="174"/>
        <v>-823537.2338</v>
      </c>
      <c r="H232" s="309"/>
    </row>
    <row r="233" ht="15.75" customHeight="1"/>
    <row r="234" ht="15.75" customHeight="1">
      <c r="B234" s="8" t="s">
        <v>1565</v>
      </c>
      <c r="F234" s="27"/>
    </row>
    <row r="235" ht="15.75" customHeight="1">
      <c r="B235" s="8" t="s">
        <v>949</v>
      </c>
      <c r="C235" s="308">
        <f t="shared" ref="C235:H235" si="175">SUMIF($P$64:$P$101,"Unrestricted",C$64:C$101)</f>
        <v>-667840.82</v>
      </c>
      <c r="D235" s="308">
        <f t="shared" si="175"/>
        <v>-793946.96</v>
      </c>
      <c r="E235" s="308">
        <f t="shared" si="175"/>
        <v>-126106.14</v>
      </c>
      <c r="F235" s="308">
        <f t="shared" si="175"/>
        <v>130161.9561</v>
      </c>
      <c r="G235" s="308">
        <f t="shared" si="175"/>
        <v>859845.9211</v>
      </c>
      <c r="H235" s="308">
        <f t="shared" si="175"/>
        <v>65898.96105</v>
      </c>
    </row>
    <row r="236" ht="15.75" customHeight="1">
      <c r="B236" s="8" t="s">
        <v>1564</v>
      </c>
      <c r="C236" s="309">
        <f t="shared" ref="C236:H236" si="176">SUMIF($P$102:$P$222,"Unrestricted",C$102:C$222)</f>
        <v>690320.78</v>
      </c>
      <c r="D236" s="309">
        <f t="shared" si="176"/>
        <v>785813.08</v>
      </c>
      <c r="E236" s="309">
        <f t="shared" si="176"/>
        <v>95492.3</v>
      </c>
      <c r="F236" s="309">
        <f t="shared" si="176"/>
        <v>-107699.8873</v>
      </c>
      <c r="G236" s="309">
        <f t="shared" si="176"/>
        <v>-823537.2338</v>
      </c>
      <c r="H236" s="309">
        <f t="shared" si="176"/>
        <v>-37724.15376</v>
      </c>
    </row>
    <row r="237" ht="15.75" customHeight="1"/>
    <row r="238" ht="15.75" customHeight="1">
      <c r="B238" s="8" t="s">
        <v>1191</v>
      </c>
      <c r="C238" s="27">
        <f t="shared" ref="C238:H238" si="177">SUM(C235:C236)</f>
        <v>22479.96</v>
      </c>
      <c r="D238" s="27">
        <f t="shared" si="177"/>
        <v>-8133.88</v>
      </c>
      <c r="E238" s="27">
        <f t="shared" si="177"/>
        <v>-30613.84</v>
      </c>
      <c r="F238" s="27">
        <f t="shared" si="177"/>
        <v>22462.06888</v>
      </c>
      <c r="G238" s="27">
        <f t="shared" si="177"/>
        <v>36308.68729</v>
      </c>
      <c r="H238" s="27">
        <f t="shared" si="177"/>
        <v>28174.80729</v>
      </c>
    </row>
    <row r="239" ht="15.75" customHeight="1">
      <c r="A239" s="50" t="s">
        <v>1566</v>
      </c>
      <c r="D239" s="8" t="s">
        <v>1567</v>
      </c>
    </row>
    <row r="240" ht="15.75" customHeight="1">
      <c r="D240" s="27">
        <f t="shared" ref="D240:D279" si="178">+SUMIFS(D$64:D$222,$O$64:$O$222,$O240,$N$64:$N$222,"Unrestricted")</f>
        <v>-15501.56</v>
      </c>
      <c r="E240" s="8" t="s">
        <v>1568</v>
      </c>
      <c r="O240" s="8" t="s">
        <v>45</v>
      </c>
    </row>
    <row r="241" ht="15.75" customHeight="1">
      <c r="D241" s="27">
        <f t="shared" si="178"/>
        <v>-718213.91</v>
      </c>
      <c r="E241" s="8" t="s">
        <v>1568</v>
      </c>
      <c r="O241" s="8" t="s">
        <v>42</v>
      </c>
    </row>
    <row r="242" ht="15.75" customHeight="1">
      <c r="D242" s="27">
        <f t="shared" si="178"/>
        <v>41491.57</v>
      </c>
      <c r="E242" s="8" t="s">
        <v>1568</v>
      </c>
      <c r="O242" s="8" t="s">
        <v>173</v>
      </c>
    </row>
    <row r="243" ht="15.75" customHeight="1">
      <c r="D243" s="27">
        <f t="shared" si="178"/>
        <v>-6032</v>
      </c>
      <c r="E243" s="8" t="s">
        <v>1568</v>
      </c>
      <c r="O243" s="8" t="s">
        <v>50</v>
      </c>
    </row>
    <row r="244" ht="15.75" customHeight="1">
      <c r="D244" s="27">
        <f t="shared" si="178"/>
        <v>0</v>
      </c>
      <c r="E244" s="8" t="s">
        <v>1568</v>
      </c>
      <c r="O244" s="8" t="s">
        <v>59</v>
      </c>
    </row>
    <row r="245" ht="15.75" customHeight="1">
      <c r="D245" s="27">
        <f t="shared" si="178"/>
        <v>-18396.96</v>
      </c>
      <c r="E245" s="8" t="s">
        <v>1568</v>
      </c>
      <c r="O245" s="8" t="s">
        <v>60</v>
      </c>
    </row>
    <row r="246" ht="15.75" customHeight="1">
      <c r="D246" s="27">
        <f t="shared" si="178"/>
        <v>-4620.32</v>
      </c>
      <c r="E246" s="8" t="s">
        <v>1568</v>
      </c>
      <c r="O246" s="8" t="s">
        <v>55</v>
      </c>
    </row>
    <row r="247" ht="15.75" customHeight="1">
      <c r="D247" s="27">
        <f t="shared" si="178"/>
        <v>0</v>
      </c>
      <c r="E247" s="8" t="s">
        <v>1568</v>
      </c>
      <c r="O247" s="8" t="s">
        <v>107</v>
      </c>
    </row>
    <row r="248" ht="15.75" customHeight="1">
      <c r="D248" s="27">
        <f t="shared" si="178"/>
        <v>-58.93</v>
      </c>
      <c r="E248" s="8" t="s">
        <v>1568</v>
      </c>
      <c r="O248" s="8" t="s">
        <v>103</v>
      </c>
    </row>
    <row r="249" ht="15.75" customHeight="1">
      <c r="D249" s="27">
        <f t="shared" si="178"/>
        <v>-53731.86</v>
      </c>
      <c r="E249" s="8" t="s">
        <v>1568</v>
      </c>
      <c r="O249" s="8" t="s">
        <v>84</v>
      </c>
    </row>
    <row r="250" ht="15.75" customHeight="1">
      <c r="D250" s="27">
        <f t="shared" si="178"/>
        <v>-18882.99</v>
      </c>
      <c r="E250" s="8" t="s">
        <v>1568</v>
      </c>
      <c r="O250" s="8" t="s">
        <v>94</v>
      </c>
    </row>
    <row r="251" ht="15.75" customHeight="1">
      <c r="D251" s="27">
        <f t="shared" si="178"/>
        <v>17275.85</v>
      </c>
      <c r="O251" s="8" t="s">
        <v>87</v>
      </c>
    </row>
    <row r="252" ht="15.75" customHeight="1">
      <c r="D252" s="27">
        <f t="shared" si="178"/>
        <v>14176</v>
      </c>
      <c r="O252" s="8" t="s">
        <v>64</v>
      </c>
    </row>
    <row r="253" ht="15.75" customHeight="1">
      <c r="D253" s="27">
        <f t="shared" si="178"/>
        <v>5658.44</v>
      </c>
      <c r="O253" s="8" t="s">
        <v>146</v>
      </c>
    </row>
    <row r="254" ht="15.75" customHeight="1">
      <c r="D254" s="27">
        <f t="shared" si="178"/>
        <v>471675.58</v>
      </c>
      <c r="O254" s="8" t="s">
        <v>121</v>
      </c>
    </row>
    <row r="255" ht="15.75" customHeight="1">
      <c r="D255" s="27">
        <f t="shared" si="178"/>
        <v>37683.91</v>
      </c>
      <c r="O255" s="8" t="s">
        <v>125</v>
      </c>
    </row>
    <row r="256" ht="15.75" customHeight="1">
      <c r="D256" s="27">
        <f t="shared" si="178"/>
        <v>31711.68</v>
      </c>
      <c r="O256" s="8" t="s">
        <v>131</v>
      </c>
    </row>
    <row r="257" ht="15.75" customHeight="1">
      <c r="D257" s="27">
        <f t="shared" si="178"/>
        <v>29268.01</v>
      </c>
      <c r="O257" s="8" t="s">
        <v>132</v>
      </c>
    </row>
    <row r="258" ht="15.75" customHeight="1">
      <c r="D258" s="27">
        <f t="shared" si="178"/>
        <v>5015.61</v>
      </c>
      <c r="O258" s="8" t="s">
        <v>177</v>
      </c>
    </row>
    <row r="259" ht="15.75" customHeight="1">
      <c r="D259" s="27">
        <f t="shared" si="178"/>
        <v>4396.01</v>
      </c>
      <c r="O259" s="8" t="s">
        <v>169</v>
      </c>
    </row>
    <row r="260" ht="15.75" customHeight="1">
      <c r="D260" s="27">
        <f t="shared" si="178"/>
        <v>20.47</v>
      </c>
      <c r="O260" s="8" t="s">
        <v>157</v>
      </c>
    </row>
    <row r="261" ht="15.75" customHeight="1">
      <c r="D261" s="27">
        <f t="shared" si="178"/>
        <v>11083.48</v>
      </c>
      <c r="O261" s="8" t="s">
        <v>136</v>
      </c>
    </row>
    <row r="262" ht="15.75" customHeight="1">
      <c r="D262" s="27">
        <f t="shared" si="178"/>
        <v>17266.18</v>
      </c>
      <c r="O262" s="8" t="s">
        <v>56</v>
      </c>
    </row>
    <row r="263" ht="15.75" customHeight="1">
      <c r="D263" s="27">
        <f t="shared" si="178"/>
        <v>1200.5</v>
      </c>
      <c r="O263" s="8" t="s">
        <v>191</v>
      </c>
    </row>
    <row r="264" ht="15.75" customHeight="1">
      <c r="D264" s="27">
        <f t="shared" si="178"/>
        <v>191.59</v>
      </c>
      <c r="O264" s="8" t="s">
        <v>161</v>
      </c>
    </row>
    <row r="265" ht="15.75" customHeight="1">
      <c r="D265" s="27">
        <f t="shared" si="178"/>
        <v>0</v>
      </c>
      <c r="O265" s="8" t="s">
        <v>204</v>
      </c>
    </row>
    <row r="266" ht="15.75" customHeight="1">
      <c r="D266" s="27">
        <f t="shared" si="178"/>
        <v>17373.26</v>
      </c>
      <c r="O266" s="8" t="s">
        <v>208</v>
      </c>
    </row>
    <row r="267" ht="15.75" customHeight="1">
      <c r="D267" s="27">
        <f t="shared" si="178"/>
        <v>4740.13</v>
      </c>
      <c r="O267" s="8" t="s">
        <v>154</v>
      </c>
    </row>
    <row r="268" ht="15.75" customHeight="1">
      <c r="D268" s="27">
        <f t="shared" si="178"/>
        <v>2846.29</v>
      </c>
      <c r="O268" s="8" t="s">
        <v>151</v>
      </c>
    </row>
    <row r="269" ht="15.75" customHeight="1">
      <c r="D269" s="27">
        <f t="shared" si="178"/>
        <v>981.68</v>
      </c>
      <c r="O269" s="8" t="s">
        <v>142</v>
      </c>
    </row>
    <row r="270" ht="15.75" customHeight="1">
      <c r="D270" s="27">
        <f t="shared" si="178"/>
        <v>70170</v>
      </c>
      <c r="O270" s="8" t="s">
        <v>232</v>
      </c>
    </row>
    <row r="271" ht="15.75" customHeight="1">
      <c r="D271" s="27">
        <f t="shared" si="178"/>
        <v>4302.32</v>
      </c>
      <c r="O271" s="8" t="s">
        <v>139</v>
      </c>
    </row>
    <row r="272" ht="15.75" customHeight="1">
      <c r="D272" s="27">
        <f t="shared" si="178"/>
        <v>2521.14</v>
      </c>
      <c r="O272" s="8" t="s">
        <v>720</v>
      </c>
    </row>
    <row r="273" ht="15.75" customHeight="1">
      <c r="D273" s="27">
        <f t="shared" si="178"/>
        <v>572.32</v>
      </c>
      <c r="O273" s="8" t="s">
        <v>212</v>
      </c>
    </row>
    <row r="274" ht="15.75" customHeight="1">
      <c r="D274" s="27">
        <f t="shared" si="178"/>
        <v>813.73</v>
      </c>
      <c r="O274" s="8" t="s">
        <v>721</v>
      </c>
    </row>
    <row r="275" ht="15.75" customHeight="1">
      <c r="D275" s="27">
        <f t="shared" si="178"/>
        <v>454.94</v>
      </c>
      <c r="O275" s="8" t="s">
        <v>255</v>
      </c>
    </row>
    <row r="276" ht="15.75" customHeight="1">
      <c r="D276" s="27">
        <f t="shared" si="178"/>
        <v>13811.88</v>
      </c>
      <c r="O276" s="8" t="s">
        <v>263</v>
      </c>
    </row>
    <row r="277" ht="15.75" customHeight="1">
      <c r="D277" s="27">
        <f t="shared" si="178"/>
        <v>35.31</v>
      </c>
      <c r="O277" s="8" t="s">
        <v>217</v>
      </c>
    </row>
    <row r="278" ht="15.75" customHeight="1">
      <c r="D278" s="27">
        <f t="shared" si="178"/>
        <v>0</v>
      </c>
      <c r="O278" s="8" t="s">
        <v>245</v>
      </c>
    </row>
    <row r="279" ht="15.75" customHeight="1">
      <c r="D279" s="27">
        <f t="shared" si="178"/>
        <v>20566.77</v>
      </c>
      <c r="O279" s="8" t="s">
        <v>249</v>
      </c>
    </row>
    <row r="280" ht="15.75" customHeight="1"/>
    <row r="281" ht="15.75" customHeight="1">
      <c r="D281" s="27">
        <f>SUM(D240:D280)</f>
        <v>-8133.88</v>
      </c>
    </row>
    <row r="282" ht="15.75" customHeight="1">
      <c r="A282" s="8" t="s">
        <v>1569</v>
      </c>
      <c r="D282" s="27">
        <f>+D281-D238</f>
        <v>-0.0000000002037268132</v>
      </c>
    </row>
    <row r="283" ht="15.75" customHeight="1">
      <c r="A283" s="8" t="s">
        <v>1570</v>
      </c>
    </row>
    <row r="284" ht="15.75" hidden="1" customHeight="1" outlineLevel="1">
      <c r="A284" s="294" t="s">
        <v>42</v>
      </c>
    </row>
    <row r="285" ht="15.75" hidden="1" customHeight="1" outlineLevel="1">
      <c r="A285" s="294" t="s">
        <v>50</v>
      </c>
    </row>
    <row r="286" ht="15.75" hidden="1" customHeight="1" outlineLevel="1">
      <c r="A286" s="294" t="s">
        <v>55</v>
      </c>
    </row>
    <row r="287" ht="15.75" hidden="1" customHeight="1" outlineLevel="1">
      <c r="A287" s="294" t="s">
        <v>59</v>
      </c>
    </row>
    <row r="288" ht="15.75" hidden="1" customHeight="1" outlineLevel="1">
      <c r="A288" s="294" t="s">
        <v>60</v>
      </c>
    </row>
    <row r="289" ht="15.75" hidden="1" customHeight="1" outlineLevel="1">
      <c r="A289" s="294" t="s">
        <v>64</v>
      </c>
    </row>
    <row r="290" ht="15.75" hidden="1" customHeight="1" outlineLevel="1">
      <c r="A290" s="294" t="s">
        <v>45</v>
      </c>
    </row>
    <row r="291" ht="15.75" hidden="1" customHeight="1" outlineLevel="1">
      <c r="A291" s="294" t="s">
        <v>84</v>
      </c>
    </row>
    <row r="292" ht="15.75" hidden="1" customHeight="1" outlineLevel="1">
      <c r="A292" s="294" t="s">
        <v>87</v>
      </c>
    </row>
    <row r="293" ht="15.75" hidden="1" customHeight="1" outlineLevel="1">
      <c r="A293" s="294" t="s">
        <v>94</v>
      </c>
    </row>
    <row r="294" ht="15.75" hidden="1" customHeight="1" outlineLevel="1">
      <c r="A294" s="294" t="s">
        <v>103</v>
      </c>
    </row>
    <row r="295" ht="15.75" hidden="1" customHeight="1" outlineLevel="1">
      <c r="A295" s="294" t="s">
        <v>107</v>
      </c>
    </row>
    <row r="296" ht="15.75" hidden="1" customHeight="1" outlineLevel="1">
      <c r="A296" s="294" t="s">
        <v>121</v>
      </c>
    </row>
    <row r="297" ht="15.75" hidden="1" customHeight="1" outlineLevel="1">
      <c r="A297" s="294" t="s">
        <v>125</v>
      </c>
    </row>
    <row r="298" ht="15.75" hidden="1" customHeight="1" outlineLevel="1">
      <c r="A298" s="294" t="s">
        <v>131</v>
      </c>
    </row>
    <row r="299" ht="15.75" hidden="1" customHeight="1" outlineLevel="1">
      <c r="A299" s="294" t="s">
        <v>132</v>
      </c>
    </row>
    <row r="300" ht="15.75" hidden="1" customHeight="1" outlineLevel="1">
      <c r="A300" s="294" t="s">
        <v>136</v>
      </c>
    </row>
    <row r="301" ht="15.75" hidden="1" customHeight="1" outlineLevel="1">
      <c r="A301" s="294" t="s">
        <v>139</v>
      </c>
    </row>
    <row r="302" ht="15.75" hidden="1" customHeight="1" outlineLevel="1">
      <c r="A302" s="294" t="s">
        <v>142</v>
      </c>
    </row>
    <row r="303" ht="15.75" hidden="1" customHeight="1" outlineLevel="1">
      <c r="A303" s="294" t="s">
        <v>146</v>
      </c>
    </row>
    <row r="304" ht="15.75" hidden="1" customHeight="1" outlineLevel="1">
      <c r="A304" s="294" t="s">
        <v>151</v>
      </c>
    </row>
    <row r="305" ht="15.75" hidden="1" customHeight="1" outlineLevel="1">
      <c r="A305" s="294" t="s">
        <v>154</v>
      </c>
    </row>
    <row r="306" ht="15.75" hidden="1" customHeight="1" outlineLevel="1">
      <c r="A306" s="294" t="s">
        <v>157</v>
      </c>
    </row>
    <row r="307" ht="15.75" hidden="1" customHeight="1" outlineLevel="1">
      <c r="A307" s="294" t="s">
        <v>161</v>
      </c>
    </row>
    <row r="308" ht="15.75" hidden="1" customHeight="1" outlineLevel="1">
      <c r="A308" s="294" t="s">
        <v>720</v>
      </c>
    </row>
    <row r="309" ht="15.75" hidden="1" customHeight="1" outlineLevel="1">
      <c r="A309" s="294" t="s">
        <v>169</v>
      </c>
    </row>
    <row r="310" ht="15.75" hidden="1" customHeight="1" outlineLevel="1">
      <c r="A310" s="294" t="s">
        <v>173</v>
      </c>
    </row>
    <row r="311" ht="15.75" hidden="1" customHeight="1" outlineLevel="1">
      <c r="A311" s="294" t="s">
        <v>177</v>
      </c>
    </row>
    <row r="312" ht="15.75" hidden="1" customHeight="1" outlineLevel="1">
      <c r="A312" s="294" t="s">
        <v>56</v>
      </c>
    </row>
    <row r="313" ht="15.75" hidden="1" customHeight="1" outlineLevel="1">
      <c r="A313" s="294" t="s">
        <v>721</v>
      </c>
    </row>
    <row r="314" ht="15.75" hidden="1" customHeight="1" outlineLevel="1">
      <c r="A314" s="294" t="s">
        <v>191</v>
      </c>
    </row>
    <row r="315" ht="15.75" hidden="1" customHeight="1" outlineLevel="1">
      <c r="A315" s="294" t="s">
        <v>204</v>
      </c>
    </row>
    <row r="316" ht="15.75" hidden="1" customHeight="1" outlineLevel="1">
      <c r="A316" s="294" t="s">
        <v>208</v>
      </c>
    </row>
    <row r="317" ht="15.75" hidden="1" customHeight="1" outlineLevel="1">
      <c r="A317" s="294" t="s">
        <v>212</v>
      </c>
    </row>
    <row r="318" ht="15.75" hidden="1" customHeight="1" outlineLevel="1">
      <c r="A318" s="294" t="s">
        <v>217</v>
      </c>
    </row>
    <row r="319" ht="15.75" hidden="1" customHeight="1" outlineLevel="1">
      <c r="A319" s="294" t="s">
        <v>232</v>
      </c>
    </row>
    <row r="320" ht="15.75" hidden="1" customHeight="1" outlineLevel="1">
      <c r="A320" s="294" t="s">
        <v>245</v>
      </c>
    </row>
    <row r="321" ht="15.75" hidden="1" customHeight="1" outlineLevel="1">
      <c r="A321" s="294" t="s">
        <v>249</v>
      </c>
    </row>
    <row r="322" ht="15.75" hidden="1" customHeight="1" outlineLevel="1">
      <c r="A322" s="294" t="s">
        <v>263</v>
      </c>
    </row>
    <row r="323" ht="15.75" hidden="1" customHeight="1" outlineLevel="1">
      <c r="A323" s="294" t="s">
        <v>255</v>
      </c>
    </row>
    <row r="324" ht="15.75" customHeight="1" collapsed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M64:M222 O64:O222 Q64:Q222">
      <formula1>$A$284:$A$323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6.63"/>
    <col customWidth="1" min="3" max="3" width="14.25"/>
    <col customWidth="1" min="4" max="26" width="7.63"/>
  </cols>
  <sheetData>
    <row r="4">
      <c r="A4" s="8">
        <v>1.0</v>
      </c>
      <c r="B4" s="8" t="s">
        <v>1571</v>
      </c>
    </row>
    <row r="5">
      <c r="A5" s="8">
        <v>2.0</v>
      </c>
      <c r="B5" s="8" t="s">
        <v>1572</v>
      </c>
    </row>
    <row r="6">
      <c r="A6" s="8">
        <v>3.0</v>
      </c>
      <c r="B6" s="8" t="s">
        <v>1573</v>
      </c>
    </row>
    <row r="7">
      <c r="A7" s="8">
        <v>4.0</v>
      </c>
      <c r="B7" s="8" t="s">
        <v>1574</v>
      </c>
    </row>
    <row r="8">
      <c r="A8" s="8">
        <v>5.0</v>
      </c>
      <c r="B8" s="8" t="s">
        <v>1575</v>
      </c>
    </row>
    <row r="9">
      <c r="A9" s="8">
        <v>6.0</v>
      </c>
      <c r="B9" s="8" t="s">
        <v>1576</v>
      </c>
    </row>
    <row r="10">
      <c r="A10" s="8">
        <v>7.0</v>
      </c>
      <c r="B10" s="8" t="s">
        <v>1577</v>
      </c>
    </row>
    <row r="11">
      <c r="A11" s="8">
        <v>8.0</v>
      </c>
      <c r="B11" s="8" t="s">
        <v>1578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45" right="0.7" top="1.08"/>
  <pageSetup orientation="landscape"/>
  <headerFooter>
    <oddHeader>&amp;CBenton Hall Academy 2016-17 Budget Assumptions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19.88"/>
    <col customWidth="1" min="3" max="3" width="8.5"/>
    <col customWidth="1" min="4" max="4" width="16.38"/>
    <col customWidth="1" min="5" max="5" width="13.63"/>
    <col customWidth="1" min="6" max="6" width="8.0"/>
    <col customWidth="1" min="7" max="26" width="7.63"/>
  </cols>
  <sheetData>
    <row r="1" ht="11.25" customHeight="1">
      <c r="A1" s="5" t="s">
        <v>0</v>
      </c>
      <c r="B1" s="5" t="s">
        <v>17</v>
      </c>
      <c r="C1" s="5" t="s">
        <v>1579</v>
      </c>
      <c r="D1" s="5" t="s">
        <v>18</v>
      </c>
      <c r="E1" s="9" t="s">
        <v>1580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1.25" customHeight="1">
      <c r="A2" s="15" t="s">
        <v>1581</v>
      </c>
      <c r="B2" s="15" t="s">
        <v>1582</v>
      </c>
      <c r="C2" s="15" t="s">
        <v>1583</v>
      </c>
      <c r="D2" s="15" t="s">
        <v>1500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1.25" customHeight="1">
      <c r="A3" s="15" t="s">
        <v>958</v>
      </c>
      <c r="B3" s="15" t="s">
        <v>835</v>
      </c>
      <c r="C3" s="15" t="s">
        <v>1583</v>
      </c>
      <c r="D3" s="15" t="s">
        <v>1500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1.25" customHeight="1">
      <c r="A4" s="15" t="s">
        <v>959</v>
      </c>
      <c r="B4" s="15" t="s">
        <v>837</v>
      </c>
      <c r="C4" s="15" t="s">
        <v>1583</v>
      </c>
      <c r="D4" s="15" t="s">
        <v>1500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1.25" customHeight="1">
      <c r="A5" s="15" t="s">
        <v>960</v>
      </c>
      <c r="B5" s="15" t="s">
        <v>839</v>
      </c>
      <c r="C5" s="15" t="s">
        <v>1583</v>
      </c>
      <c r="D5" s="15" t="s">
        <v>1500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1.25" customHeight="1">
      <c r="A6" s="15" t="s">
        <v>961</v>
      </c>
      <c r="B6" s="15" t="s">
        <v>841</v>
      </c>
      <c r="C6" s="15" t="s">
        <v>1583</v>
      </c>
      <c r="D6" s="15" t="s">
        <v>1500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1.25" customHeight="1">
      <c r="A7" s="15" t="s">
        <v>1584</v>
      </c>
      <c r="B7" s="15" t="s">
        <v>1585</v>
      </c>
      <c r="C7" s="15" t="s">
        <v>1583</v>
      </c>
      <c r="D7" s="15" t="s">
        <v>1500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1.25" customHeight="1">
      <c r="A8" s="15" t="s">
        <v>1586</v>
      </c>
      <c r="B8" s="15" t="s">
        <v>1587</v>
      </c>
      <c r="C8" s="15" t="s">
        <v>1588</v>
      </c>
      <c r="D8" s="15" t="s">
        <v>1500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1.25" customHeight="1">
      <c r="A9" s="15" t="s">
        <v>1589</v>
      </c>
      <c r="B9" s="15" t="s">
        <v>1590</v>
      </c>
      <c r="C9" s="15" t="s">
        <v>1588</v>
      </c>
      <c r="D9" s="15" t="s">
        <v>1500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1.25" customHeight="1">
      <c r="A10" s="15" t="s">
        <v>1591</v>
      </c>
      <c r="B10" s="15" t="s">
        <v>1592</v>
      </c>
      <c r="C10" s="15" t="s">
        <v>1583</v>
      </c>
      <c r="D10" s="15" t="s">
        <v>1500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1.25" customHeight="1">
      <c r="A11" s="15" t="s">
        <v>962</v>
      </c>
      <c r="B11" s="15" t="s">
        <v>843</v>
      </c>
      <c r="C11" s="15" t="s">
        <v>1583</v>
      </c>
      <c r="D11" s="15" t="s">
        <v>1500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1.25" customHeight="1">
      <c r="A12" s="15" t="s">
        <v>1594</v>
      </c>
      <c r="B12" s="15" t="s">
        <v>1595</v>
      </c>
      <c r="C12" s="15" t="s">
        <v>1588</v>
      </c>
      <c r="D12" s="15" t="s">
        <v>1500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1.25" customHeight="1">
      <c r="A13" s="15" t="s">
        <v>1596</v>
      </c>
      <c r="B13" s="15" t="s">
        <v>1597</v>
      </c>
      <c r="C13" s="15" t="s">
        <v>1588</v>
      </c>
      <c r="D13" s="15" t="s">
        <v>1500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1.25" customHeight="1">
      <c r="A14" s="15" t="s">
        <v>1598</v>
      </c>
      <c r="B14" s="15" t="s">
        <v>1599</v>
      </c>
      <c r="C14" s="15" t="s">
        <v>1583</v>
      </c>
      <c r="D14" s="15" t="s">
        <v>1500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1.25" customHeight="1">
      <c r="A15" s="15" t="s">
        <v>963</v>
      </c>
      <c r="B15" s="15" t="s">
        <v>845</v>
      </c>
      <c r="C15" s="15" t="s">
        <v>1583</v>
      </c>
      <c r="D15" s="15" t="s">
        <v>1500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1.25" customHeight="1">
      <c r="A16" s="15" t="s">
        <v>1600</v>
      </c>
      <c r="B16" s="15" t="s">
        <v>1601</v>
      </c>
      <c r="C16" s="15" t="s">
        <v>1588</v>
      </c>
      <c r="D16" s="15" t="s">
        <v>1501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1.25" customHeight="1">
      <c r="A17" s="15" t="s">
        <v>964</v>
      </c>
      <c r="B17" s="15" t="s">
        <v>849</v>
      </c>
      <c r="C17" s="15" t="s">
        <v>1583</v>
      </c>
      <c r="D17" s="15" t="s">
        <v>1501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1.25" customHeight="1">
      <c r="A18" s="15" t="s">
        <v>1602</v>
      </c>
      <c r="B18" s="15" t="s">
        <v>1603</v>
      </c>
      <c r="C18" s="15" t="s">
        <v>1583</v>
      </c>
      <c r="D18" s="15" t="s">
        <v>1501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1.25" customHeight="1">
      <c r="A19" s="15" t="s">
        <v>1604</v>
      </c>
      <c r="B19" s="15" t="s">
        <v>1605</v>
      </c>
      <c r="C19" s="15" t="s">
        <v>1583</v>
      </c>
      <c r="D19" s="15" t="s">
        <v>1501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1.25" customHeight="1">
      <c r="A20" s="15" t="s">
        <v>1606</v>
      </c>
      <c r="B20" s="15" t="s">
        <v>1607</v>
      </c>
      <c r="C20" s="15" t="s">
        <v>1583</v>
      </c>
      <c r="D20" s="15" t="s">
        <v>1501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1.25" customHeight="1">
      <c r="A21" s="15" t="s">
        <v>1608</v>
      </c>
      <c r="B21" s="15" t="s">
        <v>1609</v>
      </c>
      <c r="C21" s="15" t="s">
        <v>1583</v>
      </c>
      <c r="D21" s="15" t="s">
        <v>1501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1.25" customHeight="1">
      <c r="A22" s="15" t="s">
        <v>1610</v>
      </c>
      <c r="B22" s="15" t="s">
        <v>1611</v>
      </c>
      <c r="C22" s="15" t="s">
        <v>1588</v>
      </c>
      <c r="D22" s="15" t="s">
        <v>1501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1.25" customHeight="1">
      <c r="A23" s="15" t="s">
        <v>965</v>
      </c>
      <c r="B23" s="15" t="s">
        <v>851</v>
      </c>
      <c r="C23" s="15" t="s">
        <v>1583</v>
      </c>
      <c r="D23" s="15" t="s">
        <v>1501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1.25" customHeight="1">
      <c r="A24" s="15" t="s">
        <v>1612</v>
      </c>
      <c r="B24" s="15" t="s">
        <v>1192</v>
      </c>
      <c r="C24" s="15" t="s">
        <v>1588</v>
      </c>
      <c r="D24" s="15" t="s">
        <v>1192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1.25" customHeight="1">
      <c r="A25" s="15" t="s">
        <v>1613</v>
      </c>
      <c r="B25" s="15" t="s">
        <v>1614</v>
      </c>
      <c r="C25" s="15" t="s">
        <v>1583</v>
      </c>
      <c r="D25" s="15" t="s">
        <v>1192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1.25" customHeight="1">
      <c r="A26" s="15" t="s">
        <v>1615</v>
      </c>
      <c r="B26" s="15" t="s">
        <v>1616</v>
      </c>
      <c r="C26" s="15" t="s">
        <v>1583</v>
      </c>
      <c r="D26" s="15" t="s">
        <v>1192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1.25" customHeight="1">
      <c r="A27" s="15" t="s">
        <v>1617</v>
      </c>
      <c r="B27" s="15" t="s">
        <v>1618</v>
      </c>
      <c r="C27" s="15" t="s">
        <v>1583</v>
      </c>
      <c r="D27" s="15" t="s">
        <v>1192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1.25" customHeight="1">
      <c r="A28" s="15" t="s">
        <v>1619</v>
      </c>
      <c r="B28" s="15" t="s">
        <v>1620</v>
      </c>
      <c r="C28" s="15" t="s">
        <v>1583</v>
      </c>
      <c r="D28" s="15" t="s">
        <v>1192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1.25" customHeight="1">
      <c r="A29" s="15" t="s">
        <v>1621</v>
      </c>
      <c r="B29" s="15" t="s">
        <v>1622</v>
      </c>
      <c r="C29" s="15" t="s">
        <v>1583</v>
      </c>
      <c r="D29" s="15" t="s">
        <v>1192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1.25" customHeight="1">
      <c r="A30" s="15" t="s">
        <v>1623</v>
      </c>
      <c r="B30" s="15" t="s">
        <v>1624</v>
      </c>
      <c r="C30" s="15" t="s">
        <v>1583</v>
      </c>
      <c r="D30" s="15" t="s">
        <v>1192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1.25" customHeight="1">
      <c r="A31" s="15" t="s">
        <v>1625</v>
      </c>
      <c r="B31" s="15" t="s">
        <v>1626</v>
      </c>
      <c r="C31" s="15" t="s">
        <v>1583</v>
      </c>
      <c r="D31" s="15" t="s">
        <v>1192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1.25" customHeight="1">
      <c r="A32" s="15" t="s">
        <v>1627</v>
      </c>
      <c r="B32" s="15" t="s">
        <v>1628</v>
      </c>
      <c r="C32" s="15" t="s">
        <v>1583</v>
      </c>
      <c r="D32" s="15" t="s">
        <v>1192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1.25" customHeight="1">
      <c r="A33" s="15" t="s">
        <v>1629</v>
      </c>
      <c r="B33" s="15" t="s">
        <v>1630</v>
      </c>
      <c r="C33" s="15" t="s">
        <v>1583</v>
      </c>
      <c r="D33" s="15" t="s">
        <v>1192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1.25" customHeight="1">
      <c r="A34" s="15" t="s">
        <v>1631</v>
      </c>
      <c r="B34" s="15" t="s">
        <v>1632</v>
      </c>
      <c r="C34" s="15" t="s">
        <v>1583</v>
      </c>
      <c r="D34" s="15" t="s">
        <v>1192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1.25" customHeight="1">
      <c r="A35" s="15" t="s">
        <v>966</v>
      </c>
      <c r="B35" s="15" t="s">
        <v>855</v>
      </c>
      <c r="C35" s="15" t="s">
        <v>1583</v>
      </c>
      <c r="D35" s="15" t="s">
        <v>1192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1.25" customHeight="1">
      <c r="A36" s="15" t="s">
        <v>1633</v>
      </c>
      <c r="B36" s="15" t="s">
        <v>1634</v>
      </c>
      <c r="C36" s="15" t="s">
        <v>1583</v>
      </c>
      <c r="D36" s="15" t="s">
        <v>1192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1.25" customHeight="1">
      <c r="A37" s="15" t="s">
        <v>1635</v>
      </c>
      <c r="B37" s="15" t="s">
        <v>1636</v>
      </c>
      <c r="C37" s="15" t="s">
        <v>1583</v>
      </c>
      <c r="D37" s="15" t="s">
        <v>1192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1.25" customHeight="1">
      <c r="A38" s="15" t="s">
        <v>1637</v>
      </c>
      <c r="B38" s="15" t="s">
        <v>1638</v>
      </c>
      <c r="C38" s="15" t="s">
        <v>1588</v>
      </c>
      <c r="D38" s="15" t="s">
        <v>1192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1.25" customHeight="1">
      <c r="A39" s="15" t="s">
        <v>967</v>
      </c>
      <c r="B39" s="15" t="s">
        <v>857</v>
      </c>
      <c r="C39" s="15" t="s">
        <v>1583</v>
      </c>
      <c r="D39" s="15" t="s">
        <v>1639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1.25" customHeight="1">
      <c r="A40" s="15" t="s">
        <v>1640</v>
      </c>
      <c r="B40" s="15" t="s">
        <v>1641</v>
      </c>
      <c r="C40" s="15" t="s">
        <v>1583</v>
      </c>
      <c r="D40" s="15" t="s">
        <v>1639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1.25" customHeight="1">
      <c r="A41" s="15" t="s">
        <v>1642</v>
      </c>
      <c r="B41" s="15" t="s">
        <v>1643</v>
      </c>
      <c r="C41" s="15" t="s">
        <v>1583</v>
      </c>
      <c r="D41" s="15" t="s">
        <v>1639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1.25" customHeight="1">
      <c r="A42" s="15" t="s">
        <v>1644</v>
      </c>
      <c r="B42" s="15" t="s">
        <v>1645</v>
      </c>
      <c r="C42" s="15" t="s">
        <v>1583</v>
      </c>
      <c r="D42" s="15" t="s">
        <v>1639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1.25" customHeight="1">
      <c r="A43" s="15" t="s">
        <v>1646</v>
      </c>
      <c r="B43" s="15" t="s">
        <v>1647</v>
      </c>
      <c r="C43" s="15" t="s">
        <v>1583</v>
      </c>
      <c r="D43" s="15" t="s">
        <v>1639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1.25" customHeight="1">
      <c r="A44" s="15" t="s">
        <v>968</v>
      </c>
      <c r="B44" s="15" t="s">
        <v>1648</v>
      </c>
      <c r="C44" s="15" t="s">
        <v>1583</v>
      </c>
      <c r="D44" s="15" t="s">
        <v>1639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1.25" customHeight="1">
      <c r="A45" s="15" t="s">
        <v>1649</v>
      </c>
      <c r="B45" s="15" t="s">
        <v>1650</v>
      </c>
      <c r="C45" s="15" t="s">
        <v>1583</v>
      </c>
      <c r="D45" s="15" t="s">
        <v>1639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1.25" customHeight="1">
      <c r="A46" s="15" t="s">
        <v>1651</v>
      </c>
      <c r="B46" s="15" t="s">
        <v>1652</v>
      </c>
      <c r="C46" s="15" t="s">
        <v>1583</v>
      </c>
      <c r="D46" s="15" t="s">
        <v>1653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1.25" customHeight="1">
      <c r="A47" s="15" t="s">
        <v>969</v>
      </c>
      <c r="B47" s="15" t="s">
        <v>865</v>
      </c>
      <c r="C47" s="15" t="s">
        <v>1583</v>
      </c>
      <c r="D47" s="15" t="s">
        <v>1653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1.25" customHeight="1">
      <c r="A48" s="15" t="s">
        <v>970</v>
      </c>
      <c r="B48" s="15" t="s">
        <v>139</v>
      </c>
      <c r="C48" s="15" t="s">
        <v>1583</v>
      </c>
      <c r="D48" s="15" t="s">
        <v>1653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1.25" customHeight="1">
      <c r="A49" s="15" t="s">
        <v>971</v>
      </c>
      <c r="B49" s="15" t="s">
        <v>868</v>
      </c>
      <c r="C49" s="15" t="s">
        <v>1583</v>
      </c>
      <c r="D49" s="15" t="s">
        <v>1653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1.25" customHeight="1">
      <c r="A50" s="15" t="s">
        <v>973</v>
      </c>
      <c r="B50" s="15" t="s">
        <v>870</v>
      </c>
      <c r="C50" s="15" t="s">
        <v>1583</v>
      </c>
      <c r="D50" s="15" t="s">
        <v>1653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1.25" customHeight="1">
      <c r="A51" s="15" t="s">
        <v>1654</v>
      </c>
      <c r="B51" s="15" t="s">
        <v>1655</v>
      </c>
      <c r="C51" s="15" t="s">
        <v>1583</v>
      </c>
      <c r="D51" s="15" t="s">
        <v>1653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1.25" customHeight="1">
      <c r="A52" s="15" t="s">
        <v>974</v>
      </c>
      <c r="B52" s="15" t="s">
        <v>196</v>
      </c>
      <c r="C52" s="15" t="s">
        <v>1583</v>
      </c>
      <c r="D52" s="15" t="s">
        <v>1653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1.25" customHeight="1">
      <c r="A53" s="15" t="s">
        <v>975</v>
      </c>
      <c r="B53" s="15" t="s">
        <v>873</v>
      </c>
      <c r="C53" s="15" t="s">
        <v>1583</v>
      </c>
      <c r="D53" s="15" t="s">
        <v>1653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1.25" customHeight="1">
      <c r="A54" s="15" t="s">
        <v>976</v>
      </c>
      <c r="B54" s="15" t="s">
        <v>875</v>
      </c>
      <c r="C54" s="15" t="s">
        <v>1583</v>
      </c>
      <c r="D54" s="15" t="s">
        <v>1653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1.25" customHeight="1">
      <c r="A55" s="15" t="s">
        <v>977</v>
      </c>
      <c r="B55" s="15" t="s">
        <v>877</v>
      </c>
      <c r="C55" s="15" t="s">
        <v>1583</v>
      </c>
      <c r="D55" s="15" t="s">
        <v>1653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1.25" customHeight="1">
      <c r="A56" s="15" t="s">
        <v>1656</v>
      </c>
      <c r="B56" s="15" t="s">
        <v>1657</v>
      </c>
      <c r="C56" s="15" t="s">
        <v>1583</v>
      </c>
      <c r="D56" s="15" t="s">
        <v>1653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1.25" customHeight="1">
      <c r="A57" s="15" t="s">
        <v>1658</v>
      </c>
      <c r="B57" s="15" t="s">
        <v>1659</v>
      </c>
      <c r="C57" s="15" t="s">
        <v>1583</v>
      </c>
      <c r="D57" s="15" t="s">
        <v>1653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1.25" customHeight="1">
      <c r="A58" s="15" t="s">
        <v>1660</v>
      </c>
      <c r="B58" s="15" t="s">
        <v>1661</v>
      </c>
      <c r="C58" s="15" t="s">
        <v>1583</v>
      </c>
      <c r="D58" s="15" t="s">
        <v>1653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1.25" customHeight="1">
      <c r="A59" s="15" t="s">
        <v>1662</v>
      </c>
      <c r="B59" s="15" t="s">
        <v>1663</v>
      </c>
      <c r="C59" s="15" t="s">
        <v>1588</v>
      </c>
      <c r="D59" s="15" t="s">
        <v>1664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1.25" customHeight="1">
      <c r="A60" s="15" t="s">
        <v>978</v>
      </c>
      <c r="B60" s="15" t="s">
        <v>879</v>
      </c>
      <c r="C60" s="15" t="s">
        <v>1583</v>
      </c>
      <c r="D60" s="15" t="s">
        <v>1664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1.25" customHeight="1">
      <c r="A61" s="15" t="s">
        <v>979</v>
      </c>
      <c r="B61" s="15" t="s">
        <v>881</v>
      </c>
      <c r="C61" s="15" t="s">
        <v>1583</v>
      </c>
      <c r="D61" s="15" t="s">
        <v>1664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1.25" customHeight="1">
      <c r="A62" s="15" t="s">
        <v>980</v>
      </c>
      <c r="B62" s="15" t="s">
        <v>883</v>
      </c>
      <c r="C62" s="15" t="s">
        <v>1583</v>
      </c>
      <c r="D62" s="15" t="s">
        <v>1664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1.25" customHeight="1">
      <c r="A63" s="15" t="s">
        <v>981</v>
      </c>
      <c r="B63" s="15" t="s">
        <v>885</v>
      </c>
      <c r="C63" s="15" t="s">
        <v>1583</v>
      </c>
      <c r="D63" s="15" t="s">
        <v>1664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1.25" customHeight="1">
      <c r="A64" s="15" t="s">
        <v>1665</v>
      </c>
      <c r="B64" s="15" t="s">
        <v>1666</v>
      </c>
      <c r="C64" s="15" t="s">
        <v>1583</v>
      </c>
      <c r="D64" s="15" t="s">
        <v>1664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1.25" customHeight="1">
      <c r="A65" s="15" t="s">
        <v>982</v>
      </c>
      <c r="B65" s="15" t="s">
        <v>887</v>
      </c>
      <c r="C65" s="15" t="s">
        <v>1583</v>
      </c>
      <c r="D65" s="15" t="s">
        <v>1664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1.25" customHeight="1">
      <c r="A66" s="15" t="s">
        <v>983</v>
      </c>
      <c r="B66" s="15" t="s">
        <v>889</v>
      </c>
      <c r="C66" s="15" t="s">
        <v>1583</v>
      </c>
      <c r="D66" s="15" t="s">
        <v>1664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1.25" customHeight="1">
      <c r="A67" s="15" t="s">
        <v>984</v>
      </c>
      <c r="B67" s="15" t="s">
        <v>891</v>
      </c>
      <c r="C67" s="15" t="s">
        <v>1583</v>
      </c>
      <c r="D67" s="15" t="s">
        <v>1664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1.25" customHeight="1">
      <c r="A68" s="15" t="s">
        <v>985</v>
      </c>
      <c r="B68" s="15" t="s">
        <v>893</v>
      </c>
      <c r="C68" s="15" t="s">
        <v>1583</v>
      </c>
      <c r="D68" s="15" t="s">
        <v>1664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1.25" customHeight="1">
      <c r="A69" s="15" t="s">
        <v>1667</v>
      </c>
      <c r="B69" s="15" t="s">
        <v>1668</v>
      </c>
      <c r="C69" s="15" t="s">
        <v>1583</v>
      </c>
      <c r="D69" s="15" t="s">
        <v>1664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1.25" customHeight="1">
      <c r="A70" s="15" t="s">
        <v>1669</v>
      </c>
      <c r="B70" s="15" t="s">
        <v>1670</v>
      </c>
      <c r="C70" s="15" t="s">
        <v>1583</v>
      </c>
      <c r="D70" s="15" t="s">
        <v>1664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1.25" customHeight="1">
      <c r="A71" s="15" t="s">
        <v>1671</v>
      </c>
      <c r="B71" s="15" t="s">
        <v>1672</v>
      </c>
      <c r="C71" s="15" t="s">
        <v>1588</v>
      </c>
      <c r="D71" s="15" t="s">
        <v>1639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1.25" customHeight="1">
      <c r="A72" s="15" t="s">
        <v>1673</v>
      </c>
      <c r="B72" s="15" t="s">
        <v>1674</v>
      </c>
      <c r="C72" s="15" t="s">
        <v>1583</v>
      </c>
      <c r="D72" s="15" t="s">
        <v>1639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1.25" customHeight="1">
      <c r="A73" s="15" t="s">
        <v>1675</v>
      </c>
      <c r="B73" s="15" t="s">
        <v>1676</v>
      </c>
      <c r="C73" s="15" t="s">
        <v>1583</v>
      </c>
      <c r="D73" s="15" t="s">
        <v>1639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1.25" customHeight="1">
      <c r="A74" s="15" t="s">
        <v>1677</v>
      </c>
      <c r="B74" s="15" t="s">
        <v>1678</v>
      </c>
      <c r="C74" s="15" t="s">
        <v>1583</v>
      </c>
      <c r="D74" s="15" t="s">
        <v>1639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1.25" customHeight="1">
      <c r="A75" s="15" t="s">
        <v>1679</v>
      </c>
      <c r="B75" s="15" t="s">
        <v>1680</v>
      </c>
      <c r="C75" s="15" t="s">
        <v>1583</v>
      </c>
      <c r="D75" s="15" t="s">
        <v>1639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1.25" customHeight="1">
      <c r="A76" s="15" t="s">
        <v>1681</v>
      </c>
      <c r="B76" s="15" t="s">
        <v>734</v>
      </c>
      <c r="C76" s="15" t="s">
        <v>1583</v>
      </c>
      <c r="D76" s="15" t="s">
        <v>1682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1.25" customHeight="1">
      <c r="A77" s="15" t="s">
        <v>1683</v>
      </c>
      <c r="B77" s="15" t="s">
        <v>1684</v>
      </c>
      <c r="C77" s="15" t="s">
        <v>1583</v>
      </c>
      <c r="D77" s="15" t="s">
        <v>1682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1.25" customHeight="1">
      <c r="A78" s="15" t="s">
        <v>1685</v>
      </c>
      <c r="B78" s="15" t="s">
        <v>1686</v>
      </c>
      <c r="C78" s="15" t="s">
        <v>1583</v>
      </c>
      <c r="D78" s="15" t="s">
        <v>1682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1.25" customHeight="1">
      <c r="A79" s="15" t="s">
        <v>1687</v>
      </c>
      <c r="B79" s="15" t="s">
        <v>1688</v>
      </c>
      <c r="C79" s="15" t="s">
        <v>1583</v>
      </c>
      <c r="D79" s="15" t="s">
        <v>1682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1.25" customHeight="1">
      <c r="A80" s="15" t="s">
        <v>1689</v>
      </c>
      <c r="B80" s="15" t="s">
        <v>1690</v>
      </c>
      <c r="C80" s="15" t="s">
        <v>1583</v>
      </c>
      <c r="D80" s="15" t="s">
        <v>1682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1.25" customHeight="1">
      <c r="A81" s="15" t="s">
        <v>986</v>
      </c>
      <c r="B81" s="15" t="s">
        <v>896</v>
      </c>
      <c r="C81" s="15" t="s">
        <v>1583</v>
      </c>
      <c r="D81" s="15" t="s">
        <v>1234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1.25" customHeight="1">
      <c r="A82" s="15" t="s">
        <v>1691</v>
      </c>
      <c r="B82" s="15" t="s">
        <v>1692</v>
      </c>
      <c r="C82" s="15" t="s">
        <v>1588</v>
      </c>
      <c r="D82" s="15" t="s">
        <v>1693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1.25" customHeight="1">
      <c r="A83" s="15" t="s">
        <v>987</v>
      </c>
      <c r="B83" s="15" t="s">
        <v>898</v>
      </c>
      <c r="C83" s="15" t="s">
        <v>1583</v>
      </c>
      <c r="D83" s="15" t="s">
        <v>1693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1.25" customHeight="1">
      <c r="A84" s="15" t="s">
        <v>988</v>
      </c>
      <c r="B84" s="15" t="s">
        <v>900</v>
      </c>
      <c r="C84" s="15" t="s">
        <v>1583</v>
      </c>
      <c r="D84" s="15" t="s">
        <v>1693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1.25" customHeight="1">
      <c r="A85" s="15" t="s">
        <v>1694</v>
      </c>
      <c r="B85" s="15" t="s">
        <v>1695</v>
      </c>
      <c r="C85" s="15" t="s">
        <v>1583</v>
      </c>
      <c r="D85" s="15" t="s">
        <v>1693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1.25" customHeight="1">
      <c r="A86" s="15" t="s">
        <v>1696</v>
      </c>
      <c r="B86" s="15" t="s">
        <v>1697</v>
      </c>
      <c r="C86" s="15" t="s">
        <v>1583</v>
      </c>
      <c r="D86" s="15" t="s">
        <v>1693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1.25" customHeight="1">
      <c r="A87" s="15" t="s">
        <v>1698</v>
      </c>
      <c r="B87" s="15" t="s">
        <v>1699</v>
      </c>
      <c r="C87" s="15" t="s">
        <v>1583</v>
      </c>
      <c r="D87" s="15" t="s">
        <v>1693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1.25" customHeight="1">
      <c r="A88" s="15" t="s">
        <v>1700</v>
      </c>
      <c r="B88" s="15" t="s">
        <v>1701</v>
      </c>
      <c r="C88" s="15" t="s">
        <v>1588</v>
      </c>
      <c r="D88" s="15" t="s">
        <v>1693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1.25" customHeight="1">
      <c r="A89" s="15" t="s">
        <v>1702</v>
      </c>
      <c r="B89" s="15" t="s">
        <v>1703</v>
      </c>
      <c r="C89" s="15" t="s">
        <v>1588</v>
      </c>
      <c r="D89" s="15" t="s">
        <v>1693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1.25" customHeight="1">
      <c r="A90" s="15" t="s">
        <v>1704</v>
      </c>
      <c r="B90" s="15" t="s">
        <v>1705</v>
      </c>
      <c r="C90" s="15" t="s">
        <v>1588</v>
      </c>
      <c r="D90" s="15" t="s">
        <v>1693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1.25" customHeight="1">
      <c r="A91" s="15" t="s">
        <v>989</v>
      </c>
      <c r="B91" s="15" t="s">
        <v>902</v>
      </c>
      <c r="C91" s="15" t="s">
        <v>1583</v>
      </c>
      <c r="D91" s="15" t="s">
        <v>1693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1.25" customHeight="1">
      <c r="A92" s="15" t="s">
        <v>1706</v>
      </c>
      <c r="B92" s="15" t="s">
        <v>1707</v>
      </c>
      <c r="C92" s="15" t="s">
        <v>1583</v>
      </c>
      <c r="D92" s="15" t="s">
        <v>1693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1.25" customHeight="1">
      <c r="A93" s="15" t="s">
        <v>1708</v>
      </c>
      <c r="B93" s="15" t="s">
        <v>1709</v>
      </c>
      <c r="C93" s="15" t="s">
        <v>1583</v>
      </c>
      <c r="D93" s="15" t="s">
        <v>1693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1.25" customHeight="1">
      <c r="A94" s="15" t="s">
        <v>1710</v>
      </c>
      <c r="B94" s="15" t="s">
        <v>1711</v>
      </c>
      <c r="C94" s="15" t="s">
        <v>1583</v>
      </c>
      <c r="D94" s="15" t="s">
        <v>1693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1.25" customHeight="1">
      <c r="A95" s="15" t="s">
        <v>1712</v>
      </c>
      <c r="B95" s="15" t="s">
        <v>1713</v>
      </c>
      <c r="C95" s="15" t="s">
        <v>1583</v>
      </c>
      <c r="D95" s="15" t="s">
        <v>1693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1.25" customHeight="1">
      <c r="A96" s="15" t="s">
        <v>990</v>
      </c>
      <c r="B96" s="15" t="s">
        <v>906</v>
      </c>
      <c r="C96" s="15" t="s">
        <v>1583</v>
      </c>
      <c r="D96" s="15" t="s">
        <v>1693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1.25" customHeight="1">
      <c r="A97" s="15" t="s">
        <v>1715</v>
      </c>
      <c r="B97" s="15" t="s">
        <v>1716</v>
      </c>
      <c r="C97" s="15" t="s">
        <v>1588</v>
      </c>
      <c r="D97" s="15" t="s">
        <v>1693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1.25" customHeight="1">
      <c r="A98" s="15" t="s">
        <v>1717</v>
      </c>
      <c r="B98" s="15" t="s">
        <v>1718</v>
      </c>
      <c r="C98" s="15" t="s">
        <v>1583</v>
      </c>
      <c r="D98" s="15" t="s">
        <v>1693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1.25" customHeight="1">
      <c r="A99" s="15" t="s">
        <v>1720</v>
      </c>
      <c r="B99" s="15" t="s">
        <v>1721</v>
      </c>
      <c r="C99" s="15" t="s">
        <v>1583</v>
      </c>
      <c r="D99" s="15" t="s">
        <v>1693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1.25" customHeight="1">
      <c r="A100" s="15" t="s">
        <v>991</v>
      </c>
      <c r="B100" s="15" t="s">
        <v>910</v>
      </c>
      <c r="C100" s="15" t="s">
        <v>1583</v>
      </c>
      <c r="D100" s="15" t="s">
        <v>1693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1.25" customHeight="1">
      <c r="A101" s="15" t="s">
        <v>1723</v>
      </c>
      <c r="B101" s="15" t="s">
        <v>1724</v>
      </c>
      <c r="C101" s="15" t="s">
        <v>1583</v>
      </c>
      <c r="D101" s="15" t="s">
        <v>1693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1.25" customHeight="1">
      <c r="A102" s="15" t="s">
        <v>1725</v>
      </c>
      <c r="B102" s="15" t="s">
        <v>1243</v>
      </c>
      <c r="C102" s="15" t="s">
        <v>1583</v>
      </c>
      <c r="D102" s="15" t="s">
        <v>1693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1.25" customHeight="1">
      <c r="A103" s="15" t="s">
        <v>993</v>
      </c>
      <c r="B103" s="15" t="s">
        <v>912</v>
      </c>
      <c r="C103" s="15" t="s">
        <v>1583</v>
      </c>
      <c r="D103" s="15" t="s">
        <v>1693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1.25" customHeight="1">
      <c r="A104" s="15" t="s">
        <v>1726</v>
      </c>
      <c r="B104" s="15" t="s">
        <v>1727</v>
      </c>
      <c r="C104" s="15" t="s">
        <v>1583</v>
      </c>
      <c r="D104" s="15" t="s">
        <v>1693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1.25" customHeight="1">
      <c r="A105" s="15" t="s">
        <v>1728</v>
      </c>
      <c r="B105" s="15" t="s">
        <v>1729</v>
      </c>
      <c r="C105" s="15" t="s">
        <v>1583</v>
      </c>
      <c r="D105" s="15" t="s">
        <v>1693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1.25" customHeight="1">
      <c r="A106" s="15" t="s">
        <v>994</v>
      </c>
      <c r="B106" s="15" t="s">
        <v>914</v>
      </c>
      <c r="C106" s="15" t="s">
        <v>1583</v>
      </c>
      <c r="D106" s="15" t="s">
        <v>1693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1.25" customHeight="1">
      <c r="A107" s="15" t="s">
        <v>1730</v>
      </c>
      <c r="B107" s="15" t="s">
        <v>1731</v>
      </c>
      <c r="C107" s="15" t="s">
        <v>1583</v>
      </c>
      <c r="D107" s="15" t="s">
        <v>1693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1.25" customHeight="1">
      <c r="A108" s="15" t="s">
        <v>1732</v>
      </c>
      <c r="B108" s="15" t="s">
        <v>1733</v>
      </c>
      <c r="C108" s="15" t="s">
        <v>1583</v>
      </c>
      <c r="D108" s="15" t="s">
        <v>1693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1.25" customHeight="1">
      <c r="A109" s="15" t="s">
        <v>1734</v>
      </c>
      <c r="B109" s="15" t="s">
        <v>1735</v>
      </c>
      <c r="C109" s="15" t="s">
        <v>1583</v>
      </c>
      <c r="D109" s="15" t="s">
        <v>1693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1.25" customHeight="1">
      <c r="A110" s="15" t="s">
        <v>995</v>
      </c>
      <c r="B110" s="15" t="s">
        <v>916</v>
      </c>
      <c r="C110" s="15" t="s">
        <v>1583</v>
      </c>
      <c r="D110" s="15" t="s">
        <v>1693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1.25" customHeight="1">
      <c r="A111" s="15" t="s">
        <v>1736</v>
      </c>
      <c r="B111" s="15" t="s">
        <v>1737</v>
      </c>
      <c r="C111" s="15" t="s">
        <v>1583</v>
      </c>
      <c r="D111" s="15" t="s">
        <v>1693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1.25" customHeight="1">
      <c r="A112" s="15" t="s">
        <v>1738</v>
      </c>
      <c r="B112" s="15" t="s">
        <v>1739</v>
      </c>
      <c r="C112" s="15" t="s">
        <v>1583</v>
      </c>
      <c r="D112" s="15" t="s">
        <v>1693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1.25" customHeight="1">
      <c r="A113" s="15" t="s">
        <v>1740</v>
      </c>
      <c r="B113" s="15" t="s">
        <v>1739</v>
      </c>
      <c r="C113" s="15" t="s">
        <v>1583</v>
      </c>
      <c r="D113" s="15" t="s">
        <v>1693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1.25" customHeight="1">
      <c r="A114" s="15" t="s">
        <v>1741</v>
      </c>
      <c r="B114" s="15" t="s">
        <v>1742</v>
      </c>
      <c r="C114" s="15" t="s">
        <v>1588</v>
      </c>
      <c r="D114" s="15" t="s">
        <v>1693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1.25" customHeight="1">
      <c r="A115" s="15" t="s">
        <v>1743</v>
      </c>
      <c r="B115" s="15" t="s">
        <v>1744</v>
      </c>
      <c r="C115" s="15" t="s">
        <v>1583</v>
      </c>
      <c r="D115" s="15" t="s">
        <v>1693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1.25" customHeight="1">
      <c r="A116" s="15" t="s">
        <v>1745</v>
      </c>
      <c r="B116" s="15" t="s">
        <v>1746</v>
      </c>
      <c r="C116" s="15" t="s">
        <v>1583</v>
      </c>
      <c r="D116" s="15" t="s">
        <v>1693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1.25" customHeight="1">
      <c r="A117" s="15" t="s">
        <v>1747</v>
      </c>
      <c r="B117" s="15" t="s">
        <v>1748</v>
      </c>
      <c r="C117" s="15" t="s">
        <v>1583</v>
      </c>
      <c r="D117" s="15" t="s">
        <v>1693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1.25" customHeight="1">
      <c r="A118" s="15" t="s">
        <v>1749</v>
      </c>
      <c r="B118" s="15" t="s">
        <v>1750</v>
      </c>
      <c r="C118" s="15" t="s">
        <v>1583</v>
      </c>
      <c r="D118" s="15" t="s">
        <v>1693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1.25" customHeight="1">
      <c r="A119" s="15" t="s">
        <v>1751</v>
      </c>
      <c r="B119" s="15" t="s">
        <v>1752</v>
      </c>
      <c r="C119" s="15" t="s">
        <v>1583</v>
      </c>
      <c r="D119" s="15" t="s">
        <v>1693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1.25" customHeight="1">
      <c r="A120" s="15" t="s">
        <v>1753</v>
      </c>
      <c r="B120" s="15" t="s">
        <v>1754</v>
      </c>
      <c r="C120" s="15" t="s">
        <v>1583</v>
      </c>
      <c r="D120" s="15" t="s">
        <v>1693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1.25" customHeight="1">
      <c r="A121" s="15" t="s">
        <v>1755</v>
      </c>
      <c r="B121" s="15" t="s">
        <v>1756</v>
      </c>
      <c r="C121" s="15" t="s">
        <v>1583</v>
      </c>
      <c r="D121" s="15" t="s">
        <v>1693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1.25" customHeight="1">
      <c r="A122" s="15" t="s">
        <v>1757</v>
      </c>
      <c r="B122" s="15" t="s">
        <v>1758</v>
      </c>
      <c r="C122" s="15" t="s">
        <v>1588</v>
      </c>
      <c r="D122" s="15" t="s">
        <v>1693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1.25" customHeight="1">
      <c r="A123" s="15" t="s">
        <v>1759</v>
      </c>
      <c r="B123" s="15" t="s">
        <v>1760</v>
      </c>
      <c r="C123" s="15" t="s">
        <v>1583</v>
      </c>
      <c r="D123" s="15" t="s">
        <v>1693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1.25" customHeight="1">
      <c r="A124" s="15" t="s">
        <v>1761</v>
      </c>
      <c r="B124" s="15" t="s">
        <v>1762</v>
      </c>
      <c r="C124" s="15" t="s">
        <v>1588</v>
      </c>
      <c r="D124" s="15" t="s">
        <v>1693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1.25" customHeight="1">
      <c r="A125" s="15" t="s">
        <v>1763</v>
      </c>
      <c r="B125" s="15" t="s">
        <v>1764</v>
      </c>
      <c r="C125" s="15" t="s">
        <v>1583</v>
      </c>
      <c r="D125" s="15" t="s">
        <v>1693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1.25" customHeight="1">
      <c r="A126" s="15" t="s">
        <v>1765</v>
      </c>
      <c r="B126" s="15" t="s">
        <v>1766</v>
      </c>
      <c r="C126" s="15" t="s">
        <v>1583</v>
      </c>
      <c r="D126" s="15" t="s">
        <v>1693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1.25" customHeight="1">
      <c r="A127" s="15" t="s">
        <v>1767</v>
      </c>
      <c r="B127" s="15" t="s">
        <v>1768</v>
      </c>
      <c r="C127" s="15" t="s">
        <v>1583</v>
      </c>
      <c r="D127" s="15" t="s">
        <v>1693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1.25" customHeight="1">
      <c r="A128" s="15" t="s">
        <v>1769</v>
      </c>
      <c r="B128" s="15" t="s">
        <v>1770</v>
      </c>
      <c r="C128" s="15" t="s">
        <v>1583</v>
      </c>
      <c r="D128" s="15" t="s">
        <v>1693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1.25" customHeight="1">
      <c r="A129" s="15" t="s">
        <v>1771</v>
      </c>
      <c r="B129" s="15" t="s">
        <v>1772</v>
      </c>
      <c r="C129" s="15" t="s">
        <v>1583</v>
      </c>
      <c r="D129" s="15" t="s">
        <v>1693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1.25" customHeight="1">
      <c r="A130" s="15" t="s">
        <v>996</v>
      </c>
      <c r="B130" s="15" t="s">
        <v>922</v>
      </c>
      <c r="C130" s="15" t="s">
        <v>1583</v>
      </c>
      <c r="D130" s="15" t="s">
        <v>1693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1.25" customHeight="1">
      <c r="A131" s="15" t="s">
        <v>1773</v>
      </c>
      <c r="B131" s="15" t="s">
        <v>938</v>
      </c>
      <c r="C131" s="15" t="s">
        <v>1583</v>
      </c>
      <c r="D131" s="15" t="s">
        <v>1693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1.25" customHeight="1">
      <c r="A132" s="15" t="s">
        <v>1774</v>
      </c>
      <c r="B132" s="15" t="s">
        <v>1775</v>
      </c>
      <c r="C132" s="15" t="s">
        <v>1583</v>
      </c>
      <c r="D132" s="15" t="s">
        <v>1693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1.25" customHeight="1">
      <c r="A133" s="15" t="s">
        <v>1776</v>
      </c>
      <c r="B133" s="15" t="s">
        <v>1777</v>
      </c>
      <c r="C133" s="15" t="s">
        <v>1583</v>
      </c>
      <c r="D133" s="15" t="s">
        <v>1693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1.25" customHeight="1">
      <c r="A134" s="15" t="s">
        <v>1778</v>
      </c>
      <c r="B134" s="15" t="s">
        <v>1779</v>
      </c>
      <c r="C134" s="15" t="s">
        <v>1588</v>
      </c>
      <c r="D134" s="15" t="s">
        <v>1693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1.25" customHeight="1">
      <c r="A135" s="15" t="s">
        <v>997</v>
      </c>
      <c r="B135" s="15" t="s">
        <v>924</v>
      </c>
      <c r="C135" s="15" t="s">
        <v>1583</v>
      </c>
      <c r="D135" s="15" t="s">
        <v>1693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1.25" customHeight="1">
      <c r="A136" s="15" t="s">
        <v>1780</v>
      </c>
      <c r="B136" s="15" t="s">
        <v>1781</v>
      </c>
      <c r="C136" s="15" t="s">
        <v>1588</v>
      </c>
      <c r="D136" s="15" t="s">
        <v>1782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1.25" customHeight="1">
      <c r="A137" s="15" t="s">
        <v>1783</v>
      </c>
      <c r="B137" s="15" t="s">
        <v>1784</v>
      </c>
      <c r="C137" s="15" t="s">
        <v>1583</v>
      </c>
      <c r="D137" s="15" t="s">
        <v>1782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1.25" customHeight="1">
      <c r="A138" s="15" t="s">
        <v>1785</v>
      </c>
      <c r="B138" s="15" t="s">
        <v>1786</v>
      </c>
      <c r="C138" s="15" t="s">
        <v>1583</v>
      </c>
      <c r="D138" s="15" t="s">
        <v>1782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1.25" customHeight="1">
      <c r="A139" s="15" t="s">
        <v>1787</v>
      </c>
      <c r="B139" s="15" t="s">
        <v>1788</v>
      </c>
      <c r="C139" s="15" t="s">
        <v>1583</v>
      </c>
      <c r="D139" s="15" t="s">
        <v>1782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1.25" customHeight="1">
      <c r="A140" s="15" t="s">
        <v>998</v>
      </c>
      <c r="B140" s="15" t="s">
        <v>936</v>
      </c>
      <c r="C140" s="15" t="s">
        <v>1583</v>
      </c>
      <c r="D140" s="15" t="s">
        <v>1782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1.25" customHeight="1">
      <c r="A141" s="15" t="s">
        <v>1789</v>
      </c>
      <c r="B141" s="15" t="s">
        <v>1790</v>
      </c>
      <c r="C141" s="15" t="s">
        <v>1583</v>
      </c>
      <c r="D141" s="15" t="s">
        <v>1782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1.25" customHeight="1">
      <c r="A142" s="15" t="s">
        <v>1791</v>
      </c>
      <c r="B142" s="15" t="s">
        <v>1792</v>
      </c>
      <c r="C142" s="15" t="s">
        <v>1583</v>
      </c>
      <c r="D142" s="15" t="s">
        <v>1782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1.25" customHeight="1">
      <c r="A143" s="15" t="s">
        <v>1000</v>
      </c>
      <c r="B143" s="15" t="s">
        <v>941</v>
      </c>
      <c r="C143" s="15" t="s">
        <v>1583</v>
      </c>
      <c r="D143" s="15" t="s">
        <v>1793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1.25" customHeight="1">
      <c r="A144" s="15" t="s">
        <v>1001</v>
      </c>
      <c r="B144" s="15" t="s">
        <v>943</v>
      </c>
      <c r="C144" s="15" t="s">
        <v>1583</v>
      </c>
      <c r="D144" s="15" t="s">
        <v>1794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1.25" customHeight="1">
      <c r="A145" s="15" t="s">
        <v>1002</v>
      </c>
      <c r="B145" s="15" t="s">
        <v>945</v>
      </c>
      <c r="C145" s="15" t="s">
        <v>1583</v>
      </c>
      <c r="D145" s="15" t="s">
        <v>1793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1.25" customHeight="1">
      <c r="A146" s="15" t="s">
        <v>1795</v>
      </c>
      <c r="B146" s="15" t="s">
        <v>1796</v>
      </c>
      <c r="C146" s="15" t="s">
        <v>1583</v>
      </c>
      <c r="D146" s="15" t="s">
        <v>1793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1.25" customHeight="1">
      <c r="A147" s="15" t="s">
        <v>1003</v>
      </c>
      <c r="B147" s="15" t="s">
        <v>947</v>
      </c>
      <c r="C147" s="15" t="s">
        <v>1583</v>
      </c>
      <c r="D147" s="15" t="s">
        <v>1793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1.25" customHeight="1">
      <c r="A148" s="15" t="s">
        <v>1797</v>
      </c>
      <c r="B148" s="15" t="s">
        <v>1798</v>
      </c>
      <c r="C148" s="15" t="s">
        <v>1583</v>
      </c>
      <c r="D148" s="15" t="s">
        <v>1793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1.25" customHeight="1">
      <c r="A149" s="15" t="s">
        <v>36</v>
      </c>
      <c r="B149" s="15" t="s">
        <v>37</v>
      </c>
      <c r="C149" s="15" t="s">
        <v>1583</v>
      </c>
      <c r="D149" s="15" t="s">
        <v>41</v>
      </c>
      <c r="E149" s="14" t="s">
        <v>45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1.25" customHeight="1">
      <c r="A150" s="15" t="s">
        <v>44</v>
      </c>
      <c r="B150" s="15" t="s">
        <v>45</v>
      </c>
      <c r="C150" s="15" t="s">
        <v>1583</v>
      </c>
      <c r="D150" s="15" t="s">
        <v>41</v>
      </c>
      <c r="E150" s="14" t="s">
        <v>45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1.25" customHeight="1">
      <c r="A151" s="15" t="s">
        <v>48</v>
      </c>
      <c r="B151" s="15" t="s">
        <v>49</v>
      </c>
      <c r="C151" s="15" t="s">
        <v>1583</v>
      </c>
      <c r="D151" s="15" t="s">
        <v>41</v>
      </c>
      <c r="E151" s="14" t="s">
        <v>45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1.25" customHeight="1">
      <c r="A152" s="15" t="s">
        <v>51</v>
      </c>
      <c r="B152" s="15" t="s">
        <v>52</v>
      </c>
      <c r="C152" s="15" t="s">
        <v>1583</v>
      </c>
      <c r="D152" s="15" t="s">
        <v>41</v>
      </c>
      <c r="E152" s="14" t="s">
        <v>45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1.25" customHeight="1">
      <c r="A153" s="15" t="s">
        <v>53</v>
      </c>
      <c r="B153" s="15" t="s">
        <v>54</v>
      </c>
      <c r="C153" s="15" t="s">
        <v>1583</v>
      </c>
      <c r="D153" s="15" t="s">
        <v>41</v>
      </c>
      <c r="E153" s="14" t="s">
        <v>81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1.25" customHeight="1">
      <c r="A154" s="15" t="s">
        <v>57</v>
      </c>
      <c r="B154" s="15" t="s">
        <v>58</v>
      </c>
      <c r="C154" s="15" t="s">
        <v>1583</v>
      </c>
      <c r="D154" s="15" t="s">
        <v>41</v>
      </c>
      <c r="E154" s="14" t="s">
        <v>81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1.25" customHeight="1">
      <c r="A155" s="15" t="s">
        <v>62</v>
      </c>
      <c r="B155" s="15" t="s">
        <v>63</v>
      </c>
      <c r="C155" s="15" t="s">
        <v>1583</v>
      </c>
      <c r="D155" s="15" t="s">
        <v>41</v>
      </c>
      <c r="E155" s="14" t="s">
        <v>45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1.25" customHeight="1">
      <c r="A156" s="15" t="s">
        <v>65</v>
      </c>
      <c r="B156" s="15" t="s">
        <v>66</v>
      </c>
      <c r="C156" s="15" t="s">
        <v>1583</v>
      </c>
      <c r="D156" s="15" t="s">
        <v>41</v>
      </c>
      <c r="E156" s="14" t="s">
        <v>45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1.25" customHeight="1">
      <c r="A157" s="15" t="s">
        <v>68</v>
      </c>
      <c r="B157" s="15" t="s">
        <v>69</v>
      </c>
      <c r="C157" s="15" t="s">
        <v>1583</v>
      </c>
      <c r="D157" s="15" t="s">
        <v>41</v>
      </c>
      <c r="E157" s="14" t="s">
        <v>45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1.25" customHeight="1">
      <c r="A158" s="15" t="s">
        <v>70</v>
      </c>
      <c r="B158" s="15" t="s">
        <v>71</v>
      </c>
      <c r="C158" s="15" t="s">
        <v>1583</v>
      </c>
      <c r="D158" s="15" t="s">
        <v>41</v>
      </c>
      <c r="E158" s="14" t="s">
        <v>43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1.25" customHeight="1">
      <c r="A159" s="15" t="s">
        <v>73</v>
      </c>
      <c r="B159" s="15" t="s">
        <v>74</v>
      </c>
      <c r="C159" s="15" t="s">
        <v>1583</v>
      </c>
      <c r="D159" s="15" t="s">
        <v>41</v>
      </c>
      <c r="E159" s="14" t="s">
        <v>43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1.25" customHeight="1">
      <c r="A160" s="15" t="s">
        <v>75</v>
      </c>
      <c r="B160" s="15" t="s">
        <v>76</v>
      </c>
      <c r="C160" s="15" t="s">
        <v>1583</v>
      </c>
      <c r="D160" s="15" t="s">
        <v>41</v>
      </c>
      <c r="E160" s="14" t="s">
        <v>43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1.25" customHeight="1">
      <c r="A161" s="15" t="s">
        <v>79</v>
      </c>
      <c r="B161" s="15" t="s">
        <v>80</v>
      </c>
      <c r="C161" s="15" t="s">
        <v>1583</v>
      </c>
      <c r="D161" s="15" t="s">
        <v>41</v>
      </c>
      <c r="E161" s="14" t="s">
        <v>43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1.25" customHeight="1">
      <c r="A162" s="15" t="s">
        <v>82</v>
      </c>
      <c r="B162" s="15" t="s">
        <v>83</v>
      </c>
      <c r="C162" s="15" t="s">
        <v>1583</v>
      </c>
      <c r="D162" s="15" t="s">
        <v>41</v>
      </c>
      <c r="E162" s="14" t="s">
        <v>43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1.25" customHeight="1">
      <c r="A163" s="15" t="s">
        <v>85</v>
      </c>
      <c r="B163" s="15" t="s">
        <v>86</v>
      </c>
      <c r="C163" s="15" t="s">
        <v>1583</v>
      </c>
      <c r="D163" s="15" t="s">
        <v>41</v>
      </c>
      <c r="E163" s="14" t="s">
        <v>47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1.25" customHeight="1">
      <c r="A164" s="15" t="s">
        <v>88</v>
      </c>
      <c r="B164" s="15" t="s">
        <v>89</v>
      </c>
      <c r="C164" s="15" t="s">
        <v>1583</v>
      </c>
      <c r="D164" s="15" t="s">
        <v>41</v>
      </c>
      <c r="E164" s="14" t="s">
        <v>47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1.25" customHeight="1">
      <c r="A165" s="15" t="s">
        <v>92</v>
      </c>
      <c r="B165" s="15" t="s">
        <v>93</v>
      </c>
      <c r="C165" s="15" t="s">
        <v>1583</v>
      </c>
      <c r="D165" s="15" t="s">
        <v>41</v>
      </c>
      <c r="E165" s="14" t="s">
        <v>50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1.25" customHeight="1">
      <c r="A166" s="15" t="s">
        <v>95</v>
      </c>
      <c r="B166" s="15" t="s">
        <v>96</v>
      </c>
      <c r="C166" s="15" t="s">
        <v>1583</v>
      </c>
      <c r="D166" s="15" t="s">
        <v>41</v>
      </c>
      <c r="E166" s="14" t="s">
        <v>50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1.25" customHeight="1">
      <c r="A167" s="15" t="s">
        <v>98</v>
      </c>
      <c r="B167" s="15" t="s">
        <v>99</v>
      </c>
      <c r="C167" s="15" t="s">
        <v>1588</v>
      </c>
      <c r="D167" s="15" t="s">
        <v>41</v>
      </c>
      <c r="E167" s="14" t="s">
        <v>50</v>
      </c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1.25" customHeight="1">
      <c r="A168" s="15" t="s">
        <v>100</v>
      </c>
      <c r="B168" s="15" t="s">
        <v>101</v>
      </c>
      <c r="C168" s="15" t="s">
        <v>1583</v>
      </c>
      <c r="D168" s="15" t="s">
        <v>41</v>
      </c>
      <c r="E168" s="14" t="s">
        <v>59</v>
      </c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1.25" customHeight="1">
      <c r="A169" s="15" t="s">
        <v>105</v>
      </c>
      <c r="B169" s="15" t="s">
        <v>106</v>
      </c>
      <c r="C169" s="15" t="s">
        <v>1583</v>
      </c>
      <c r="D169" s="15" t="s">
        <v>41</v>
      </c>
      <c r="E169" s="14" t="s">
        <v>61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1.25" customHeight="1">
      <c r="A170" s="15" t="s">
        <v>109</v>
      </c>
      <c r="B170" s="15" t="s">
        <v>110</v>
      </c>
      <c r="C170" s="15" t="s">
        <v>1583</v>
      </c>
      <c r="D170" s="15" t="s">
        <v>41</v>
      </c>
      <c r="E170" s="14" t="s">
        <v>61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1.25" customHeight="1">
      <c r="A171" s="15" t="s">
        <v>111</v>
      </c>
      <c r="B171" s="15" t="s">
        <v>112</v>
      </c>
      <c r="C171" s="15" t="s">
        <v>1583</v>
      </c>
      <c r="D171" s="15" t="s">
        <v>41</v>
      </c>
      <c r="E171" s="14" t="s">
        <v>61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1.25" customHeight="1">
      <c r="A172" s="15" t="s">
        <v>114</v>
      </c>
      <c r="B172" s="15" t="s">
        <v>116</v>
      </c>
      <c r="C172" s="15" t="s">
        <v>1583</v>
      </c>
      <c r="D172" s="15" t="s">
        <v>41</v>
      </c>
      <c r="E172" s="14" t="s">
        <v>61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1.25" customHeight="1">
      <c r="A173" s="15" t="s">
        <v>117</v>
      </c>
      <c r="B173" s="15" t="s">
        <v>118</v>
      </c>
      <c r="C173" s="15" t="s">
        <v>1583</v>
      </c>
      <c r="D173" s="15" t="s">
        <v>41</v>
      </c>
      <c r="E173" s="14" t="s">
        <v>61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1.25" customHeight="1">
      <c r="A174" s="15" t="s">
        <v>123</v>
      </c>
      <c r="B174" s="15" t="s">
        <v>124</v>
      </c>
      <c r="C174" s="15" t="s">
        <v>1583</v>
      </c>
      <c r="D174" s="15" t="s">
        <v>41</v>
      </c>
      <c r="E174" s="14" t="s">
        <v>61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1.25" customHeight="1">
      <c r="A175" s="15" t="s">
        <v>127</v>
      </c>
      <c r="B175" s="15" t="s">
        <v>128</v>
      </c>
      <c r="C175" s="15" t="s">
        <v>1583</v>
      </c>
      <c r="D175" s="15" t="s">
        <v>41</v>
      </c>
      <c r="E175" s="14" t="s">
        <v>61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1.25" customHeight="1">
      <c r="A176" s="15" t="s">
        <v>129</v>
      </c>
      <c r="B176" s="15" t="s">
        <v>130</v>
      </c>
      <c r="C176" s="15" t="s">
        <v>1583</v>
      </c>
      <c r="D176" s="15" t="s">
        <v>41</v>
      </c>
      <c r="E176" s="14" t="s">
        <v>61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1.25" customHeight="1">
      <c r="A177" s="15" t="s">
        <v>134</v>
      </c>
      <c r="B177" s="15" t="s">
        <v>135</v>
      </c>
      <c r="C177" s="15" t="s">
        <v>1583</v>
      </c>
      <c r="D177" s="15" t="s">
        <v>41</v>
      </c>
      <c r="E177" s="14" t="s">
        <v>61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1.25" customHeight="1">
      <c r="A178" s="15" t="s">
        <v>137</v>
      </c>
      <c r="B178" s="15" t="s">
        <v>138</v>
      </c>
      <c r="C178" s="15" t="s">
        <v>1583</v>
      </c>
      <c r="D178" s="15" t="s">
        <v>41</v>
      </c>
      <c r="E178" s="14" t="s">
        <v>61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1.25" customHeight="1">
      <c r="A179" s="15" t="s">
        <v>140</v>
      </c>
      <c r="B179" s="15" t="s">
        <v>141</v>
      </c>
      <c r="C179" s="15" t="s">
        <v>1583</v>
      </c>
      <c r="D179" s="15" t="s">
        <v>41</v>
      </c>
      <c r="E179" s="14" t="s">
        <v>61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1.25" customHeight="1">
      <c r="A180" s="15" t="s">
        <v>144</v>
      </c>
      <c r="B180" s="15" t="s">
        <v>145</v>
      </c>
      <c r="C180" s="15" t="s">
        <v>1583</v>
      </c>
      <c r="D180" s="15" t="s">
        <v>41</v>
      </c>
      <c r="E180" s="14" t="s">
        <v>61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1.25" customHeight="1">
      <c r="A181" s="15" t="s">
        <v>147</v>
      </c>
      <c r="B181" s="15" t="s">
        <v>148</v>
      </c>
      <c r="C181" s="15" t="s">
        <v>1583</v>
      </c>
      <c r="D181" s="15" t="s">
        <v>41</v>
      </c>
      <c r="E181" s="14" t="s">
        <v>61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1.25" customHeight="1">
      <c r="A182" s="15" t="s">
        <v>149</v>
      </c>
      <c r="B182" s="15" t="s">
        <v>150</v>
      </c>
      <c r="C182" s="15" t="s">
        <v>1583</v>
      </c>
      <c r="D182" s="15" t="s">
        <v>41</v>
      </c>
      <c r="E182" s="14" t="s">
        <v>56</v>
      </c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1.25" customHeight="1">
      <c r="A183" s="15" t="s">
        <v>152</v>
      </c>
      <c r="B183" s="15" t="s">
        <v>153</v>
      </c>
      <c r="C183" s="15" t="s">
        <v>1583</v>
      </c>
      <c r="D183" s="15" t="s">
        <v>41</v>
      </c>
      <c r="E183" s="14" t="s">
        <v>56</v>
      </c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1.25" customHeight="1">
      <c r="A184" s="15" t="s">
        <v>155</v>
      </c>
      <c r="B184" s="15" t="s">
        <v>156</v>
      </c>
      <c r="C184" s="15" t="s">
        <v>1583</v>
      </c>
      <c r="D184" s="15" t="s">
        <v>41</v>
      </c>
      <c r="E184" s="14" t="s">
        <v>56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1.25" customHeight="1">
      <c r="A185" s="15" t="s">
        <v>159</v>
      </c>
      <c r="B185" s="15" t="s">
        <v>160</v>
      </c>
      <c r="C185" s="15" t="s">
        <v>1583</v>
      </c>
      <c r="D185" s="15" t="s">
        <v>41</v>
      </c>
      <c r="E185" s="14" t="s">
        <v>56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1.25" customHeight="1">
      <c r="A186" s="15" t="s">
        <v>163</v>
      </c>
      <c r="B186" s="15" t="s">
        <v>164</v>
      </c>
      <c r="C186" s="15" t="s">
        <v>1583</v>
      </c>
      <c r="D186" s="15" t="s">
        <v>41</v>
      </c>
      <c r="E186" s="14" t="s">
        <v>56</v>
      </c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1.25" customHeight="1">
      <c r="A187" s="15" t="s">
        <v>167</v>
      </c>
      <c r="B187" s="15" t="s">
        <v>168</v>
      </c>
      <c r="C187" s="15" t="s">
        <v>1583</v>
      </c>
      <c r="D187" s="15" t="s">
        <v>41</v>
      </c>
      <c r="E187" s="14" t="s">
        <v>56</v>
      </c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1.25" customHeight="1">
      <c r="A188" s="15" t="s">
        <v>171</v>
      </c>
      <c r="B188" s="15" t="s">
        <v>172</v>
      </c>
      <c r="C188" s="15" t="s">
        <v>1583</v>
      </c>
      <c r="D188" s="15" t="s">
        <v>41</v>
      </c>
      <c r="E188" s="14" t="s">
        <v>56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1.25" customHeight="1">
      <c r="A189" s="15" t="s">
        <v>175</v>
      </c>
      <c r="B189" s="15" t="s">
        <v>176</v>
      </c>
      <c r="C189" s="15" t="s">
        <v>1583</v>
      </c>
      <c r="D189" s="15" t="s">
        <v>41</v>
      </c>
      <c r="E189" s="14" t="s">
        <v>56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1.25" customHeight="1">
      <c r="A190" s="15" t="s">
        <v>178</v>
      </c>
      <c r="B190" s="15" t="s">
        <v>179</v>
      </c>
      <c r="C190" s="15" t="s">
        <v>1583</v>
      </c>
      <c r="D190" s="15" t="s">
        <v>41</v>
      </c>
      <c r="E190" s="14" t="s">
        <v>56</v>
      </c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1.25" customHeight="1">
      <c r="A191" s="15" t="s">
        <v>181</v>
      </c>
      <c r="B191" s="15" t="s">
        <v>182</v>
      </c>
      <c r="C191" s="15" t="s">
        <v>1583</v>
      </c>
      <c r="D191" s="15" t="s">
        <v>41</v>
      </c>
      <c r="E191" s="14" t="s">
        <v>56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1.25" customHeight="1">
      <c r="A192" s="15" t="s">
        <v>184</v>
      </c>
      <c r="B192" s="15" t="s">
        <v>185</v>
      </c>
      <c r="C192" s="15" t="s">
        <v>1583</v>
      </c>
      <c r="D192" s="15" t="s">
        <v>41</v>
      </c>
      <c r="E192" s="14" t="s">
        <v>56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1.25" customHeight="1">
      <c r="A193" s="15" t="s">
        <v>188</v>
      </c>
      <c r="B193" s="15" t="s">
        <v>189</v>
      </c>
      <c r="C193" s="15" t="s">
        <v>1583</v>
      </c>
      <c r="D193" s="15" t="s">
        <v>41</v>
      </c>
      <c r="E193" s="14" t="s">
        <v>91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1.25" customHeight="1">
      <c r="A194" s="15" t="s">
        <v>190</v>
      </c>
      <c r="B194" s="15" t="s">
        <v>192</v>
      </c>
      <c r="C194" s="15" t="s">
        <v>1583</v>
      </c>
      <c r="D194" s="15" t="s">
        <v>41</v>
      </c>
      <c r="E194" s="14" t="s">
        <v>91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1.25" customHeight="1">
      <c r="A195" s="15" t="s">
        <v>194</v>
      </c>
      <c r="B195" s="15" t="s">
        <v>195</v>
      </c>
      <c r="C195" s="15" t="s">
        <v>1588</v>
      </c>
      <c r="D195" s="15" t="s">
        <v>41</v>
      </c>
      <c r="E195" s="14" t="s">
        <v>108</v>
      </c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1.25" customHeight="1">
      <c r="A196" s="15" t="s">
        <v>197</v>
      </c>
      <c r="B196" s="15" t="s">
        <v>198</v>
      </c>
      <c r="C196" s="15" t="s">
        <v>1583</v>
      </c>
      <c r="D196" s="15" t="s">
        <v>41</v>
      </c>
      <c r="E196" s="14" t="s">
        <v>108</v>
      </c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1.25" customHeight="1">
      <c r="A197" s="15" t="s">
        <v>200</v>
      </c>
      <c r="B197" s="15" t="s">
        <v>201</v>
      </c>
      <c r="C197" s="15" t="s">
        <v>1583</v>
      </c>
      <c r="D197" s="15" t="s">
        <v>41</v>
      </c>
      <c r="E197" s="14" t="s">
        <v>108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1.25" customHeight="1">
      <c r="A198" s="15" t="s">
        <v>202</v>
      </c>
      <c r="B198" s="15" t="s">
        <v>203</v>
      </c>
      <c r="C198" s="15" t="s">
        <v>1588</v>
      </c>
      <c r="D198" s="15" t="s">
        <v>41</v>
      </c>
      <c r="E198" s="14" t="s">
        <v>108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1.25" customHeight="1">
      <c r="A199" s="15" t="s">
        <v>206</v>
      </c>
      <c r="B199" s="15" t="s">
        <v>207</v>
      </c>
      <c r="C199" s="15" t="s">
        <v>1583</v>
      </c>
      <c r="D199" s="15" t="s">
        <v>41</v>
      </c>
      <c r="E199" s="14" t="s">
        <v>108</v>
      </c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1.25" customHeight="1">
      <c r="A200" s="15" t="s">
        <v>210</v>
      </c>
      <c r="B200" s="15" t="s">
        <v>211</v>
      </c>
      <c r="C200" s="15" t="s">
        <v>1583</v>
      </c>
      <c r="D200" s="15" t="s">
        <v>41</v>
      </c>
      <c r="E200" s="14" t="s">
        <v>108</v>
      </c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1.25" customHeight="1">
      <c r="A201" s="15" t="s">
        <v>213</v>
      </c>
      <c r="B201" s="15" t="s">
        <v>214</v>
      </c>
      <c r="C201" s="15" t="s">
        <v>1583</v>
      </c>
      <c r="D201" s="15" t="s">
        <v>41</v>
      </c>
      <c r="E201" s="14" t="s">
        <v>108</v>
      </c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1.25" customHeight="1">
      <c r="A202" s="15" t="s">
        <v>215</v>
      </c>
      <c r="B202" s="15" t="s">
        <v>216</v>
      </c>
      <c r="C202" s="15" t="s">
        <v>1583</v>
      </c>
      <c r="D202" s="15" t="s">
        <v>41</v>
      </c>
      <c r="E202" s="14" t="s">
        <v>104</v>
      </c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1.25" customHeight="1">
      <c r="A203" s="15" t="s">
        <v>219</v>
      </c>
      <c r="B203" s="15" t="s">
        <v>220</v>
      </c>
      <c r="C203" s="15" t="s">
        <v>1583</v>
      </c>
      <c r="D203" s="15" t="s">
        <v>41</v>
      </c>
      <c r="E203" s="14" t="s">
        <v>104</v>
      </c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1.25" customHeight="1">
      <c r="A204" s="15" t="s">
        <v>221</v>
      </c>
      <c r="B204" s="15" t="s">
        <v>222</v>
      </c>
      <c r="C204" s="15" t="s">
        <v>1583</v>
      </c>
      <c r="D204" s="15" t="s">
        <v>41</v>
      </c>
      <c r="E204" s="14" t="s">
        <v>104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1.25" customHeight="1">
      <c r="A205" s="15" t="s">
        <v>224</v>
      </c>
      <c r="B205" s="15" t="s">
        <v>225</v>
      </c>
      <c r="C205" s="15" t="s">
        <v>1583</v>
      </c>
      <c r="D205" s="15" t="s">
        <v>41</v>
      </c>
      <c r="E205" s="14" t="s">
        <v>104</v>
      </c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1.25" customHeight="1">
      <c r="A206" s="15" t="s">
        <v>229</v>
      </c>
      <c r="B206" s="15" t="s">
        <v>230</v>
      </c>
      <c r="C206" s="15" t="s">
        <v>1583</v>
      </c>
      <c r="D206" s="15" t="s">
        <v>41</v>
      </c>
      <c r="E206" s="14" t="s">
        <v>104</v>
      </c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1.25" customHeight="1">
      <c r="A207" s="15" t="s">
        <v>231</v>
      </c>
      <c r="B207" s="15" t="s">
        <v>233</v>
      </c>
      <c r="C207" s="15" t="s">
        <v>1583</v>
      </c>
      <c r="D207" s="15" t="s">
        <v>41</v>
      </c>
      <c r="E207" s="14" t="s">
        <v>104</v>
      </c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1.25" customHeight="1">
      <c r="A208" s="15" t="s">
        <v>235</v>
      </c>
      <c r="B208" s="15" t="s">
        <v>236</v>
      </c>
      <c r="C208" s="15" t="s">
        <v>1583</v>
      </c>
      <c r="D208" s="15" t="s">
        <v>41</v>
      </c>
      <c r="E208" s="14" t="s">
        <v>104</v>
      </c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1.25" customHeight="1">
      <c r="A209" s="15" t="s">
        <v>238</v>
      </c>
      <c r="B209" s="15" t="s">
        <v>239</v>
      </c>
      <c r="C209" s="15" t="s">
        <v>1583</v>
      </c>
      <c r="D209" s="15" t="s">
        <v>41</v>
      </c>
      <c r="E209" s="14" t="s">
        <v>84</v>
      </c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1.25" customHeight="1">
      <c r="A210" s="15" t="s">
        <v>240</v>
      </c>
      <c r="B210" s="15" t="s">
        <v>241</v>
      </c>
      <c r="C210" s="15" t="s">
        <v>1583</v>
      </c>
      <c r="D210" s="15" t="s">
        <v>41</v>
      </c>
      <c r="E210" s="14" t="s">
        <v>84</v>
      </c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1.25" customHeight="1">
      <c r="A211" s="15" t="s">
        <v>243</v>
      </c>
      <c r="B211" s="15" t="s">
        <v>244</v>
      </c>
      <c r="C211" s="15" t="s">
        <v>1583</v>
      </c>
      <c r="D211" s="15" t="s">
        <v>41</v>
      </c>
      <c r="E211" s="14" t="s">
        <v>84</v>
      </c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1.25" customHeight="1">
      <c r="A212" s="15" t="s">
        <v>247</v>
      </c>
      <c r="B212" s="15" t="s">
        <v>248</v>
      </c>
      <c r="C212" s="15" t="s">
        <v>1583</v>
      </c>
      <c r="D212" s="15" t="s">
        <v>41</v>
      </c>
      <c r="E212" s="14" t="s">
        <v>84</v>
      </c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1.25" customHeight="1">
      <c r="A213" s="15" t="s">
        <v>251</v>
      </c>
      <c r="B213" s="15" t="s">
        <v>252</v>
      </c>
      <c r="C213" s="15" t="s">
        <v>1583</v>
      </c>
      <c r="D213" s="15" t="s">
        <v>41</v>
      </c>
      <c r="E213" s="14" t="s">
        <v>84</v>
      </c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1.25" customHeight="1">
      <c r="A214" s="15" t="s">
        <v>253</v>
      </c>
      <c r="B214" s="15" t="s">
        <v>254</v>
      </c>
      <c r="C214" s="15" t="s">
        <v>1583</v>
      </c>
      <c r="D214" s="15" t="s">
        <v>41</v>
      </c>
      <c r="E214" s="14" t="s">
        <v>84</v>
      </c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1.25" customHeight="1">
      <c r="A215" s="15" t="s">
        <v>257</v>
      </c>
      <c r="B215" s="15" t="s">
        <v>258</v>
      </c>
      <c r="C215" s="15" t="s">
        <v>1583</v>
      </c>
      <c r="D215" s="15" t="s">
        <v>41</v>
      </c>
      <c r="E215" s="14" t="s">
        <v>84</v>
      </c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1.25" customHeight="1">
      <c r="A216" s="15" t="s">
        <v>260</v>
      </c>
      <c r="B216" s="15" t="s">
        <v>261</v>
      </c>
      <c r="C216" s="15" t="s">
        <v>1583</v>
      </c>
      <c r="D216" s="15" t="s">
        <v>41</v>
      </c>
      <c r="E216" s="14" t="s">
        <v>84</v>
      </c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1.25" customHeight="1">
      <c r="A217" s="15" t="s">
        <v>262</v>
      </c>
      <c r="B217" s="15" t="s">
        <v>264</v>
      </c>
      <c r="C217" s="15" t="s">
        <v>1583</v>
      </c>
      <c r="D217" s="15" t="s">
        <v>41</v>
      </c>
      <c r="E217" s="14" t="s">
        <v>84</v>
      </c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1.25" customHeight="1">
      <c r="A218" s="15" t="s">
        <v>265</v>
      </c>
      <c r="B218" s="15" t="s">
        <v>266</v>
      </c>
      <c r="C218" s="15" t="s">
        <v>1583</v>
      </c>
      <c r="D218" s="15" t="s">
        <v>41</v>
      </c>
      <c r="E218" s="14" t="s">
        <v>84</v>
      </c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1.25" customHeight="1">
      <c r="A219" s="15" t="s">
        <v>268</v>
      </c>
      <c r="B219" s="15" t="s">
        <v>269</v>
      </c>
      <c r="C219" s="15" t="s">
        <v>1583</v>
      </c>
      <c r="D219" s="15" t="s">
        <v>41</v>
      </c>
      <c r="E219" s="14" t="s">
        <v>84</v>
      </c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1.25" customHeight="1">
      <c r="A220" s="15" t="s">
        <v>270</v>
      </c>
      <c r="B220" s="15" t="s">
        <v>271</v>
      </c>
      <c r="C220" s="15" t="s">
        <v>1583</v>
      </c>
      <c r="D220" s="15" t="s">
        <v>41</v>
      </c>
      <c r="E220" s="14" t="s">
        <v>84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1.25" customHeight="1">
      <c r="A221" s="15" t="s">
        <v>272</v>
      </c>
      <c r="B221" s="15" t="s">
        <v>273</v>
      </c>
      <c r="C221" s="15" t="s">
        <v>1583</v>
      </c>
      <c r="D221" s="15" t="s">
        <v>41</v>
      </c>
      <c r="E221" s="14" t="s">
        <v>84</v>
      </c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1.25" customHeight="1">
      <c r="A222" s="15" t="s">
        <v>274</v>
      </c>
      <c r="B222" s="15" t="s">
        <v>275</v>
      </c>
      <c r="C222" s="15" t="s">
        <v>1583</v>
      </c>
      <c r="D222" s="15" t="s">
        <v>41</v>
      </c>
      <c r="E222" s="14" t="s">
        <v>84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1.25" customHeight="1">
      <c r="A223" s="15" t="s">
        <v>276</v>
      </c>
      <c r="B223" s="15" t="s">
        <v>277</v>
      </c>
      <c r="C223" s="15" t="s">
        <v>1583</v>
      </c>
      <c r="D223" s="15" t="s">
        <v>41</v>
      </c>
      <c r="E223" s="14" t="s">
        <v>94</v>
      </c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1.25" customHeight="1">
      <c r="A224" s="15" t="s">
        <v>352</v>
      </c>
      <c r="B224" s="15" t="s">
        <v>353</v>
      </c>
      <c r="C224" s="15" t="s">
        <v>1583</v>
      </c>
      <c r="D224" s="15" t="s">
        <v>119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1.25" customHeight="1">
      <c r="A225" s="15" t="s">
        <v>355</v>
      </c>
      <c r="B225" s="15" t="s">
        <v>356</v>
      </c>
      <c r="C225" s="15" t="s">
        <v>1583</v>
      </c>
      <c r="D225" s="15" t="s">
        <v>119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1.25" customHeight="1">
      <c r="A226" s="15" t="s">
        <v>278</v>
      </c>
      <c r="B226" s="15" t="s">
        <v>279</v>
      </c>
      <c r="C226" s="15" t="s">
        <v>1588</v>
      </c>
      <c r="D226" s="15" t="s">
        <v>41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1.25" customHeight="1">
      <c r="A227" s="15" t="s">
        <v>280</v>
      </c>
      <c r="B227" s="15" t="s">
        <v>281</v>
      </c>
      <c r="C227" s="15" t="s">
        <v>1588</v>
      </c>
      <c r="D227" s="15" t="s">
        <v>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1.25" customHeight="1">
      <c r="A228" s="15" t="s">
        <v>282</v>
      </c>
      <c r="B228" s="15" t="s">
        <v>77</v>
      </c>
      <c r="C228" s="15" t="s">
        <v>1588</v>
      </c>
      <c r="D228" s="15" t="s">
        <v>41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1.25" customHeight="1">
      <c r="A229" s="15" t="s">
        <v>284</v>
      </c>
      <c r="B229" s="15" t="s">
        <v>285</v>
      </c>
      <c r="C229" s="15" t="s">
        <v>1588</v>
      </c>
      <c r="D229" s="15" t="s">
        <v>283</v>
      </c>
      <c r="E229" s="14" t="s">
        <v>87</v>
      </c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1.25" customHeight="1">
      <c r="A230" s="15" t="s">
        <v>286</v>
      </c>
      <c r="B230" s="15" t="s">
        <v>287</v>
      </c>
      <c r="C230" s="15" t="s">
        <v>1583</v>
      </c>
      <c r="D230" s="15" t="s">
        <v>283</v>
      </c>
      <c r="E230" s="14" t="s">
        <v>87</v>
      </c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1.25" customHeight="1">
      <c r="A231" s="15" t="s">
        <v>288</v>
      </c>
      <c r="B231" s="15" t="s">
        <v>289</v>
      </c>
      <c r="C231" s="15" t="s">
        <v>1583</v>
      </c>
      <c r="D231" s="15" t="s">
        <v>283</v>
      </c>
      <c r="E231" s="14" t="s">
        <v>87</v>
      </c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1.25" customHeight="1">
      <c r="A232" s="15" t="s">
        <v>290</v>
      </c>
      <c r="B232" s="15" t="s">
        <v>291</v>
      </c>
      <c r="C232" s="15" t="s">
        <v>1583</v>
      </c>
      <c r="D232" s="15" t="s">
        <v>283</v>
      </c>
      <c r="E232" s="14" t="s">
        <v>87</v>
      </c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1.25" customHeight="1">
      <c r="A233" s="15" t="s">
        <v>292</v>
      </c>
      <c r="B233" s="15" t="s">
        <v>293</v>
      </c>
      <c r="C233" s="15" t="s">
        <v>1583</v>
      </c>
      <c r="D233" s="15" t="s">
        <v>283</v>
      </c>
      <c r="E233" s="14" t="s">
        <v>87</v>
      </c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1.25" customHeight="1">
      <c r="A234" s="15" t="s">
        <v>294</v>
      </c>
      <c r="B234" s="15" t="s">
        <v>295</v>
      </c>
      <c r="C234" s="15" t="s">
        <v>1583</v>
      </c>
      <c r="D234" s="15" t="s">
        <v>283</v>
      </c>
      <c r="E234" s="14" t="s">
        <v>87</v>
      </c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1.25" customHeight="1">
      <c r="A235" s="15" t="s">
        <v>296</v>
      </c>
      <c r="B235" s="15" t="s">
        <v>297</v>
      </c>
      <c r="C235" s="15" t="s">
        <v>1588</v>
      </c>
      <c r="D235" s="15" t="s">
        <v>283</v>
      </c>
      <c r="E235" s="14" t="s">
        <v>87</v>
      </c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1.25" customHeight="1">
      <c r="A236" s="15" t="s">
        <v>298</v>
      </c>
      <c r="B236" s="15" t="s">
        <v>299</v>
      </c>
      <c r="C236" s="15" t="s">
        <v>1583</v>
      </c>
      <c r="D236" s="15" t="s">
        <v>283</v>
      </c>
      <c r="E236" s="14" t="s">
        <v>87</v>
      </c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1.25" customHeight="1">
      <c r="A237" s="15" t="s">
        <v>300</v>
      </c>
      <c r="B237" s="15" t="s">
        <v>301</v>
      </c>
      <c r="C237" s="15" t="s">
        <v>1583</v>
      </c>
      <c r="D237" s="15" t="s">
        <v>283</v>
      </c>
      <c r="E237" s="14" t="s">
        <v>87</v>
      </c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1.25" customHeight="1">
      <c r="A238" s="15" t="s">
        <v>302</v>
      </c>
      <c r="B238" s="15" t="s">
        <v>303</v>
      </c>
      <c r="C238" s="15" t="s">
        <v>1583</v>
      </c>
      <c r="D238" s="15" t="s">
        <v>283</v>
      </c>
      <c r="E238" s="14" t="s">
        <v>87</v>
      </c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1.25" customHeight="1">
      <c r="A239" s="15" t="s">
        <v>304</v>
      </c>
      <c r="B239" s="15" t="s">
        <v>305</v>
      </c>
      <c r="C239" s="15" t="s">
        <v>1583</v>
      </c>
      <c r="D239" s="15" t="s">
        <v>283</v>
      </c>
      <c r="E239" s="14" t="s">
        <v>87</v>
      </c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1.25" customHeight="1">
      <c r="A240" s="15" t="s">
        <v>306</v>
      </c>
      <c r="B240" s="15" t="s">
        <v>307</v>
      </c>
      <c r="C240" s="15" t="s">
        <v>1583</v>
      </c>
      <c r="D240" s="15" t="s">
        <v>283</v>
      </c>
      <c r="E240" s="14" t="s">
        <v>87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1.25" customHeight="1">
      <c r="A241" s="15" t="s">
        <v>357</v>
      </c>
      <c r="B241" s="15" t="s">
        <v>77</v>
      </c>
      <c r="C241" s="15" t="s">
        <v>1588</v>
      </c>
      <c r="D241" s="15" t="s">
        <v>119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1.25" customHeight="1">
      <c r="A242" s="15" t="s">
        <v>308</v>
      </c>
      <c r="B242" s="15" t="s">
        <v>309</v>
      </c>
      <c r="C242" s="15" t="s">
        <v>1583</v>
      </c>
      <c r="D242" s="15" t="s">
        <v>283</v>
      </c>
      <c r="E242" s="14" t="s">
        <v>67</v>
      </c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1.25" customHeight="1">
      <c r="A243" s="15" t="s">
        <v>310</v>
      </c>
      <c r="B243" s="15" t="s">
        <v>311</v>
      </c>
      <c r="C243" s="15" t="s">
        <v>1583</v>
      </c>
      <c r="D243" s="15" t="s">
        <v>283</v>
      </c>
      <c r="E243" s="14" t="s">
        <v>67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1.25" customHeight="1">
      <c r="A244" s="15" t="s">
        <v>313</v>
      </c>
      <c r="B244" s="15" t="s">
        <v>314</v>
      </c>
      <c r="C244" s="15" t="s">
        <v>1583</v>
      </c>
      <c r="D244" s="15" t="s">
        <v>283</v>
      </c>
      <c r="E244" s="14" t="s">
        <v>67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1.25" customHeight="1">
      <c r="A245" s="15" t="s">
        <v>315</v>
      </c>
      <c r="B245" s="15" t="s">
        <v>316</v>
      </c>
      <c r="C245" s="15" t="s">
        <v>1583</v>
      </c>
      <c r="D245" s="15" t="s">
        <v>283</v>
      </c>
      <c r="E245" s="14" t="s">
        <v>67</v>
      </c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1.25" customHeight="1">
      <c r="A246" s="15" t="s">
        <v>317</v>
      </c>
      <c r="B246" s="15" t="s">
        <v>318</v>
      </c>
      <c r="C246" s="15" t="s">
        <v>1583</v>
      </c>
      <c r="D246" s="15" t="s">
        <v>283</v>
      </c>
      <c r="E246" s="14" t="s">
        <v>67</v>
      </c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1.25" customHeight="1">
      <c r="A247" s="15" t="s">
        <v>320</v>
      </c>
      <c r="B247" s="15" t="s">
        <v>321</v>
      </c>
      <c r="C247" s="15" t="s">
        <v>1583</v>
      </c>
      <c r="D247" s="15" t="s">
        <v>283</v>
      </c>
      <c r="E247" s="14" t="s">
        <v>67</v>
      </c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1.25" customHeight="1">
      <c r="A248" s="15" t="s">
        <v>323</v>
      </c>
      <c r="B248" s="15" t="s">
        <v>324</v>
      </c>
      <c r="C248" s="15" t="s">
        <v>1583</v>
      </c>
      <c r="D248" s="15" t="s">
        <v>283</v>
      </c>
      <c r="E248" s="14" t="s">
        <v>67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1.25" customHeight="1">
      <c r="A249" s="15" t="s">
        <v>325</v>
      </c>
      <c r="B249" s="15" t="s">
        <v>326</v>
      </c>
      <c r="C249" s="15" t="s">
        <v>1583</v>
      </c>
      <c r="D249" s="15" t="s">
        <v>283</v>
      </c>
      <c r="E249" s="14" t="s">
        <v>67</v>
      </c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1.25" customHeight="1">
      <c r="A250" s="15" t="s">
        <v>327</v>
      </c>
      <c r="B250" s="15" t="s">
        <v>328</v>
      </c>
      <c r="C250" s="15" t="s">
        <v>1583</v>
      </c>
      <c r="D250" s="15" t="s">
        <v>283</v>
      </c>
      <c r="E250" s="14" t="s">
        <v>67</v>
      </c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1.25" customHeight="1">
      <c r="A251" s="15" t="s">
        <v>330</v>
      </c>
      <c r="B251" s="15" t="s">
        <v>331</v>
      </c>
      <c r="C251" s="15" t="s">
        <v>1583</v>
      </c>
      <c r="D251" s="15" t="s">
        <v>283</v>
      </c>
      <c r="E251" s="14" t="s">
        <v>67</v>
      </c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1.25" customHeight="1">
      <c r="A252" s="15" t="s">
        <v>333</v>
      </c>
      <c r="B252" s="15" t="s">
        <v>334</v>
      </c>
      <c r="C252" s="15" t="s">
        <v>1583</v>
      </c>
      <c r="D252" s="15" t="s">
        <v>283</v>
      </c>
      <c r="E252" s="14" t="s">
        <v>67</v>
      </c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1.25" customHeight="1">
      <c r="A253" s="15" t="s">
        <v>339</v>
      </c>
      <c r="B253" s="15" t="s">
        <v>340</v>
      </c>
      <c r="C253" s="15" t="s">
        <v>1583</v>
      </c>
      <c r="D253" s="15" t="s">
        <v>283</v>
      </c>
      <c r="E253" s="14" t="s">
        <v>67</v>
      </c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1.25" customHeight="1">
      <c r="A254" s="15" t="s">
        <v>342</v>
      </c>
      <c r="B254" s="15" t="s">
        <v>343</v>
      </c>
      <c r="C254" s="15" t="s">
        <v>1583</v>
      </c>
      <c r="D254" s="15" t="s">
        <v>283</v>
      </c>
      <c r="E254" s="14" t="s">
        <v>67</v>
      </c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1.25" customHeight="1">
      <c r="A255" s="15" t="s">
        <v>345</v>
      </c>
      <c r="B255" s="15" t="s">
        <v>346</v>
      </c>
      <c r="C255" s="15" t="s">
        <v>1583</v>
      </c>
      <c r="D255" s="15" t="s">
        <v>283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1.25" customHeight="1">
      <c r="A256" s="15" t="s">
        <v>358</v>
      </c>
      <c r="B256" s="15" t="s">
        <v>359</v>
      </c>
      <c r="C256" s="15" t="s">
        <v>1583</v>
      </c>
      <c r="D256" s="15" t="s">
        <v>119</v>
      </c>
      <c r="E256" s="14" t="s">
        <v>174</v>
      </c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1.25" customHeight="1">
      <c r="A257" s="15" t="s">
        <v>360</v>
      </c>
      <c r="B257" s="15" t="s">
        <v>361</v>
      </c>
      <c r="C257" s="15" t="s">
        <v>1588</v>
      </c>
      <c r="D257" s="15" t="s">
        <v>119</v>
      </c>
      <c r="E257" s="14" t="s">
        <v>174</v>
      </c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1.25" customHeight="1">
      <c r="A258" s="15" t="s">
        <v>362</v>
      </c>
      <c r="B258" s="15" t="s">
        <v>363</v>
      </c>
      <c r="C258" s="15" t="s">
        <v>1583</v>
      </c>
      <c r="D258" s="15" t="s">
        <v>119</v>
      </c>
      <c r="E258" s="14" t="s">
        <v>174</v>
      </c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1.25" customHeight="1">
      <c r="A259" s="15" t="s">
        <v>368</v>
      </c>
      <c r="B259" s="15" t="s">
        <v>369</v>
      </c>
      <c r="C259" s="15" t="s">
        <v>1583</v>
      </c>
      <c r="D259" s="15" t="s">
        <v>119</v>
      </c>
      <c r="E259" s="14" t="s">
        <v>174</v>
      </c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1.25" customHeight="1">
      <c r="A260" s="15" t="s">
        <v>371</v>
      </c>
      <c r="B260" s="15" t="s">
        <v>187</v>
      </c>
      <c r="C260" s="15" t="s">
        <v>1583</v>
      </c>
      <c r="D260" s="15" t="s">
        <v>119</v>
      </c>
      <c r="E260" s="14" t="s">
        <v>187</v>
      </c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1.25" customHeight="1">
      <c r="A261" s="15" t="s">
        <v>373</v>
      </c>
      <c r="B261" s="15" t="s">
        <v>374</v>
      </c>
      <c r="C261" s="15" t="s">
        <v>1583</v>
      </c>
      <c r="D261" s="15" t="s">
        <v>119</v>
      </c>
      <c r="E261" s="14" t="s">
        <v>187</v>
      </c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1.25" customHeight="1">
      <c r="A262" s="15" t="s">
        <v>375</v>
      </c>
      <c r="B262" s="15" t="s">
        <v>376</v>
      </c>
      <c r="C262" s="15" t="s">
        <v>1583</v>
      </c>
      <c r="D262" s="15" t="s">
        <v>119</v>
      </c>
      <c r="E262" s="14" t="s">
        <v>122</v>
      </c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1.25" customHeight="1">
      <c r="A263" s="15" t="s">
        <v>377</v>
      </c>
      <c r="B263" s="15" t="s">
        <v>378</v>
      </c>
      <c r="C263" s="15" t="s">
        <v>1583</v>
      </c>
      <c r="D263" s="15" t="s">
        <v>119</v>
      </c>
      <c r="E263" s="14" t="s">
        <v>122</v>
      </c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1.25" customHeight="1">
      <c r="A264" s="15" t="s">
        <v>379</v>
      </c>
      <c r="B264" s="15" t="s">
        <v>380</v>
      </c>
      <c r="C264" s="15" t="s">
        <v>1583</v>
      </c>
      <c r="D264" s="15" t="s">
        <v>119</v>
      </c>
      <c r="E264" s="14" t="s">
        <v>122</v>
      </c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1.25" customHeight="1">
      <c r="A265" s="15" t="s">
        <v>381</v>
      </c>
      <c r="B265" s="15" t="s">
        <v>382</v>
      </c>
      <c r="C265" s="15" t="s">
        <v>1588</v>
      </c>
      <c r="D265" s="15" t="s">
        <v>119</v>
      </c>
      <c r="E265" s="14" t="s">
        <v>122</v>
      </c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1.25" customHeight="1">
      <c r="A266" s="15" t="s">
        <v>383</v>
      </c>
      <c r="B266" s="15" t="s">
        <v>384</v>
      </c>
      <c r="C266" s="15" t="s">
        <v>1583</v>
      </c>
      <c r="D266" s="15" t="s">
        <v>119</v>
      </c>
      <c r="E266" s="14" t="s">
        <v>122</v>
      </c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1.25" customHeight="1">
      <c r="A267" s="15" t="s">
        <v>385</v>
      </c>
      <c r="B267" s="15" t="s">
        <v>386</v>
      </c>
      <c r="C267" s="15" t="s">
        <v>1583</v>
      </c>
      <c r="D267" s="15" t="s">
        <v>119</v>
      </c>
      <c r="E267" s="14" t="s">
        <v>122</v>
      </c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1.25" customHeight="1">
      <c r="A268" s="15" t="s">
        <v>387</v>
      </c>
      <c r="B268" s="15" t="s">
        <v>388</v>
      </c>
      <c r="C268" s="15" t="s">
        <v>1583</v>
      </c>
      <c r="D268" s="15" t="s">
        <v>119</v>
      </c>
      <c r="E268" s="14" t="s">
        <v>122</v>
      </c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1.25" customHeight="1">
      <c r="A269" s="15" t="s">
        <v>389</v>
      </c>
      <c r="B269" s="15" t="s">
        <v>390</v>
      </c>
      <c r="C269" s="15" t="s">
        <v>1583</v>
      </c>
      <c r="D269" s="15" t="s">
        <v>119</v>
      </c>
      <c r="E269" s="14" t="s">
        <v>122</v>
      </c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1.25" customHeight="1">
      <c r="A270" s="15" t="s">
        <v>391</v>
      </c>
      <c r="B270" s="15" t="s">
        <v>392</v>
      </c>
      <c r="C270" s="15" t="s">
        <v>1583</v>
      </c>
      <c r="D270" s="15" t="s">
        <v>119</v>
      </c>
      <c r="E270" s="14" t="s">
        <v>122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1.25" customHeight="1">
      <c r="A271" s="15" t="s">
        <v>393</v>
      </c>
      <c r="B271" s="15" t="s">
        <v>394</v>
      </c>
      <c r="C271" s="15" t="s">
        <v>1583</v>
      </c>
      <c r="D271" s="15" t="s">
        <v>119</v>
      </c>
      <c r="E271" s="14" t="s">
        <v>122</v>
      </c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1.25" customHeight="1">
      <c r="A272" s="15" t="s">
        <v>395</v>
      </c>
      <c r="B272" s="15" t="s">
        <v>396</v>
      </c>
      <c r="C272" s="15" t="s">
        <v>1583</v>
      </c>
      <c r="D272" s="15" t="s">
        <v>119</v>
      </c>
      <c r="E272" s="14" t="s">
        <v>122</v>
      </c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1.25" customHeight="1">
      <c r="A273" s="15" t="s">
        <v>397</v>
      </c>
      <c r="B273" s="15" t="s">
        <v>398</v>
      </c>
      <c r="C273" s="15" t="s">
        <v>1583</v>
      </c>
      <c r="D273" s="15" t="s">
        <v>119</v>
      </c>
      <c r="E273" s="14" t="s">
        <v>122</v>
      </c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1.25" customHeight="1">
      <c r="A274" s="15" t="s">
        <v>399</v>
      </c>
      <c r="B274" s="15" t="s">
        <v>400</v>
      </c>
      <c r="C274" s="15" t="s">
        <v>1583</v>
      </c>
      <c r="D274" s="15" t="s">
        <v>119</v>
      </c>
      <c r="E274" s="14" t="s">
        <v>122</v>
      </c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1.25" customHeight="1">
      <c r="A275" s="15" t="s">
        <v>401</v>
      </c>
      <c r="B275" s="15" t="s">
        <v>402</v>
      </c>
      <c r="C275" s="15" t="s">
        <v>1583</v>
      </c>
      <c r="D275" s="15" t="s">
        <v>119</v>
      </c>
      <c r="E275" s="14" t="s">
        <v>122</v>
      </c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1.25" customHeight="1">
      <c r="A276" s="15" t="s">
        <v>404</v>
      </c>
      <c r="B276" s="15" t="s">
        <v>405</v>
      </c>
      <c r="C276" s="15" t="s">
        <v>1583</v>
      </c>
      <c r="D276" s="15" t="s">
        <v>119</v>
      </c>
      <c r="E276" s="14" t="s">
        <v>122</v>
      </c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1.25" customHeight="1">
      <c r="A277" s="15" t="s">
        <v>407</v>
      </c>
      <c r="B277" s="15" t="s">
        <v>408</v>
      </c>
      <c r="C277" s="15" t="s">
        <v>1583</v>
      </c>
      <c r="D277" s="15" t="s">
        <v>119</v>
      </c>
      <c r="E277" s="14" t="s">
        <v>122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1.25" customHeight="1">
      <c r="A278" s="15" t="s">
        <v>410</v>
      </c>
      <c r="B278" s="15" t="s">
        <v>412</v>
      </c>
      <c r="C278" s="15" t="s">
        <v>1583</v>
      </c>
      <c r="D278" s="15" t="s">
        <v>119</v>
      </c>
      <c r="E278" s="14" t="s">
        <v>122</v>
      </c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1.25" customHeight="1">
      <c r="A279" s="15" t="s">
        <v>420</v>
      </c>
      <c r="B279" s="15" t="s">
        <v>421</v>
      </c>
      <c r="C279" s="15" t="s">
        <v>1583</v>
      </c>
      <c r="D279" s="15" t="s">
        <v>119</v>
      </c>
      <c r="E279" s="14" t="s">
        <v>122</v>
      </c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1.25" customHeight="1">
      <c r="A280" s="15" t="s">
        <v>433</v>
      </c>
      <c r="B280" s="15" t="s">
        <v>434</v>
      </c>
      <c r="C280" s="15" t="s">
        <v>1583</v>
      </c>
      <c r="D280" s="15" t="s">
        <v>119</v>
      </c>
      <c r="E280" s="14" t="s">
        <v>122</v>
      </c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1.25" customHeight="1">
      <c r="A281" s="15" t="s">
        <v>435</v>
      </c>
      <c r="B281" s="15" t="s">
        <v>434</v>
      </c>
      <c r="C281" s="15" t="s">
        <v>1583</v>
      </c>
      <c r="D281" s="15" t="s">
        <v>119</v>
      </c>
      <c r="E281" s="14" t="s">
        <v>122</v>
      </c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1.25" customHeight="1">
      <c r="A282" s="15" t="s">
        <v>436</v>
      </c>
      <c r="B282" s="15" t="s">
        <v>434</v>
      </c>
      <c r="C282" s="15" t="s">
        <v>1583</v>
      </c>
      <c r="D282" s="15" t="s">
        <v>119</v>
      </c>
      <c r="E282" s="14" t="s">
        <v>122</v>
      </c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1.25" customHeight="1">
      <c r="A283" s="15" t="s">
        <v>437</v>
      </c>
      <c r="B283" s="15" t="s">
        <v>438</v>
      </c>
      <c r="C283" s="15" t="s">
        <v>1588</v>
      </c>
      <c r="D283" s="15" t="s">
        <v>119</v>
      </c>
      <c r="E283" s="14" t="s">
        <v>126</v>
      </c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1.25" customHeight="1">
      <c r="A284" s="15" t="s">
        <v>439</v>
      </c>
      <c r="B284" s="15" t="s">
        <v>440</v>
      </c>
      <c r="C284" s="15" t="s">
        <v>1583</v>
      </c>
      <c r="D284" s="15" t="s">
        <v>119</v>
      </c>
      <c r="E284" s="14" t="s">
        <v>126</v>
      </c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1.25" customHeight="1">
      <c r="A285" s="15" t="s">
        <v>441</v>
      </c>
      <c r="B285" s="15" t="s">
        <v>440</v>
      </c>
      <c r="C285" s="15" t="s">
        <v>1583</v>
      </c>
      <c r="D285" s="15" t="s">
        <v>119</v>
      </c>
      <c r="E285" s="14" t="s">
        <v>126</v>
      </c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1.25" customHeight="1">
      <c r="A286" s="15" t="s">
        <v>442</v>
      </c>
      <c r="B286" s="15" t="s">
        <v>440</v>
      </c>
      <c r="C286" s="15" t="s">
        <v>1583</v>
      </c>
      <c r="D286" s="15" t="s">
        <v>119</v>
      </c>
      <c r="E286" s="14" t="s">
        <v>126</v>
      </c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1.25" customHeight="1">
      <c r="A287" s="15" t="s">
        <v>443</v>
      </c>
      <c r="B287" s="15" t="s">
        <v>444</v>
      </c>
      <c r="C287" s="15" t="s">
        <v>1583</v>
      </c>
      <c r="D287" s="15" t="s">
        <v>119</v>
      </c>
      <c r="E287" s="14" t="s">
        <v>126</v>
      </c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1.25" customHeight="1">
      <c r="A288" s="15" t="s">
        <v>445</v>
      </c>
      <c r="B288" s="15" t="s">
        <v>444</v>
      </c>
      <c r="C288" s="15" t="s">
        <v>1583</v>
      </c>
      <c r="D288" s="15" t="s">
        <v>119</v>
      </c>
      <c r="E288" s="14" t="s">
        <v>126</v>
      </c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1.25" customHeight="1">
      <c r="A289" s="15" t="s">
        <v>446</v>
      </c>
      <c r="B289" s="15" t="s">
        <v>444</v>
      </c>
      <c r="C289" s="15" t="s">
        <v>1583</v>
      </c>
      <c r="D289" s="15" t="s">
        <v>119</v>
      </c>
      <c r="E289" s="14" t="s">
        <v>126</v>
      </c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1.25" customHeight="1">
      <c r="A290" s="15" t="s">
        <v>447</v>
      </c>
      <c r="B290" s="15" t="s">
        <v>448</v>
      </c>
      <c r="C290" s="15" t="s">
        <v>1583</v>
      </c>
      <c r="D290" s="15" t="s">
        <v>119</v>
      </c>
      <c r="E290" s="14" t="s">
        <v>126</v>
      </c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1.25" customHeight="1">
      <c r="A291" s="15" t="s">
        <v>449</v>
      </c>
      <c r="B291" s="15" t="s">
        <v>448</v>
      </c>
      <c r="C291" s="15" t="s">
        <v>1583</v>
      </c>
      <c r="D291" s="15" t="s">
        <v>119</v>
      </c>
      <c r="E291" s="14" t="s">
        <v>126</v>
      </c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1.25" customHeight="1">
      <c r="A292" s="15" t="s">
        <v>450</v>
      </c>
      <c r="B292" s="15" t="s">
        <v>452</v>
      </c>
      <c r="C292" s="15" t="s">
        <v>1583</v>
      </c>
      <c r="D292" s="15" t="s">
        <v>119</v>
      </c>
      <c r="E292" s="14" t="s">
        <v>126</v>
      </c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1.25" customHeight="1">
      <c r="A293" s="15" t="s">
        <v>453</v>
      </c>
      <c r="B293" s="15" t="s">
        <v>454</v>
      </c>
      <c r="C293" s="15" t="s">
        <v>1583</v>
      </c>
      <c r="D293" s="15" t="s">
        <v>119</v>
      </c>
      <c r="E293" s="14" t="s">
        <v>126</v>
      </c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1.25" customHeight="1">
      <c r="A294" s="15" t="s">
        <v>455</v>
      </c>
      <c r="B294" s="15" t="s">
        <v>454</v>
      </c>
      <c r="C294" s="15" t="s">
        <v>1583</v>
      </c>
      <c r="D294" s="15" t="s">
        <v>119</v>
      </c>
      <c r="E294" s="14" t="s">
        <v>126</v>
      </c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1.25" customHeight="1">
      <c r="A295" s="15" t="s">
        <v>456</v>
      </c>
      <c r="B295" s="15" t="s">
        <v>454</v>
      </c>
      <c r="C295" s="15" t="s">
        <v>1583</v>
      </c>
      <c r="D295" s="15" t="s">
        <v>119</v>
      </c>
      <c r="E295" s="14" t="s">
        <v>126</v>
      </c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1.25" customHeight="1">
      <c r="A296" s="15" t="s">
        <v>457</v>
      </c>
      <c r="B296" s="15" t="s">
        <v>458</v>
      </c>
      <c r="C296" s="15" t="s">
        <v>1588</v>
      </c>
      <c r="D296" s="15" t="s">
        <v>119</v>
      </c>
      <c r="E296" s="14" t="s">
        <v>131</v>
      </c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1.25" customHeight="1">
      <c r="A297" s="15" t="s">
        <v>459</v>
      </c>
      <c r="B297" s="15" t="s">
        <v>460</v>
      </c>
      <c r="C297" s="15" t="s">
        <v>1583</v>
      </c>
      <c r="D297" s="15" t="s">
        <v>119</v>
      </c>
      <c r="E297" s="14" t="s">
        <v>131</v>
      </c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1.25" customHeight="1">
      <c r="A298" s="15" t="s">
        <v>461</v>
      </c>
      <c r="B298" s="15" t="s">
        <v>460</v>
      </c>
      <c r="C298" s="15" t="s">
        <v>1583</v>
      </c>
      <c r="D298" s="15" t="s">
        <v>119</v>
      </c>
      <c r="E298" s="14" t="s">
        <v>131</v>
      </c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1.25" customHeight="1">
      <c r="A299" s="15" t="s">
        <v>462</v>
      </c>
      <c r="B299" s="15" t="s">
        <v>460</v>
      </c>
      <c r="C299" s="15" t="s">
        <v>1583</v>
      </c>
      <c r="D299" s="15" t="s">
        <v>119</v>
      </c>
      <c r="E299" s="14" t="s">
        <v>131</v>
      </c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1.25" customHeight="1">
      <c r="A300" s="15" t="s">
        <v>463</v>
      </c>
      <c r="B300" s="15" t="s">
        <v>464</v>
      </c>
      <c r="C300" s="15" t="s">
        <v>1583</v>
      </c>
      <c r="D300" s="15" t="s">
        <v>119</v>
      </c>
      <c r="E300" s="14" t="s">
        <v>131</v>
      </c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1.25" customHeight="1">
      <c r="A301" s="15" t="s">
        <v>465</v>
      </c>
      <c r="B301" s="15" t="s">
        <v>464</v>
      </c>
      <c r="C301" s="15" t="s">
        <v>1583</v>
      </c>
      <c r="D301" s="15" t="s">
        <v>119</v>
      </c>
      <c r="E301" s="14" t="s">
        <v>131</v>
      </c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1.25" customHeight="1">
      <c r="A302" s="15" t="s">
        <v>466</v>
      </c>
      <c r="B302" s="15" t="s">
        <v>464</v>
      </c>
      <c r="C302" s="15" t="s">
        <v>1583</v>
      </c>
      <c r="D302" s="15" t="s">
        <v>119</v>
      </c>
      <c r="E302" s="14" t="s">
        <v>131</v>
      </c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1.25" customHeight="1">
      <c r="A303" s="15" t="s">
        <v>467</v>
      </c>
      <c r="B303" s="15" t="s">
        <v>468</v>
      </c>
      <c r="C303" s="15" t="s">
        <v>1583</v>
      </c>
      <c r="D303" s="15" t="s">
        <v>119</v>
      </c>
      <c r="E303" s="14" t="s">
        <v>131</v>
      </c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1.25" customHeight="1">
      <c r="A304" s="15" t="s">
        <v>469</v>
      </c>
      <c r="B304" s="15" t="s">
        <v>470</v>
      </c>
      <c r="C304" s="15" t="s">
        <v>1583</v>
      </c>
      <c r="D304" s="15" t="s">
        <v>119</v>
      </c>
      <c r="E304" s="14" t="s">
        <v>133</v>
      </c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1.25" customHeight="1">
      <c r="A305" s="15" t="s">
        <v>471</v>
      </c>
      <c r="B305" s="15" t="s">
        <v>472</v>
      </c>
      <c r="C305" s="15" t="s">
        <v>1583</v>
      </c>
      <c r="D305" s="15" t="s">
        <v>119</v>
      </c>
      <c r="E305" s="14" t="s">
        <v>133</v>
      </c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1.25" customHeight="1">
      <c r="A306" s="15" t="s">
        <v>473</v>
      </c>
      <c r="B306" s="15" t="s">
        <v>474</v>
      </c>
      <c r="C306" s="15" t="s">
        <v>1583</v>
      </c>
      <c r="D306" s="15" t="s">
        <v>119</v>
      </c>
      <c r="E306" s="14" t="s">
        <v>133</v>
      </c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1.25" customHeight="1">
      <c r="A307" s="15" t="s">
        <v>475</v>
      </c>
      <c r="B307" s="15" t="s">
        <v>476</v>
      </c>
      <c r="C307" s="15" t="s">
        <v>1588</v>
      </c>
      <c r="D307" s="15" t="s">
        <v>119</v>
      </c>
      <c r="E307" s="14" t="s">
        <v>133</v>
      </c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1.25" customHeight="1">
      <c r="A308" s="15" t="s">
        <v>477</v>
      </c>
      <c r="B308" s="15" t="s">
        <v>478</v>
      </c>
      <c r="C308" s="15" t="s">
        <v>1588</v>
      </c>
      <c r="D308" s="15" t="s">
        <v>119</v>
      </c>
      <c r="E308" s="14" t="s">
        <v>133</v>
      </c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1.25" customHeight="1">
      <c r="A309" s="15" t="s">
        <v>479</v>
      </c>
      <c r="B309" s="15" t="s">
        <v>480</v>
      </c>
      <c r="C309" s="15" t="s">
        <v>1583</v>
      </c>
      <c r="D309" s="15" t="s">
        <v>119</v>
      </c>
      <c r="E309" s="14" t="s">
        <v>133</v>
      </c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1.25" customHeight="1">
      <c r="A310" s="15" t="s">
        <v>481</v>
      </c>
      <c r="B310" s="15" t="s">
        <v>482</v>
      </c>
      <c r="C310" s="15" t="s">
        <v>1583</v>
      </c>
      <c r="D310" s="15" t="s">
        <v>119</v>
      </c>
      <c r="E310" s="14" t="s">
        <v>133</v>
      </c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1.25" customHeight="1">
      <c r="A311" s="15" t="s">
        <v>483</v>
      </c>
      <c r="B311" s="15" t="s">
        <v>484</v>
      </c>
      <c r="C311" s="15" t="s">
        <v>1583</v>
      </c>
      <c r="D311" s="15" t="s">
        <v>119</v>
      </c>
      <c r="E311" s="14" t="s">
        <v>133</v>
      </c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1.25" customHeight="1">
      <c r="A312" s="15" t="s">
        <v>485</v>
      </c>
      <c r="B312" s="15" t="s">
        <v>486</v>
      </c>
      <c r="C312" s="15" t="s">
        <v>1583</v>
      </c>
      <c r="D312" s="15" t="s">
        <v>119</v>
      </c>
      <c r="E312" s="14" t="s">
        <v>133</v>
      </c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1.25" customHeight="1">
      <c r="A313" s="15" t="s">
        <v>487</v>
      </c>
      <c r="B313" s="15" t="s">
        <v>488</v>
      </c>
      <c r="C313" s="15" t="s">
        <v>1588</v>
      </c>
      <c r="D313" s="15" t="s">
        <v>119</v>
      </c>
      <c r="E313" s="14" t="s">
        <v>177</v>
      </c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1.25" customHeight="1">
      <c r="A314" s="15" t="s">
        <v>489</v>
      </c>
      <c r="B314" s="15" t="s">
        <v>177</v>
      </c>
      <c r="C314" s="15" t="s">
        <v>1583</v>
      </c>
      <c r="D314" s="15" t="s">
        <v>119</v>
      </c>
      <c r="E314" s="14" t="s">
        <v>177</v>
      </c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1.25" customHeight="1">
      <c r="A315" s="15" t="s">
        <v>490</v>
      </c>
      <c r="B315" s="15" t="s">
        <v>491</v>
      </c>
      <c r="C315" s="15" t="s">
        <v>1583</v>
      </c>
      <c r="D315" s="15" t="s">
        <v>119</v>
      </c>
      <c r="E315" s="14" t="s">
        <v>177</v>
      </c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1.25" customHeight="1">
      <c r="A316" s="15" t="s">
        <v>492</v>
      </c>
      <c r="B316" s="15" t="s">
        <v>146</v>
      </c>
      <c r="C316" s="15" t="s">
        <v>1583</v>
      </c>
      <c r="D316" s="15" t="s">
        <v>119</v>
      </c>
      <c r="E316" s="14" t="s">
        <v>146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1.25" customHeight="1">
      <c r="A317" s="15" t="s">
        <v>493</v>
      </c>
      <c r="B317" s="15" t="s">
        <v>146</v>
      </c>
      <c r="C317" s="15" t="s">
        <v>1583</v>
      </c>
      <c r="D317" s="15" t="s">
        <v>119</v>
      </c>
      <c r="E317" s="14" t="s">
        <v>146</v>
      </c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1.25" customHeight="1">
      <c r="A318" s="15" t="s">
        <v>494</v>
      </c>
      <c r="B318" s="15" t="s">
        <v>146</v>
      </c>
      <c r="C318" s="15" t="s">
        <v>1583</v>
      </c>
      <c r="D318" s="15" t="s">
        <v>119</v>
      </c>
      <c r="E318" s="14" t="s">
        <v>146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1.25" customHeight="1">
      <c r="A319" s="15" t="s">
        <v>495</v>
      </c>
      <c r="B319" s="15" t="s">
        <v>496</v>
      </c>
      <c r="C319" s="15" t="s">
        <v>1583</v>
      </c>
      <c r="D319" s="15" t="s">
        <v>119</v>
      </c>
      <c r="E319" s="14" t="s">
        <v>170</v>
      </c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1.25" customHeight="1">
      <c r="A320" s="15" t="s">
        <v>497</v>
      </c>
      <c r="B320" s="15" t="s">
        <v>496</v>
      </c>
      <c r="C320" s="15" t="s">
        <v>1583</v>
      </c>
      <c r="D320" s="15" t="s">
        <v>119</v>
      </c>
      <c r="E320" s="14" t="s">
        <v>170</v>
      </c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1.25" customHeight="1">
      <c r="A321" s="15" t="s">
        <v>498</v>
      </c>
      <c r="B321" s="15" t="s">
        <v>496</v>
      </c>
      <c r="C321" s="15" t="s">
        <v>1583</v>
      </c>
      <c r="D321" s="15" t="s">
        <v>119</v>
      </c>
      <c r="E321" s="14" t="s">
        <v>170</v>
      </c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1.25" customHeight="1">
      <c r="A322" s="15" t="s">
        <v>499</v>
      </c>
      <c r="B322" s="15" t="s">
        <v>500</v>
      </c>
      <c r="C322" s="15" t="s">
        <v>1583</v>
      </c>
      <c r="D322" s="15" t="s">
        <v>119</v>
      </c>
      <c r="E322" s="14" t="s">
        <v>158</v>
      </c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1.25" customHeight="1">
      <c r="A323" s="15" t="s">
        <v>501</v>
      </c>
      <c r="B323" s="15" t="s">
        <v>196</v>
      </c>
      <c r="C323" s="15" t="s">
        <v>1583</v>
      </c>
      <c r="D323" s="15" t="s">
        <v>119</v>
      </c>
      <c r="E323" s="14" t="s">
        <v>196</v>
      </c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1.25" customHeight="1">
      <c r="A324" s="15" t="s">
        <v>502</v>
      </c>
      <c r="B324" s="15" t="s">
        <v>503</v>
      </c>
      <c r="C324" s="15" t="s">
        <v>1583</v>
      </c>
      <c r="D324" s="15" t="s">
        <v>119</v>
      </c>
      <c r="E324" s="14" t="s">
        <v>136</v>
      </c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1.25" customHeight="1">
      <c r="A325" s="15" t="s">
        <v>504</v>
      </c>
      <c r="B325" s="15" t="s">
        <v>505</v>
      </c>
      <c r="C325" s="15" t="s">
        <v>1583</v>
      </c>
      <c r="D325" s="15" t="s">
        <v>119</v>
      </c>
      <c r="E325" s="14" t="s">
        <v>136</v>
      </c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1.25" customHeight="1">
      <c r="A326" s="15" t="s">
        <v>506</v>
      </c>
      <c r="B326" s="15" t="s">
        <v>507</v>
      </c>
      <c r="C326" s="15" t="s">
        <v>1583</v>
      </c>
      <c r="D326" s="15" t="s">
        <v>119</v>
      </c>
      <c r="E326" s="14" t="s">
        <v>136</v>
      </c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1.25" customHeight="1">
      <c r="A327" s="15" t="s">
        <v>508</v>
      </c>
      <c r="B327" s="15" t="s">
        <v>509</v>
      </c>
      <c r="C327" s="15" t="s">
        <v>1583</v>
      </c>
      <c r="D327" s="15" t="s">
        <v>119</v>
      </c>
      <c r="E327" s="14" t="s">
        <v>136</v>
      </c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1.25" customHeight="1">
      <c r="A328" s="15" t="s">
        <v>510</v>
      </c>
      <c r="B328" s="15" t="s">
        <v>56</v>
      </c>
      <c r="C328" s="15" t="s">
        <v>1583</v>
      </c>
      <c r="D328" s="15" t="s">
        <v>119</v>
      </c>
      <c r="E328" s="14" t="s">
        <v>180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1.25" customHeight="1">
      <c r="A329" s="15" t="s">
        <v>511</v>
      </c>
      <c r="B329" s="15" t="s">
        <v>512</v>
      </c>
      <c r="C329" s="15" t="s">
        <v>1583</v>
      </c>
      <c r="D329" s="15" t="s">
        <v>119</v>
      </c>
      <c r="E329" s="14" t="s">
        <v>180</v>
      </c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1.25" customHeight="1">
      <c r="A330" s="15" t="s">
        <v>513</v>
      </c>
      <c r="B330" s="15" t="s">
        <v>514</v>
      </c>
      <c r="C330" s="15" t="s">
        <v>1583</v>
      </c>
      <c r="D330" s="15" t="s">
        <v>119</v>
      </c>
      <c r="E330" s="14" t="s">
        <v>180</v>
      </c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1.25" customHeight="1">
      <c r="A331" s="15" t="s">
        <v>515</v>
      </c>
      <c r="B331" s="15" t="s">
        <v>516</v>
      </c>
      <c r="C331" s="15" t="s">
        <v>1583</v>
      </c>
      <c r="D331" s="15" t="s">
        <v>119</v>
      </c>
      <c r="E331" s="14" t="s">
        <v>180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1.25" customHeight="1">
      <c r="A332" s="15" t="s">
        <v>517</v>
      </c>
      <c r="B332" s="15" t="s">
        <v>518</v>
      </c>
      <c r="C332" s="15" t="s">
        <v>1583</v>
      </c>
      <c r="D332" s="15" t="s">
        <v>119</v>
      </c>
      <c r="E332" s="14" t="s">
        <v>180</v>
      </c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1.25" customHeight="1">
      <c r="A333" s="15" t="s">
        <v>519</v>
      </c>
      <c r="B333" s="15" t="s">
        <v>520</v>
      </c>
      <c r="C333" s="15" t="s">
        <v>1583</v>
      </c>
      <c r="D333" s="15" t="s">
        <v>119</v>
      </c>
      <c r="E333" s="14" t="s">
        <v>180</v>
      </c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1.25" customHeight="1">
      <c r="A334" s="15" t="s">
        <v>521</v>
      </c>
      <c r="B334" s="15" t="s">
        <v>522</v>
      </c>
      <c r="C334" s="15" t="s">
        <v>1583</v>
      </c>
      <c r="D334" s="15" t="s">
        <v>119</v>
      </c>
      <c r="E334" s="14" t="s">
        <v>180</v>
      </c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1.25" customHeight="1">
      <c r="A335" s="15" t="s">
        <v>523</v>
      </c>
      <c r="B335" s="15" t="s">
        <v>524</v>
      </c>
      <c r="C335" s="15" t="s">
        <v>1583</v>
      </c>
      <c r="D335" s="15" t="s">
        <v>119</v>
      </c>
      <c r="E335" s="14" t="s">
        <v>180</v>
      </c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1.25" customHeight="1">
      <c r="A336" s="15" t="s">
        <v>525</v>
      </c>
      <c r="B336" s="15" t="s">
        <v>526</v>
      </c>
      <c r="C336" s="15" t="s">
        <v>1583</v>
      </c>
      <c r="D336" s="15" t="s">
        <v>119</v>
      </c>
      <c r="E336" s="14" t="s">
        <v>180</v>
      </c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1.25" customHeight="1">
      <c r="A337" s="15" t="s">
        <v>527</v>
      </c>
      <c r="B337" s="15" t="s">
        <v>528</v>
      </c>
      <c r="C337" s="15" t="s">
        <v>1583</v>
      </c>
      <c r="D337" s="15" t="s">
        <v>119</v>
      </c>
      <c r="E337" s="14" t="s">
        <v>180</v>
      </c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1.25" customHeight="1">
      <c r="A338" s="15" t="s">
        <v>529</v>
      </c>
      <c r="B338" s="15" t="s">
        <v>530</v>
      </c>
      <c r="C338" s="15" t="s">
        <v>1583</v>
      </c>
      <c r="D338" s="15" t="s">
        <v>119</v>
      </c>
      <c r="E338" s="14" t="s">
        <v>180</v>
      </c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1.25" customHeight="1">
      <c r="A339" s="15" t="s">
        <v>531</v>
      </c>
      <c r="B339" s="15" t="s">
        <v>532</v>
      </c>
      <c r="C339" s="15" t="s">
        <v>1583</v>
      </c>
      <c r="D339" s="15" t="s">
        <v>119</v>
      </c>
      <c r="E339" s="14" t="s">
        <v>180</v>
      </c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1.25" customHeight="1">
      <c r="A340" s="15" t="s">
        <v>533</v>
      </c>
      <c r="B340" s="15" t="s">
        <v>534</v>
      </c>
      <c r="C340" s="15" t="s">
        <v>1583</v>
      </c>
      <c r="D340" s="15" t="s">
        <v>119</v>
      </c>
      <c r="E340" s="14" t="s">
        <v>180</v>
      </c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1.25" customHeight="1">
      <c r="A341" s="15" t="s">
        <v>535</v>
      </c>
      <c r="B341" s="15" t="s">
        <v>536</v>
      </c>
      <c r="C341" s="15" t="s">
        <v>1583</v>
      </c>
      <c r="D341" s="15" t="s">
        <v>119</v>
      </c>
      <c r="E341" s="14" t="s">
        <v>180</v>
      </c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1.25" customHeight="1">
      <c r="A342" s="15" t="s">
        <v>537</v>
      </c>
      <c r="B342" s="15" t="s">
        <v>538</v>
      </c>
      <c r="C342" s="15" t="s">
        <v>1583</v>
      </c>
      <c r="D342" s="15" t="s">
        <v>119</v>
      </c>
      <c r="E342" s="14" t="s">
        <v>180</v>
      </c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1.25" customHeight="1">
      <c r="A343" s="15" t="s">
        <v>539</v>
      </c>
      <c r="B343" s="15" t="s">
        <v>540</v>
      </c>
      <c r="C343" s="15" t="s">
        <v>1583</v>
      </c>
      <c r="D343" s="15" t="s">
        <v>119</v>
      </c>
      <c r="E343" s="14" t="s">
        <v>180</v>
      </c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1.25" customHeight="1">
      <c r="A344" s="15" t="s">
        <v>541</v>
      </c>
      <c r="B344" s="15" t="s">
        <v>542</v>
      </c>
      <c r="C344" s="15" t="s">
        <v>1583</v>
      </c>
      <c r="D344" s="15" t="s">
        <v>119</v>
      </c>
      <c r="E344" s="14" t="s">
        <v>180</v>
      </c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1.25" customHeight="1">
      <c r="A345" s="15" t="s">
        <v>543</v>
      </c>
      <c r="B345" s="15" t="s">
        <v>544</v>
      </c>
      <c r="C345" s="15" t="s">
        <v>1583</v>
      </c>
      <c r="D345" s="15" t="s">
        <v>119</v>
      </c>
      <c r="E345" s="14" t="s">
        <v>199</v>
      </c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1.25" customHeight="1">
      <c r="A346" s="15" t="s">
        <v>545</v>
      </c>
      <c r="B346" s="15" t="s">
        <v>161</v>
      </c>
      <c r="C346" s="15" t="s">
        <v>1583</v>
      </c>
      <c r="D346" s="15" t="s">
        <v>119</v>
      </c>
      <c r="E346" s="14" t="s">
        <v>162</v>
      </c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1.25" customHeight="1">
      <c r="A347" s="15" t="s">
        <v>546</v>
      </c>
      <c r="B347" s="15" t="s">
        <v>161</v>
      </c>
      <c r="C347" s="15" t="s">
        <v>1583</v>
      </c>
      <c r="D347" s="15" t="s">
        <v>119</v>
      </c>
      <c r="E347" s="14" t="s">
        <v>162</v>
      </c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1.25" customHeight="1">
      <c r="A348" s="15" t="s">
        <v>547</v>
      </c>
      <c r="B348" s="15" t="s">
        <v>161</v>
      </c>
      <c r="C348" s="15" t="s">
        <v>1583</v>
      </c>
      <c r="D348" s="15" t="s">
        <v>119</v>
      </c>
      <c r="E348" s="14" t="s">
        <v>162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1.25" customHeight="1">
      <c r="A349" s="15" t="s">
        <v>548</v>
      </c>
      <c r="B349" s="15" t="s">
        <v>549</v>
      </c>
      <c r="C349" s="15" t="s">
        <v>1583</v>
      </c>
      <c r="D349" s="15" t="s">
        <v>119</v>
      </c>
      <c r="E349" s="14" t="s">
        <v>193</v>
      </c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1.25" customHeight="1">
      <c r="A350" s="15" t="s">
        <v>550</v>
      </c>
      <c r="B350" s="15" t="s">
        <v>551</v>
      </c>
      <c r="C350" s="15" t="s">
        <v>1583</v>
      </c>
      <c r="D350" s="15" t="s">
        <v>119</v>
      </c>
      <c r="E350" s="14" t="s">
        <v>209</v>
      </c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1.25" customHeight="1">
      <c r="A351" s="15" t="s">
        <v>552</v>
      </c>
      <c r="B351" s="15" t="s">
        <v>551</v>
      </c>
      <c r="C351" s="15" t="s">
        <v>1583</v>
      </c>
      <c r="D351" s="15" t="s">
        <v>119</v>
      </c>
      <c r="E351" s="14" t="s">
        <v>209</v>
      </c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1.25" customHeight="1">
      <c r="A352" s="15" t="s">
        <v>553</v>
      </c>
      <c r="B352" s="15" t="s">
        <v>551</v>
      </c>
      <c r="C352" s="15" t="s">
        <v>1583</v>
      </c>
      <c r="D352" s="15" t="s">
        <v>119</v>
      </c>
      <c r="E352" s="14" t="s">
        <v>209</v>
      </c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1.25" customHeight="1">
      <c r="A353" s="15" t="s">
        <v>554</v>
      </c>
      <c r="B353" s="15" t="s">
        <v>555</v>
      </c>
      <c r="C353" s="15" t="s">
        <v>1583</v>
      </c>
      <c r="D353" s="15" t="s">
        <v>119</v>
      </c>
      <c r="E353" s="14" t="s">
        <v>209</v>
      </c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1.25" customHeight="1">
      <c r="A354" s="15" t="s">
        <v>556</v>
      </c>
      <c r="B354" s="15" t="s">
        <v>557</v>
      </c>
      <c r="C354" s="15" t="s">
        <v>1583</v>
      </c>
      <c r="D354" s="15" t="s">
        <v>119</v>
      </c>
      <c r="E354" s="14" t="s">
        <v>209</v>
      </c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1.25" customHeight="1">
      <c r="A355" s="15" t="s">
        <v>558</v>
      </c>
      <c r="B355" s="15" t="s">
        <v>559</v>
      </c>
      <c r="C355" s="15" t="s">
        <v>1583</v>
      </c>
      <c r="D355" s="15" t="s">
        <v>119</v>
      </c>
      <c r="E355" s="14" t="s">
        <v>209</v>
      </c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1.25" customHeight="1">
      <c r="A356" s="15" t="s">
        <v>560</v>
      </c>
      <c r="B356" s="15" t="s">
        <v>559</v>
      </c>
      <c r="C356" s="15" t="s">
        <v>1583</v>
      </c>
      <c r="D356" s="15" t="s">
        <v>119</v>
      </c>
      <c r="E356" s="14" t="s">
        <v>209</v>
      </c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1.25" customHeight="1">
      <c r="A357" s="15" t="s">
        <v>561</v>
      </c>
      <c r="B357" s="15" t="s">
        <v>562</v>
      </c>
      <c r="C357" s="15" t="s">
        <v>1583</v>
      </c>
      <c r="D357" s="15" t="s">
        <v>119</v>
      </c>
      <c r="E357" s="14" t="s">
        <v>209</v>
      </c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1.25" customHeight="1">
      <c r="A358" s="15" t="s">
        <v>563</v>
      </c>
      <c r="B358" s="15" t="s">
        <v>564</v>
      </c>
      <c r="C358" s="15" t="s">
        <v>1583</v>
      </c>
      <c r="D358" s="15" t="s">
        <v>119</v>
      </c>
      <c r="E358" s="14" t="s">
        <v>209</v>
      </c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1.25" customHeight="1">
      <c r="A359" s="15" t="s">
        <v>565</v>
      </c>
      <c r="B359" s="15" t="s">
        <v>566</v>
      </c>
      <c r="C359" s="15" t="s">
        <v>1583</v>
      </c>
      <c r="D359" s="15" t="s">
        <v>119</v>
      </c>
      <c r="E359" s="14" t="s">
        <v>209</v>
      </c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1.25" customHeight="1">
      <c r="A360" s="15" t="s">
        <v>567</v>
      </c>
      <c r="B360" s="15" t="s">
        <v>566</v>
      </c>
      <c r="C360" s="15" t="s">
        <v>1583</v>
      </c>
      <c r="D360" s="15" t="s">
        <v>119</v>
      </c>
      <c r="E360" s="14" t="s">
        <v>209</v>
      </c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1.25" customHeight="1">
      <c r="A361" s="15" t="s">
        <v>568</v>
      </c>
      <c r="B361" s="15" t="s">
        <v>566</v>
      </c>
      <c r="C361" s="15" t="s">
        <v>1583</v>
      </c>
      <c r="D361" s="15" t="s">
        <v>119</v>
      </c>
      <c r="E361" s="14" t="s">
        <v>209</v>
      </c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1.25" customHeight="1">
      <c r="A362" s="15" t="s">
        <v>569</v>
      </c>
      <c r="B362" s="15" t="s">
        <v>570</v>
      </c>
      <c r="C362" s="15" t="s">
        <v>1583</v>
      </c>
      <c r="D362" s="15" t="s">
        <v>119</v>
      </c>
      <c r="E362" s="14" t="s">
        <v>209</v>
      </c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1.25" customHeight="1">
      <c r="A363" s="15" t="s">
        <v>571</v>
      </c>
      <c r="B363" s="15" t="s">
        <v>570</v>
      </c>
      <c r="C363" s="15" t="s">
        <v>1583</v>
      </c>
      <c r="D363" s="15" t="s">
        <v>119</v>
      </c>
      <c r="E363" s="14" t="s">
        <v>209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1.25" customHeight="1">
      <c r="A364" s="15" t="s">
        <v>572</v>
      </c>
      <c r="B364" s="15" t="s">
        <v>570</v>
      </c>
      <c r="C364" s="15" t="s">
        <v>1583</v>
      </c>
      <c r="D364" s="15" t="s">
        <v>119</v>
      </c>
      <c r="E364" s="14" t="s">
        <v>209</v>
      </c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1.25" customHeight="1">
      <c r="A365" s="15" t="s">
        <v>573</v>
      </c>
      <c r="B365" s="15" t="s">
        <v>574</v>
      </c>
      <c r="C365" s="15" t="s">
        <v>1583</v>
      </c>
      <c r="D365" s="15" t="s">
        <v>119</v>
      </c>
      <c r="E365" s="14" t="s">
        <v>154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1.25" customHeight="1">
      <c r="A366" s="15" t="s">
        <v>575</v>
      </c>
      <c r="B366" s="15" t="s">
        <v>154</v>
      </c>
      <c r="C366" s="15" t="s">
        <v>1583</v>
      </c>
      <c r="D366" s="15" t="s">
        <v>119</v>
      </c>
      <c r="E366" s="14" t="s">
        <v>154</v>
      </c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1.25" customHeight="1">
      <c r="A367" s="15" t="s">
        <v>576</v>
      </c>
      <c r="B367" s="15" t="s">
        <v>577</v>
      </c>
      <c r="C367" s="15" t="s">
        <v>1583</v>
      </c>
      <c r="D367" s="15" t="s">
        <v>119</v>
      </c>
      <c r="E367" s="14" t="s">
        <v>154</v>
      </c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1.25" customHeight="1">
      <c r="A368" s="15" t="s">
        <v>578</v>
      </c>
      <c r="B368" s="15" t="s">
        <v>577</v>
      </c>
      <c r="C368" s="15" t="s">
        <v>1583</v>
      </c>
      <c r="D368" s="15" t="s">
        <v>119</v>
      </c>
      <c r="E368" s="14" t="s">
        <v>154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1.25" customHeight="1">
      <c r="A369" s="15" t="s">
        <v>579</v>
      </c>
      <c r="B369" s="15" t="s">
        <v>580</v>
      </c>
      <c r="C369" s="15" t="s">
        <v>1583</v>
      </c>
      <c r="D369" s="15" t="s">
        <v>119</v>
      </c>
      <c r="E369" s="14" t="s">
        <v>205</v>
      </c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1.25" customHeight="1">
      <c r="A370" s="15" t="s">
        <v>581</v>
      </c>
      <c r="B370" s="15" t="s">
        <v>151</v>
      </c>
      <c r="C370" s="15" t="s">
        <v>1588</v>
      </c>
      <c r="D370" s="15" t="s">
        <v>119</v>
      </c>
      <c r="E370" s="14" t="s">
        <v>151</v>
      </c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1.25" customHeight="1">
      <c r="A371" s="15" t="s">
        <v>582</v>
      </c>
      <c r="B371" s="15" t="s">
        <v>583</v>
      </c>
      <c r="C371" s="15" t="s">
        <v>1583</v>
      </c>
      <c r="D371" s="15" t="s">
        <v>119</v>
      </c>
      <c r="E371" s="14" t="s">
        <v>151</v>
      </c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1.25" customHeight="1">
      <c r="A372" s="15" t="s">
        <v>584</v>
      </c>
      <c r="B372" s="15" t="s">
        <v>583</v>
      </c>
      <c r="C372" s="15" t="s">
        <v>1583</v>
      </c>
      <c r="D372" s="15" t="s">
        <v>119</v>
      </c>
      <c r="E372" s="14" t="s">
        <v>151</v>
      </c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1.25" customHeight="1">
      <c r="A373" s="15" t="s">
        <v>585</v>
      </c>
      <c r="B373" s="15" t="s">
        <v>583</v>
      </c>
      <c r="C373" s="15" t="s">
        <v>1583</v>
      </c>
      <c r="D373" s="15" t="s">
        <v>119</v>
      </c>
      <c r="E373" s="14" t="s">
        <v>151</v>
      </c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1.25" customHeight="1">
      <c r="A374" s="15" t="s">
        <v>586</v>
      </c>
      <c r="B374" s="15" t="s">
        <v>587</v>
      </c>
      <c r="C374" s="15" t="s">
        <v>1583</v>
      </c>
      <c r="D374" s="15" t="s">
        <v>119</v>
      </c>
      <c r="E374" s="14" t="s">
        <v>151</v>
      </c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1.25" customHeight="1">
      <c r="A375" s="15" t="s">
        <v>588</v>
      </c>
      <c r="B375" s="15" t="s">
        <v>589</v>
      </c>
      <c r="C375" s="15" t="s">
        <v>1583</v>
      </c>
      <c r="D375" s="15" t="s">
        <v>119</v>
      </c>
      <c r="E375" s="14" t="s">
        <v>151</v>
      </c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1.25" customHeight="1">
      <c r="A376" s="15" t="s">
        <v>590</v>
      </c>
      <c r="B376" s="15" t="s">
        <v>591</v>
      </c>
      <c r="C376" s="15" t="s">
        <v>1583</v>
      </c>
      <c r="D376" s="15" t="s">
        <v>119</v>
      </c>
      <c r="E376" s="14" t="s">
        <v>151</v>
      </c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1.25" customHeight="1">
      <c r="A377" s="15" t="s">
        <v>592</v>
      </c>
      <c r="B377" s="15" t="s">
        <v>593</v>
      </c>
      <c r="C377" s="15" t="s">
        <v>1583</v>
      </c>
      <c r="D377" s="15" t="s">
        <v>119</v>
      </c>
      <c r="E377" s="14" t="s">
        <v>151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1.25" customHeight="1">
      <c r="A378" s="15" t="s">
        <v>595</v>
      </c>
      <c r="B378" s="15" t="s">
        <v>596</v>
      </c>
      <c r="C378" s="15" t="s">
        <v>1583</v>
      </c>
      <c r="D378" s="15" t="s">
        <v>119</v>
      </c>
      <c r="E378" s="14" t="s">
        <v>143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1.25" customHeight="1">
      <c r="A379" s="15" t="s">
        <v>597</v>
      </c>
      <c r="B379" s="15" t="s">
        <v>596</v>
      </c>
      <c r="C379" s="15" t="s">
        <v>1583</v>
      </c>
      <c r="D379" s="15" t="s">
        <v>119</v>
      </c>
      <c r="E379" s="14" t="s">
        <v>143</v>
      </c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1.25" customHeight="1">
      <c r="A380" s="15" t="s">
        <v>598</v>
      </c>
      <c r="B380" s="15" t="s">
        <v>596</v>
      </c>
      <c r="C380" s="15" t="s">
        <v>1583</v>
      </c>
      <c r="D380" s="15" t="s">
        <v>119</v>
      </c>
      <c r="E380" s="14" t="s">
        <v>143</v>
      </c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1.25" customHeight="1">
      <c r="A381" s="15" t="s">
        <v>599</v>
      </c>
      <c r="B381" s="15" t="s">
        <v>600</v>
      </c>
      <c r="C381" s="15" t="s">
        <v>1583</v>
      </c>
      <c r="D381" s="15" t="s">
        <v>119</v>
      </c>
      <c r="E381" s="14" t="s">
        <v>234</v>
      </c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1.25" customHeight="1">
      <c r="A382" s="15" t="s">
        <v>602</v>
      </c>
      <c r="B382" s="15" t="s">
        <v>600</v>
      </c>
      <c r="C382" s="15" t="s">
        <v>1583</v>
      </c>
      <c r="D382" s="15" t="s">
        <v>119</v>
      </c>
      <c r="E382" s="14" t="s">
        <v>234</v>
      </c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1.25" customHeight="1">
      <c r="A383" s="15" t="s">
        <v>603</v>
      </c>
      <c r="B383" s="15" t="s">
        <v>600</v>
      </c>
      <c r="C383" s="15" t="s">
        <v>1583</v>
      </c>
      <c r="D383" s="15" t="s">
        <v>119</v>
      </c>
      <c r="E383" s="14" t="s">
        <v>234</v>
      </c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1.25" customHeight="1">
      <c r="A384" s="15" t="s">
        <v>604</v>
      </c>
      <c r="B384" s="15" t="s">
        <v>605</v>
      </c>
      <c r="C384" s="15" t="s">
        <v>1583</v>
      </c>
      <c r="D384" s="15" t="s">
        <v>119</v>
      </c>
      <c r="E384" s="14" t="s">
        <v>234</v>
      </c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1.25" customHeight="1">
      <c r="A385" s="15" t="s">
        <v>606</v>
      </c>
      <c r="B385" s="15" t="s">
        <v>607</v>
      </c>
      <c r="C385" s="15" t="s">
        <v>1583</v>
      </c>
      <c r="D385" s="15" t="s">
        <v>119</v>
      </c>
      <c r="E385" s="14" t="s">
        <v>234</v>
      </c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1.25" customHeight="1">
      <c r="A386" s="15" t="s">
        <v>608</v>
      </c>
      <c r="B386" s="15" t="s">
        <v>609</v>
      </c>
      <c r="C386" s="15" t="s">
        <v>1583</v>
      </c>
      <c r="D386" s="15" t="s">
        <v>119</v>
      </c>
      <c r="E386" s="14" t="s">
        <v>234</v>
      </c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1.25" customHeight="1">
      <c r="A387" s="15" t="s">
        <v>610</v>
      </c>
      <c r="B387" s="15" t="s">
        <v>611</v>
      </c>
      <c r="C387" s="15" t="s">
        <v>1583</v>
      </c>
      <c r="D387" s="15" t="s">
        <v>119</v>
      </c>
      <c r="E387" s="14" t="s">
        <v>234</v>
      </c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1.25" customHeight="1">
      <c r="A388" s="15" t="s">
        <v>612</v>
      </c>
      <c r="B388" s="15" t="s">
        <v>613</v>
      </c>
      <c r="C388" s="15" t="s">
        <v>1583</v>
      </c>
      <c r="D388" s="15" t="s">
        <v>119</v>
      </c>
      <c r="E388" s="14" t="s">
        <v>234</v>
      </c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1.25" customHeight="1">
      <c r="A389" s="15" t="s">
        <v>614</v>
      </c>
      <c r="B389" s="15" t="s">
        <v>615</v>
      </c>
      <c r="C389" s="15" t="s">
        <v>1583</v>
      </c>
      <c r="D389" s="15" t="s">
        <v>119</v>
      </c>
      <c r="E389" s="14" t="s">
        <v>234</v>
      </c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1.25" customHeight="1">
      <c r="A390" s="15" t="s">
        <v>616</v>
      </c>
      <c r="B390" s="15" t="s">
        <v>617</v>
      </c>
      <c r="C390" s="15" t="s">
        <v>1583</v>
      </c>
      <c r="D390" s="15" t="s">
        <v>119</v>
      </c>
      <c r="E390" s="14" t="s">
        <v>228</v>
      </c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1.25" customHeight="1">
      <c r="A391" s="15" t="s">
        <v>618</v>
      </c>
      <c r="B391" s="15" t="s">
        <v>619</v>
      </c>
      <c r="C391" s="15" t="s">
        <v>1583</v>
      </c>
      <c r="D391" s="15" t="s">
        <v>119</v>
      </c>
      <c r="E391" s="14" t="s">
        <v>228</v>
      </c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1.25" customHeight="1">
      <c r="A392" s="15" t="s">
        <v>620</v>
      </c>
      <c r="B392" s="15" t="s">
        <v>621</v>
      </c>
      <c r="C392" s="15" t="s">
        <v>1583</v>
      </c>
      <c r="D392" s="15" t="s">
        <v>119</v>
      </c>
      <c r="E392" s="14" t="s">
        <v>228</v>
      </c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1.25" customHeight="1">
      <c r="A393" s="15" t="s">
        <v>622</v>
      </c>
      <c r="B393" s="15" t="s">
        <v>623</v>
      </c>
      <c r="C393" s="15" t="s">
        <v>1583</v>
      </c>
      <c r="D393" s="15" t="s">
        <v>119</v>
      </c>
      <c r="E393" s="14" t="s">
        <v>228</v>
      </c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1.25" customHeight="1">
      <c r="A394" s="15" t="s">
        <v>624</v>
      </c>
      <c r="B394" s="15" t="s">
        <v>625</v>
      </c>
      <c r="C394" s="15" t="s">
        <v>1583</v>
      </c>
      <c r="D394" s="15" t="s">
        <v>119</v>
      </c>
      <c r="E394" s="14" t="s">
        <v>228</v>
      </c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1.25" customHeight="1">
      <c r="A395" s="15" t="s">
        <v>626</v>
      </c>
      <c r="B395" s="15" t="s">
        <v>627</v>
      </c>
      <c r="C395" s="15" t="s">
        <v>1588</v>
      </c>
      <c r="D395" s="15" t="s">
        <v>119</v>
      </c>
      <c r="E395" s="14" t="s">
        <v>139</v>
      </c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1.25" customHeight="1">
      <c r="A396" s="15" t="s">
        <v>628</v>
      </c>
      <c r="B396" s="15" t="s">
        <v>629</v>
      </c>
      <c r="C396" s="15" t="s">
        <v>1583</v>
      </c>
      <c r="D396" s="15" t="s">
        <v>119</v>
      </c>
      <c r="E396" s="14" t="s">
        <v>139</v>
      </c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1.25" customHeight="1">
      <c r="A397" s="15" t="s">
        <v>630</v>
      </c>
      <c r="B397" s="15" t="s">
        <v>631</v>
      </c>
      <c r="C397" s="15" t="s">
        <v>1583</v>
      </c>
      <c r="D397" s="15" t="s">
        <v>119</v>
      </c>
      <c r="E397" s="14" t="s">
        <v>139</v>
      </c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1.25" customHeight="1">
      <c r="A398" s="15" t="s">
        <v>632</v>
      </c>
      <c r="B398" s="15" t="s">
        <v>633</v>
      </c>
      <c r="C398" s="15" t="s">
        <v>1583</v>
      </c>
      <c r="D398" s="15" t="s">
        <v>119</v>
      </c>
      <c r="E398" s="14" t="s">
        <v>139</v>
      </c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1.25" customHeight="1">
      <c r="A399" s="15" t="s">
        <v>634</v>
      </c>
      <c r="B399" s="15" t="s">
        <v>635</v>
      </c>
      <c r="C399" s="15" t="s">
        <v>1583</v>
      </c>
      <c r="D399" s="15" t="s">
        <v>119</v>
      </c>
      <c r="E399" s="14" t="s">
        <v>139</v>
      </c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1.25" customHeight="1">
      <c r="A400" s="15" t="s">
        <v>636</v>
      </c>
      <c r="B400" s="15" t="s">
        <v>635</v>
      </c>
      <c r="C400" s="15" t="s">
        <v>1583</v>
      </c>
      <c r="D400" s="15" t="s">
        <v>119</v>
      </c>
      <c r="E400" s="14" t="s">
        <v>139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1.25" customHeight="1">
      <c r="A401" s="15" t="s">
        <v>637</v>
      </c>
      <c r="B401" s="15" t="s">
        <v>638</v>
      </c>
      <c r="C401" s="15" t="s">
        <v>1588</v>
      </c>
      <c r="D401" s="15" t="s">
        <v>119</v>
      </c>
      <c r="E401" s="14" t="s">
        <v>166</v>
      </c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1.25" customHeight="1">
      <c r="A402" s="15" t="s">
        <v>639</v>
      </c>
      <c r="B402" s="15" t="s">
        <v>640</v>
      </c>
      <c r="C402" s="15" t="s">
        <v>1583</v>
      </c>
      <c r="D402" s="15" t="s">
        <v>119</v>
      </c>
      <c r="E402" s="14" t="s">
        <v>166</v>
      </c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1.25" customHeight="1">
      <c r="A403" s="15" t="s">
        <v>642</v>
      </c>
      <c r="B403" s="15" t="s">
        <v>643</v>
      </c>
      <c r="C403" s="15" t="s">
        <v>1583</v>
      </c>
      <c r="D403" s="15" t="s">
        <v>119</v>
      </c>
      <c r="E403" s="14" t="s">
        <v>166</v>
      </c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1.25" customHeight="1">
      <c r="A404" s="15" t="s">
        <v>644</v>
      </c>
      <c r="B404" s="15" t="s">
        <v>643</v>
      </c>
      <c r="C404" s="15" t="s">
        <v>1583</v>
      </c>
      <c r="D404" s="15" t="s">
        <v>119</v>
      </c>
      <c r="E404" s="14" t="s">
        <v>166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1.25" customHeight="1">
      <c r="A405" s="15" t="s">
        <v>645</v>
      </c>
      <c r="B405" s="15" t="s">
        <v>643</v>
      </c>
      <c r="C405" s="15" t="s">
        <v>1583</v>
      </c>
      <c r="D405" s="15" t="s">
        <v>119</v>
      </c>
      <c r="E405" s="14" t="s">
        <v>166</v>
      </c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1.25" customHeight="1">
      <c r="A406" s="15" t="s">
        <v>646</v>
      </c>
      <c r="B406" s="15" t="s">
        <v>647</v>
      </c>
      <c r="C406" s="15" t="s">
        <v>1588</v>
      </c>
      <c r="D406" s="15" t="s">
        <v>119</v>
      </c>
      <c r="E406" s="14" t="s">
        <v>212</v>
      </c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1.25" customHeight="1">
      <c r="A407" s="15" t="s">
        <v>648</v>
      </c>
      <c r="B407" s="15" t="s">
        <v>649</v>
      </c>
      <c r="C407" s="15" t="s">
        <v>1583</v>
      </c>
      <c r="D407" s="15" t="s">
        <v>119</v>
      </c>
      <c r="E407" s="14" t="s">
        <v>212</v>
      </c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1.25" customHeight="1">
      <c r="A408" s="15" t="s">
        <v>650</v>
      </c>
      <c r="B408" s="15" t="s">
        <v>649</v>
      </c>
      <c r="C408" s="15" t="s">
        <v>1583</v>
      </c>
      <c r="D408" s="15" t="s">
        <v>119</v>
      </c>
      <c r="E408" s="14" t="s">
        <v>212</v>
      </c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1.25" customHeight="1">
      <c r="A409" s="15" t="s">
        <v>651</v>
      </c>
      <c r="B409" s="15" t="s">
        <v>649</v>
      </c>
      <c r="C409" s="15" t="s">
        <v>1583</v>
      </c>
      <c r="D409" s="15" t="s">
        <v>119</v>
      </c>
      <c r="E409" s="14" t="s">
        <v>212</v>
      </c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1.25" customHeight="1">
      <c r="A410" s="15" t="s">
        <v>652</v>
      </c>
      <c r="B410" s="15" t="s">
        <v>653</v>
      </c>
      <c r="C410" s="15" t="s">
        <v>1583</v>
      </c>
      <c r="D410" s="15" t="s">
        <v>119</v>
      </c>
      <c r="E410" s="14" t="s">
        <v>212</v>
      </c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1.25" customHeight="1">
      <c r="A411" s="15" t="s">
        <v>654</v>
      </c>
      <c r="B411" s="15" t="s">
        <v>653</v>
      </c>
      <c r="C411" s="15" t="s">
        <v>1583</v>
      </c>
      <c r="D411" s="15" t="s">
        <v>119</v>
      </c>
      <c r="E411" s="14" t="s">
        <v>212</v>
      </c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1.25" customHeight="1">
      <c r="A412" s="15" t="s">
        <v>655</v>
      </c>
      <c r="B412" s="15" t="s">
        <v>653</v>
      </c>
      <c r="C412" s="15" t="s">
        <v>1583</v>
      </c>
      <c r="D412" s="15" t="s">
        <v>119</v>
      </c>
      <c r="E412" s="14" t="s">
        <v>212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1.25" customHeight="1">
      <c r="A413" s="15" t="s">
        <v>656</v>
      </c>
      <c r="B413" s="15" t="s">
        <v>657</v>
      </c>
      <c r="C413" s="15" t="s">
        <v>1583</v>
      </c>
      <c r="D413" s="15" t="s">
        <v>119</v>
      </c>
      <c r="E413" s="14" t="s">
        <v>212</v>
      </c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1.25" customHeight="1">
      <c r="A414" s="15" t="s">
        <v>658</v>
      </c>
      <c r="B414" s="15" t="s">
        <v>657</v>
      </c>
      <c r="C414" s="15" t="s">
        <v>1583</v>
      </c>
      <c r="D414" s="15" t="s">
        <v>119</v>
      </c>
      <c r="E414" s="14" t="s">
        <v>212</v>
      </c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1.25" customHeight="1">
      <c r="A415" s="15" t="s">
        <v>659</v>
      </c>
      <c r="B415" s="15" t="s">
        <v>657</v>
      </c>
      <c r="C415" s="15" t="s">
        <v>1583</v>
      </c>
      <c r="D415" s="15" t="s">
        <v>119</v>
      </c>
      <c r="E415" s="14" t="s">
        <v>212</v>
      </c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1.25" customHeight="1">
      <c r="A416" s="15" t="s">
        <v>660</v>
      </c>
      <c r="B416" s="15" t="s">
        <v>661</v>
      </c>
      <c r="C416" s="15" t="s">
        <v>1583</v>
      </c>
      <c r="D416" s="15" t="s">
        <v>119</v>
      </c>
      <c r="E416" s="14" t="s">
        <v>212</v>
      </c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1.25" customHeight="1">
      <c r="A417" s="15" t="s">
        <v>662</v>
      </c>
      <c r="B417" s="15" t="s">
        <v>661</v>
      </c>
      <c r="C417" s="15" t="s">
        <v>1583</v>
      </c>
      <c r="D417" s="15" t="s">
        <v>119</v>
      </c>
      <c r="E417" s="14" t="s">
        <v>212</v>
      </c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1.25" customHeight="1">
      <c r="A418" s="15" t="s">
        <v>663</v>
      </c>
      <c r="B418" s="15" t="s">
        <v>661</v>
      </c>
      <c r="C418" s="15" t="s">
        <v>1583</v>
      </c>
      <c r="D418" s="15" t="s">
        <v>119</v>
      </c>
      <c r="E418" s="14" t="s">
        <v>212</v>
      </c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1.25" customHeight="1">
      <c r="A419" s="15" t="s">
        <v>664</v>
      </c>
      <c r="B419" s="15" t="s">
        <v>665</v>
      </c>
      <c r="C419" s="15" t="s">
        <v>1583</v>
      </c>
      <c r="D419" s="15" t="s">
        <v>119</v>
      </c>
      <c r="E419" s="14" t="s">
        <v>212</v>
      </c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1.25" customHeight="1">
      <c r="A420" s="15" t="s">
        <v>666</v>
      </c>
      <c r="B420" s="15" t="s">
        <v>665</v>
      </c>
      <c r="C420" s="15" t="s">
        <v>1583</v>
      </c>
      <c r="D420" s="15" t="s">
        <v>119</v>
      </c>
      <c r="E420" s="14" t="s">
        <v>212</v>
      </c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1.25" customHeight="1">
      <c r="A421" s="15" t="s">
        <v>667</v>
      </c>
      <c r="B421" s="15" t="s">
        <v>665</v>
      </c>
      <c r="C421" s="15" t="s">
        <v>1583</v>
      </c>
      <c r="D421" s="15" t="s">
        <v>119</v>
      </c>
      <c r="E421" s="14" t="s">
        <v>212</v>
      </c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1.25" customHeight="1">
      <c r="A422" s="15" t="s">
        <v>668</v>
      </c>
      <c r="B422" s="15" t="s">
        <v>669</v>
      </c>
      <c r="C422" s="15" t="s">
        <v>1583</v>
      </c>
      <c r="D422" s="15" t="s">
        <v>119</v>
      </c>
      <c r="E422" s="14" t="s">
        <v>183</v>
      </c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1.25" customHeight="1">
      <c r="A423" s="15" t="s">
        <v>670</v>
      </c>
      <c r="B423" s="15" t="s">
        <v>671</v>
      </c>
      <c r="C423" s="15" t="s">
        <v>1583</v>
      </c>
      <c r="D423" s="15" t="s">
        <v>119</v>
      </c>
      <c r="E423" s="14" t="s">
        <v>183</v>
      </c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1.25" customHeight="1">
      <c r="A424" s="15" t="s">
        <v>672</v>
      </c>
      <c r="B424" s="15" t="s">
        <v>673</v>
      </c>
      <c r="C424" s="15" t="s">
        <v>1583</v>
      </c>
      <c r="D424" s="15" t="s">
        <v>119</v>
      </c>
      <c r="E424" s="14" t="s">
        <v>183</v>
      </c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1.25" customHeight="1">
      <c r="A425" s="15" t="s">
        <v>674</v>
      </c>
      <c r="B425" s="15" t="s">
        <v>675</v>
      </c>
      <c r="C425" s="15" t="s">
        <v>1583</v>
      </c>
      <c r="D425" s="15" t="s">
        <v>119</v>
      </c>
      <c r="E425" s="14" t="s">
        <v>183</v>
      </c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1.25" customHeight="1">
      <c r="A426" s="15" t="s">
        <v>676</v>
      </c>
      <c r="B426" s="15" t="s">
        <v>677</v>
      </c>
      <c r="C426" s="15" t="s">
        <v>1583</v>
      </c>
      <c r="D426" s="15" t="s">
        <v>119</v>
      </c>
      <c r="E426" s="14" t="s">
        <v>256</v>
      </c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1.25" customHeight="1">
      <c r="A427" s="15" t="s">
        <v>678</v>
      </c>
      <c r="B427" s="15" t="s">
        <v>255</v>
      </c>
      <c r="C427" s="15" t="s">
        <v>1583</v>
      </c>
      <c r="D427" s="15" t="s">
        <v>119</v>
      </c>
      <c r="E427" s="14" t="s">
        <v>256</v>
      </c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1.25" customHeight="1">
      <c r="A428" s="15" t="s">
        <v>679</v>
      </c>
      <c r="B428" s="15" t="s">
        <v>255</v>
      </c>
      <c r="C428" s="15" t="s">
        <v>1583</v>
      </c>
      <c r="D428" s="15" t="s">
        <v>119</v>
      </c>
      <c r="E428" s="14" t="s">
        <v>256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1.25" customHeight="1">
      <c r="A429" s="15" t="s">
        <v>680</v>
      </c>
      <c r="B429" s="15" t="s">
        <v>681</v>
      </c>
      <c r="C429" s="15" t="s">
        <v>1583</v>
      </c>
      <c r="D429" s="15" t="s">
        <v>119</v>
      </c>
      <c r="E429" s="14" t="s">
        <v>263</v>
      </c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1.25" customHeight="1">
      <c r="A430" s="15" t="s">
        <v>682</v>
      </c>
      <c r="B430" s="15" t="s">
        <v>681</v>
      </c>
      <c r="C430" s="15" t="s">
        <v>1583</v>
      </c>
      <c r="D430" s="15" t="s">
        <v>119</v>
      </c>
      <c r="E430" s="14" t="s">
        <v>263</v>
      </c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1.25" customHeight="1">
      <c r="A431" s="15" t="s">
        <v>683</v>
      </c>
      <c r="B431" s="15" t="s">
        <v>681</v>
      </c>
      <c r="C431" s="15" t="s">
        <v>1583</v>
      </c>
      <c r="D431" s="15" t="s">
        <v>119</v>
      </c>
      <c r="E431" s="14" t="s">
        <v>263</v>
      </c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1.25" customHeight="1">
      <c r="A432" s="15" t="s">
        <v>684</v>
      </c>
      <c r="B432" s="15" t="s">
        <v>685</v>
      </c>
      <c r="C432" s="15" t="s">
        <v>1583</v>
      </c>
      <c r="D432" s="15" t="s">
        <v>119</v>
      </c>
      <c r="E432" s="14" t="s">
        <v>218</v>
      </c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1.25" customHeight="1">
      <c r="A433" s="15" t="s">
        <v>686</v>
      </c>
      <c r="B433" s="15" t="s">
        <v>685</v>
      </c>
      <c r="C433" s="15" t="s">
        <v>1583</v>
      </c>
      <c r="D433" s="15" t="s">
        <v>119</v>
      </c>
      <c r="E433" s="14" t="s">
        <v>218</v>
      </c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1.25" customHeight="1">
      <c r="A434" s="15" t="s">
        <v>687</v>
      </c>
      <c r="B434" s="15" t="s">
        <v>685</v>
      </c>
      <c r="C434" s="15" t="s">
        <v>1583</v>
      </c>
      <c r="D434" s="15" t="s">
        <v>119</v>
      </c>
      <c r="E434" s="14" t="s">
        <v>218</v>
      </c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1.25" customHeight="1">
      <c r="A435" s="15" t="s">
        <v>688</v>
      </c>
      <c r="B435" s="15" t="s">
        <v>689</v>
      </c>
      <c r="C435" s="15" t="s">
        <v>1583</v>
      </c>
      <c r="D435" s="15" t="s">
        <v>119</v>
      </c>
      <c r="E435" s="14" t="s">
        <v>246</v>
      </c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1.25" customHeight="1">
      <c r="A436" s="15" t="s">
        <v>690</v>
      </c>
      <c r="B436" s="15" t="s">
        <v>691</v>
      </c>
      <c r="C436" s="15" t="s">
        <v>1583</v>
      </c>
      <c r="D436" s="15" t="s">
        <v>119</v>
      </c>
      <c r="E436" s="14" t="s">
        <v>246</v>
      </c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1.25" customHeight="1">
      <c r="A437" s="15" t="s">
        <v>692</v>
      </c>
      <c r="B437" s="15" t="s">
        <v>245</v>
      </c>
      <c r="C437" s="15" t="s">
        <v>1583</v>
      </c>
      <c r="D437" s="15" t="s">
        <v>119</v>
      </c>
      <c r="E437" s="14" t="s">
        <v>246</v>
      </c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1.25" customHeight="1">
      <c r="A438" s="15" t="s">
        <v>693</v>
      </c>
      <c r="B438" s="15" t="s">
        <v>694</v>
      </c>
      <c r="C438" s="15" t="s">
        <v>1583</v>
      </c>
      <c r="D438" s="15" t="s">
        <v>119</v>
      </c>
      <c r="E438" s="14" t="s">
        <v>246</v>
      </c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1.25" customHeight="1">
      <c r="A439" s="15" t="s">
        <v>695</v>
      </c>
      <c r="B439" s="15" t="s">
        <v>249</v>
      </c>
      <c r="C439" s="15" t="s">
        <v>1583</v>
      </c>
      <c r="D439" s="15" t="s">
        <v>119</v>
      </c>
      <c r="E439" s="14" t="s">
        <v>250</v>
      </c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1.25" customHeight="1">
      <c r="A440" s="15" t="s">
        <v>696</v>
      </c>
      <c r="B440" s="15" t="s">
        <v>697</v>
      </c>
      <c r="C440" s="15" t="s">
        <v>1583</v>
      </c>
      <c r="D440" s="15" t="s">
        <v>119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1.25" customHeight="1">
      <c r="A441" s="15" t="s">
        <v>698</v>
      </c>
      <c r="B441" s="15" t="s">
        <v>699</v>
      </c>
      <c r="C441" s="15" t="s">
        <v>1583</v>
      </c>
      <c r="D441" s="15" t="s">
        <v>119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1.25" customHeight="1">
      <c r="A442" s="15" t="s">
        <v>700</v>
      </c>
      <c r="B442" s="15" t="s">
        <v>701</v>
      </c>
      <c r="C442" s="15" t="s">
        <v>1583</v>
      </c>
      <c r="D442" s="15" t="s">
        <v>119</v>
      </c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1.25" customHeight="1">
      <c r="A443" s="312" t="s">
        <v>702</v>
      </c>
      <c r="B443" s="312" t="s">
        <v>703</v>
      </c>
      <c r="C443" s="312" t="s">
        <v>1583</v>
      </c>
      <c r="D443" s="312" t="s">
        <v>119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1.25" customHeight="1">
      <c r="A444" s="15"/>
      <c r="B444" s="15"/>
      <c r="C444" s="15"/>
      <c r="D444" s="15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1.25" customHeight="1">
      <c r="A445" s="15"/>
      <c r="B445" s="15"/>
      <c r="C445" s="15"/>
      <c r="D445" s="15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1.25" customHeight="1">
      <c r="A446" s="15"/>
      <c r="B446" s="15"/>
      <c r="C446" s="15"/>
      <c r="D446" s="15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1.25" customHeight="1">
      <c r="A447" s="15"/>
      <c r="B447" s="15"/>
      <c r="C447" s="15"/>
      <c r="D447" s="15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1.25" customHeight="1">
      <c r="A448" s="15"/>
      <c r="B448" s="15"/>
      <c r="C448" s="15"/>
      <c r="D448" s="15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1.25" customHeight="1">
      <c r="A449" s="15"/>
      <c r="B449" s="15"/>
      <c r="C449" s="15"/>
      <c r="D449" s="15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1.25" customHeight="1">
      <c r="A450" s="15"/>
      <c r="B450" s="15"/>
      <c r="C450" s="15"/>
      <c r="D450" s="15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1.25" customHeight="1">
      <c r="A451" s="15"/>
      <c r="B451" s="15"/>
      <c r="C451" s="15"/>
      <c r="D451" s="15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1.25" customHeight="1">
      <c r="A452" s="15"/>
      <c r="B452" s="15"/>
      <c r="C452" s="15"/>
      <c r="D452" s="15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1.25" customHeight="1">
      <c r="A453" s="15"/>
      <c r="B453" s="15"/>
      <c r="C453" s="15"/>
      <c r="D453" s="15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1.25" customHeight="1">
      <c r="A454" s="15"/>
      <c r="B454" s="15"/>
      <c r="C454" s="15"/>
      <c r="D454" s="15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1.25" customHeight="1">
      <c r="A455" s="15"/>
      <c r="B455" s="15"/>
      <c r="C455" s="15"/>
      <c r="D455" s="15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1.25" customHeight="1">
      <c r="A456" s="15"/>
      <c r="B456" s="15"/>
      <c r="C456" s="15"/>
      <c r="D456" s="15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1.25" customHeight="1">
      <c r="A457" s="15"/>
      <c r="B457" s="15"/>
      <c r="C457" s="15"/>
      <c r="D457" s="15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1.25" customHeight="1">
      <c r="A458" s="15"/>
      <c r="B458" s="15"/>
      <c r="C458" s="15"/>
      <c r="D458" s="15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1.25" customHeight="1">
      <c r="A459" s="15"/>
      <c r="B459" s="15"/>
      <c r="C459" s="15"/>
      <c r="D459" s="15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1.25" customHeight="1">
      <c r="A460" s="15"/>
      <c r="B460" s="15"/>
      <c r="C460" s="15"/>
      <c r="D460" s="15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1.25" customHeight="1">
      <c r="A461" s="15"/>
      <c r="B461" s="15"/>
      <c r="C461" s="15"/>
      <c r="D461" s="15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1.25" customHeight="1">
      <c r="A462" s="15"/>
      <c r="B462" s="15"/>
      <c r="C462" s="15"/>
      <c r="D462" s="15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1.25" customHeight="1">
      <c r="A463" s="15"/>
      <c r="B463" s="15"/>
      <c r="C463" s="15"/>
      <c r="D463" s="15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1.25" customHeight="1">
      <c r="A464" s="15"/>
      <c r="B464" s="15"/>
      <c r="C464" s="15"/>
      <c r="D464" s="15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1.25" customHeight="1">
      <c r="A465" s="15"/>
      <c r="B465" s="15"/>
      <c r="C465" s="15"/>
      <c r="D465" s="15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1.25" customHeight="1">
      <c r="A466" s="15"/>
      <c r="B466" s="15"/>
      <c r="C466" s="15"/>
      <c r="D466" s="15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1.25" customHeight="1">
      <c r="A467" s="15"/>
      <c r="B467" s="15"/>
      <c r="C467" s="15"/>
      <c r="D467" s="15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1.25" customHeight="1">
      <c r="A468" s="15"/>
      <c r="B468" s="15"/>
      <c r="C468" s="15"/>
      <c r="D468" s="15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1.25" customHeight="1">
      <c r="A469" s="15"/>
      <c r="B469" s="15"/>
      <c r="C469" s="15"/>
      <c r="D469" s="15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1.25" customHeight="1">
      <c r="A470" s="15"/>
      <c r="B470" s="15"/>
      <c r="C470" s="15"/>
      <c r="D470" s="15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1.25" customHeight="1">
      <c r="A471" s="15"/>
      <c r="B471" s="15"/>
      <c r="C471" s="15"/>
      <c r="D471" s="15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1.25" customHeight="1">
      <c r="A472" s="15"/>
      <c r="B472" s="15"/>
      <c r="C472" s="15"/>
      <c r="D472" s="15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1.25" customHeight="1">
      <c r="A473" s="15"/>
      <c r="B473" s="15"/>
      <c r="C473" s="15"/>
      <c r="D473" s="15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1.25" customHeight="1">
      <c r="A474" s="15"/>
      <c r="B474" s="15"/>
      <c r="C474" s="15"/>
      <c r="D474" s="15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1.25" customHeight="1">
      <c r="A475" s="15"/>
      <c r="B475" s="15"/>
      <c r="C475" s="15"/>
      <c r="D475" s="15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1.25" customHeight="1">
      <c r="A476" s="15"/>
      <c r="B476" s="15"/>
      <c r="C476" s="15"/>
      <c r="D476" s="15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1.25" customHeight="1">
      <c r="A477" s="15"/>
      <c r="B477" s="15"/>
      <c r="C477" s="15"/>
      <c r="D477" s="15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1.25" customHeight="1">
      <c r="A478" s="15"/>
      <c r="B478" s="15"/>
      <c r="C478" s="15"/>
      <c r="D478" s="15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1.25" customHeight="1">
      <c r="A479" s="15"/>
      <c r="B479" s="15"/>
      <c r="C479" s="15"/>
      <c r="D479" s="15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1.25" customHeight="1">
      <c r="A480" s="15"/>
      <c r="B480" s="15"/>
      <c r="C480" s="15"/>
      <c r="D480" s="15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1.25" customHeight="1">
      <c r="A481" s="15"/>
      <c r="B481" s="15"/>
      <c r="C481" s="15"/>
      <c r="D481" s="15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1.25" customHeight="1">
      <c r="A482" s="15"/>
      <c r="B482" s="15"/>
      <c r="C482" s="15"/>
      <c r="D482" s="15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1.25" customHeight="1">
      <c r="A483" s="15"/>
      <c r="B483" s="15"/>
      <c r="C483" s="15"/>
      <c r="D483" s="15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1.25" customHeight="1">
      <c r="A484" s="15"/>
      <c r="B484" s="15"/>
      <c r="C484" s="15"/>
      <c r="D484" s="15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1.25" customHeight="1">
      <c r="A485" s="15"/>
      <c r="B485" s="15"/>
      <c r="C485" s="15"/>
      <c r="D485" s="15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1.25" customHeight="1">
      <c r="A486" s="15"/>
      <c r="B486" s="15"/>
      <c r="C486" s="15"/>
      <c r="D486" s="15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1.25" customHeight="1">
      <c r="A487" s="15"/>
      <c r="B487" s="15"/>
      <c r="C487" s="15"/>
      <c r="D487" s="15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1.25" customHeight="1">
      <c r="A488" s="15"/>
      <c r="B488" s="15"/>
      <c r="C488" s="15"/>
      <c r="D488" s="15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1.25" customHeight="1">
      <c r="A489" s="15"/>
      <c r="B489" s="15"/>
      <c r="C489" s="15"/>
      <c r="D489" s="15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1.25" customHeight="1">
      <c r="A490" s="15"/>
      <c r="B490" s="15"/>
      <c r="C490" s="15"/>
      <c r="D490" s="15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1.25" customHeight="1">
      <c r="A491" s="15"/>
      <c r="B491" s="15"/>
      <c r="C491" s="15"/>
      <c r="D491" s="15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1.25" customHeight="1">
      <c r="A492" s="15"/>
      <c r="B492" s="15"/>
      <c r="C492" s="15"/>
      <c r="D492" s="15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1.25" customHeight="1">
      <c r="A493" s="15"/>
      <c r="B493" s="15"/>
      <c r="C493" s="15"/>
      <c r="D493" s="15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1.25" customHeight="1">
      <c r="A494" s="15"/>
      <c r="B494" s="15"/>
      <c r="C494" s="15"/>
      <c r="D494" s="15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1.25" customHeight="1">
      <c r="A495" s="15"/>
      <c r="B495" s="15"/>
      <c r="C495" s="15"/>
      <c r="D495" s="15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1.25" customHeight="1">
      <c r="A496" s="15"/>
      <c r="B496" s="15"/>
      <c r="C496" s="15"/>
      <c r="D496" s="15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1.25" customHeight="1">
      <c r="A497" s="15"/>
      <c r="B497" s="15"/>
      <c r="C497" s="15"/>
      <c r="D497" s="15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1.25" customHeight="1">
      <c r="A498" s="15"/>
      <c r="B498" s="15"/>
      <c r="C498" s="15"/>
      <c r="D498" s="15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1.25" customHeight="1">
      <c r="A499" s="15"/>
      <c r="B499" s="15"/>
      <c r="C499" s="15"/>
      <c r="D499" s="15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1.25" customHeight="1">
      <c r="A500" s="15"/>
      <c r="B500" s="15"/>
      <c r="C500" s="15"/>
      <c r="D500" s="15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1.25" customHeight="1">
      <c r="A501" s="15"/>
      <c r="B501" s="15"/>
      <c r="C501" s="15"/>
      <c r="D501" s="15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1.25" customHeight="1">
      <c r="A502" s="15"/>
      <c r="B502" s="15"/>
      <c r="C502" s="15"/>
      <c r="D502" s="15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1.25" customHeight="1">
      <c r="A503" s="15"/>
      <c r="B503" s="15"/>
      <c r="C503" s="15"/>
      <c r="D503" s="15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1.25" customHeight="1">
      <c r="A504" s="15"/>
      <c r="B504" s="15"/>
      <c r="C504" s="15"/>
      <c r="D504" s="15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1.25" customHeight="1">
      <c r="A505" s="15"/>
      <c r="B505" s="15"/>
      <c r="C505" s="15"/>
      <c r="D505" s="15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1.25" customHeight="1">
      <c r="A506" s="15"/>
      <c r="B506" s="15"/>
      <c r="C506" s="15"/>
      <c r="D506" s="15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1.25" customHeight="1">
      <c r="A507" s="15"/>
      <c r="B507" s="15"/>
      <c r="C507" s="15"/>
      <c r="D507" s="15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1.25" customHeight="1">
      <c r="A508" s="15"/>
      <c r="B508" s="15"/>
      <c r="C508" s="15"/>
      <c r="D508" s="15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1.25" customHeight="1">
      <c r="A509" s="15"/>
      <c r="B509" s="15"/>
      <c r="C509" s="15"/>
      <c r="D509" s="15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1.25" customHeight="1">
      <c r="A510" s="15"/>
      <c r="B510" s="15"/>
      <c r="C510" s="15"/>
      <c r="D510" s="15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1.25" customHeight="1">
      <c r="A511" s="15"/>
      <c r="B511" s="15"/>
      <c r="C511" s="15"/>
      <c r="D511" s="15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1.25" customHeight="1">
      <c r="A512" s="15"/>
      <c r="B512" s="15"/>
      <c r="C512" s="15"/>
      <c r="D512" s="15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1.25" customHeight="1">
      <c r="A513" s="15"/>
      <c r="B513" s="15"/>
      <c r="C513" s="15"/>
      <c r="D513" s="15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1.25" customHeight="1">
      <c r="A514" s="15"/>
      <c r="B514" s="15"/>
      <c r="C514" s="15"/>
      <c r="D514" s="15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1.25" customHeight="1">
      <c r="A515" s="15"/>
      <c r="B515" s="15"/>
      <c r="C515" s="15"/>
      <c r="D515" s="15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1.25" customHeight="1">
      <c r="A516" s="15"/>
      <c r="B516" s="15"/>
      <c r="C516" s="15"/>
      <c r="D516" s="15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1.25" customHeight="1">
      <c r="A517" s="15"/>
      <c r="B517" s="15"/>
      <c r="C517" s="15"/>
      <c r="D517" s="15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1.25" customHeight="1">
      <c r="A518" s="15"/>
      <c r="B518" s="15"/>
      <c r="C518" s="15"/>
      <c r="D518" s="15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1.25" customHeight="1">
      <c r="A519" s="15"/>
      <c r="B519" s="15"/>
      <c r="C519" s="15"/>
      <c r="D519" s="15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1.25" customHeight="1">
      <c r="A520" s="15"/>
      <c r="B520" s="15"/>
      <c r="C520" s="15"/>
      <c r="D520" s="15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1.25" customHeight="1">
      <c r="A521" s="15"/>
      <c r="B521" s="15"/>
      <c r="C521" s="15"/>
      <c r="D521" s="15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1.25" customHeight="1">
      <c r="A522" s="15"/>
      <c r="B522" s="15"/>
      <c r="C522" s="15"/>
      <c r="D522" s="15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1.25" customHeight="1">
      <c r="A523" s="15"/>
      <c r="B523" s="15"/>
      <c r="C523" s="15"/>
      <c r="D523" s="15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1.25" customHeight="1">
      <c r="A524" s="15"/>
      <c r="B524" s="15"/>
      <c r="C524" s="15"/>
      <c r="D524" s="15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1.25" customHeight="1">
      <c r="A525" s="15"/>
      <c r="B525" s="15"/>
      <c r="C525" s="15"/>
      <c r="D525" s="15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1.25" customHeight="1">
      <c r="A526" s="15"/>
      <c r="B526" s="15"/>
      <c r="C526" s="15"/>
      <c r="D526" s="15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1.25" customHeight="1">
      <c r="A527" s="15"/>
      <c r="B527" s="15"/>
      <c r="C527" s="15"/>
      <c r="D527" s="15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1.25" customHeight="1">
      <c r="A528" s="15"/>
      <c r="B528" s="15"/>
      <c r="C528" s="15"/>
      <c r="D528" s="15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1.25" customHeight="1">
      <c r="A529" s="15"/>
      <c r="B529" s="15"/>
      <c r="C529" s="15"/>
      <c r="D529" s="15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1.25" customHeight="1">
      <c r="A530" s="15"/>
      <c r="B530" s="15"/>
      <c r="C530" s="15"/>
      <c r="D530" s="15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1.25" customHeight="1">
      <c r="A531" s="15"/>
      <c r="B531" s="15"/>
      <c r="C531" s="15"/>
      <c r="D531" s="15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1.25" customHeight="1">
      <c r="A532" s="15"/>
      <c r="B532" s="15"/>
      <c r="C532" s="15"/>
      <c r="D532" s="15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1.25" customHeight="1">
      <c r="A533" s="15"/>
      <c r="B533" s="15"/>
      <c r="C533" s="15"/>
      <c r="D533" s="15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1.25" customHeight="1">
      <c r="A534" s="15"/>
      <c r="B534" s="15"/>
      <c r="C534" s="15"/>
      <c r="D534" s="15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1.25" customHeight="1">
      <c r="A535" s="15"/>
      <c r="B535" s="15"/>
      <c r="C535" s="15"/>
      <c r="D535" s="15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1.25" customHeight="1">
      <c r="A536" s="15"/>
      <c r="B536" s="15"/>
      <c r="C536" s="15"/>
      <c r="D536" s="15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1.25" customHeight="1">
      <c r="A537" s="15"/>
      <c r="B537" s="15"/>
      <c r="C537" s="15"/>
      <c r="D537" s="15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1.25" customHeight="1">
      <c r="A538" s="15"/>
      <c r="B538" s="15"/>
      <c r="C538" s="15"/>
      <c r="D538" s="15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1.25" customHeight="1">
      <c r="A539" s="15"/>
      <c r="B539" s="15"/>
      <c r="C539" s="15"/>
      <c r="D539" s="15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1.25" customHeight="1">
      <c r="A540" s="15"/>
      <c r="B540" s="15"/>
      <c r="C540" s="15"/>
      <c r="D540" s="15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1.25" customHeight="1">
      <c r="A541" s="15"/>
      <c r="B541" s="15"/>
      <c r="C541" s="15"/>
      <c r="D541" s="15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1.25" customHeight="1">
      <c r="A542" s="15"/>
      <c r="B542" s="15"/>
      <c r="C542" s="15"/>
      <c r="D542" s="15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1.25" customHeight="1">
      <c r="A543" s="15"/>
      <c r="B543" s="15"/>
      <c r="C543" s="15"/>
      <c r="D543" s="15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1.25" customHeight="1">
      <c r="A544" s="15"/>
      <c r="B544" s="15"/>
      <c r="C544" s="15"/>
      <c r="D544" s="15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1.25" customHeight="1">
      <c r="A545" s="15"/>
      <c r="B545" s="15"/>
      <c r="C545" s="15"/>
      <c r="D545" s="15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1.25" customHeight="1">
      <c r="A546" s="15"/>
      <c r="B546" s="15"/>
      <c r="C546" s="15"/>
      <c r="D546" s="15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1.25" customHeight="1">
      <c r="A547" s="15"/>
      <c r="B547" s="15"/>
      <c r="C547" s="15"/>
      <c r="D547" s="15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1.25" customHeight="1">
      <c r="A548" s="15"/>
      <c r="B548" s="15"/>
      <c r="C548" s="15"/>
      <c r="D548" s="15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1.25" customHeight="1">
      <c r="A549" s="15"/>
      <c r="B549" s="15"/>
      <c r="C549" s="15"/>
      <c r="D549" s="15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1.25" customHeight="1">
      <c r="A550" s="15"/>
      <c r="B550" s="15"/>
      <c r="C550" s="15"/>
      <c r="D550" s="15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1.25" customHeight="1">
      <c r="A551" s="15"/>
      <c r="B551" s="15"/>
      <c r="C551" s="15"/>
      <c r="D551" s="15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1.25" customHeight="1">
      <c r="A552" s="15"/>
      <c r="B552" s="15"/>
      <c r="C552" s="15"/>
      <c r="D552" s="15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1.25" customHeight="1">
      <c r="A553" s="15"/>
      <c r="B553" s="15"/>
      <c r="C553" s="15"/>
      <c r="D553" s="15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1.25" customHeight="1">
      <c r="A554" s="15"/>
      <c r="B554" s="15"/>
      <c r="C554" s="15"/>
      <c r="D554" s="15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1.25" customHeight="1">
      <c r="A555" s="15"/>
      <c r="B555" s="15"/>
      <c r="C555" s="15"/>
      <c r="D555" s="15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1.25" customHeight="1">
      <c r="A556" s="15"/>
      <c r="B556" s="15"/>
      <c r="C556" s="15"/>
      <c r="D556" s="15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1.25" customHeight="1">
      <c r="A557" s="15"/>
      <c r="B557" s="15"/>
      <c r="C557" s="15"/>
      <c r="D557" s="15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1.25" customHeight="1">
      <c r="A558" s="15"/>
      <c r="B558" s="15"/>
      <c r="C558" s="15"/>
      <c r="D558" s="15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1.25" customHeight="1">
      <c r="A559" s="15"/>
      <c r="B559" s="15"/>
      <c r="C559" s="15"/>
      <c r="D559" s="15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1.25" customHeight="1">
      <c r="A560" s="15"/>
      <c r="B560" s="15"/>
      <c r="C560" s="15"/>
      <c r="D560" s="15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1.25" customHeight="1">
      <c r="A561" s="15"/>
      <c r="B561" s="15"/>
      <c r="C561" s="15"/>
      <c r="D561" s="15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1.25" customHeight="1">
      <c r="A562" s="15"/>
      <c r="B562" s="15"/>
      <c r="C562" s="15"/>
      <c r="D562" s="15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1.25" customHeight="1">
      <c r="A563" s="15"/>
      <c r="B563" s="15"/>
      <c r="C563" s="15"/>
      <c r="D563" s="15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1.25" customHeight="1">
      <c r="A564" s="15"/>
      <c r="B564" s="15"/>
      <c r="C564" s="15"/>
      <c r="D564" s="15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1.25" customHeight="1">
      <c r="A565" s="15"/>
      <c r="B565" s="15"/>
      <c r="C565" s="15"/>
      <c r="D565" s="15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1.25" customHeight="1">
      <c r="A566" s="15"/>
      <c r="B566" s="15"/>
      <c r="C566" s="15"/>
      <c r="D566" s="15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1.25" customHeight="1">
      <c r="A567" s="15"/>
      <c r="B567" s="15"/>
      <c r="C567" s="15"/>
      <c r="D567" s="15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1.25" customHeight="1">
      <c r="A568" s="15"/>
      <c r="B568" s="15"/>
      <c r="C568" s="15"/>
      <c r="D568" s="15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1.25" customHeight="1">
      <c r="A569" s="15"/>
      <c r="B569" s="15"/>
      <c r="C569" s="15"/>
      <c r="D569" s="15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1.25" customHeight="1">
      <c r="A570" s="15"/>
      <c r="B570" s="15"/>
      <c r="C570" s="15"/>
      <c r="D570" s="15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1.25" customHeight="1">
      <c r="A571" s="15"/>
      <c r="B571" s="15"/>
      <c r="C571" s="15"/>
      <c r="D571" s="15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1.25" customHeight="1">
      <c r="A572" s="15"/>
      <c r="B572" s="15"/>
      <c r="C572" s="15"/>
      <c r="D572" s="15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1.25" customHeight="1">
      <c r="A573" s="15"/>
      <c r="B573" s="15"/>
      <c r="C573" s="15"/>
      <c r="D573" s="15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1.25" customHeight="1">
      <c r="A574" s="15"/>
      <c r="B574" s="15"/>
      <c r="C574" s="15"/>
      <c r="D574" s="15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1.25" customHeight="1">
      <c r="A575" s="15"/>
      <c r="B575" s="15"/>
      <c r="C575" s="15"/>
      <c r="D575" s="15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1.25" customHeight="1">
      <c r="A576" s="15"/>
      <c r="B576" s="15"/>
      <c r="C576" s="15"/>
      <c r="D576" s="15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1.25" customHeight="1">
      <c r="A577" s="15"/>
      <c r="B577" s="15"/>
      <c r="C577" s="15"/>
      <c r="D577" s="15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1.25" customHeight="1">
      <c r="A578" s="15"/>
      <c r="B578" s="15"/>
      <c r="C578" s="15"/>
      <c r="D578" s="15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1.25" customHeight="1">
      <c r="A579" s="15"/>
      <c r="B579" s="15"/>
      <c r="C579" s="15"/>
      <c r="D579" s="15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1.25" customHeight="1">
      <c r="A580" s="15"/>
      <c r="B580" s="15"/>
      <c r="C580" s="15"/>
      <c r="D580" s="15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1.25" customHeight="1">
      <c r="A581" s="15"/>
      <c r="B581" s="15"/>
      <c r="C581" s="15"/>
      <c r="D581" s="15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1.25" customHeight="1">
      <c r="A582" s="15"/>
      <c r="B582" s="15"/>
      <c r="C582" s="15"/>
      <c r="D582" s="15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1.25" customHeight="1">
      <c r="A583" s="15"/>
      <c r="B583" s="15"/>
      <c r="C583" s="15"/>
      <c r="D583" s="15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1.25" customHeight="1">
      <c r="A584" s="15"/>
      <c r="B584" s="15"/>
      <c r="C584" s="15"/>
      <c r="D584" s="15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1.25" customHeight="1">
      <c r="A585" s="15"/>
      <c r="B585" s="15"/>
      <c r="C585" s="15"/>
      <c r="D585" s="15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1.25" customHeight="1">
      <c r="A586" s="15"/>
      <c r="B586" s="15"/>
      <c r="C586" s="15"/>
      <c r="D586" s="15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1.25" customHeight="1">
      <c r="A587" s="15"/>
      <c r="B587" s="15"/>
      <c r="C587" s="15"/>
      <c r="D587" s="15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1.25" customHeight="1">
      <c r="A588" s="15"/>
      <c r="B588" s="15"/>
      <c r="C588" s="15"/>
      <c r="D588" s="15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1.25" customHeight="1">
      <c r="A589" s="15"/>
      <c r="B589" s="15"/>
      <c r="C589" s="15"/>
      <c r="D589" s="15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1.25" customHeight="1">
      <c r="A590" s="15"/>
      <c r="B590" s="15"/>
      <c r="C590" s="15"/>
      <c r="D590" s="15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1.25" customHeight="1">
      <c r="A591" s="15"/>
      <c r="B591" s="15"/>
      <c r="C591" s="15"/>
      <c r="D591" s="15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1.25" customHeight="1">
      <c r="A592" s="15"/>
      <c r="B592" s="15"/>
      <c r="C592" s="15"/>
      <c r="D592" s="15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1.25" customHeight="1">
      <c r="A593" s="15"/>
      <c r="B593" s="15"/>
      <c r="C593" s="15"/>
      <c r="D593" s="15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1.25" customHeight="1">
      <c r="A594" s="15"/>
      <c r="B594" s="15"/>
      <c r="C594" s="15"/>
      <c r="D594" s="15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1.25" customHeight="1">
      <c r="A595" s="15"/>
      <c r="B595" s="15"/>
      <c r="C595" s="15"/>
      <c r="D595" s="15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1.25" customHeight="1">
      <c r="A596" s="15"/>
      <c r="B596" s="15"/>
      <c r="C596" s="15"/>
      <c r="D596" s="15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1.25" customHeight="1">
      <c r="A597" s="15"/>
      <c r="B597" s="15"/>
      <c r="C597" s="15"/>
      <c r="D597" s="15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1.25" customHeight="1">
      <c r="A598" s="15"/>
      <c r="B598" s="15"/>
      <c r="C598" s="15"/>
      <c r="D598" s="15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1.25" customHeight="1">
      <c r="A599" s="15"/>
      <c r="B599" s="15"/>
      <c r="C599" s="15"/>
      <c r="D599" s="15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1.25" customHeight="1">
      <c r="A600" s="15"/>
      <c r="B600" s="15"/>
      <c r="C600" s="15"/>
      <c r="D600" s="15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1.25" customHeight="1">
      <c r="A601" s="15"/>
      <c r="B601" s="15"/>
      <c r="C601" s="15"/>
      <c r="D601" s="15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1.25" customHeight="1">
      <c r="A602" s="15"/>
      <c r="B602" s="15"/>
      <c r="C602" s="15"/>
      <c r="D602" s="15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1.25" customHeight="1">
      <c r="A603" s="15"/>
      <c r="B603" s="15"/>
      <c r="C603" s="15"/>
      <c r="D603" s="15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1.25" customHeight="1">
      <c r="A604" s="15"/>
      <c r="B604" s="15"/>
      <c r="C604" s="15"/>
      <c r="D604" s="15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1.25" customHeight="1">
      <c r="A605" s="15"/>
      <c r="B605" s="15"/>
      <c r="C605" s="15"/>
      <c r="D605" s="15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1.25" customHeight="1">
      <c r="A606" s="15"/>
      <c r="B606" s="15"/>
      <c r="C606" s="15"/>
      <c r="D606" s="15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1.25" customHeight="1">
      <c r="A607" s="15"/>
      <c r="B607" s="15"/>
      <c r="C607" s="15"/>
      <c r="D607" s="15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1.25" customHeight="1">
      <c r="A608" s="15"/>
      <c r="B608" s="15"/>
      <c r="C608" s="15"/>
      <c r="D608" s="15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1.25" customHeight="1">
      <c r="A609" s="15"/>
      <c r="B609" s="15"/>
      <c r="C609" s="15"/>
      <c r="D609" s="15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1.25" customHeight="1">
      <c r="A610" s="15"/>
      <c r="B610" s="15"/>
      <c r="C610" s="15"/>
      <c r="D610" s="15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1.25" customHeight="1">
      <c r="A611" s="15"/>
      <c r="B611" s="15"/>
      <c r="C611" s="15"/>
      <c r="D611" s="15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1.25" customHeight="1">
      <c r="A612" s="15"/>
      <c r="B612" s="15"/>
      <c r="C612" s="15"/>
      <c r="D612" s="15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1.25" customHeight="1">
      <c r="A613" s="15"/>
      <c r="B613" s="15"/>
      <c r="C613" s="15"/>
      <c r="D613" s="15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1.25" customHeight="1">
      <c r="A614" s="15"/>
      <c r="B614" s="15"/>
      <c r="C614" s="15"/>
      <c r="D614" s="15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1.25" customHeight="1">
      <c r="A615" s="15"/>
      <c r="B615" s="15"/>
      <c r="C615" s="15"/>
      <c r="D615" s="15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1.25" customHeight="1">
      <c r="A616" s="15"/>
      <c r="B616" s="15"/>
      <c r="C616" s="15"/>
      <c r="D616" s="15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1.25" customHeight="1">
      <c r="A617" s="15"/>
      <c r="B617" s="15"/>
      <c r="C617" s="15"/>
      <c r="D617" s="15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1.25" customHeight="1">
      <c r="A618" s="15"/>
      <c r="B618" s="15"/>
      <c r="C618" s="15"/>
      <c r="D618" s="15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1.25" customHeight="1">
      <c r="A619" s="15"/>
      <c r="B619" s="15"/>
      <c r="C619" s="15"/>
      <c r="D619" s="15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1.25" customHeight="1">
      <c r="A620" s="15"/>
      <c r="B620" s="15"/>
      <c r="C620" s="15"/>
      <c r="D620" s="15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1.25" customHeight="1">
      <c r="A621" s="15"/>
      <c r="B621" s="15"/>
      <c r="C621" s="15"/>
      <c r="D621" s="15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1.25" customHeight="1">
      <c r="A622" s="15"/>
      <c r="B622" s="15"/>
      <c r="C622" s="15"/>
      <c r="D622" s="15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1.25" customHeight="1">
      <c r="A623" s="15"/>
      <c r="B623" s="15"/>
      <c r="C623" s="15"/>
      <c r="D623" s="15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1.25" customHeight="1">
      <c r="A624" s="15"/>
      <c r="B624" s="15"/>
      <c r="C624" s="15"/>
      <c r="D624" s="15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1.25" customHeight="1">
      <c r="A625" s="15"/>
      <c r="B625" s="15"/>
      <c r="C625" s="15"/>
      <c r="D625" s="15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1.25" customHeight="1">
      <c r="A626" s="15"/>
      <c r="B626" s="15"/>
      <c r="C626" s="15"/>
      <c r="D626" s="15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1.25" customHeight="1">
      <c r="A627" s="15"/>
      <c r="B627" s="15"/>
      <c r="C627" s="15"/>
      <c r="D627" s="15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1.25" customHeight="1">
      <c r="A628" s="15"/>
      <c r="B628" s="15"/>
      <c r="C628" s="15"/>
      <c r="D628" s="15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1.25" customHeight="1">
      <c r="A629" s="15"/>
      <c r="B629" s="15"/>
      <c r="C629" s="15"/>
      <c r="D629" s="15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1.25" customHeight="1">
      <c r="A630" s="15"/>
      <c r="B630" s="15"/>
      <c r="C630" s="15"/>
      <c r="D630" s="15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1.25" customHeight="1">
      <c r="A631" s="15"/>
      <c r="B631" s="15"/>
      <c r="C631" s="15"/>
      <c r="D631" s="15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1.25" customHeight="1">
      <c r="A632" s="15"/>
      <c r="B632" s="15"/>
      <c r="C632" s="15"/>
      <c r="D632" s="15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1.25" customHeight="1">
      <c r="A633" s="15"/>
      <c r="B633" s="15"/>
      <c r="C633" s="15"/>
      <c r="D633" s="15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1.25" customHeight="1">
      <c r="A634" s="15"/>
      <c r="B634" s="15"/>
      <c r="C634" s="15"/>
      <c r="D634" s="15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1.25" customHeight="1">
      <c r="A635" s="15"/>
      <c r="B635" s="15"/>
      <c r="C635" s="15"/>
      <c r="D635" s="15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1.25" customHeight="1">
      <c r="A636" s="15"/>
      <c r="B636" s="15"/>
      <c r="C636" s="15"/>
      <c r="D636" s="15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1.25" customHeight="1">
      <c r="A637" s="15"/>
      <c r="B637" s="15"/>
      <c r="C637" s="15"/>
      <c r="D637" s="15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1.25" customHeight="1">
      <c r="A638" s="15"/>
      <c r="B638" s="15"/>
      <c r="C638" s="15"/>
      <c r="D638" s="15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1.25" customHeight="1">
      <c r="A639" s="15"/>
      <c r="B639" s="15"/>
      <c r="C639" s="15"/>
      <c r="D639" s="15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1.25" customHeight="1">
      <c r="A640" s="15"/>
      <c r="B640" s="15"/>
      <c r="C640" s="15"/>
      <c r="D640" s="15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1.25" customHeight="1">
      <c r="A641" s="15"/>
      <c r="B641" s="15"/>
      <c r="C641" s="15"/>
      <c r="D641" s="15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1.25" customHeight="1">
      <c r="A642" s="15"/>
      <c r="B642" s="15"/>
      <c r="C642" s="15"/>
      <c r="D642" s="15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1.25" customHeight="1">
      <c r="A643" s="15"/>
      <c r="B643" s="15"/>
      <c r="C643" s="15"/>
      <c r="D643" s="15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1.25" customHeight="1">
      <c r="A644" s="15"/>
      <c r="B644" s="15"/>
      <c r="C644" s="15"/>
      <c r="D644" s="15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1.25" customHeight="1">
      <c r="A645" s="15"/>
      <c r="B645" s="15"/>
      <c r="C645" s="15"/>
      <c r="D645" s="15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1.25" customHeight="1">
      <c r="A646" s="15"/>
      <c r="B646" s="15"/>
      <c r="C646" s="15"/>
      <c r="D646" s="15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1.25" customHeight="1">
      <c r="A647" s="15"/>
      <c r="B647" s="15"/>
      <c r="C647" s="15"/>
      <c r="D647" s="15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1.25" customHeight="1">
      <c r="A648" s="15"/>
      <c r="B648" s="15"/>
      <c r="C648" s="15"/>
      <c r="D648" s="15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1.25" customHeight="1">
      <c r="A649" s="15"/>
      <c r="B649" s="15"/>
      <c r="C649" s="15"/>
      <c r="D649" s="15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1.25" customHeight="1">
      <c r="A650" s="15"/>
      <c r="B650" s="15"/>
      <c r="C650" s="15"/>
      <c r="D650" s="15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1.25" customHeight="1">
      <c r="A651" s="15"/>
      <c r="B651" s="15"/>
      <c r="C651" s="15"/>
      <c r="D651" s="15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1.25" customHeight="1">
      <c r="A652" s="15"/>
      <c r="B652" s="15"/>
      <c r="C652" s="15"/>
      <c r="D652" s="15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1.25" customHeight="1">
      <c r="A653" s="15"/>
      <c r="B653" s="15"/>
      <c r="C653" s="15"/>
      <c r="D653" s="15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1.25" customHeight="1">
      <c r="A654" s="15"/>
      <c r="B654" s="15"/>
      <c r="C654" s="15"/>
      <c r="D654" s="15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1.25" customHeight="1">
      <c r="A655" s="15"/>
      <c r="B655" s="15"/>
      <c r="C655" s="15"/>
      <c r="D655" s="15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1.25" customHeight="1">
      <c r="A656" s="15"/>
      <c r="B656" s="15"/>
      <c r="C656" s="15"/>
      <c r="D656" s="15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1.25" customHeight="1">
      <c r="A657" s="15"/>
      <c r="B657" s="15"/>
      <c r="C657" s="15"/>
      <c r="D657" s="15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1.25" customHeight="1">
      <c r="A658" s="15"/>
      <c r="B658" s="15"/>
      <c r="C658" s="15"/>
      <c r="D658" s="15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1.25" customHeight="1">
      <c r="A659" s="15"/>
      <c r="B659" s="15"/>
      <c r="C659" s="15"/>
      <c r="D659" s="15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1.25" customHeight="1">
      <c r="A660" s="15"/>
      <c r="B660" s="15"/>
      <c r="C660" s="15"/>
      <c r="D660" s="15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1.25" customHeight="1">
      <c r="A661" s="15"/>
      <c r="B661" s="15"/>
      <c r="C661" s="15"/>
      <c r="D661" s="15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1.25" customHeight="1">
      <c r="A662" s="15"/>
      <c r="B662" s="15"/>
      <c r="C662" s="15"/>
      <c r="D662" s="15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1.25" customHeight="1">
      <c r="A663" s="15"/>
      <c r="B663" s="15"/>
      <c r="C663" s="15"/>
      <c r="D663" s="15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1.25" customHeight="1">
      <c r="A664" s="15"/>
      <c r="B664" s="15"/>
      <c r="C664" s="15"/>
      <c r="D664" s="15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1.25" customHeight="1">
      <c r="A665" s="15"/>
      <c r="B665" s="15"/>
      <c r="C665" s="15"/>
      <c r="D665" s="15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1.25" customHeight="1">
      <c r="A666" s="15"/>
      <c r="B666" s="15"/>
      <c r="C666" s="15"/>
      <c r="D666" s="15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1.25" customHeight="1">
      <c r="A667" s="15"/>
      <c r="B667" s="15"/>
      <c r="C667" s="15"/>
      <c r="D667" s="15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1.25" customHeight="1">
      <c r="A668" s="15"/>
      <c r="B668" s="15"/>
      <c r="C668" s="15"/>
      <c r="D668" s="15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1.25" customHeight="1">
      <c r="A669" s="15"/>
      <c r="B669" s="15"/>
      <c r="C669" s="15"/>
      <c r="D669" s="15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1.25" customHeight="1">
      <c r="A670" s="15"/>
      <c r="B670" s="15"/>
      <c r="C670" s="15"/>
      <c r="D670" s="15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1.25" customHeight="1">
      <c r="A671" s="15"/>
      <c r="B671" s="15"/>
      <c r="C671" s="15"/>
      <c r="D671" s="15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1.25" customHeight="1">
      <c r="A672" s="15"/>
      <c r="B672" s="15"/>
      <c r="C672" s="15"/>
      <c r="D672" s="15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1.25" customHeight="1">
      <c r="A673" s="15"/>
      <c r="B673" s="15"/>
      <c r="C673" s="15"/>
      <c r="D673" s="15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1.25" customHeight="1">
      <c r="A674" s="15"/>
      <c r="B674" s="15"/>
      <c r="C674" s="15"/>
      <c r="D674" s="15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1.25" customHeight="1">
      <c r="A675" s="15"/>
      <c r="B675" s="15"/>
      <c r="C675" s="15"/>
      <c r="D675" s="15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1.25" customHeight="1">
      <c r="A676" s="15"/>
      <c r="B676" s="15"/>
      <c r="C676" s="15"/>
      <c r="D676" s="15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1.25" customHeight="1">
      <c r="A677" s="15"/>
      <c r="B677" s="15"/>
      <c r="C677" s="15"/>
      <c r="D677" s="15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1.25" customHeight="1">
      <c r="A678" s="15"/>
      <c r="B678" s="15"/>
      <c r="C678" s="15"/>
      <c r="D678" s="15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1.25" customHeight="1">
      <c r="A679" s="15"/>
      <c r="B679" s="15"/>
      <c r="C679" s="15"/>
      <c r="D679" s="15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1.25" customHeight="1">
      <c r="A680" s="15"/>
      <c r="B680" s="15"/>
      <c r="C680" s="15"/>
      <c r="D680" s="15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1.25" customHeight="1">
      <c r="A681" s="15"/>
      <c r="B681" s="15"/>
      <c r="C681" s="15"/>
      <c r="D681" s="15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1.25" customHeight="1">
      <c r="A682" s="15"/>
      <c r="B682" s="15"/>
      <c r="C682" s="15"/>
      <c r="D682" s="15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1.25" customHeight="1">
      <c r="A683" s="15"/>
      <c r="B683" s="15"/>
      <c r="C683" s="15"/>
      <c r="D683" s="15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1.25" customHeight="1">
      <c r="A684" s="15"/>
      <c r="B684" s="15"/>
      <c r="C684" s="15"/>
      <c r="D684" s="15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1.25" customHeight="1">
      <c r="A685" s="15"/>
      <c r="B685" s="15"/>
      <c r="C685" s="15"/>
      <c r="D685" s="15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1.25" customHeight="1">
      <c r="A686" s="15"/>
      <c r="B686" s="15"/>
      <c r="C686" s="15"/>
      <c r="D686" s="15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1.25" customHeight="1">
      <c r="A687" s="15"/>
      <c r="B687" s="15"/>
      <c r="C687" s="15"/>
      <c r="D687" s="15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1.25" customHeight="1">
      <c r="A688" s="15"/>
      <c r="B688" s="15"/>
      <c r="C688" s="15"/>
      <c r="D688" s="15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1.25" customHeight="1">
      <c r="A689" s="15"/>
      <c r="B689" s="15"/>
      <c r="C689" s="15"/>
      <c r="D689" s="15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1.25" customHeight="1">
      <c r="A690" s="15"/>
      <c r="B690" s="15"/>
      <c r="C690" s="15"/>
      <c r="D690" s="15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1.25" customHeight="1">
      <c r="A691" s="15"/>
      <c r="B691" s="15"/>
      <c r="C691" s="15"/>
      <c r="D691" s="15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1.25" customHeight="1">
      <c r="A692" s="15"/>
      <c r="B692" s="15"/>
      <c r="C692" s="15"/>
      <c r="D692" s="15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1.25" customHeight="1">
      <c r="A693" s="15"/>
      <c r="B693" s="15"/>
      <c r="C693" s="15"/>
      <c r="D693" s="15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1.25" customHeight="1">
      <c r="A694" s="15"/>
      <c r="B694" s="15"/>
      <c r="C694" s="15"/>
      <c r="D694" s="15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1.25" customHeight="1">
      <c r="A695" s="15"/>
      <c r="B695" s="15"/>
      <c r="C695" s="15"/>
      <c r="D695" s="15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1.25" customHeight="1">
      <c r="A696" s="15"/>
      <c r="B696" s="15"/>
      <c r="C696" s="15"/>
      <c r="D696" s="15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1.25" customHeight="1">
      <c r="A697" s="15"/>
      <c r="B697" s="15"/>
      <c r="C697" s="15"/>
      <c r="D697" s="15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1.25" customHeight="1">
      <c r="A698" s="15"/>
      <c r="B698" s="15"/>
      <c r="C698" s="15"/>
      <c r="D698" s="15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1.25" customHeight="1">
      <c r="A699" s="15"/>
      <c r="B699" s="15"/>
      <c r="C699" s="15"/>
      <c r="D699" s="15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1.25" customHeight="1">
      <c r="A700" s="15"/>
      <c r="B700" s="15"/>
      <c r="C700" s="15"/>
      <c r="D700" s="15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1.25" customHeight="1">
      <c r="A701" s="15"/>
      <c r="B701" s="15"/>
      <c r="C701" s="15"/>
      <c r="D701" s="15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1.25" customHeight="1">
      <c r="A702" s="15"/>
      <c r="B702" s="15"/>
      <c r="C702" s="15"/>
      <c r="D702" s="15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1.25" customHeight="1">
      <c r="A703" s="15"/>
      <c r="B703" s="15"/>
      <c r="C703" s="15"/>
      <c r="D703" s="15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1.25" customHeight="1">
      <c r="A704" s="15"/>
      <c r="B704" s="15"/>
      <c r="C704" s="15"/>
      <c r="D704" s="15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1.25" customHeight="1">
      <c r="A705" s="15"/>
      <c r="B705" s="15"/>
      <c r="C705" s="15"/>
      <c r="D705" s="15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1.25" customHeight="1">
      <c r="A706" s="15"/>
      <c r="B706" s="15"/>
      <c r="C706" s="15"/>
      <c r="D706" s="15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1.25" customHeight="1">
      <c r="A707" s="15"/>
      <c r="B707" s="15"/>
      <c r="C707" s="15"/>
      <c r="D707" s="15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1.25" customHeight="1">
      <c r="A708" s="15"/>
      <c r="B708" s="15"/>
      <c r="C708" s="15"/>
      <c r="D708" s="15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1.25" customHeight="1">
      <c r="A709" s="15"/>
      <c r="B709" s="15"/>
      <c r="C709" s="15"/>
      <c r="D709" s="15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1.25" customHeight="1">
      <c r="A710" s="15"/>
      <c r="B710" s="15"/>
      <c r="C710" s="15"/>
      <c r="D710" s="15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1.25" customHeight="1">
      <c r="A711" s="15"/>
      <c r="B711" s="15"/>
      <c r="C711" s="15"/>
      <c r="D711" s="15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1.25" customHeight="1">
      <c r="A712" s="15"/>
      <c r="B712" s="15"/>
      <c r="C712" s="15"/>
      <c r="D712" s="15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1.25" customHeight="1">
      <c r="A713" s="15"/>
      <c r="B713" s="15"/>
      <c r="C713" s="15"/>
      <c r="D713" s="15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1.25" customHeight="1">
      <c r="A714" s="15"/>
      <c r="B714" s="15"/>
      <c r="C714" s="15"/>
      <c r="D714" s="15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1.25" customHeight="1">
      <c r="A715" s="15"/>
      <c r="B715" s="15"/>
      <c r="C715" s="15"/>
      <c r="D715" s="15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1.25" customHeight="1">
      <c r="A716" s="15"/>
      <c r="B716" s="15"/>
      <c r="C716" s="15"/>
      <c r="D716" s="15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1.25" customHeight="1">
      <c r="A717" s="15"/>
      <c r="B717" s="15"/>
      <c r="C717" s="15"/>
      <c r="D717" s="15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1.25" customHeight="1">
      <c r="A718" s="15"/>
      <c r="B718" s="15"/>
      <c r="C718" s="15"/>
      <c r="D718" s="15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1.25" customHeight="1">
      <c r="A719" s="15"/>
      <c r="B719" s="15"/>
      <c r="C719" s="15"/>
      <c r="D719" s="15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1.25" customHeight="1">
      <c r="A720" s="15"/>
      <c r="B720" s="15"/>
      <c r="C720" s="15"/>
      <c r="D720" s="15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1.25" customHeight="1">
      <c r="A721" s="15"/>
      <c r="B721" s="15"/>
      <c r="C721" s="15"/>
      <c r="D721" s="15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1.25" customHeight="1">
      <c r="A722" s="15"/>
      <c r="B722" s="15"/>
      <c r="C722" s="15"/>
      <c r="D722" s="15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1.25" customHeight="1">
      <c r="A723" s="15"/>
      <c r="B723" s="15"/>
      <c r="C723" s="15"/>
      <c r="D723" s="15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1.25" customHeight="1">
      <c r="A724" s="15"/>
      <c r="B724" s="15"/>
      <c r="C724" s="15"/>
      <c r="D724" s="15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1.25" customHeight="1">
      <c r="A725" s="15"/>
      <c r="B725" s="15"/>
      <c r="C725" s="15"/>
      <c r="D725" s="15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1.25" customHeight="1">
      <c r="A726" s="15"/>
      <c r="B726" s="15"/>
      <c r="C726" s="15"/>
      <c r="D726" s="15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1.25" customHeight="1">
      <c r="A727" s="15"/>
      <c r="B727" s="15"/>
      <c r="C727" s="15"/>
      <c r="D727" s="15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1.25" customHeight="1">
      <c r="A728" s="15"/>
      <c r="B728" s="15"/>
      <c r="C728" s="15"/>
      <c r="D728" s="15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1.25" customHeight="1">
      <c r="A729" s="15"/>
      <c r="B729" s="15"/>
      <c r="C729" s="15"/>
      <c r="D729" s="15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1.25" customHeight="1">
      <c r="A730" s="15"/>
      <c r="B730" s="15"/>
      <c r="C730" s="15"/>
      <c r="D730" s="15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1.25" customHeight="1">
      <c r="A731" s="15"/>
      <c r="B731" s="15"/>
      <c r="C731" s="15"/>
      <c r="D731" s="15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1.25" customHeight="1">
      <c r="A732" s="15"/>
      <c r="B732" s="15"/>
      <c r="C732" s="15"/>
      <c r="D732" s="15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1.25" customHeight="1">
      <c r="A733" s="15"/>
      <c r="B733" s="15"/>
      <c r="C733" s="15"/>
      <c r="D733" s="15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1.25" customHeight="1">
      <c r="A734" s="15"/>
      <c r="B734" s="15"/>
      <c r="C734" s="15"/>
      <c r="D734" s="15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1.25" customHeight="1">
      <c r="A735" s="15"/>
      <c r="B735" s="15"/>
      <c r="C735" s="15"/>
      <c r="D735" s="15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1.25" customHeight="1">
      <c r="A736" s="15"/>
      <c r="B736" s="15"/>
      <c r="C736" s="15"/>
      <c r="D736" s="15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1.25" customHeight="1">
      <c r="A737" s="15"/>
      <c r="B737" s="15"/>
      <c r="C737" s="15"/>
      <c r="D737" s="15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1.25" customHeight="1">
      <c r="A738" s="15"/>
      <c r="B738" s="15"/>
      <c r="C738" s="15"/>
      <c r="D738" s="15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1.25" customHeight="1">
      <c r="A739" s="15"/>
      <c r="B739" s="15"/>
      <c r="C739" s="15"/>
      <c r="D739" s="15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1.25" customHeight="1">
      <c r="A740" s="15"/>
      <c r="B740" s="15"/>
      <c r="C740" s="15"/>
      <c r="D740" s="15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1.25" customHeight="1">
      <c r="A741" s="15"/>
      <c r="B741" s="15"/>
      <c r="C741" s="15"/>
      <c r="D741" s="15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1.25" customHeight="1">
      <c r="A742" s="15"/>
      <c r="B742" s="15"/>
      <c r="C742" s="15"/>
      <c r="D742" s="15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1.25" customHeight="1">
      <c r="A743" s="15"/>
      <c r="B743" s="15"/>
      <c r="C743" s="15"/>
      <c r="D743" s="15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1.25" customHeight="1">
      <c r="A744" s="15"/>
      <c r="B744" s="15"/>
      <c r="C744" s="15"/>
      <c r="D744" s="15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1.25" customHeight="1">
      <c r="A745" s="15"/>
      <c r="B745" s="15"/>
      <c r="C745" s="15"/>
      <c r="D745" s="15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1.25" customHeight="1">
      <c r="A746" s="15"/>
      <c r="B746" s="15"/>
      <c r="C746" s="15"/>
      <c r="D746" s="15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1.25" customHeight="1">
      <c r="A747" s="15"/>
      <c r="B747" s="15"/>
      <c r="C747" s="15"/>
      <c r="D747" s="15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1.25" customHeight="1">
      <c r="A748" s="15"/>
      <c r="B748" s="15"/>
      <c r="C748" s="15"/>
      <c r="D748" s="15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1.25" customHeight="1">
      <c r="A749" s="15"/>
      <c r="B749" s="15"/>
      <c r="C749" s="15"/>
      <c r="D749" s="15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1.25" customHeight="1">
      <c r="A750" s="15"/>
      <c r="B750" s="15"/>
      <c r="C750" s="15"/>
      <c r="D750" s="15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1.25" customHeight="1">
      <c r="A751" s="15"/>
      <c r="B751" s="15"/>
      <c r="C751" s="15"/>
      <c r="D751" s="15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1.25" customHeight="1">
      <c r="A752" s="15"/>
      <c r="B752" s="15"/>
      <c r="C752" s="15"/>
      <c r="D752" s="15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1.25" customHeight="1">
      <c r="A753" s="15"/>
      <c r="B753" s="15"/>
      <c r="C753" s="15"/>
      <c r="D753" s="15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1.25" customHeight="1">
      <c r="A754" s="15"/>
      <c r="B754" s="15"/>
      <c r="C754" s="15"/>
      <c r="D754" s="15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1.25" customHeight="1">
      <c r="A755" s="15"/>
      <c r="B755" s="15"/>
      <c r="C755" s="15"/>
      <c r="D755" s="15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1.25" customHeight="1">
      <c r="A756" s="15"/>
      <c r="B756" s="15"/>
      <c r="C756" s="15"/>
      <c r="D756" s="15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1.25" customHeight="1">
      <c r="A757" s="15"/>
      <c r="B757" s="15"/>
      <c r="C757" s="15"/>
      <c r="D757" s="15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1.25" customHeight="1">
      <c r="A758" s="15"/>
      <c r="B758" s="15"/>
      <c r="C758" s="15"/>
      <c r="D758" s="15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1.25" customHeight="1">
      <c r="A759" s="15"/>
      <c r="B759" s="15"/>
      <c r="C759" s="15"/>
      <c r="D759" s="15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1.25" customHeight="1">
      <c r="A760" s="15"/>
      <c r="B760" s="15"/>
      <c r="C760" s="15"/>
      <c r="D760" s="15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1.25" customHeight="1">
      <c r="A761" s="15"/>
      <c r="B761" s="15"/>
      <c r="C761" s="15"/>
      <c r="D761" s="15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1.25" customHeight="1">
      <c r="A762" s="15"/>
      <c r="B762" s="15"/>
      <c r="C762" s="15"/>
      <c r="D762" s="15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1.25" customHeight="1">
      <c r="A763" s="15"/>
      <c r="B763" s="15"/>
      <c r="C763" s="15"/>
      <c r="D763" s="15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1.25" customHeight="1">
      <c r="A764" s="15"/>
      <c r="B764" s="15"/>
      <c r="C764" s="15"/>
      <c r="D764" s="15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1.25" customHeight="1">
      <c r="A765" s="15"/>
      <c r="B765" s="15"/>
      <c r="C765" s="15"/>
      <c r="D765" s="15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1.25" customHeight="1">
      <c r="A766" s="15"/>
      <c r="B766" s="15"/>
      <c r="C766" s="15"/>
      <c r="D766" s="15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1.25" customHeight="1">
      <c r="A767" s="15"/>
      <c r="B767" s="15"/>
      <c r="C767" s="15"/>
      <c r="D767" s="15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1.25" customHeight="1">
      <c r="A768" s="15"/>
      <c r="B768" s="15"/>
      <c r="C768" s="15"/>
      <c r="D768" s="15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1.25" customHeight="1">
      <c r="A769" s="15"/>
      <c r="B769" s="15"/>
      <c r="C769" s="15"/>
      <c r="D769" s="15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1.25" customHeight="1">
      <c r="A770" s="15"/>
      <c r="B770" s="15"/>
      <c r="C770" s="15"/>
      <c r="D770" s="15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1.25" customHeight="1">
      <c r="A771" s="15"/>
      <c r="B771" s="15"/>
      <c r="C771" s="15"/>
      <c r="D771" s="15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1.25" customHeight="1">
      <c r="A772" s="15"/>
      <c r="B772" s="15"/>
      <c r="C772" s="15"/>
      <c r="D772" s="15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1.25" customHeight="1">
      <c r="A773" s="15"/>
      <c r="B773" s="15"/>
      <c r="C773" s="15"/>
      <c r="D773" s="15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1.25" customHeight="1">
      <c r="A774" s="15"/>
      <c r="B774" s="15"/>
      <c r="C774" s="15"/>
      <c r="D774" s="15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1.25" customHeight="1">
      <c r="A775" s="15"/>
      <c r="B775" s="15"/>
      <c r="C775" s="15"/>
      <c r="D775" s="15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1.25" customHeight="1">
      <c r="A776" s="15"/>
      <c r="B776" s="15"/>
      <c r="C776" s="15"/>
      <c r="D776" s="15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1.25" customHeight="1">
      <c r="A777" s="15"/>
      <c r="B777" s="15"/>
      <c r="C777" s="15"/>
      <c r="D777" s="15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1.25" customHeight="1">
      <c r="A778" s="15"/>
      <c r="B778" s="15"/>
      <c r="C778" s="15"/>
      <c r="D778" s="15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1.25" customHeight="1">
      <c r="A779" s="15"/>
      <c r="B779" s="15"/>
      <c r="C779" s="15"/>
      <c r="D779" s="15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1.25" customHeight="1">
      <c r="A780" s="15"/>
      <c r="B780" s="15"/>
      <c r="C780" s="15"/>
      <c r="D780" s="15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1.25" customHeight="1">
      <c r="A781" s="15"/>
      <c r="B781" s="15"/>
      <c r="C781" s="15"/>
      <c r="D781" s="15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1.25" customHeight="1">
      <c r="A782" s="15"/>
      <c r="B782" s="15"/>
      <c r="C782" s="15"/>
      <c r="D782" s="15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1.25" customHeight="1">
      <c r="A783" s="15"/>
      <c r="B783" s="15"/>
      <c r="C783" s="15"/>
      <c r="D783" s="15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1.25" customHeight="1">
      <c r="A784" s="15"/>
      <c r="B784" s="15"/>
      <c r="C784" s="15"/>
      <c r="D784" s="15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1.25" customHeight="1">
      <c r="A785" s="15"/>
      <c r="B785" s="15"/>
      <c r="C785" s="15"/>
      <c r="D785" s="15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1.25" customHeight="1">
      <c r="A786" s="15"/>
      <c r="B786" s="15"/>
      <c r="C786" s="15"/>
      <c r="D786" s="15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1.25" customHeight="1">
      <c r="A787" s="15"/>
      <c r="B787" s="15"/>
      <c r="C787" s="15"/>
      <c r="D787" s="15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1.25" customHeight="1">
      <c r="A788" s="15"/>
      <c r="B788" s="15"/>
      <c r="C788" s="15"/>
      <c r="D788" s="15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1.25" customHeight="1">
      <c r="A789" s="15"/>
      <c r="B789" s="15"/>
      <c r="C789" s="15"/>
      <c r="D789" s="15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1.25" customHeight="1">
      <c r="A790" s="15"/>
      <c r="B790" s="15"/>
      <c r="C790" s="15"/>
      <c r="D790" s="15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1.25" customHeight="1">
      <c r="A791" s="15"/>
      <c r="B791" s="15"/>
      <c r="C791" s="15"/>
      <c r="D791" s="15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1.25" customHeight="1">
      <c r="A792" s="15"/>
      <c r="B792" s="15"/>
      <c r="C792" s="15"/>
      <c r="D792" s="15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1.25" customHeight="1">
      <c r="A793" s="15"/>
      <c r="B793" s="15"/>
      <c r="C793" s="15"/>
      <c r="D793" s="15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1.25" customHeight="1">
      <c r="A794" s="15"/>
      <c r="B794" s="15"/>
      <c r="C794" s="15"/>
      <c r="D794" s="15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1.25" customHeight="1">
      <c r="A795" s="15"/>
      <c r="B795" s="15"/>
      <c r="C795" s="15"/>
      <c r="D795" s="15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1.25" customHeight="1">
      <c r="A796" s="15"/>
      <c r="B796" s="15"/>
      <c r="C796" s="15"/>
      <c r="D796" s="15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1.25" customHeight="1">
      <c r="A797" s="15"/>
      <c r="B797" s="15"/>
      <c r="C797" s="15"/>
      <c r="D797" s="15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1.25" customHeight="1">
      <c r="A798" s="15"/>
      <c r="B798" s="15"/>
      <c r="C798" s="15"/>
      <c r="D798" s="15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1.25" customHeight="1">
      <c r="A799" s="15"/>
      <c r="B799" s="15"/>
      <c r="C799" s="15"/>
      <c r="D799" s="15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1.25" customHeight="1">
      <c r="A800" s="15"/>
      <c r="B800" s="15"/>
      <c r="C800" s="15"/>
      <c r="D800" s="15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1.25" customHeight="1">
      <c r="A801" s="15"/>
      <c r="B801" s="15"/>
      <c r="C801" s="15"/>
      <c r="D801" s="15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1.25" customHeight="1">
      <c r="A802" s="15"/>
      <c r="B802" s="15"/>
      <c r="C802" s="15"/>
      <c r="D802" s="15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1.25" customHeight="1">
      <c r="A803" s="15"/>
      <c r="B803" s="15"/>
      <c r="C803" s="15"/>
      <c r="D803" s="15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1.25" customHeight="1">
      <c r="A804" s="15"/>
      <c r="B804" s="15"/>
      <c r="C804" s="15"/>
      <c r="D804" s="15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1.25" customHeight="1">
      <c r="A805" s="15"/>
      <c r="B805" s="15"/>
      <c r="C805" s="15"/>
      <c r="D805" s="15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1.25" customHeight="1">
      <c r="A806" s="15"/>
      <c r="B806" s="15"/>
      <c r="C806" s="15"/>
      <c r="D806" s="15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1.25" customHeight="1">
      <c r="A807" s="15"/>
      <c r="B807" s="15"/>
      <c r="C807" s="15"/>
      <c r="D807" s="15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1.25" customHeight="1">
      <c r="A808" s="15"/>
      <c r="B808" s="15"/>
      <c r="C808" s="15"/>
      <c r="D808" s="15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1.25" customHeight="1">
      <c r="A809" s="15"/>
      <c r="B809" s="15"/>
      <c r="C809" s="15"/>
      <c r="D809" s="15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1.25" customHeight="1">
      <c r="A810" s="15"/>
      <c r="B810" s="15"/>
      <c r="C810" s="15"/>
      <c r="D810" s="15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1.25" customHeight="1">
      <c r="A811" s="15"/>
      <c r="B811" s="15"/>
      <c r="C811" s="15"/>
      <c r="D811" s="15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1.25" customHeight="1">
      <c r="A812" s="15"/>
      <c r="B812" s="15"/>
      <c r="C812" s="15"/>
      <c r="D812" s="15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1.25" customHeight="1">
      <c r="A813" s="15"/>
      <c r="B813" s="15"/>
      <c r="C813" s="15"/>
      <c r="D813" s="15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1.25" customHeight="1">
      <c r="A814" s="15"/>
      <c r="B814" s="15"/>
      <c r="C814" s="15"/>
      <c r="D814" s="15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1.25" customHeight="1">
      <c r="A815" s="15"/>
      <c r="B815" s="15"/>
      <c r="C815" s="15"/>
      <c r="D815" s="15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1.25" customHeight="1">
      <c r="A816" s="15"/>
      <c r="B816" s="15"/>
      <c r="C816" s="15"/>
      <c r="D816" s="15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1.25" customHeight="1">
      <c r="A817" s="15"/>
      <c r="B817" s="15"/>
      <c r="C817" s="15"/>
      <c r="D817" s="15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1.25" customHeight="1">
      <c r="A818" s="15"/>
      <c r="B818" s="15"/>
      <c r="C818" s="15"/>
      <c r="D818" s="15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1.25" customHeight="1">
      <c r="A819" s="15"/>
      <c r="B819" s="15"/>
      <c r="C819" s="15"/>
      <c r="D819" s="15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1.25" customHeight="1">
      <c r="A820" s="15"/>
      <c r="B820" s="15"/>
      <c r="C820" s="15"/>
      <c r="D820" s="15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1.25" customHeight="1">
      <c r="A821" s="15"/>
      <c r="B821" s="15"/>
      <c r="C821" s="15"/>
      <c r="D821" s="15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1.25" customHeight="1">
      <c r="A822" s="15"/>
      <c r="B822" s="15"/>
      <c r="C822" s="15"/>
      <c r="D822" s="15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1.25" customHeight="1">
      <c r="A823" s="15"/>
      <c r="B823" s="15"/>
      <c r="C823" s="15"/>
      <c r="D823" s="15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1.25" customHeight="1">
      <c r="A824" s="15"/>
      <c r="B824" s="15"/>
      <c r="C824" s="15"/>
      <c r="D824" s="15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1.25" customHeight="1">
      <c r="A825" s="15"/>
      <c r="B825" s="15"/>
      <c r="C825" s="15"/>
      <c r="D825" s="15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1.25" customHeight="1">
      <c r="A826" s="15"/>
      <c r="B826" s="15"/>
      <c r="C826" s="15"/>
      <c r="D826" s="15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1.25" customHeight="1">
      <c r="A827" s="15"/>
      <c r="B827" s="15"/>
      <c r="C827" s="15"/>
      <c r="D827" s="15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1.25" customHeight="1">
      <c r="A828" s="15"/>
      <c r="B828" s="15"/>
      <c r="C828" s="15"/>
      <c r="D828" s="15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1.25" customHeight="1">
      <c r="A829" s="15"/>
      <c r="B829" s="15"/>
      <c r="C829" s="15"/>
      <c r="D829" s="15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1.25" customHeight="1">
      <c r="A830" s="15"/>
      <c r="B830" s="15"/>
      <c r="C830" s="15"/>
      <c r="D830" s="15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1.25" customHeight="1">
      <c r="A831" s="15"/>
      <c r="B831" s="15"/>
      <c r="C831" s="15"/>
      <c r="D831" s="15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1.25" customHeight="1">
      <c r="A832" s="15"/>
      <c r="B832" s="15"/>
      <c r="C832" s="15"/>
      <c r="D832" s="15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1.25" customHeight="1">
      <c r="A833" s="15"/>
      <c r="B833" s="15"/>
      <c r="C833" s="15"/>
      <c r="D833" s="15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1.25" customHeight="1">
      <c r="A834" s="15"/>
      <c r="B834" s="15"/>
      <c r="C834" s="15"/>
      <c r="D834" s="15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1.25" customHeight="1">
      <c r="A835" s="15"/>
      <c r="B835" s="15"/>
      <c r="C835" s="15"/>
      <c r="D835" s="15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1.25" customHeight="1">
      <c r="A836" s="15"/>
      <c r="B836" s="15"/>
      <c r="C836" s="15"/>
      <c r="D836" s="15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1.25" customHeight="1">
      <c r="A837" s="15"/>
      <c r="B837" s="15"/>
      <c r="C837" s="15"/>
      <c r="D837" s="15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1.25" customHeight="1">
      <c r="A838" s="15"/>
      <c r="B838" s="15"/>
      <c r="C838" s="15"/>
      <c r="D838" s="15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1.25" customHeight="1">
      <c r="A839" s="15"/>
      <c r="B839" s="15"/>
      <c r="C839" s="15"/>
      <c r="D839" s="15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1.25" customHeight="1">
      <c r="A840" s="15"/>
      <c r="B840" s="15"/>
      <c r="C840" s="15"/>
      <c r="D840" s="15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1.25" customHeight="1">
      <c r="A841" s="15"/>
      <c r="B841" s="15"/>
      <c r="C841" s="15"/>
      <c r="D841" s="15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1.25" customHeight="1">
      <c r="A842" s="15"/>
      <c r="B842" s="15"/>
      <c r="C842" s="15"/>
      <c r="D842" s="15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1.25" customHeight="1">
      <c r="A843" s="15"/>
      <c r="B843" s="15"/>
      <c r="C843" s="15"/>
      <c r="D843" s="15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1.25" customHeight="1">
      <c r="A844" s="15"/>
      <c r="B844" s="15"/>
      <c r="C844" s="15"/>
      <c r="D844" s="15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1.25" customHeight="1">
      <c r="A845" s="15"/>
      <c r="B845" s="15"/>
      <c r="C845" s="15"/>
      <c r="D845" s="15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1.25" customHeight="1">
      <c r="A846" s="15"/>
      <c r="B846" s="15"/>
      <c r="C846" s="15"/>
      <c r="D846" s="15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1.25" customHeight="1">
      <c r="A847" s="15"/>
      <c r="B847" s="15"/>
      <c r="C847" s="15"/>
      <c r="D847" s="15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1.25" customHeight="1">
      <c r="A848" s="15"/>
      <c r="B848" s="15"/>
      <c r="C848" s="15"/>
      <c r="D848" s="15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1.25" customHeight="1">
      <c r="A849" s="15"/>
      <c r="B849" s="15"/>
      <c r="C849" s="15"/>
      <c r="D849" s="15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1.25" customHeight="1">
      <c r="A850" s="15"/>
      <c r="B850" s="15"/>
      <c r="C850" s="15"/>
      <c r="D850" s="15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1.25" customHeight="1">
      <c r="A851" s="15"/>
      <c r="B851" s="15"/>
      <c r="C851" s="15"/>
      <c r="D851" s="15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1.25" customHeight="1">
      <c r="A852" s="15"/>
      <c r="B852" s="15"/>
      <c r="C852" s="15"/>
      <c r="D852" s="15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1.25" customHeight="1">
      <c r="A853" s="15"/>
      <c r="B853" s="15"/>
      <c r="C853" s="15"/>
      <c r="D853" s="15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1.25" customHeight="1">
      <c r="A854" s="15"/>
      <c r="B854" s="15"/>
      <c r="C854" s="15"/>
      <c r="D854" s="15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1.25" customHeight="1">
      <c r="A855" s="15"/>
      <c r="B855" s="15"/>
      <c r="C855" s="15"/>
      <c r="D855" s="15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1.25" customHeight="1">
      <c r="A856" s="15"/>
      <c r="B856" s="15"/>
      <c r="C856" s="15"/>
      <c r="D856" s="15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1.25" customHeight="1">
      <c r="A857" s="15"/>
      <c r="B857" s="15"/>
      <c r="C857" s="15"/>
      <c r="D857" s="15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1.25" customHeight="1">
      <c r="A858" s="15"/>
      <c r="B858" s="15"/>
      <c r="C858" s="15"/>
      <c r="D858" s="15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1.25" customHeight="1">
      <c r="A859" s="15"/>
      <c r="B859" s="15"/>
      <c r="C859" s="15"/>
      <c r="D859" s="15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1.25" customHeight="1">
      <c r="A860" s="15"/>
      <c r="B860" s="15"/>
      <c r="C860" s="15"/>
      <c r="D860" s="15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1.25" customHeight="1">
      <c r="A861" s="15"/>
      <c r="B861" s="15"/>
      <c r="C861" s="15"/>
      <c r="D861" s="15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1.25" customHeight="1">
      <c r="A862" s="15"/>
      <c r="B862" s="15"/>
      <c r="C862" s="15"/>
      <c r="D862" s="15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1.25" customHeight="1">
      <c r="A863" s="15"/>
      <c r="B863" s="15"/>
      <c r="C863" s="15"/>
      <c r="D863" s="15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1.25" customHeight="1">
      <c r="A864" s="15"/>
      <c r="B864" s="15"/>
      <c r="C864" s="15"/>
      <c r="D864" s="15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1.25" customHeight="1">
      <c r="A865" s="15"/>
      <c r="B865" s="15"/>
      <c r="C865" s="15"/>
      <c r="D865" s="15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1.25" customHeight="1">
      <c r="A866" s="15"/>
      <c r="B866" s="15"/>
      <c r="C866" s="15"/>
      <c r="D866" s="15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1.25" customHeight="1">
      <c r="A867" s="15"/>
      <c r="B867" s="15"/>
      <c r="C867" s="15"/>
      <c r="D867" s="15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1.25" customHeight="1">
      <c r="A868" s="15"/>
      <c r="B868" s="15"/>
      <c r="C868" s="15"/>
      <c r="D868" s="15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1.25" customHeight="1">
      <c r="A869" s="15"/>
      <c r="B869" s="15"/>
      <c r="C869" s="15"/>
      <c r="D869" s="15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1.25" customHeight="1">
      <c r="A870" s="15"/>
      <c r="B870" s="15"/>
      <c r="C870" s="15"/>
      <c r="D870" s="15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1.25" customHeight="1">
      <c r="A871" s="15"/>
      <c r="B871" s="15"/>
      <c r="C871" s="15"/>
      <c r="D871" s="15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1.25" customHeight="1">
      <c r="A872" s="15"/>
      <c r="B872" s="15"/>
      <c r="C872" s="15"/>
      <c r="D872" s="15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1.25" customHeight="1">
      <c r="A873" s="15"/>
      <c r="B873" s="15"/>
      <c r="C873" s="15"/>
      <c r="D873" s="15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1.25" customHeight="1">
      <c r="A874" s="15"/>
      <c r="B874" s="15"/>
      <c r="C874" s="15"/>
      <c r="D874" s="15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1.25" customHeight="1">
      <c r="A875" s="15"/>
      <c r="B875" s="15"/>
      <c r="C875" s="15"/>
      <c r="D875" s="15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1.25" customHeight="1">
      <c r="A876" s="15"/>
      <c r="B876" s="15"/>
      <c r="C876" s="15"/>
      <c r="D876" s="15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1.25" customHeight="1">
      <c r="A877" s="15"/>
      <c r="B877" s="15"/>
      <c r="C877" s="15"/>
      <c r="D877" s="15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1.25" customHeight="1">
      <c r="A878" s="15"/>
      <c r="B878" s="15"/>
      <c r="C878" s="15"/>
      <c r="D878" s="15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1.25" customHeight="1">
      <c r="A879" s="15"/>
      <c r="B879" s="15"/>
      <c r="C879" s="15"/>
      <c r="D879" s="15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1.25" customHeight="1">
      <c r="A880" s="15"/>
      <c r="B880" s="15"/>
      <c r="C880" s="15"/>
      <c r="D880" s="15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1.25" customHeight="1">
      <c r="A881" s="15"/>
      <c r="B881" s="15"/>
      <c r="C881" s="15"/>
      <c r="D881" s="15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1.25" customHeight="1">
      <c r="A882" s="15"/>
      <c r="B882" s="15"/>
      <c r="C882" s="15"/>
      <c r="D882" s="15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1.25" customHeight="1">
      <c r="A883" s="15"/>
      <c r="B883" s="15"/>
      <c r="C883" s="15"/>
      <c r="D883" s="15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1.25" customHeight="1">
      <c r="A884" s="15"/>
      <c r="B884" s="15"/>
      <c r="C884" s="15"/>
      <c r="D884" s="15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1.25" customHeight="1">
      <c r="A885" s="15"/>
      <c r="B885" s="15"/>
      <c r="C885" s="15"/>
      <c r="D885" s="15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1.25" customHeight="1">
      <c r="A886" s="15"/>
      <c r="B886" s="15"/>
      <c r="C886" s="15"/>
      <c r="D886" s="15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1.25" customHeight="1">
      <c r="A887" s="15"/>
      <c r="B887" s="15"/>
      <c r="C887" s="15"/>
      <c r="D887" s="15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1.25" customHeight="1">
      <c r="A888" s="15"/>
      <c r="B888" s="15"/>
      <c r="C888" s="15"/>
      <c r="D888" s="15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1.25" customHeight="1">
      <c r="A889" s="15"/>
      <c r="B889" s="15"/>
      <c r="C889" s="15"/>
      <c r="D889" s="15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1.25" customHeight="1">
      <c r="A890" s="15"/>
      <c r="B890" s="15"/>
      <c r="C890" s="15"/>
      <c r="D890" s="15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1.25" customHeight="1">
      <c r="A891" s="15"/>
      <c r="B891" s="15"/>
      <c r="C891" s="15"/>
      <c r="D891" s="15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1.25" customHeight="1">
      <c r="A892" s="15"/>
      <c r="B892" s="15"/>
      <c r="C892" s="15"/>
      <c r="D892" s="15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1.25" customHeight="1">
      <c r="A893" s="15"/>
      <c r="B893" s="15"/>
      <c r="C893" s="15"/>
      <c r="D893" s="15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1.25" customHeight="1">
      <c r="A894" s="15"/>
      <c r="B894" s="15"/>
      <c r="C894" s="15"/>
      <c r="D894" s="15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1.25" customHeight="1">
      <c r="A895" s="15"/>
      <c r="B895" s="15"/>
      <c r="C895" s="15"/>
      <c r="D895" s="15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1.25" customHeight="1">
      <c r="A896" s="15"/>
      <c r="B896" s="15"/>
      <c r="C896" s="15"/>
      <c r="D896" s="15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1.25" customHeight="1">
      <c r="A897" s="15"/>
      <c r="B897" s="15"/>
      <c r="C897" s="15"/>
      <c r="D897" s="15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1.25" customHeight="1">
      <c r="A898" s="15"/>
      <c r="B898" s="15"/>
      <c r="C898" s="15"/>
      <c r="D898" s="15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1.25" customHeight="1">
      <c r="A899" s="15"/>
      <c r="B899" s="15"/>
      <c r="C899" s="15"/>
      <c r="D899" s="15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1.25" customHeight="1">
      <c r="A900" s="15"/>
      <c r="B900" s="15"/>
      <c r="C900" s="15"/>
      <c r="D900" s="15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1.25" customHeight="1">
      <c r="A901" s="15"/>
      <c r="B901" s="15"/>
      <c r="C901" s="15"/>
      <c r="D901" s="15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1.25" customHeight="1">
      <c r="A902" s="15"/>
      <c r="B902" s="15"/>
      <c r="C902" s="15"/>
      <c r="D902" s="15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1.25" customHeight="1">
      <c r="A903" s="15"/>
      <c r="B903" s="15"/>
      <c r="C903" s="15"/>
      <c r="D903" s="15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1.25" customHeight="1">
      <c r="A904" s="15"/>
      <c r="B904" s="15"/>
      <c r="C904" s="15"/>
      <c r="D904" s="15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1.25" customHeight="1">
      <c r="A905" s="15"/>
      <c r="B905" s="15"/>
      <c r="C905" s="15"/>
      <c r="D905" s="15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1.25" customHeight="1">
      <c r="A906" s="15"/>
      <c r="B906" s="15"/>
      <c r="C906" s="15"/>
      <c r="D906" s="15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1.25" customHeight="1">
      <c r="A907" s="15"/>
      <c r="B907" s="15"/>
      <c r="C907" s="15"/>
      <c r="D907" s="15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1.25" customHeight="1">
      <c r="A908" s="15"/>
      <c r="B908" s="15"/>
      <c r="C908" s="15"/>
      <c r="D908" s="15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1.25" customHeight="1">
      <c r="A909" s="15"/>
      <c r="B909" s="15"/>
      <c r="C909" s="15"/>
      <c r="D909" s="15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1.25" customHeight="1">
      <c r="A910" s="15"/>
      <c r="B910" s="15"/>
      <c r="C910" s="15"/>
      <c r="D910" s="15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1.25" customHeight="1">
      <c r="A911" s="15"/>
      <c r="B911" s="15"/>
      <c r="C911" s="15"/>
      <c r="D911" s="15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1.25" customHeight="1">
      <c r="A912" s="15"/>
      <c r="B912" s="15"/>
      <c r="C912" s="15"/>
      <c r="D912" s="15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1.25" customHeight="1">
      <c r="A913" s="15"/>
      <c r="B913" s="15"/>
      <c r="C913" s="15"/>
      <c r="D913" s="15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1.25" customHeight="1">
      <c r="A914" s="15"/>
      <c r="B914" s="15"/>
      <c r="C914" s="15"/>
      <c r="D914" s="15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1.25" customHeight="1">
      <c r="A915" s="15"/>
      <c r="B915" s="15"/>
      <c r="C915" s="15"/>
      <c r="D915" s="15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1.25" customHeight="1">
      <c r="A916" s="15"/>
      <c r="B916" s="15"/>
      <c r="C916" s="15"/>
      <c r="D916" s="15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1.25" customHeight="1">
      <c r="A917" s="15"/>
      <c r="B917" s="15"/>
      <c r="C917" s="15"/>
      <c r="D917" s="15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1.25" customHeight="1">
      <c r="A918" s="15"/>
      <c r="B918" s="15"/>
      <c r="C918" s="15"/>
      <c r="D918" s="15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1.25" customHeight="1">
      <c r="A919" s="15"/>
      <c r="B919" s="15"/>
      <c r="C919" s="15"/>
      <c r="D919" s="15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1.25" customHeight="1">
      <c r="A920" s="15"/>
      <c r="B920" s="15"/>
      <c r="C920" s="15"/>
      <c r="D920" s="15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1.25" customHeight="1">
      <c r="A921" s="15"/>
      <c r="B921" s="15"/>
      <c r="C921" s="15"/>
      <c r="D921" s="15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1.25" customHeight="1">
      <c r="A922" s="15"/>
      <c r="B922" s="15"/>
      <c r="C922" s="15"/>
      <c r="D922" s="15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1.25" customHeight="1">
      <c r="A923" s="15"/>
      <c r="B923" s="15"/>
      <c r="C923" s="15"/>
      <c r="D923" s="15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1.25" customHeight="1">
      <c r="A924" s="15"/>
      <c r="B924" s="15"/>
      <c r="C924" s="15"/>
      <c r="D924" s="15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1.25" customHeight="1">
      <c r="A925" s="15"/>
      <c r="B925" s="15"/>
      <c r="C925" s="15"/>
      <c r="D925" s="15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1.25" customHeight="1">
      <c r="A926" s="15"/>
      <c r="B926" s="15"/>
      <c r="C926" s="15"/>
      <c r="D926" s="15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1.25" customHeight="1">
      <c r="A927" s="15"/>
      <c r="B927" s="15"/>
      <c r="C927" s="15"/>
      <c r="D927" s="15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1.25" customHeight="1">
      <c r="A928" s="15"/>
      <c r="B928" s="15"/>
      <c r="C928" s="15"/>
      <c r="D928" s="15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1.25" customHeight="1">
      <c r="A929" s="15"/>
      <c r="B929" s="15"/>
      <c r="C929" s="15"/>
      <c r="D929" s="15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1.25" customHeight="1">
      <c r="A930" s="15"/>
      <c r="B930" s="15"/>
      <c r="C930" s="15"/>
      <c r="D930" s="15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1.25" customHeight="1">
      <c r="A931" s="15"/>
      <c r="B931" s="15"/>
      <c r="C931" s="15"/>
      <c r="D931" s="15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1.25" customHeight="1">
      <c r="A932" s="15"/>
      <c r="B932" s="15"/>
      <c r="C932" s="15"/>
      <c r="D932" s="15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1.25" customHeight="1">
      <c r="A933" s="15"/>
      <c r="B933" s="15"/>
      <c r="C933" s="15"/>
      <c r="D933" s="15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1.25" customHeight="1">
      <c r="A934" s="15"/>
      <c r="B934" s="15"/>
      <c r="C934" s="15"/>
      <c r="D934" s="15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1.25" customHeight="1">
      <c r="A935" s="15"/>
      <c r="B935" s="15"/>
      <c r="C935" s="15"/>
      <c r="D935" s="15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1.25" customHeight="1">
      <c r="A936" s="15"/>
      <c r="B936" s="15"/>
      <c r="C936" s="15"/>
      <c r="D936" s="15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1.25" customHeight="1">
      <c r="A937" s="15"/>
      <c r="B937" s="15"/>
      <c r="C937" s="15"/>
      <c r="D937" s="15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1.25" customHeight="1">
      <c r="A938" s="15"/>
      <c r="B938" s="15"/>
      <c r="C938" s="15"/>
      <c r="D938" s="15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1.25" customHeight="1">
      <c r="A939" s="15"/>
      <c r="B939" s="15"/>
      <c r="C939" s="15"/>
      <c r="D939" s="15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1.25" customHeight="1">
      <c r="A940" s="15"/>
      <c r="B940" s="15"/>
      <c r="C940" s="15"/>
      <c r="D940" s="15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1.25" customHeight="1">
      <c r="A941" s="15"/>
      <c r="B941" s="15"/>
      <c r="C941" s="15"/>
      <c r="D941" s="15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1.25" customHeight="1">
      <c r="A942" s="15"/>
      <c r="B942" s="15"/>
      <c r="C942" s="15"/>
      <c r="D942" s="15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1.25" customHeight="1">
      <c r="A943" s="15"/>
      <c r="B943" s="15"/>
      <c r="C943" s="15"/>
      <c r="D943" s="15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1.25" customHeight="1">
      <c r="A944" s="15"/>
      <c r="B944" s="15"/>
      <c r="C944" s="15"/>
      <c r="D944" s="15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1.25" customHeight="1">
      <c r="A945" s="15"/>
      <c r="B945" s="15"/>
      <c r="C945" s="15"/>
      <c r="D945" s="15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1.25" customHeight="1">
      <c r="A946" s="15"/>
      <c r="B946" s="15"/>
      <c r="C946" s="15"/>
      <c r="D946" s="15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1.25" customHeight="1">
      <c r="A947" s="15"/>
      <c r="B947" s="15"/>
      <c r="C947" s="15"/>
      <c r="D947" s="15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1.25" customHeight="1">
      <c r="A948" s="15"/>
      <c r="B948" s="15"/>
      <c r="C948" s="15"/>
      <c r="D948" s="15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1.25" customHeight="1">
      <c r="A949" s="15"/>
      <c r="B949" s="15"/>
      <c r="C949" s="15"/>
      <c r="D949" s="15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1.25" customHeight="1">
      <c r="A950" s="15"/>
      <c r="B950" s="15"/>
      <c r="C950" s="15"/>
      <c r="D950" s="15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1.25" customHeight="1">
      <c r="A951" s="15"/>
      <c r="B951" s="15"/>
      <c r="C951" s="15"/>
      <c r="D951" s="15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1.25" customHeight="1">
      <c r="A952" s="15"/>
      <c r="B952" s="15"/>
      <c r="C952" s="15"/>
      <c r="D952" s="15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1.25" customHeight="1">
      <c r="A953" s="15"/>
      <c r="B953" s="15"/>
      <c r="C953" s="15"/>
      <c r="D953" s="15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1.25" customHeight="1">
      <c r="A954" s="15"/>
      <c r="B954" s="15"/>
      <c r="C954" s="15"/>
      <c r="D954" s="15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1.25" customHeight="1">
      <c r="A955" s="15"/>
      <c r="B955" s="15"/>
      <c r="C955" s="15"/>
      <c r="D955" s="15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1.25" customHeight="1">
      <c r="A956" s="15"/>
      <c r="B956" s="15"/>
      <c r="C956" s="15"/>
      <c r="D956" s="15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1.25" customHeight="1">
      <c r="A957" s="15"/>
      <c r="B957" s="15"/>
      <c r="C957" s="15"/>
      <c r="D957" s="15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1.25" customHeight="1">
      <c r="A958" s="15"/>
      <c r="B958" s="15"/>
      <c r="C958" s="15"/>
      <c r="D958" s="15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1.25" customHeight="1">
      <c r="A959" s="15"/>
      <c r="B959" s="15"/>
      <c r="C959" s="15"/>
      <c r="D959" s="15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1.25" customHeight="1">
      <c r="A960" s="15"/>
      <c r="B960" s="15"/>
      <c r="C960" s="15"/>
      <c r="D960" s="15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1.25" customHeight="1">
      <c r="A961" s="15"/>
      <c r="B961" s="15"/>
      <c r="C961" s="15"/>
      <c r="D961" s="15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1.25" customHeight="1">
      <c r="A962" s="15"/>
      <c r="B962" s="15"/>
      <c r="C962" s="15"/>
      <c r="D962" s="15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1.25" customHeight="1">
      <c r="A963" s="15"/>
      <c r="B963" s="15"/>
      <c r="C963" s="15"/>
      <c r="D963" s="15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1.25" customHeight="1">
      <c r="A964" s="15"/>
      <c r="B964" s="15"/>
      <c r="C964" s="15"/>
      <c r="D964" s="15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1.25" customHeight="1">
      <c r="A965" s="15"/>
      <c r="B965" s="15"/>
      <c r="C965" s="15"/>
      <c r="D965" s="15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1.25" customHeight="1">
      <c r="A966" s="15"/>
      <c r="B966" s="15"/>
      <c r="C966" s="15"/>
      <c r="D966" s="15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1.25" customHeight="1">
      <c r="A967" s="15"/>
      <c r="B967" s="15"/>
      <c r="C967" s="15"/>
      <c r="D967" s="15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1.25" customHeight="1">
      <c r="A968" s="15"/>
      <c r="B968" s="15"/>
      <c r="C968" s="15"/>
      <c r="D968" s="15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1.25" customHeight="1">
      <c r="A969" s="15"/>
      <c r="B969" s="15"/>
      <c r="C969" s="15"/>
      <c r="D969" s="15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1.25" customHeight="1">
      <c r="A970" s="15"/>
      <c r="B970" s="15"/>
      <c r="C970" s="15"/>
      <c r="D970" s="15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1.25" customHeight="1">
      <c r="A971" s="15"/>
      <c r="B971" s="15"/>
      <c r="C971" s="15"/>
      <c r="D971" s="15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1.25" customHeight="1">
      <c r="A972" s="15"/>
      <c r="B972" s="15"/>
      <c r="C972" s="15"/>
      <c r="D972" s="15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1.25" customHeight="1">
      <c r="A973" s="15"/>
      <c r="B973" s="15"/>
      <c r="C973" s="15"/>
      <c r="D973" s="15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1.25" customHeight="1">
      <c r="A974" s="15"/>
      <c r="B974" s="15"/>
      <c r="C974" s="15"/>
      <c r="D974" s="15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1.25" customHeight="1">
      <c r="A975" s="15"/>
      <c r="B975" s="15"/>
      <c r="C975" s="15"/>
      <c r="D975" s="15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1.25" customHeight="1">
      <c r="A976" s="15"/>
      <c r="B976" s="15"/>
      <c r="C976" s="15"/>
      <c r="D976" s="15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1.25" customHeight="1">
      <c r="A977" s="15"/>
      <c r="B977" s="15"/>
      <c r="C977" s="15"/>
      <c r="D977" s="15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1.25" customHeight="1">
      <c r="A978" s="15"/>
      <c r="B978" s="15"/>
      <c r="C978" s="15"/>
      <c r="D978" s="15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1.25" customHeight="1">
      <c r="A979" s="15"/>
      <c r="B979" s="15"/>
      <c r="C979" s="15"/>
      <c r="D979" s="15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1.25" customHeight="1">
      <c r="A980" s="15"/>
      <c r="B980" s="15"/>
      <c r="C980" s="15"/>
      <c r="D980" s="15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1.25" customHeight="1">
      <c r="A981" s="15"/>
      <c r="B981" s="15"/>
      <c r="C981" s="15"/>
      <c r="D981" s="15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1.25" customHeight="1">
      <c r="A982" s="15"/>
      <c r="B982" s="15"/>
      <c r="C982" s="15"/>
      <c r="D982" s="15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1.25" customHeight="1">
      <c r="A983" s="15"/>
      <c r="B983" s="15"/>
      <c r="C983" s="15"/>
      <c r="D983" s="15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1.25" customHeight="1">
      <c r="A984" s="15"/>
      <c r="B984" s="15"/>
      <c r="C984" s="15"/>
      <c r="D984" s="15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1.25" customHeight="1">
      <c r="A985" s="15"/>
      <c r="B985" s="15"/>
      <c r="C985" s="15"/>
      <c r="D985" s="15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1.25" customHeight="1">
      <c r="A986" s="15"/>
      <c r="B986" s="15"/>
      <c r="C986" s="15"/>
      <c r="D986" s="15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1.25" customHeight="1">
      <c r="A987" s="15"/>
      <c r="B987" s="15"/>
      <c r="C987" s="15"/>
      <c r="D987" s="15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1.25" customHeight="1">
      <c r="A988" s="15"/>
      <c r="B988" s="15"/>
      <c r="C988" s="15"/>
      <c r="D988" s="15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1.25" customHeight="1">
      <c r="A989" s="15"/>
      <c r="B989" s="15"/>
      <c r="C989" s="15"/>
      <c r="D989" s="15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1.25" customHeight="1">
      <c r="A990" s="15"/>
      <c r="B990" s="15"/>
      <c r="C990" s="15"/>
      <c r="D990" s="15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1.25" customHeight="1">
      <c r="A991" s="15"/>
      <c r="B991" s="15"/>
      <c r="C991" s="15"/>
      <c r="D991" s="15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1.25" customHeight="1">
      <c r="A992" s="15"/>
      <c r="B992" s="15"/>
      <c r="C992" s="15"/>
      <c r="D992" s="15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1.25" customHeight="1">
      <c r="A993" s="15"/>
      <c r="B993" s="15"/>
      <c r="C993" s="15"/>
      <c r="D993" s="15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1.25" customHeight="1">
      <c r="A994" s="15"/>
      <c r="B994" s="15"/>
      <c r="C994" s="15"/>
      <c r="D994" s="15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1.25" customHeight="1">
      <c r="A995" s="15"/>
      <c r="B995" s="15"/>
      <c r="C995" s="15"/>
      <c r="D995" s="15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1.25" customHeight="1">
      <c r="A996" s="15"/>
      <c r="B996" s="15"/>
      <c r="C996" s="15"/>
      <c r="D996" s="15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1.25" customHeight="1">
      <c r="A997" s="15"/>
      <c r="B997" s="15"/>
      <c r="C997" s="15"/>
      <c r="D997" s="15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1.25" customHeight="1">
      <c r="A998" s="15"/>
      <c r="B998" s="15"/>
      <c r="C998" s="15"/>
      <c r="D998" s="15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1.25" customHeight="1">
      <c r="A999" s="15"/>
      <c r="B999" s="15"/>
      <c r="C999" s="15"/>
      <c r="D999" s="15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1.25" customHeight="1">
      <c r="A1000" s="15"/>
      <c r="B1000" s="15"/>
      <c r="C1000" s="15"/>
      <c r="D1000" s="15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6527777777777778" footer="0.0" header="0.0" left="0.7" right="0.7" top="1.2222222222222223"/>
  <pageSetup orientation="landscape"/>
  <headerFooter>
    <oddHeader>&amp;L   Filter Criteria includes: Report order is by ID. Report is printed with Accounts having Zero Amounts and in Detail F&amp;CBenton Hall Academy Chart of Accounts As of Mar 31, 2016</oddHeader>
    <oddFooter>&amp;L&amp;D at &amp;T&amp;RPage: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23.88"/>
    <col customWidth="1" min="3" max="8" width="9.88"/>
    <col customWidth="1" min="9" max="9" width="8.63"/>
    <col customWidth="1" min="10" max="11" width="9.25"/>
    <col customWidth="1" min="12" max="12" width="8.38"/>
    <col customWidth="1" min="13" max="14" width="7.0"/>
    <col customWidth="1" min="15" max="15" width="8.63"/>
    <col customWidth="1" min="16" max="17" width="8.0"/>
    <col customWidth="1" min="18" max="26" width="7.63"/>
  </cols>
  <sheetData>
    <row r="1" ht="12.75" customHeight="1">
      <c r="A1" s="1"/>
      <c r="B1" s="3"/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1" t="s">
        <v>20</v>
      </c>
      <c r="B2" s="6"/>
      <c r="C2" s="7" t="s">
        <v>19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7" t="s">
        <v>32</v>
      </c>
      <c r="P2" s="7" t="s">
        <v>34</v>
      </c>
      <c r="Q2" s="7" t="s">
        <v>35</v>
      </c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" t="s">
        <v>36</v>
      </c>
      <c r="B3" s="1" t="s">
        <v>37</v>
      </c>
      <c r="C3" s="13">
        <v>0.0</v>
      </c>
      <c r="D3" s="13">
        <v>0.0</v>
      </c>
      <c r="E3" s="13">
        <v>0.0</v>
      </c>
      <c r="F3" s="13">
        <v>0.0</v>
      </c>
      <c r="G3" s="13">
        <v>21280.35</v>
      </c>
      <c r="H3" s="13">
        <v>8709.97</v>
      </c>
      <c r="I3" s="13">
        <v>2700.0</v>
      </c>
      <c r="J3" s="13">
        <v>0.0</v>
      </c>
      <c r="K3" s="13">
        <v>0.0</v>
      </c>
      <c r="L3" s="13">
        <v>0.0</v>
      </c>
      <c r="M3" s="13">
        <v>0.0</v>
      </c>
      <c r="N3" s="13">
        <v>0.0</v>
      </c>
      <c r="O3" s="18">
        <f t="shared" ref="O3:O80" si="1">+SUM(C3:N3)</f>
        <v>32690.32</v>
      </c>
      <c r="P3" s="18">
        <f t="shared" ref="P3:P80" si="2">+O3/10</f>
        <v>3269.032</v>
      </c>
      <c r="Q3" s="18">
        <f t="shared" ref="Q3:Q80" si="3">+O3/12</f>
        <v>2724.193333</v>
      </c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1" t="s">
        <v>44</v>
      </c>
      <c r="B4" s="1" t="s">
        <v>45</v>
      </c>
      <c r="C4" s="13">
        <v>10000.0</v>
      </c>
      <c r="D4" s="13">
        <v>0.0</v>
      </c>
      <c r="E4" s="13">
        <v>0.0</v>
      </c>
      <c r="F4" s="13">
        <v>9598.07</v>
      </c>
      <c r="G4" s="13">
        <v>12.04</v>
      </c>
      <c r="H4" s="13">
        <v>0.0</v>
      </c>
      <c r="I4" s="13">
        <v>0.0</v>
      </c>
      <c r="J4" s="13">
        <v>1150.54</v>
      </c>
      <c r="K4" s="13">
        <v>0.0</v>
      </c>
      <c r="L4" s="13">
        <v>29.5</v>
      </c>
      <c r="M4" s="13">
        <v>0.0</v>
      </c>
      <c r="N4" s="13">
        <v>0.0</v>
      </c>
      <c r="O4" s="18">
        <f t="shared" si="1"/>
        <v>20790.15</v>
      </c>
      <c r="P4" s="18">
        <f t="shared" si="2"/>
        <v>2079.015</v>
      </c>
      <c r="Q4" s="18">
        <f t="shared" si="3"/>
        <v>1732.5125</v>
      </c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1" t="s">
        <v>48</v>
      </c>
      <c r="B5" s="1" t="s">
        <v>49</v>
      </c>
      <c r="C5" s="13">
        <v>0.0</v>
      </c>
      <c r="D5" s="13">
        <v>0.0</v>
      </c>
      <c r="E5" s="13">
        <v>0.0</v>
      </c>
      <c r="F5" s="13">
        <v>0.0</v>
      </c>
      <c r="G5" s="13">
        <v>0.0</v>
      </c>
      <c r="H5" s="13">
        <v>0.0</v>
      </c>
      <c r="I5" s="13">
        <v>0.0</v>
      </c>
      <c r="J5" s="13">
        <v>0.0</v>
      </c>
      <c r="K5" s="13">
        <v>0.0</v>
      </c>
      <c r="L5" s="13">
        <v>0.0</v>
      </c>
      <c r="M5" s="13">
        <v>0.0</v>
      </c>
      <c r="N5" s="13">
        <v>0.0</v>
      </c>
      <c r="O5" s="18">
        <f t="shared" si="1"/>
        <v>0</v>
      </c>
      <c r="P5" s="18">
        <f t="shared" si="2"/>
        <v>0</v>
      </c>
      <c r="Q5" s="18">
        <f t="shared" si="3"/>
        <v>0</v>
      </c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1" t="s">
        <v>51</v>
      </c>
      <c r="B6" s="1" t="s">
        <v>52</v>
      </c>
      <c r="C6" s="13">
        <v>0.0</v>
      </c>
      <c r="D6" s="13">
        <v>0.0</v>
      </c>
      <c r="E6" s="13">
        <v>0.0</v>
      </c>
      <c r="F6" s="13">
        <v>0.0</v>
      </c>
      <c r="G6" s="13">
        <v>0.0</v>
      </c>
      <c r="H6" s="13">
        <v>0.0</v>
      </c>
      <c r="I6" s="13">
        <v>0.0</v>
      </c>
      <c r="J6" s="13">
        <v>0.0</v>
      </c>
      <c r="K6" s="13">
        <v>0.0</v>
      </c>
      <c r="L6" s="13">
        <v>0.0</v>
      </c>
      <c r="M6" s="13">
        <v>0.0</v>
      </c>
      <c r="N6" s="13">
        <v>0.0</v>
      </c>
      <c r="O6" s="18">
        <f t="shared" si="1"/>
        <v>0</v>
      </c>
      <c r="P6" s="18">
        <f t="shared" si="2"/>
        <v>0</v>
      </c>
      <c r="Q6" s="18">
        <f t="shared" si="3"/>
        <v>0</v>
      </c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1" t="s">
        <v>53</v>
      </c>
      <c r="B7" s="1" t="s">
        <v>54</v>
      </c>
      <c r="C7" s="13">
        <v>0.0</v>
      </c>
      <c r="D7" s="13">
        <v>0.0</v>
      </c>
      <c r="E7" s="13">
        <v>0.0</v>
      </c>
      <c r="F7" s="13">
        <v>0.0</v>
      </c>
      <c r="G7" s="13">
        <v>0.0</v>
      </c>
      <c r="H7" s="13">
        <v>0.0</v>
      </c>
      <c r="I7" s="13">
        <v>0.0</v>
      </c>
      <c r="J7" s="13">
        <v>0.0</v>
      </c>
      <c r="K7" s="13">
        <v>0.0</v>
      </c>
      <c r="L7" s="13">
        <v>0.0</v>
      </c>
      <c r="M7" s="13">
        <v>0.0</v>
      </c>
      <c r="N7" s="13">
        <v>0.0</v>
      </c>
      <c r="O7" s="18">
        <f t="shared" si="1"/>
        <v>0</v>
      </c>
      <c r="P7" s="18">
        <f t="shared" si="2"/>
        <v>0</v>
      </c>
      <c r="Q7" s="18">
        <f t="shared" si="3"/>
        <v>0</v>
      </c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1" t="s">
        <v>57</v>
      </c>
      <c r="B8" s="1" t="s">
        <v>58</v>
      </c>
      <c r="C8" s="13">
        <v>0.0</v>
      </c>
      <c r="D8" s="13">
        <v>0.0</v>
      </c>
      <c r="E8" s="13">
        <v>0.0</v>
      </c>
      <c r="F8" s="13">
        <v>0.0</v>
      </c>
      <c r="G8" s="13">
        <v>0.0</v>
      </c>
      <c r="H8" s="13">
        <v>0.0</v>
      </c>
      <c r="I8" s="13">
        <v>0.0</v>
      </c>
      <c r="J8" s="13">
        <v>0.0</v>
      </c>
      <c r="K8" s="13">
        <v>0.0</v>
      </c>
      <c r="L8" s="13">
        <v>0.0</v>
      </c>
      <c r="M8" s="13">
        <v>0.0</v>
      </c>
      <c r="N8" s="13">
        <v>0.0</v>
      </c>
      <c r="O8" s="18">
        <f t="shared" si="1"/>
        <v>0</v>
      </c>
      <c r="P8" s="18">
        <f t="shared" si="2"/>
        <v>0</v>
      </c>
      <c r="Q8" s="18">
        <f t="shared" si="3"/>
        <v>0</v>
      </c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1" t="s">
        <v>62</v>
      </c>
      <c r="B9" s="1" t="s">
        <v>63</v>
      </c>
      <c r="C9" s="13">
        <v>0.0</v>
      </c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8">
        <f t="shared" si="1"/>
        <v>0</v>
      </c>
      <c r="P9" s="18">
        <f t="shared" si="2"/>
        <v>0</v>
      </c>
      <c r="Q9" s="18">
        <f t="shared" si="3"/>
        <v>0</v>
      </c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1" t="s">
        <v>65</v>
      </c>
      <c r="B10" s="1" t="s">
        <v>66</v>
      </c>
      <c r="C10" s="13">
        <v>0.0</v>
      </c>
      <c r="D10" s="13">
        <v>1268.0</v>
      </c>
      <c r="E10" s="13">
        <v>15450.0</v>
      </c>
      <c r="F10" s="13">
        <v>183.0</v>
      </c>
      <c r="G10" s="13">
        <v>26.0</v>
      </c>
      <c r="H10" s="13">
        <v>85.0</v>
      </c>
      <c r="I10" s="13">
        <v>5125.0</v>
      </c>
      <c r="J10" s="13">
        <v>200.0</v>
      </c>
      <c r="K10" s="13">
        <v>443.5</v>
      </c>
      <c r="L10" s="13">
        <v>0.0</v>
      </c>
      <c r="M10" s="13">
        <v>0.0</v>
      </c>
      <c r="N10" s="13">
        <v>0.0</v>
      </c>
      <c r="O10" s="18">
        <f t="shared" si="1"/>
        <v>22780.5</v>
      </c>
      <c r="P10" s="18">
        <f t="shared" si="2"/>
        <v>2278.05</v>
      </c>
      <c r="Q10" s="18">
        <f t="shared" si="3"/>
        <v>1898.375</v>
      </c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1" t="s">
        <v>68</v>
      </c>
      <c r="B11" s="1" t="s">
        <v>69</v>
      </c>
      <c r="C11" s="13">
        <v>0.0</v>
      </c>
      <c r="D11" s="13">
        <v>0.0</v>
      </c>
      <c r="E11" s="13">
        <v>0.0</v>
      </c>
      <c r="F11" s="13">
        <v>0.0</v>
      </c>
      <c r="G11" s="13">
        <v>0.0</v>
      </c>
      <c r="H11" s="13">
        <v>0.0</v>
      </c>
      <c r="I11" s="13">
        <v>0.0</v>
      </c>
      <c r="J11" s="13">
        <v>0.0</v>
      </c>
      <c r="K11" s="13">
        <v>0.0</v>
      </c>
      <c r="L11" s="13">
        <v>0.0</v>
      </c>
      <c r="M11" s="13">
        <v>0.0</v>
      </c>
      <c r="N11" s="13">
        <v>0.0</v>
      </c>
      <c r="O11" s="18">
        <f t="shared" si="1"/>
        <v>0</v>
      </c>
      <c r="P11" s="18">
        <f t="shared" si="2"/>
        <v>0</v>
      </c>
      <c r="Q11" s="18">
        <f t="shared" si="3"/>
        <v>0</v>
      </c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" t="s">
        <v>70</v>
      </c>
      <c r="B12" s="1" t="s">
        <v>71</v>
      </c>
      <c r="C12" s="13">
        <v>0.0</v>
      </c>
      <c r="D12" s="13">
        <v>44482.16</v>
      </c>
      <c r="E12" s="13">
        <v>91754.52</v>
      </c>
      <c r="F12" s="13">
        <v>91754.52</v>
      </c>
      <c r="G12" s="13">
        <v>94744.02</v>
      </c>
      <c r="H12" s="13">
        <v>94744.02</v>
      </c>
      <c r="I12" s="13">
        <v>100259.42</v>
      </c>
      <c r="J12" s="13">
        <v>101423.25</v>
      </c>
      <c r="K12" s="13">
        <v>101423.25</v>
      </c>
      <c r="L12" s="13">
        <v>0.0</v>
      </c>
      <c r="M12" s="13">
        <v>0.0</v>
      </c>
      <c r="N12" s="13">
        <v>0.0</v>
      </c>
      <c r="O12" s="18">
        <f t="shared" si="1"/>
        <v>720585.16</v>
      </c>
      <c r="P12" s="18">
        <f t="shared" si="2"/>
        <v>72058.516</v>
      </c>
      <c r="Q12" s="18">
        <f t="shared" si="3"/>
        <v>60048.76333</v>
      </c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1" t="s">
        <v>73</v>
      </c>
      <c r="B13" s="1" t="s">
        <v>74</v>
      </c>
      <c r="C13" s="13">
        <v>0.0</v>
      </c>
      <c r="D13" s="13">
        <v>22875.0</v>
      </c>
      <c r="E13" s="13">
        <v>0.0</v>
      </c>
      <c r="F13" s="13">
        <v>0.0</v>
      </c>
      <c r="G13" s="13">
        <v>375.0</v>
      </c>
      <c r="H13" s="13">
        <v>0.0</v>
      </c>
      <c r="I13" s="13">
        <v>1500.0</v>
      </c>
      <c r="J13" s="13">
        <v>375.0</v>
      </c>
      <c r="K13" s="13">
        <v>0.0</v>
      </c>
      <c r="L13" s="13">
        <v>0.0</v>
      </c>
      <c r="M13" s="13">
        <v>0.0</v>
      </c>
      <c r="N13" s="13">
        <v>0.0</v>
      </c>
      <c r="O13" s="18">
        <f t="shared" si="1"/>
        <v>25125</v>
      </c>
      <c r="P13" s="18">
        <f t="shared" si="2"/>
        <v>2512.5</v>
      </c>
      <c r="Q13" s="18">
        <f t="shared" si="3"/>
        <v>2093.75</v>
      </c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1" t="s">
        <v>75</v>
      </c>
      <c r="B14" s="1" t="s">
        <v>76</v>
      </c>
      <c r="C14" s="13">
        <v>0.0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3">
        <v>0.0</v>
      </c>
      <c r="L14" s="13">
        <v>0.0</v>
      </c>
      <c r="M14" s="13">
        <v>0.0</v>
      </c>
      <c r="N14" s="13">
        <v>0.0</v>
      </c>
      <c r="O14" s="18">
        <f t="shared" si="1"/>
        <v>0</v>
      </c>
      <c r="P14" s="18">
        <f t="shared" si="2"/>
        <v>0</v>
      </c>
      <c r="Q14" s="18">
        <f t="shared" si="3"/>
        <v>0</v>
      </c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1" t="s">
        <v>79</v>
      </c>
      <c r="B15" s="1" t="s">
        <v>80</v>
      </c>
      <c r="C15" s="13">
        <v>50.0</v>
      </c>
      <c r="D15" s="13">
        <v>149.0</v>
      </c>
      <c r="E15" s="13">
        <v>100.0</v>
      </c>
      <c r="F15" s="13">
        <v>150.0</v>
      </c>
      <c r="G15" s="13">
        <v>50.0</v>
      </c>
      <c r="H15" s="13">
        <v>150.0</v>
      </c>
      <c r="I15" s="13">
        <v>100.0</v>
      </c>
      <c r="J15" s="13">
        <v>50.0</v>
      </c>
      <c r="K15" s="13">
        <v>100.0</v>
      </c>
      <c r="L15" s="13">
        <v>50.0</v>
      </c>
      <c r="M15" s="13">
        <v>0.0</v>
      </c>
      <c r="N15" s="13">
        <v>0.0</v>
      </c>
      <c r="O15" s="18">
        <f t="shared" si="1"/>
        <v>949</v>
      </c>
      <c r="P15" s="18">
        <f t="shared" si="2"/>
        <v>94.9</v>
      </c>
      <c r="Q15" s="18">
        <f t="shared" si="3"/>
        <v>79.08333333</v>
      </c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1" t="s">
        <v>82</v>
      </c>
      <c r="B16" s="1" t="s">
        <v>83</v>
      </c>
      <c r="C16" s="13">
        <v>0.0</v>
      </c>
      <c r="D16" s="13">
        <v>0.0</v>
      </c>
      <c r="E16" s="13">
        <v>600.0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3">
        <v>0.0</v>
      </c>
      <c r="L16" s="13">
        <v>0.0</v>
      </c>
      <c r="M16" s="13">
        <v>0.0</v>
      </c>
      <c r="N16" s="13">
        <v>0.0</v>
      </c>
      <c r="O16" s="18">
        <f t="shared" si="1"/>
        <v>600</v>
      </c>
      <c r="P16" s="18">
        <f t="shared" si="2"/>
        <v>60</v>
      </c>
      <c r="Q16" s="18">
        <f t="shared" si="3"/>
        <v>50</v>
      </c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1" t="s">
        <v>85</v>
      </c>
      <c r="B17" s="1" t="s">
        <v>86</v>
      </c>
      <c r="C17" s="13">
        <v>0.0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3">
        <v>0.0</v>
      </c>
      <c r="M17" s="13">
        <v>0.0</v>
      </c>
      <c r="N17" s="13">
        <v>0.0</v>
      </c>
      <c r="O17" s="18">
        <f t="shared" si="1"/>
        <v>0</v>
      </c>
      <c r="P17" s="18">
        <f t="shared" si="2"/>
        <v>0</v>
      </c>
      <c r="Q17" s="18">
        <f t="shared" si="3"/>
        <v>0</v>
      </c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1" t="s">
        <v>88</v>
      </c>
      <c r="B18" s="1" t="s">
        <v>89</v>
      </c>
      <c r="C18" s="13">
        <v>0.0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3">
        <v>0.0</v>
      </c>
      <c r="O18" s="18">
        <f t="shared" si="1"/>
        <v>0</v>
      </c>
      <c r="P18" s="18">
        <f t="shared" si="2"/>
        <v>0</v>
      </c>
      <c r="Q18" s="18">
        <f t="shared" si="3"/>
        <v>0</v>
      </c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1" t="s">
        <v>92</v>
      </c>
      <c r="B19" s="1" t="s">
        <v>93</v>
      </c>
      <c r="C19" s="13">
        <v>0.0</v>
      </c>
      <c r="D19" s="13">
        <v>591.0</v>
      </c>
      <c r="E19" s="13">
        <v>871.0</v>
      </c>
      <c r="F19" s="13">
        <v>793.0</v>
      </c>
      <c r="G19" s="13">
        <v>611.0</v>
      </c>
      <c r="H19" s="13">
        <v>741.0</v>
      </c>
      <c r="I19" s="13">
        <v>754.0</v>
      </c>
      <c r="J19" s="13">
        <v>663.0</v>
      </c>
      <c r="K19" s="13">
        <v>1079.0</v>
      </c>
      <c r="L19" s="13">
        <v>0.0</v>
      </c>
      <c r="M19" s="13">
        <v>0.0</v>
      </c>
      <c r="N19" s="13">
        <v>0.0</v>
      </c>
      <c r="O19" s="18">
        <f t="shared" si="1"/>
        <v>6103</v>
      </c>
      <c r="P19" s="18">
        <f t="shared" si="2"/>
        <v>610.3</v>
      </c>
      <c r="Q19" s="18">
        <f t="shared" si="3"/>
        <v>508.5833333</v>
      </c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1" t="s">
        <v>95</v>
      </c>
      <c r="B20" s="1" t="s">
        <v>96</v>
      </c>
      <c r="C20" s="13">
        <v>29.0</v>
      </c>
      <c r="D20" s="13">
        <v>0.0</v>
      </c>
      <c r="E20" s="13">
        <v>290.0</v>
      </c>
      <c r="F20" s="13">
        <v>0.0</v>
      </c>
      <c r="G20" s="13">
        <v>0.0</v>
      </c>
      <c r="H20" s="13">
        <v>0.0</v>
      </c>
      <c r="I20" s="13">
        <v>0.0</v>
      </c>
      <c r="J20" s="13">
        <v>0.0</v>
      </c>
      <c r="K20" s="13">
        <v>0.0</v>
      </c>
      <c r="L20" s="13">
        <v>0.0</v>
      </c>
      <c r="M20" s="13">
        <v>0.0</v>
      </c>
      <c r="N20" s="13">
        <v>0.0</v>
      </c>
      <c r="O20" s="18">
        <f t="shared" si="1"/>
        <v>319</v>
      </c>
      <c r="P20" s="18">
        <f t="shared" si="2"/>
        <v>31.9</v>
      </c>
      <c r="Q20" s="18">
        <f t="shared" si="3"/>
        <v>26.58333333</v>
      </c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1" t="s">
        <v>98</v>
      </c>
      <c r="B21" s="1" t="s">
        <v>99</v>
      </c>
      <c r="C21" s="13">
        <v>0.0</v>
      </c>
      <c r="D21" s="13">
        <v>0.0</v>
      </c>
      <c r="E21" s="13">
        <v>0.0</v>
      </c>
      <c r="F21" s="13">
        <v>0.0</v>
      </c>
      <c r="G21" s="13">
        <v>0.0</v>
      </c>
      <c r="H21" s="13">
        <v>0.0</v>
      </c>
      <c r="I21" s="13">
        <v>0.0</v>
      </c>
      <c r="J21" s="13">
        <v>0.0</v>
      </c>
      <c r="K21" s="13">
        <v>0.0</v>
      </c>
      <c r="L21" s="13">
        <v>0.0</v>
      </c>
      <c r="M21" s="13">
        <v>0.0</v>
      </c>
      <c r="N21" s="13">
        <v>0.0</v>
      </c>
      <c r="O21" s="18">
        <f t="shared" si="1"/>
        <v>0</v>
      </c>
      <c r="P21" s="18">
        <f t="shared" si="2"/>
        <v>0</v>
      </c>
      <c r="Q21" s="18">
        <f t="shared" si="3"/>
        <v>0</v>
      </c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1" t="s">
        <v>100</v>
      </c>
      <c r="B22" s="1" t="s">
        <v>101</v>
      </c>
      <c r="C22" s="13">
        <v>0.0</v>
      </c>
      <c r="D22" s="13">
        <v>588.0</v>
      </c>
      <c r="E22" s="13">
        <v>804.0</v>
      </c>
      <c r="F22" s="13">
        <v>696.0</v>
      </c>
      <c r="G22" s="13">
        <v>536.0</v>
      </c>
      <c r="H22" s="13">
        <v>592.0</v>
      </c>
      <c r="I22" s="13">
        <v>624.0</v>
      </c>
      <c r="J22" s="13">
        <v>732.0</v>
      </c>
      <c r="K22" s="13">
        <v>764.0</v>
      </c>
      <c r="L22" s="13">
        <v>0.0</v>
      </c>
      <c r="M22" s="13">
        <v>0.0</v>
      </c>
      <c r="N22" s="13">
        <v>0.0</v>
      </c>
      <c r="O22" s="18">
        <f t="shared" si="1"/>
        <v>5336</v>
      </c>
      <c r="P22" s="18">
        <f t="shared" si="2"/>
        <v>533.6</v>
      </c>
      <c r="Q22" s="18">
        <f t="shared" si="3"/>
        <v>444.6666667</v>
      </c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1" t="s">
        <v>105</v>
      </c>
      <c r="B23" s="1" t="s">
        <v>106</v>
      </c>
      <c r="C23" s="13">
        <v>0.0</v>
      </c>
      <c r="D23" s="13">
        <v>0.0</v>
      </c>
      <c r="E23" s="13">
        <v>0.0</v>
      </c>
      <c r="F23" s="13">
        <v>0.0</v>
      </c>
      <c r="G23" s="13">
        <v>0.0</v>
      </c>
      <c r="H23" s="13">
        <v>0.0</v>
      </c>
      <c r="I23" s="13">
        <v>0.0</v>
      </c>
      <c r="J23" s="13">
        <v>0.0</v>
      </c>
      <c r="K23" s="13">
        <v>0.0</v>
      </c>
      <c r="L23" s="13">
        <v>0.0</v>
      </c>
      <c r="M23" s="13">
        <v>0.0</v>
      </c>
      <c r="N23" s="13">
        <v>0.0</v>
      </c>
      <c r="O23" s="18">
        <f t="shared" si="1"/>
        <v>0</v>
      </c>
      <c r="P23" s="18">
        <f t="shared" si="2"/>
        <v>0</v>
      </c>
      <c r="Q23" s="18">
        <f t="shared" si="3"/>
        <v>0</v>
      </c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1" t="s">
        <v>109</v>
      </c>
      <c r="B24" s="1" t="s">
        <v>110</v>
      </c>
      <c r="C24" s="13">
        <v>0.0</v>
      </c>
      <c r="D24" s="13">
        <v>0.0</v>
      </c>
      <c r="E24" s="13">
        <v>0.0</v>
      </c>
      <c r="F24" s="13">
        <v>0.0</v>
      </c>
      <c r="G24" s="13">
        <v>0.0</v>
      </c>
      <c r="H24" s="13">
        <v>0.0</v>
      </c>
      <c r="I24" s="13">
        <v>0.0</v>
      </c>
      <c r="J24" s="13">
        <v>0.0</v>
      </c>
      <c r="K24" s="13">
        <v>0.0</v>
      </c>
      <c r="L24" s="13">
        <v>0.0</v>
      </c>
      <c r="M24" s="13">
        <v>0.0</v>
      </c>
      <c r="N24" s="13">
        <v>0.0</v>
      </c>
      <c r="O24" s="18">
        <f t="shared" si="1"/>
        <v>0</v>
      </c>
      <c r="P24" s="18">
        <f t="shared" si="2"/>
        <v>0</v>
      </c>
      <c r="Q24" s="18">
        <f t="shared" si="3"/>
        <v>0</v>
      </c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1" t="s">
        <v>111</v>
      </c>
      <c r="B25" s="1" t="s">
        <v>112</v>
      </c>
      <c r="C25" s="13">
        <v>0.0</v>
      </c>
      <c r="D25" s="13">
        <v>0.0</v>
      </c>
      <c r="E25" s="13">
        <v>0.0</v>
      </c>
      <c r="F25" s="13">
        <v>0.0</v>
      </c>
      <c r="G25" s="13">
        <v>0.0</v>
      </c>
      <c r="H25" s="13">
        <v>0.0</v>
      </c>
      <c r="I25" s="13">
        <v>0.0</v>
      </c>
      <c r="J25" s="13">
        <v>0.0</v>
      </c>
      <c r="K25" s="13">
        <v>0.0</v>
      </c>
      <c r="L25" s="13">
        <v>0.0</v>
      </c>
      <c r="M25" s="13">
        <v>0.0</v>
      </c>
      <c r="N25" s="13">
        <v>0.0</v>
      </c>
      <c r="O25" s="18">
        <f t="shared" si="1"/>
        <v>0</v>
      </c>
      <c r="P25" s="18">
        <f t="shared" si="2"/>
        <v>0</v>
      </c>
      <c r="Q25" s="18">
        <f t="shared" si="3"/>
        <v>0</v>
      </c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1" t="s">
        <v>114</v>
      </c>
      <c r="B26" s="1" t="s">
        <v>116</v>
      </c>
      <c r="C26" s="13">
        <v>0.0</v>
      </c>
      <c r="D26" s="13">
        <v>0.0</v>
      </c>
      <c r="E26" s="13">
        <v>0.0</v>
      </c>
      <c r="F26" s="13">
        <v>0.0</v>
      </c>
      <c r="G26" s="13">
        <v>0.0</v>
      </c>
      <c r="H26" s="13">
        <v>0.0</v>
      </c>
      <c r="I26" s="13">
        <v>0.0</v>
      </c>
      <c r="J26" s="13">
        <v>0.0</v>
      </c>
      <c r="K26" s="13">
        <v>0.0</v>
      </c>
      <c r="L26" s="13">
        <v>0.0</v>
      </c>
      <c r="M26" s="13">
        <v>0.0</v>
      </c>
      <c r="N26" s="13">
        <v>0.0</v>
      </c>
      <c r="O26" s="18">
        <f t="shared" si="1"/>
        <v>0</v>
      </c>
      <c r="P26" s="18">
        <f t="shared" si="2"/>
        <v>0</v>
      </c>
      <c r="Q26" s="18">
        <f t="shared" si="3"/>
        <v>0</v>
      </c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1" t="s">
        <v>117</v>
      </c>
      <c r="B27" s="1" t="s">
        <v>118</v>
      </c>
      <c r="C27" s="13">
        <v>0.0</v>
      </c>
      <c r="D27" s="13">
        <v>0.0</v>
      </c>
      <c r="E27" s="13">
        <v>0.0</v>
      </c>
      <c r="F27" s="13">
        <v>0.0</v>
      </c>
      <c r="G27" s="13">
        <v>0.0</v>
      </c>
      <c r="H27" s="13">
        <v>0.0</v>
      </c>
      <c r="I27" s="13">
        <v>0.0</v>
      </c>
      <c r="J27" s="13">
        <v>0.0</v>
      </c>
      <c r="K27" s="13">
        <v>0.0</v>
      </c>
      <c r="L27" s="13">
        <v>0.0</v>
      </c>
      <c r="M27" s="13">
        <v>0.0</v>
      </c>
      <c r="N27" s="13">
        <v>0.0</v>
      </c>
      <c r="O27" s="18">
        <f t="shared" si="1"/>
        <v>0</v>
      </c>
      <c r="P27" s="18">
        <f t="shared" si="2"/>
        <v>0</v>
      </c>
      <c r="Q27" s="18">
        <f t="shared" si="3"/>
        <v>0</v>
      </c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1" t="s">
        <v>123</v>
      </c>
      <c r="B28" s="1" t="s">
        <v>124</v>
      </c>
      <c r="C28" s="13">
        <v>0.0</v>
      </c>
      <c r="D28" s="13">
        <v>0.0</v>
      </c>
      <c r="E28" s="13">
        <v>0.0</v>
      </c>
      <c r="F28" s="13">
        <v>0.0</v>
      </c>
      <c r="G28" s="13">
        <v>0.0</v>
      </c>
      <c r="H28" s="13">
        <v>0.0</v>
      </c>
      <c r="I28" s="13">
        <v>0.0</v>
      </c>
      <c r="J28" s="13">
        <v>0.0</v>
      </c>
      <c r="K28" s="13">
        <v>0.0</v>
      </c>
      <c r="L28" s="13">
        <v>0.0</v>
      </c>
      <c r="M28" s="13">
        <v>0.0</v>
      </c>
      <c r="N28" s="13">
        <v>0.0</v>
      </c>
      <c r="O28" s="18">
        <f t="shared" si="1"/>
        <v>0</v>
      </c>
      <c r="P28" s="18">
        <f t="shared" si="2"/>
        <v>0</v>
      </c>
      <c r="Q28" s="18">
        <f t="shared" si="3"/>
        <v>0</v>
      </c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1" t="s">
        <v>127</v>
      </c>
      <c r="B29" s="1" t="s">
        <v>128</v>
      </c>
      <c r="C29" s="13">
        <v>0.0</v>
      </c>
      <c r="D29" s="13">
        <v>0.0</v>
      </c>
      <c r="E29" s="13">
        <v>0.0</v>
      </c>
      <c r="F29" s="13">
        <v>0.0</v>
      </c>
      <c r="G29" s="13">
        <v>0.0</v>
      </c>
      <c r="H29" s="13">
        <v>0.0</v>
      </c>
      <c r="I29" s="13">
        <v>0.0</v>
      </c>
      <c r="J29" s="13">
        <v>0.0</v>
      </c>
      <c r="K29" s="13">
        <v>0.0</v>
      </c>
      <c r="L29" s="13">
        <v>0.0</v>
      </c>
      <c r="M29" s="13">
        <v>0.0</v>
      </c>
      <c r="N29" s="13">
        <v>0.0</v>
      </c>
      <c r="O29" s="18">
        <f t="shared" si="1"/>
        <v>0</v>
      </c>
      <c r="P29" s="18">
        <f t="shared" si="2"/>
        <v>0</v>
      </c>
      <c r="Q29" s="18">
        <f t="shared" si="3"/>
        <v>0</v>
      </c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1" t="s">
        <v>129</v>
      </c>
      <c r="B30" s="1" t="s">
        <v>130</v>
      </c>
      <c r="C30" s="13">
        <v>0.0</v>
      </c>
      <c r="D30" s="13">
        <v>0.0</v>
      </c>
      <c r="E30" s="13">
        <v>0.0</v>
      </c>
      <c r="F30" s="13">
        <v>0.0</v>
      </c>
      <c r="G30" s="13">
        <v>0.0</v>
      </c>
      <c r="H30" s="13">
        <v>0.0</v>
      </c>
      <c r="I30" s="13">
        <v>0.0</v>
      </c>
      <c r="J30" s="13">
        <v>0.0</v>
      </c>
      <c r="K30" s="13">
        <v>0.0</v>
      </c>
      <c r="L30" s="13">
        <v>0.0</v>
      </c>
      <c r="M30" s="13">
        <v>0.0</v>
      </c>
      <c r="N30" s="13">
        <v>0.0</v>
      </c>
      <c r="O30" s="18">
        <f t="shared" si="1"/>
        <v>0</v>
      </c>
      <c r="P30" s="18">
        <f t="shared" si="2"/>
        <v>0</v>
      </c>
      <c r="Q30" s="18">
        <f t="shared" si="3"/>
        <v>0</v>
      </c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1" t="s">
        <v>134</v>
      </c>
      <c r="B31" s="1" t="s">
        <v>135</v>
      </c>
      <c r="C31" s="13">
        <v>0.0</v>
      </c>
      <c r="D31" s="13">
        <v>0.0</v>
      </c>
      <c r="E31" s="13">
        <v>134.52</v>
      </c>
      <c r="F31" s="13">
        <v>0.0</v>
      </c>
      <c r="G31" s="13">
        <v>0.0</v>
      </c>
      <c r="H31" s="13">
        <v>0.0</v>
      </c>
      <c r="I31" s="13">
        <v>0.0</v>
      </c>
      <c r="J31" s="13">
        <v>0.0</v>
      </c>
      <c r="K31" s="13">
        <v>0.0</v>
      </c>
      <c r="L31" s="13">
        <v>0.0</v>
      </c>
      <c r="M31" s="13">
        <v>0.0</v>
      </c>
      <c r="N31" s="13">
        <v>0.0</v>
      </c>
      <c r="O31" s="18">
        <f t="shared" si="1"/>
        <v>134.52</v>
      </c>
      <c r="P31" s="18">
        <f t="shared" si="2"/>
        <v>13.452</v>
      </c>
      <c r="Q31" s="18">
        <f t="shared" si="3"/>
        <v>11.21</v>
      </c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1" t="s">
        <v>137</v>
      </c>
      <c r="B32" s="1" t="s">
        <v>138</v>
      </c>
      <c r="C32" s="13">
        <v>628.0</v>
      </c>
      <c r="D32" s="13">
        <v>101.0</v>
      </c>
      <c r="E32" s="13">
        <v>113.0</v>
      </c>
      <c r="F32" s="13">
        <v>26.5</v>
      </c>
      <c r="G32" s="13">
        <v>88.0</v>
      </c>
      <c r="H32" s="13">
        <v>80.0</v>
      </c>
      <c r="I32" s="13">
        <v>105.0</v>
      </c>
      <c r="J32" s="13">
        <v>10.0</v>
      </c>
      <c r="K32" s="13">
        <v>0.0</v>
      </c>
      <c r="L32" s="13">
        <v>0.0</v>
      </c>
      <c r="M32" s="13">
        <v>0.0</v>
      </c>
      <c r="N32" s="13">
        <v>0.0</v>
      </c>
      <c r="O32" s="18">
        <f t="shared" si="1"/>
        <v>1151.5</v>
      </c>
      <c r="P32" s="18">
        <f t="shared" si="2"/>
        <v>115.15</v>
      </c>
      <c r="Q32" s="18">
        <f t="shared" si="3"/>
        <v>95.95833333</v>
      </c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1" t="s">
        <v>140</v>
      </c>
      <c r="B33" s="1" t="s">
        <v>141</v>
      </c>
      <c r="C33" s="13">
        <v>0.0</v>
      </c>
      <c r="D33" s="13">
        <v>80.0</v>
      </c>
      <c r="E33" s="13">
        <v>0.0</v>
      </c>
      <c r="F33" s="13">
        <v>128.0</v>
      </c>
      <c r="G33" s="13">
        <v>80.0</v>
      </c>
      <c r="H33" s="13">
        <v>0.0</v>
      </c>
      <c r="I33" s="13">
        <v>0.0</v>
      </c>
      <c r="J33" s="13">
        <v>0.0</v>
      </c>
      <c r="K33" s="13">
        <v>0.0</v>
      </c>
      <c r="L33" s="13">
        <v>20.0</v>
      </c>
      <c r="M33" s="13">
        <v>0.0</v>
      </c>
      <c r="N33" s="13">
        <v>0.0</v>
      </c>
      <c r="O33" s="18">
        <f t="shared" si="1"/>
        <v>308</v>
      </c>
      <c r="P33" s="18">
        <f t="shared" si="2"/>
        <v>30.8</v>
      </c>
      <c r="Q33" s="18">
        <f t="shared" si="3"/>
        <v>25.66666667</v>
      </c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1" t="s">
        <v>144</v>
      </c>
      <c r="B34" s="1" t="s">
        <v>145</v>
      </c>
      <c r="C34" s="13">
        <v>0.0</v>
      </c>
      <c r="D34" s="13">
        <v>4480.75</v>
      </c>
      <c r="E34" s="13">
        <v>3759.0</v>
      </c>
      <c r="F34" s="13">
        <v>4800.0</v>
      </c>
      <c r="G34" s="13">
        <v>2325.0</v>
      </c>
      <c r="H34" s="13">
        <v>2925.0</v>
      </c>
      <c r="I34" s="13">
        <v>2609.0</v>
      </c>
      <c r="J34" s="13">
        <v>3525.0</v>
      </c>
      <c r="K34" s="13">
        <v>4350.0</v>
      </c>
      <c r="L34" s="13">
        <v>1000.0</v>
      </c>
      <c r="M34" s="13">
        <v>0.0</v>
      </c>
      <c r="N34" s="13">
        <v>0.0</v>
      </c>
      <c r="O34" s="18">
        <f t="shared" si="1"/>
        <v>29773.75</v>
      </c>
      <c r="P34" s="18">
        <f t="shared" si="2"/>
        <v>2977.375</v>
      </c>
      <c r="Q34" s="18">
        <f t="shared" si="3"/>
        <v>2481.145833</v>
      </c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1" t="s">
        <v>147</v>
      </c>
      <c r="B35" s="1" t="s">
        <v>148</v>
      </c>
      <c r="C35" s="13">
        <v>0.0</v>
      </c>
      <c r="D35" s="13">
        <v>0.0</v>
      </c>
      <c r="E35" s="13">
        <v>0.0</v>
      </c>
      <c r="F35" s="13">
        <v>0.0</v>
      </c>
      <c r="G35" s="13">
        <v>0.0</v>
      </c>
      <c r="H35" s="13">
        <v>0.0</v>
      </c>
      <c r="I35" s="13">
        <v>0.0</v>
      </c>
      <c r="J35" s="13">
        <v>0.0</v>
      </c>
      <c r="K35" s="13">
        <v>0.0</v>
      </c>
      <c r="L35" s="13">
        <v>0.0</v>
      </c>
      <c r="M35" s="13">
        <v>0.0</v>
      </c>
      <c r="N35" s="13">
        <v>0.0</v>
      </c>
      <c r="O35" s="18">
        <f t="shared" si="1"/>
        <v>0</v>
      </c>
      <c r="P35" s="18">
        <f t="shared" si="2"/>
        <v>0</v>
      </c>
      <c r="Q35" s="18">
        <f t="shared" si="3"/>
        <v>0</v>
      </c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1" t="s">
        <v>149</v>
      </c>
      <c r="B36" s="1" t="s">
        <v>150</v>
      </c>
      <c r="C36" s="13">
        <v>0.0</v>
      </c>
      <c r="D36" s="13">
        <v>0.0</v>
      </c>
      <c r="E36" s="13">
        <v>0.0</v>
      </c>
      <c r="F36" s="13">
        <v>0.0</v>
      </c>
      <c r="G36" s="13">
        <v>0.0</v>
      </c>
      <c r="H36" s="13">
        <v>0.0</v>
      </c>
      <c r="I36" s="13">
        <v>0.0</v>
      </c>
      <c r="J36" s="13">
        <v>0.0</v>
      </c>
      <c r="K36" s="13">
        <v>0.0</v>
      </c>
      <c r="L36" s="13">
        <v>0.0</v>
      </c>
      <c r="M36" s="13">
        <v>0.0</v>
      </c>
      <c r="N36" s="13">
        <v>0.0</v>
      </c>
      <c r="O36" s="18">
        <f t="shared" si="1"/>
        <v>0</v>
      </c>
      <c r="P36" s="18">
        <f t="shared" si="2"/>
        <v>0</v>
      </c>
      <c r="Q36" s="18">
        <f t="shared" si="3"/>
        <v>0</v>
      </c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1" t="s">
        <v>152</v>
      </c>
      <c r="B37" s="1" t="s">
        <v>153</v>
      </c>
      <c r="C37" s="13">
        <v>400.0</v>
      </c>
      <c r="D37" s="13">
        <v>0.0</v>
      </c>
      <c r="E37" s="13">
        <v>0.0</v>
      </c>
      <c r="F37" s="13">
        <v>0.0</v>
      </c>
      <c r="G37" s="13">
        <v>40.0</v>
      </c>
      <c r="H37" s="13">
        <v>0.0</v>
      </c>
      <c r="I37" s="13">
        <v>0.0</v>
      </c>
      <c r="J37" s="13">
        <v>0.0</v>
      </c>
      <c r="K37" s="13">
        <v>39.5</v>
      </c>
      <c r="L37" s="13">
        <v>0.0</v>
      </c>
      <c r="M37" s="13">
        <v>0.0</v>
      </c>
      <c r="N37" s="13">
        <v>0.0</v>
      </c>
      <c r="O37" s="18">
        <f t="shared" si="1"/>
        <v>479.5</v>
      </c>
      <c r="P37" s="18">
        <f t="shared" si="2"/>
        <v>47.95</v>
      </c>
      <c r="Q37" s="18">
        <f t="shared" si="3"/>
        <v>39.95833333</v>
      </c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1" t="s">
        <v>155</v>
      </c>
      <c r="B38" s="1" t="s">
        <v>156</v>
      </c>
      <c r="C38" s="13">
        <v>0.0</v>
      </c>
      <c r="D38" s="13">
        <v>0.0</v>
      </c>
      <c r="E38" s="13">
        <v>0.0</v>
      </c>
      <c r="F38" s="13">
        <v>0.0</v>
      </c>
      <c r="G38" s="13">
        <v>0.0</v>
      </c>
      <c r="H38" s="13">
        <v>0.0</v>
      </c>
      <c r="I38" s="13">
        <v>0.0</v>
      </c>
      <c r="J38" s="13">
        <v>0.0</v>
      </c>
      <c r="K38" s="13">
        <v>0.0</v>
      </c>
      <c r="L38" s="13">
        <v>0.0</v>
      </c>
      <c r="M38" s="13">
        <v>0.0</v>
      </c>
      <c r="N38" s="13">
        <v>0.0</v>
      </c>
      <c r="O38" s="18">
        <f t="shared" si="1"/>
        <v>0</v>
      </c>
      <c r="P38" s="18">
        <f t="shared" si="2"/>
        <v>0</v>
      </c>
      <c r="Q38" s="18">
        <f t="shared" si="3"/>
        <v>0</v>
      </c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1" t="s">
        <v>159</v>
      </c>
      <c r="B39" s="1" t="s">
        <v>160</v>
      </c>
      <c r="C39" s="13">
        <v>0.0</v>
      </c>
      <c r="D39" s="13">
        <v>0.0</v>
      </c>
      <c r="E39" s="13">
        <v>0.0</v>
      </c>
      <c r="F39" s="13">
        <v>0.0</v>
      </c>
      <c r="G39" s="13">
        <v>0.0</v>
      </c>
      <c r="H39" s="13">
        <v>0.0</v>
      </c>
      <c r="I39" s="13">
        <v>0.0</v>
      </c>
      <c r="J39" s="13">
        <v>0.0</v>
      </c>
      <c r="K39" s="13">
        <v>0.0</v>
      </c>
      <c r="L39" s="13">
        <v>0.0</v>
      </c>
      <c r="M39" s="13">
        <v>0.0</v>
      </c>
      <c r="N39" s="13">
        <v>0.0</v>
      </c>
      <c r="O39" s="18">
        <f t="shared" si="1"/>
        <v>0</v>
      </c>
      <c r="P39" s="18">
        <f t="shared" si="2"/>
        <v>0</v>
      </c>
      <c r="Q39" s="18">
        <f t="shared" si="3"/>
        <v>0</v>
      </c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1" t="s">
        <v>163</v>
      </c>
      <c r="B40" s="1" t="s">
        <v>164</v>
      </c>
      <c r="C40" s="13">
        <v>0.0</v>
      </c>
      <c r="D40" s="13">
        <v>0.0</v>
      </c>
      <c r="E40" s="13">
        <v>0.0</v>
      </c>
      <c r="F40" s="13">
        <v>0.0</v>
      </c>
      <c r="G40" s="13">
        <v>90.0</v>
      </c>
      <c r="H40" s="13">
        <v>0.0</v>
      </c>
      <c r="I40" s="13">
        <v>376.0</v>
      </c>
      <c r="J40" s="13">
        <v>226.0</v>
      </c>
      <c r="K40" s="13">
        <v>0.0</v>
      </c>
      <c r="L40" s="13">
        <v>0.0</v>
      </c>
      <c r="M40" s="13">
        <v>0.0</v>
      </c>
      <c r="N40" s="13">
        <v>0.0</v>
      </c>
      <c r="O40" s="18">
        <f t="shared" si="1"/>
        <v>692</v>
      </c>
      <c r="P40" s="18">
        <f t="shared" si="2"/>
        <v>69.2</v>
      </c>
      <c r="Q40" s="18">
        <f t="shared" si="3"/>
        <v>57.66666667</v>
      </c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1" t="s">
        <v>167</v>
      </c>
      <c r="B41" s="1" t="s">
        <v>168</v>
      </c>
      <c r="C41" s="13">
        <v>0.0</v>
      </c>
      <c r="D41" s="13">
        <v>0.0</v>
      </c>
      <c r="E41" s="13">
        <v>0.0</v>
      </c>
      <c r="F41" s="13">
        <v>0.0</v>
      </c>
      <c r="G41" s="13">
        <v>0.0</v>
      </c>
      <c r="H41" s="13">
        <v>0.0</v>
      </c>
      <c r="I41" s="13">
        <v>75.0</v>
      </c>
      <c r="J41" s="13">
        <v>0.0</v>
      </c>
      <c r="K41" s="13">
        <v>0.0</v>
      </c>
      <c r="L41" s="13">
        <v>0.0</v>
      </c>
      <c r="M41" s="13">
        <v>0.0</v>
      </c>
      <c r="N41" s="13">
        <v>0.0</v>
      </c>
      <c r="O41" s="18">
        <f t="shared" si="1"/>
        <v>75</v>
      </c>
      <c r="P41" s="18">
        <f t="shared" si="2"/>
        <v>7.5</v>
      </c>
      <c r="Q41" s="18">
        <f t="shared" si="3"/>
        <v>6.25</v>
      </c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1" t="s">
        <v>171</v>
      </c>
      <c r="B42" s="1" t="s">
        <v>172</v>
      </c>
      <c r="C42" s="13">
        <v>0.0</v>
      </c>
      <c r="D42" s="13">
        <v>0.0</v>
      </c>
      <c r="E42" s="13">
        <v>0.0</v>
      </c>
      <c r="F42" s="13">
        <v>0.0</v>
      </c>
      <c r="G42" s="13">
        <v>0.0</v>
      </c>
      <c r="H42" s="13">
        <v>0.0</v>
      </c>
      <c r="I42" s="13">
        <v>616.0</v>
      </c>
      <c r="J42" s="13">
        <v>102.0</v>
      </c>
      <c r="K42" s="13">
        <v>290.0</v>
      </c>
      <c r="L42" s="13">
        <v>306.0</v>
      </c>
      <c r="M42" s="13">
        <v>0.0</v>
      </c>
      <c r="N42" s="13">
        <v>0.0</v>
      </c>
      <c r="O42" s="18">
        <f t="shared" si="1"/>
        <v>1314</v>
      </c>
      <c r="P42" s="18">
        <f t="shared" si="2"/>
        <v>131.4</v>
      </c>
      <c r="Q42" s="18">
        <f t="shared" si="3"/>
        <v>109.5</v>
      </c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1" t="s">
        <v>175</v>
      </c>
      <c r="B43" s="1" t="s">
        <v>176</v>
      </c>
      <c r="C43" s="13">
        <v>0.0</v>
      </c>
      <c r="D43" s="13">
        <v>0.0</v>
      </c>
      <c r="E43" s="13">
        <v>0.0</v>
      </c>
      <c r="F43" s="13">
        <v>0.0</v>
      </c>
      <c r="G43" s="13">
        <v>0.0</v>
      </c>
      <c r="H43" s="13">
        <v>0.0</v>
      </c>
      <c r="I43" s="13">
        <v>0.0</v>
      </c>
      <c r="J43" s="13">
        <v>0.0</v>
      </c>
      <c r="K43" s="13">
        <v>0.0</v>
      </c>
      <c r="L43" s="13">
        <v>0.0</v>
      </c>
      <c r="M43" s="13">
        <v>0.0</v>
      </c>
      <c r="N43" s="13">
        <v>0.0</v>
      </c>
      <c r="O43" s="18">
        <f t="shared" si="1"/>
        <v>0</v>
      </c>
      <c r="P43" s="18">
        <f t="shared" si="2"/>
        <v>0</v>
      </c>
      <c r="Q43" s="18">
        <f t="shared" si="3"/>
        <v>0</v>
      </c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1" t="s">
        <v>178</v>
      </c>
      <c r="B44" s="1" t="s">
        <v>179</v>
      </c>
      <c r="C44" s="13">
        <v>0.0</v>
      </c>
      <c r="D44" s="13">
        <v>0.0</v>
      </c>
      <c r="E44" s="13">
        <v>30.0</v>
      </c>
      <c r="F44" s="13">
        <v>0.0</v>
      </c>
      <c r="G44" s="13">
        <v>30.0</v>
      </c>
      <c r="H44" s="13">
        <v>0.0</v>
      </c>
      <c r="I44" s="13">
        <v>0.0</v>
      </c>
      <c r="J44" s="13">
        <v>0.0</v>
      </c>
      <c r="K44" s="13">
        <v>0.0</v>
      </c>
      <c r="L44" s="13">
        <v>697.0</v>
      </c>
      <c r="M44" s="13">
        <v>0.0</v>
      </c>
      <c r="N44" s="13">
        <v>0.0</v>
      </c>
      <c r="O44" s="18">
        <f t="shared" si="1"/>
        <v>757</v>
      </c>
      <c r="P44" s="18">
        <f t="shared" si="2"/>
        <v>75.7</v>
      </c>
      <c r="Q44" s="18">
        <f t="shared" si="3"/>
        <v>63.08333333</v>
      </c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1" t="s">
        <v>181</v>
      </c>
      <c r="B45" s="1" t="s">
        <v>182</v>
      </c>
      <c r="C45" s="13">
        <v>0.0</v>
      </c>
      <c r="D45" s="13">
        <v>0.0</v>
      </c>
      <c r="E45" s="13">
        <v>0.0</v>
      </c>
      <c r="F45" s="13">
        <v>0.0</v>
      </c>
      <c r="G45" s="13">
        <v>0.0</v>
      </c>
      <c r="H45" s="13">
        <v>0.0</v>
      </c>
      <c r="I45" s="13">
        <v>0.0</v>
      </c>
      <c r="J45" s="13">
        <v>0.0</v>
      </c>
      <c r="K45" s="13">
        <v>0.0</v>
      </c>
      <c r="L45" s="13">
        <v>0.0</v>
      </c>
      <c r="M45" s="13">
        <v>0.0</v>
      </c>
      <c r="N45" s="13">
        <v>0.0</v>
      </c>
      <c r="O45" s="18">
        <f t="shared" si="1"/>
        <v>0</v>
      </c>
      <c r="P45" s="18">
        <f t="shared" si="2"/>
        <v>0</v>
      </c>
      <c r="Q45" s="18">
        <f t="shared" si="3"/>
        <v>0</v>
      </c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1" t="s">
        <v>184</v>
      </c>
      <c r="B46" s="1" t="s">
        <v>185</v>
      </c>
      <c r="C46" s="13">
        <v>0.0</v>
      </c>
      <c r="D46" s="13">
        <v>0.0</v>
      </c>
      <c r="E46" s="13">
        <v>0.0</v>
      </c>
      <c r="F46" s="13">
        <v>0.0</v>
      </c>
      <c r="G46" s="13">
        <v>0.0</v>
      </c>
      <c r="H46" s="13">
        <v>0.0</v>
      </c>
      <c r="I46" s="13">
        <v>0.0</v>
      </c>
      <c r="J46" s="13">
        <v>0.0</v>
      </c>
      <c r="K46" s="13">
        <v>0.0</v>
      </c>
      <c r="L46" s="13">
        <v>0.0</v>
      </c>
      <c r="M46" s="13">
        <v>0.0</v>
      </c>
      <c r="N46" s="13">
        <v>0.0</v>
      </c>
      <c r="O46" s="18">
        <f t="shared" si="1"/>
        <v>0</v>
      </c>
      <c r="P46" s="18">
        <f t="shared" si="2"/>
        <v>0</v>
      </c>
      <c r="Q46" s="18">
        <f t="shared" si="3"/>
        <v>0</v>
      </c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1" t="s">
        <v>188</v>
      </c>
      <c r="B47" s="1" t="s">
        <v>189</v>
      </c>
      <c r="C47" s="13">
        <v>0.0</v>
      </c>
      <c r="D47" s="13">
        <v>0.0</v>
      </c>
      <c r="E47" s="13">
        <v>0.0</v>
      </c>
      <c r="F47" s="13">
        <v>0.0</v>
      </c>
      <c r="G47" s="13">
        <v>100.0</v>
      </c>
      <c r="H47" s="13">
        <v>0.0</v>
      </c>
      <c r="I47" s="13">
        <v>250.0</v>
      </c>
      <c r="J47" s="13">
        <v>2030.0</v>
      </c>
      <c r="K47" s="13">
        <v>600.0</v>
      </c>
      <c r="L47" s="13">
        <v>0.0</v>
      </c>
      <c r="M47" s="13">
        <v>0.0</v>
      </c>
      <c r="N47" s="13">
        <v>0.0</v>
      </c>
      <c r="O47" s="18">
        <f t="shared" si="1"/>
        <v>2980</v>
      </c>
      <c r="P47" s="18">
        <f t="shared" si="2"/>
        <v>298</v>
      </c>
      <c r="Q47" s="18">
        <f t="shared" si="3"/>
        <v>248.3333333</v>
      </c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1" t="s">
        <v>190</v>
      </c>
      <c r="B48" s="1" t="s">
        <v>192</v>
      </c>
      <c r="C48" s="13">
        <v>0.0</v>
      </c>
      <c r="D48" s="13">
        <v>270.0</v>
      </c>
      <c r="E48" s="13">
        <v>60.0</v>
      </c>
      <c r="F48" s="13">
        <v>20.0</v>
      </c>
      <c r="G48" s="13">
        <v>0.0</v>
      </c>
      <c r="H48" s="13">
        <v>0.0</v>
      </c>
      <c r="I48" s="13">
        <v>0.0</v>
      </c>
      <c r="J48" s="13">
        <v>0.0</v>
      </c>
      <c r="K48" s="13">
        <v>0.0</v>
      </c>
      <c r="L48" s="13">
        <v>0.0</v>
      </c>
      <c r="M48" s="13">
        <v>0.0</v>
      </c>
      <c r="N48" s="13">
        <v>0.0</v>
      </c>
      <c r="O48" s="18">
        <f t="shared" si="1"/>
        <v>350</v>
      </c>
      <c r="P48" s="18">
        <f t="shared" si="2"/>
        <v>35</v>
      </c>
      <c r="Q48" s="18">
        <f t="shared" si="3"/>
        <v>29.16666667</v>
      </c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1" t="s">
        <v>194</v>
      </c>
      <c r="B49" s="1" t="s">
        <v>195</v>
      </c>
      <c r="C49" s="13">
        <v>0.0</v>
      </c>
      <c r="D49" s="13">
        <v>0.0</v>
      </c>
      <c r="E49" s="13">
        <v>0.0</v>
      </c>
      <c r="F49" s="13">
        <v>0.0</v>
      </c>
      <c r="G49" s="13">
        <v>0.0</v>
      </c>
      <c r="H49" s="13">
        <v>0.0</v>
      </c>
      <c r="I49" s="13">
        <v>0.0</v>
      </c>
      <c r="J49" s="13">
        <v>0.0</v>
      </c>
      <c r="K49" s="13">
        <v>0.0</v>
      </c>
      <c r="L49" s="13">
        <v>0.0</v>
      </c>
      <c r="M49" s="13">
        <v>0.0</v>
      </c>
      <c r="N49" s="13">
        <v>0.0</v>
      </c>
      <c r="O49" s="18">
        <f t="shared" si="1"/>
        <v>0</v>
      </c>
      <c r="P49" s="18">
        <f t="shared" si="2"/>
        <v>0</v>
      </c>
      <c r="Q49" s="18">
        <f t="shared" si="3"/>
        <v>0</v>
      </c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1" t="s">
        <v>197</v>
      </c>
      <c r="B50" s="1" t="s">
        <v>198</v>
      </c>
      <c r="C50" s="13">
        <v>0.0</v>
      </c>
      <c r="D50" s="13">
        <v>0.0</v>
      </c>
      <c r="E50" s="13">
        <v>0.0</v>
      </c>
      <c r="F50" s="13">
        <v>0.0</v>
      </c>
      <c r="G50" s="13">
        <v>0.0</v>
      </c>
      <c r="H50" s="13">
        <v>0.0</v>
      </c>
      <c r="I50" s="13">
        <v>0.0</v>
      </c>
      <c r="J50" s="13">
        <v>0.0</v>
      </c>
      <c r="K50" s="13">
        <v>0.0</v>
      </c>
      <c r="L50" s="13">
        <v>0.0</v>
      </c>
      <c r="M50" s="13">
        <v>0.0</v>
      </c>
      <c r="N50" s="13">
        <v>0.0</v>
      </c>
      <c r="O50" s="18">
        <f t="shared" si="1"/>
        <v>0</v>
      </c>
      <c r="P50" s="18">
        <f t="shared" si="2"/>
        <v>0</v>
      </c>
      <c r="Q50" s="18">
        <f t="shared" si="3"/>
        <v>0</v>
      </c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1" t="s">
        <v>200</v>
      </c>
      <c r="B51" s="1" t="s">
        <v>201</v>
      </c>
      <c r="C51" s="13">
        <v>0.0</v>
      </c>
      <c r="D51" s="13">
        <v>0.0</v>
      </c>
      <c r="E51" s="13">
        <v>0.0</v>
      </c>
      <c r="F51" s="13">
        <v>0.0</v>
      </c>
      <c r="G51" s="13">
        <v>0.0</v>
      </c>
      <c r="H51" s="13">
        <v>0.0</v>
      </c>
      <c r="I51" s="13">
        <v>0.0</v>
      </c>
      <c r="J51" s="13">
        <v>0.0</v>
      </c>
      <c r="K51" s="13">
        <v>0.0</v>
      </c>
      <c r="L51" s="13">
        <v>0.0</v>
      </c>
      <c r="M51" s="13">
        <v>0.0</v>
      </c>
      <c r="N51" s="13">
        <v>0.0</v>
      </c>
      <c r="O51" s="18">
        <f t="shared" si="1"/>
        <v>0</v>
      </c>
      <c r="P51" s="18">
        <f t="shared" si="2"/>
        <v>0</v>
      </c>
      <c r="Q51" s="18">
        <f t="shared" si="3"/>
        <v>0</v>
      </c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1" t="s">
        <v>202</v>
      </c>
      <c r="B52" s="1" t="s">
        <v>203</v>
      </c>
      <c r="C52" s="13">
        <v>0.0</v>
      </c>
      <c r="D52" s="13">
        <v>0.0</v>
      </c>
      <c r="E52" s="13">
        <v>0.0</v>
      </c>
      <c r="F52" s="13">
        <v>0.0</v>
      </c>
      <c r="G52" s="13">
        <v>0.0</v>
      </c>
      <c r="H52" s="13">
        <v>0.0</v>
      </c>
      <c r="I52" s="13">
        <v>0.0</v>
      </c>
      <c r="J52" s="13">
        <v>0.0</v>
      </c>
      <c r="K52" s="13">
        <v>0.0</v>
      </c>
      <c r="L52" s="13">
        <v>0.0</v>
      </c>
      <c r="M52" s="13">
        <v>0.0</v>
      </c>
      <c r="N52" s="13">
        <v>0.0</v>
      </c>
      <c r="O52" s="18">
        <f t="shared" si="1"/>
        <v>0</v>
      </c>
      <c r="P52" s="18">
        <f t="shared" si="2"/>
        <v>0</v>
      </c>
      <c r="Q52" s="18">
        <f t="shared" si="3"/>
        <v>0</v>
      </c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1" t="s">
        <v>206</v>
      </c>
      <c r="B53" s="1" t="s">
        <v>207</v>
      </c>
      <c r="C53" s="13">
        <v>0.0</v>
      </c>
      <c r="D53" s="13">
        <v>0.0</v>
      </c>
      <c r="E53" s="13">
        <v>0.0</v>
      </c>
      <c r="F53" s="13">
        <v>0.0</v>
      </c>
      <c r="G53" s="13">
        <v>0.0</v>
      </c>
      <c r="H53" s="13">
        <v>0.0</v>
      </c>
      <c r="I53" s="13">
        <v>0.0</v>
      </c>
      <c r="J53" s="13">
        <v>0.0</v>
      </c>
      <c r="K53" s="13">
        <v>0.0</v>
      </c>
      <c r="L53" s="13">
        <v>0.0</v>
      </c>
      <c r="M53" s="13">
        <v>0.0</v>
      </c>
      <c r="N53" s="13">
        <v>0.0</v>
      </c>
      <c r="O53" s="18">
        <f t="shared" si="1"/>
        <v>0</v>
      </c>
      <c r="P53" s="18">
        <f t="shared" si="2"/>
        <v>0</v>
      </c>
      <c r="Q53" s="18">
        <f t="shared" si="3"/>
        <v>0</v>
      </c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1" t="s">
        <v>210</v>
      </c>
      <c r="B54" s="1" t="s">
        <v>211</v>
      </c>
      <c r="C54" s="13">
        <v>0.0</v>
      </c>
      <c r="D54" s="13">
        <v>0.0</v>
      </c>
      <c r="E54" s="13">
        <v>0.0</v>
      </c>
      <c r="F54" s="13">
        <v>0.0</v>
      </c>
      <c r="G54" s="13">
        <v>0.0</v>
      </c>
      <c r="H54" s="13">
        <v>0.0</v>
      </c>
      <c r="I54" s="13">
        <v>0.0</v>
      </c>
      <c r="J54" s="13">
        <v>0.0</v>
      </c>
      <c r="K54" s="13">
        <v>0.0</v>
      </c>
      <c r="L54" s="13">
        <v>0.0</v>
      </c>
      <c r="M54" s="13">
        <v>0.0</v>
      </c>
      <c r="N54" s="13">
        <v>0.0</v>
      </c>
      <c r="O54" s="18">
        <f t="shared" si="1"/>
        <v>0</v>
      </c>
      <c r="P54" s="18">
        <f t="shared" si="2"/>
        <v>0</v>
      </c>
      <c r="Q54" s="18">
        <f t="shared" si="3"/>
        <v>0</v>
      </c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1" t="s">
        <v>213</v>
      </c>
      <c r="B55" s="1" t="s">
        <v>214</v>
      </c>
      <c r="C55" s="13">
        <v>0.0</v>
      </c>
      <c r="D55" s="13">
        <v>0.0</v>
      </c>
      <c r="E55" s="13">
        <v>0.0</v>
      </c>
      <c r="F55" s="13">
        <v>0.0</v>
      </c>
      <c r="G55" s="13">
        <v>0.0</v>
      </c>
      <c r="H55" s="13">
        <v>0.0</v>
      </c>
      <c r="I55" s="13">
        <v>0.0</v>
      </c>
      <c r="J55" s="13">
        <v>0.0</v>
      </c>
      <c r="K55" s="13">
        <v>0.0</v>
      </c>
      <c r="L55" s="13">
        <v>0.0</v>
      </c>
      <c r="M55" s="13">
        <v>0.0</v>
      </c>
      <c r="N55" s="13">
        <v>0.0</v>
      </c>
      <c r="O55" s="18">
        <f t="shared" si="1"/>
        <v>0</v>
      </c>
      <c r="P55" s="18">
        <f t="shared" si="2"/>
        <v>0</v>
      </c>
      <c r="Q55" s="18">
        <f t="shared" si="3"/>
        <v>0</v>
      </c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1" t="s">
        <v>215</v>
      </c>
      <c r="B56" s="1" t="s">
        <v>216</v>
      </c>
      <c r="C56" s="13">
        <v>14.89</v>
      </c>
      <c r="D56" s="13">
        <v>16.47</v>
      </c>
      <c r="E56" s="13">
        <v>15.36</v>
      </c>
      <c r="F56" s="13">
        <v>14.53</v>
      </c>
      <c r="G56" s="13">
        <v>15.63</v>
      </c>
      <c r="H56" s="13">
        <v>15.41</v>
      </c>
      <c r="I56" s="13">
        <v>15.83</v>
      </c>
      <c r="J56" s="13">
        <v>17.32</v>
      </c>
      <c r="K56" s="13">
        <v>17.56</v>
      </c>
      <c r="L56" s="13">
        <v>0.0</v>
      </c>
      <c r="M56" s="13">
        <v>0.0</v>
      </c>
      <c r="N56" s="13">
        <v>0.0</v>
      </c>
      <c r="O56" s="18">
        <f t="shared" si="1"/>
        <v>143</v>
      </c>
      <c r="P56" s="18">
        <f t="shared" si="2"/>
        <v>14.3</v>
      </c>
      <c r="Q56" s="18">
        <f t="shared" si="3"/>
        <v>11.91666667</v>
      </c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1" t="s">
        <v>219</v>
      </c>
      <c r="B57" s="1" t="s">
        <v>220</v>
      </c>
      <c r="C57" s="13">
        <v>0.0</v>
      </c>
      <c r="D57" s="13">
        <v>0.0</v>
      </c>
      <c r="E57" s="13">
        <v>0.0</v>
      </c>
      <c r="F57" s="13">
        <v>0.0</v>
      </c>
      <c r="G57" s="13">
        <v>0.0</v>
      </c>
      <c r="H57" s="13">
        <v>0.0</v>
      </c>
      <c r="I57" s="13">
        <v>0.0</v>
      </c>
      <c r="J57" s="13">
        <v>0.0</v>
      </c>
      <c r="K57" s="13">
        <v>0.0</v>
      </c>
      <c r="L57" s="13">
        <v>0.0</v>
      </c>
      <c r="M57" s="13">
        <v>0.0</v>
      </c>
      <c r="N57" s="13">
        <v>0.0</v>
      </c>
      <c r="O57" s="18">
        <f t="shared" si="1"/>
        <v>0</v>
      </c>
      <c r="P57" s="18">
        <f t="shared" si="2"/>
        <v>0</v>
      </c>
      <c r="Q57" s="18">
        <f t="shared" si="3"/>
        <v>0</v>
      </c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1" t="s">
        <v>221</v>
      </c>
      <c r="B58" s="1" t="s">
        <v>222</v>
      </c>
      <c r="C58" s="13">
        <v>0.0</v>
      </c>
      <c r="D58" s="13">
        <v>0.0</v>
      </c>
      <c r="E58" s="13">
        <v>0.0</v>
      </c>
      <c r="F58" s="13">
        <v>0.0</v>
      </c>
      <c r="G58" s="13">
        <v>0.0</v>
      </c>
      <c r="H58" s="13">
        <v>0.0</v>
      </c>
      <c r="I58" s="13">
        <v>0.0</v>
      </c>
      <c r="J58" s="13">
        <v>0.0</v>
      </c>
      <c r="K58" s="13">
        <v>0.0</v>
      </c>
      <c r="L58" s="13">
        <v>0.0</v>
      </c>
      <c r="M58" s="13">
        <v>0.0</v>
      </c>
      <c r="N58" s="13">
        <v>0.0</v>
      </c>
      <c r="O58" s="18">
        <f t="shared" si="1"/>
        <v>0</v>
      </c>
      <c r="P58" s="18">
        <f t="shared" si="2"/>
        <v>0</v>
      </c>
      <c r="Q58" s="18">
        <f t="shared" si="3"/>
        <v>0</v>
      </c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1" t="s">
        <v>224</v>
      </c>
      <c r="B59" s="1" t="s">
        <v>225</v>
      </c>
      <c r="C59" s="13">
        <v>0.0</v>
      </c>
      <c r="D59" s="13">
        <v>0.0</v>
      </c>
      <c r="E59" s="13">
        <v>0.0</v>
      </c>
      <c r="F59" s="13">
        <v>0.0</v>
      </c>
      <c r="G59" s="13">
        <v>0.0</v>
      </c>
      <c r="H59" s="13">
        <v>0.0</v>
      </c>
      <c r="I59" s="13">
        <v>0.0</v>
      </c>
      <c r="J59" s="13">
        <v>0.0</v>
      </c>
      <c r="K59" s="13">
        <v>0.0</v>
      </c>
      <c r="L59" s="13">
        <v>0.0</v>
      </c>
      <c r="M59" s="13">
        <v>0.0</v>
      </c>
      <c r="N59" s="13">
        <v>0.0</v>
      </c>
      <c r="O59" s="18">
        <f t="shared" si="1"/>
        <v>0</v>
      </c>
      <c r="P59" s="18">
        <f t="shared" si="2"/>
        <v>0</v>
      </c>
      <c r="Q59" s="18">
        <f t="shared" si="3"/>
        <v>0</v>
      </c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1" t="s">
        <v>229</v>
      </c>
      <c r="B60" s="1" t="s">
        <v>230</v>
      </c>
      <c r="C60" s="13">
        <v>0.0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3">
        <v>0.0</v>
      </c>
      <c r="O60" s="18">
        <f t="shared" si="1"/>
        <v>0</v>
      </c>
      <c r="P60" s="18">
        <f t="shared" si="2"/>
        <v>0</v>
      </c>
      <c r="Q60" s="18">
        <f t="shared" si="3"/>
        <v>0</v>
      </c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1" t="s">
        <v>231</v>
      </c>
      <c r="B61" s="1" t="s">
        <v>233</v>
      </c>
      <c r="C61" s="13">
        <v>0.0</v>
      </c>
      <c r="D61" s="13">
        <v>0.0</v>
      </c>
      <c r="E61" s="13">
        <v>0.0</v>
      </c>
      <c r="F61" s="13">
        <v>0.0</v>
      </c>
      <c r="G61" s="13">
        <v>0.0</v>
      </c>
      <c r="H61" s="13">
        <v>0.0</v>
      </c>
      <c r="I61" s="13">
        <v>0.0</v>
      </c>
      <c r="J61" s="13">
        <v>0.0</v>
      </c>
      <c r="K61" s="13">
        <v>0.0</v>
      </c>
      <c r="L61" s="13">
        <v>0.0</v>
      </c>
      <c r="M61" s="13">
        <v>0.0</v>
      </c>
      <c r="N61" s="13">
        <v>0.0</v>
      </c>
      <c r="O61" s="18">
        <f t="shared" si="1"/>
        <v>0</v>
      </c>
      <c r="P61" s="18">
        <f t="shared" si="2"/>
        <v>0</v>
      </c>
      <c r="Q61" s="18">
        <f t="shared" si="3"/>
        <v>0</v>
      </c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1" t="s">
        <v>235</v>
      </c>
      <c r="B62" s="1" t="s">
        <v>236</v>
      </c>
      <c r="C62" s="13">
        <v>0.0</v>
      </c>
      <c r="D62" s="13">
        <v>0.0</v>
      </c>
      <c r="E62" s="13">
        <v>0.0</v>
      </c>
      <c r="F62" s="13">
        <v>0.0</v>
      </c>
      <c r="G62" s="13">
        <v>0.0</v>
      </c>
      <c r="H62" s="13">
        <v>0.0</v>
      </c>
      <c r="I62" s="13">
        <v>0.0</v>
      </c>
      <c r="J62" s="13">
        <v>0.0</v>
      </c>
      <c r="K62" s="13">
        <v>0.0</v>
      </c>
      <c r="L62" s="13">
        <v>0.0</v>
      </c>
      <c r="M62" s="13">
        <v>0.0</v>
      </c>
      <c r="N62" s="13">
        <v>0.0</v>
      </c>
      <c r="O62" s="18">
        <f t="shared" si="1"/>
        <v>0</v>
      </c>
      <c r="P62" s="18">
        <f t="shared" si="2"/>
        <v>0</v>
      </c>
      <c r="Q62" s="18">
        <f t="shared" si="3"/>
        <v>0</v>
      </c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1" t="s">
        <v>238</v>
      </c>
      <c r="B63" s="1" t="s">
        <v>239</v>
      </c>
      <c r="C63" s="13">
        <v>0.0</v>
      </c>
      <c r="D63" s="13">
        <v>0.0</v>
      </c>
      <c r="E63" s="13">
        <v>0.0</v>
      </c>
      <c r="F63" s="13">
        <v>0.0</v>
      </c>
      <c r="G63" s="13">
        <v>0.0</v>
      </c>
      <c r="H63" s="13">
        <v>0.0</v>
      </c>
      <c r="I63" s="13">
        <v>720.0</v>
      </c>
      <c r="J63" s="13">
        <v>0.0</v>
      </c>
      <c r="K63" s="13">
        <v>12440.0</v>
      </c>
      <c r="L63" s="13">
        <v>0.0</v>
      </c>
      <c r="M63" s="13">
        <v>0.0</v>
      </c>
      <c r="N63" s="13">
        <v>0.0</v>
      </c>
      <c r="O63" s="18">
        <f t="shared" si="1"/>
        <v>13160</v>
      </c>
      <c r="P63" s="18">
        <f t="shared" si="2"/>
        <v>1316</v>
      </c>
      <c r="Q63" s="18">
        <f t="shared" si="3"/>
        <v>1096.666667</v>
      </c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1" t="s">
        <v>240</v>
      </c>
      <c r="B64" s="1" t="s">
        <v>241</v>
      </c>
      <c r="C64" s="13">
        <v>0.0</v>
      </c>
      <c r="D64" s="13">
        <v>0.0</v>
      </c>
      <c r="E64" s="13">
        <v>0.0</v>
      </c>
      <c r="F64" s="13">
        <v>835.0</v>
      </c>
      <c r="G64" s="13">
        <v>5760.0</v>
      </c>
      <c r="H64" s="13">
        <v>98.0</v>
      </c>
      <c r="I64" s="13">
        <v>0.0</v>
      </c>
      <c r="J64" s="13">
        <v>0.0</v>
      </c>
      <c r="K64" s="13">
        <v>0.0</v>
      </c>
      <c r="L64" s="13">
        <v>0.0</v>
      </c>
      <c r="M64" s="13">
        <v>0.0</v>
      </c>
      <c r="N64" s="13">
        <v>0.0</v>
      </c>
      <c r="O64" s="18">
        <f t="shared" si="1"/>
        <v>6693</v>
      </c>
      <c r="P64" s="18">
        <f t="shared" si="2"/>
        <v>669.3</v>
      </c>
      <c r="Q64" s="18">
        <f t="shared" si="3"/>
        <v>557.75</v>
      </c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1" t="s">
        <v>243</v>
      </c>
      <c r="B65" s="1" t="s">
        <v>244</v>
      </c>
      <c r="C65" s="13">
        <v>0.0</v>
      </c>
      <c r="D65" s="13">
        <v>0.0</v>
      </c>
      <c r="E65" s="13">
        <v>0.0</v>
      </c>
      <c r="F65" s="13">
        <v>0.0</v>
      </c>
      <c r="G65" s="13">
        <v>0.0</v>
      </c>
      <c r="H65" s="13">
        <v>0.0</v>
      </c>
      <c r="I65" s="13">
        <v>0.0</v>
      </c>
      <c r="J65" s="13">
        <v>0.0</v>
      </c>
      <c r="K65" s="13">
        <v>6875.02</v>
      </c>
      <c r="L65" s="13">
        <v>0.0</v>
      </c>
      <c r="M65" s="13">
        <v>0.0</v>
      </c>
      <c r="N65" s="13">
        <v>0.0</v>
      </c>
      <c r="O65" s="18">
        <f t="shared" si="1"/>
        <v>6875.02</v>
      </c>
      <c r="P65" s="18">
        <f t="shared" si="2"/>
        <v>687.502</v>
      </c>
      <c r="Q65" s="18">
        <f t="shared" si="3"/>
        <v>572.9183333</v>
      </c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1" t="s">
        <v>247</v>
      </c>
      <c r="B66" s="1" t="s">
        <v>248</v>
      </c>
      <c r="C66" s="13">
        <v>0.0</v>
      </c>
      <c r="D66" s="13">
        <v>0.0</v>
      </c>
      <c r="E66" s="13">
        <v>0.0</v>
      </c>
      <c r="F66" s="13">
        <v>0.0</v>
      </c>
      <c r="G66" s="13">
        <v>0.0</v>
      </c>
      <c r="H66" s="13">
        <v>0.0</v>
      </c>
      <c r="I66" s="13">
        <v>0.0</v>
      </c>
      <c r="J66" s="13">
        <v>2500.0</v>
      </c>
      <c r="K66" s="13">
        <v>0.0</v>
      </c>
      <c r="L66" s="13">
        <v>0.0</v>
      </c>
      <c r="M66" s="13">
        <v>0.0</v>
      </c>
      <c r="N66" s="13">
        <v>0.0</v>
      </c>
      <c r="O66" s="18">
        <f t="shared" si="1"/>
        <v>2500</v>
      </c>
      <c r="P66" s="18">
        <f t="shared" si="2"/>
        <v>250</v>
      </c>
      <c r="Q66" s="18">
        <f t="shared" si="3"/>
        <v>208.3333333</v>
      </c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1" t="s">
        <v>251</v>
      </c>
      <c r="B67" s="1" t="s">
        <v>252</v>
      </c>
      <c r="C67" s="13">
        <v>0.0</v>
      </c>
      <c r="D67" s="13">
        <v>0.0</v>
      </c>
      <c r="E67" s="13">
        <v>0.0</v>
      </c>
      <c r="F67" s="13">
        <v>0.0</v>
      </c>
      <c r="G67" s="13">
        <v>0.0</v>
      </c>
      <c r="H67" s="13">
        <v>0.0</v>
      </c>
      <c r="I67" s="13">
        <v>0.0</v>
      </c>
      <c r="J67" s="13">
        <v>50.0</v>
      </c>
      <c r="K67" s="13">
        <v>1405.3</v>
      </c>
      <c r="L67" s="13">
        <v>0.0</v>
      </c>
      <c r="M67" s="13">
        <v>0.0</v>
      </c>
      <c r="N67" s="13">
        <v>0.0</v>
      </c>
      <c r="O67" s="18">
        <f t="shared" si="1"/>
        <v>1455.3</v>
      </c>
      <c r="P67" s="18">
        <f t="shared" si="2"/>
        <v>145.53</v>
      </c>
      <c r="Q67" s="18">
        <f t="shared" si="3"/>
        <v>121.275</v>
      </c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1" t="s">
        <v>253</v>
      </c>
      <c r="B68" s="1" t="s">
        <v>254</v>
      </c>
      <c r="C68" s="13">
        <v>0.0</v>
      </c>
      <c r="D68" s="13">
        <v>0.0</v>
      </c>
      <c r="E68" s="13">
        <v>0.0</v>
      </c>
      <c r="F68" s="13">
        <v>0.0</v>
      </c>
      <c r="G68" s="13">
        <v>0.0</v>
      </c>
      <c r="H68" s="13">
        <v>0.0</v>
      </c>
      <c r="I68" s="13">
        <v>0.0</v>
      </c>
      <c r="J68" s="13">
        <v>0.0</v>
      </c>
      <c r="K68" s="13">
        <v>2480.0</v>
      </c>
      <c r="L68" s="13">
        <v>9.0</v>
      </c>
      <c r="M68" s="13">
        <v>0.0</v>
      </c>
      <c r="N68" s="13">
        <v>0.0</v>
      </c>
      <c r="O68" s="18">
        <f t="shared" si="1"/>
        <v>2489</v>
      </c>
      <c r="P68" s="18">
        <f t="shared" si="2"/>
        <v>248.9</v>
      </c>
      <c r="Q68" s="18">
        <f t="shared" si="3"/>
        <v>207.4166667</v>
      </c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1" t="s">
        <v>257</v>
      </c>
      <c r="B69" s="1" t="s">
        <v>258</v>
      </c>
      <c r="C69" s="13">
        <v>0.0</v>
      </c>
      <c r="D69" s="13">
        <v>0.0</v>
      </c>
      <c r="E69" s="13">
        <v>0.0</v>
      </c>
      <c r="F69" s="13">
        <v>0.0</v>
      </c>
      <c r="G69" s="13">
        <v>0.0</v>
      </c>
      <c r="H69" s="13">
        <v>0.0</v>
      </c>
      <c r="I69" s="13">
        <v>0.0</v>
      </c>
      <c r="J69" s="13">
        <v>0.0</v>
      </c>
      <c r="K69" s="13">
        <v>0.0</v>
      </c>
      <c r="L69" s="13">
        <v>0.0</v>
      </c>
      <c r="M69" s="13">
        <v>0.0</v>
      </c>
      <c r="N69" s="13">
        <v>0.0</v>
      </c>
      <c r="O69" s="18">
        <f t="shared" si="1"/>
        <v>0</v>
      </c>
      <c r="P69" s="18">
        <f t="shared" si="2"/>
        <v>0</v>
      </c>
      <c r="Q69" s="18">
        <f t="shared" si="3"/>
        <v>0</v>
      </c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1" t="s">
        <v>260</v>
      </c>
      <c r="B70" s="1" t="s">
        <v>261</v>
      </c>
      <c r="C70" s="13">
        <v>0.0</v>
      </c>
      <c r="D70" s="13">
        <v>0.0</v>
      </c>
      <c r="E70" s="13">
        <v>0.0</v>
      </c>
      <c r="F70" s="13">
        <v>0.0</v>
      </c>
      <c r="G70" s="13">
        <v>0.0</v>
      </c>
      <c r="H70" s="13">
        <v>0.0</v>
      </c>
      <c r="I70" s="13">
        <v>0.0</v>
      </c>
      <c r="J70" s="13">
        <v>0.0</v>
      </c>
      <c r="K70" s="13">
        <v>0.0</v>
      </c>
      <c r="L70" s="13">
        <v>0.0</v>
      </c>
      <c r="M70" s="13">
        <v>0.0</v>
      </c>
      <c r="N70" s="13">
        <v>0.0</v>
      </c>
      <c r="O70" s="18">
        <f t="shared" si="1"/>
        <v>0</v>
      </c>
      <c r="P70" s="18">
        <f t="shared" si="2"/>
        <v>0</v>
      </c>
      <c r="Q70" s="18">
        <f t="shared" si="3"/>
        <v>0</v>
      </c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1" t="s">
        <v>262</v>
      </c>
      <c r="B71" s="1" t="s">
        <v>264</v>
      </c>
      <c r="C71" s="13">
        <v>0.0</v>
      </c>
      <c r="D71" s="13">
        <v>0.0</v>
      </c>
      <c r="E71" s="13">
        <v>0.0</v>
      </c>
      <c r="F71" s="13">
        <v>0.0</v>
      </c>
      <c r="G71" s="13">
        <v>0.0</v>
      </c>
      <c r="H71" s="13">
        <v>0.0</v>
      </c>
      <c r="I71" s="13">
        <v>0.0</v>
      </c>
      <c r="J71" s="13">
        <v>0.0</v>
      </c>
      <c r="K71" s="13">
        <v>0.0</v>
      </c>
      <c r="L71" s="13">
        <v>0.0</v>
      </c>
      <c r="M71" s="13">
        <v>0.0</v>
      </c>
      <c r="N71" s="13">
        <v>0.0</v>
      </c>
      <c r="O71" s="18">
        <f t="shared" si="1"/>
        <v>0</v>
      </c>
      <c r="P71" s="18">
        <f t="shared" si="2"/>
        <v>0</v>
      </c>
      <c r="Q71" s="18">
        <f t="shared" si="3"/>
        <v>0</v>
      </c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1" t="s">
        <v>265</v>
      </c>
      <c r="B72" s="1" t="s">
        <v>266</v>
      </c>
      <c r="C72" s="13">
        <v>0.0</v>
      </c>
      <c r="D72" s="13">
        <v>0.0</v>
      </c>
      <c r="E72" s="13">
        <v>0.0</v>
      </c>
      <c r="F72" s="13">
        <v>0.0</v>
      </c>
      <c r="G72" s="13">
        <v>0.0</v>
      </c>
      <c r="H72" s="13">
        <v>0.0</v>
      </c>
      <c r="I72" s="13">
        <v>0.0</v>
      </c>
      <c r="J72" s="13">
        <v>0.0</v>
      </c>
      <c r="K72" s="13">
        <v>0.0</v>
      </c>
      <c r="L72" s="13">
        <v>0.0</v>
      </c>
      <c r="M72" s="13">
        <v>0.0</v>
      </c>
      <c r="N72" s="13">
        <v>0.0</v>
      </c>
      <c r="O72" s="18">
        <f t="shared" si="1"/>
        <v>0</v>
      </c>
      <c r="P72" s="18">
        <f t="shared" si="2"/>
        <v>0</v>
      </c>
      <c r="Q72" s="18">
        <f t="shared" si="3"/>
        <v>0</v>
      </c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1" t="s">
        <v>268</v>
      </c>
      <c r="B73" s="1" t="s">
        <v>269</v>
      </c>
      <c r="C73" s="13">
        <v>0.0</v>
      </c>
      <c r="D73" s="13">
        <v>0.0</v>
      </c>
      <c r="E73" s="13">
        <v>0.0</v>
      </c>
      <c r="F73" s="13">
        <v>0.0</v>
      </c>
      <c r="G73" s="13">
        <v>0.0</v>
      </c>
      <c r="H73" s="13">
        <v>0.0</v>
      </c>
      <c r="I73" s="13">
        <v>0.0</v>
      </c>
      <c r="J73" s="13">
        <v>0.0</v>
      </c>
      <c r="K73" s="13">
        <v>0.0</v>
      </c>
      <c r="L73" s="13">
        <v>0.0</v>
      </c>
      <c r="M73" s="13">
        <v>0.0</v>
      </c>
      <c r="N73" s="13">
        <v>0.0</v>
      </c>
      <c r="O73" s="18">
        <f t="shared" si="1"/>
        <v>0</v>
      </c>
      <c r="P73" s="18">
        <f t="shared" si="2"/>
        <v>0</v>
      </c>
      <c r="Q73" s="18">
        <f t="shared" si="3"/>
        <v>0</v>
      </c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1" t="s">
        <v>270</v>
      </c>
      <c r="B74" s="1" t="s">
        <v>271</v>
      </c>
      <c r="C74" s="13">
        <v>0.0</v>
      </c>
      <c r="D74" s="13">
        <v>0.0</v>
      </c>
      <c r="E74" s="13">
        <v>0.0</v>
      </c>
      <c r="F74" s="13">
        <v>0.0</v>
      </c>
      <c r="G74" s="13">
        <v>0.0</v>
      </c>
      <c r="H74" s="13">
        <v>0.0</v>
      </c>
      <c r="I74" s="13">
        <v>0.0</v>
      </c>
      <c r="J74" s="13">
        <v>0.0</v>
      </c>
      <c r="K74" s="13">
        <v>0.0</v>
      </c>
      <c r="L74" s="13">
        <v>0.0</v>
      </c>
      <c r="M74" s="13">
        <v>0.0</v>
      </c>
      <c r="N74" s="13">
        <v>0.0</v>
      </c>
      <c r="O74" s="18">
        <f t="shared" si="1"/>
        <v>0</v>
      </c>
      <c r="P74" s="18">
        <f t="shared" si="2"/>
        <v>0</v>
      </c>
      <c r="Q74" s="18">
        <f t="shared" si="3"/>
        <v>0</v>
      </c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1" t="s">
        <v>272</v>
      </c>
      <c r="B75" s="1" t="s">
        <v>273</v>
      </c>
      <c r="C75" s="13">
        <v>0.0</v>
      </c>
      <c r="D75" s="13">
        <v>0.0</v>
      </c>
      <c r="E75" s="13">
        <v>0.0</v>
      </c>
      <c r="F75" s="13">
        <v>0.0</v>
      </c>
      <c r="G75" s="13">
        <v>0.0</v>
      </c>
      <c r="H75" s="13">
        <v>0.0</v>
      </c>
      <c r="I75" s="13">
        <v>0.0</v>
      </c>
      <c r="J75" s="13">
        <v>0.0</v>
      </c>
      <c r="K75" s="13">
        <v>0.0</v>
      </c>
      <c r="L75" s="13">
        <v>0.0</v>
      </c>
      <c r="M75" s="13">
        <v>0.0</v>
      </c>
      <c r="N75" s="13">
        <v>0.0</v>
      </c>
      <c r="O75" s="18">
        <f t="shared" si="1"/>
        <v>0</v>
      </c>
      <c r="P75" s="18">
        <f t="shared" si="2"/>
        <v>0</v>
      </c>
      <c r="Q75" s="18">
        <f t="shared" si="3"/>
        <v>0</v>
      </c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1" t="s">
        <v>274</v>
      </c>
      <c r="B76" s="1" t="s">
        <v>275</v>
      </c>
      <c r="C76" s="13">
        <v>0.0</v>
      </c>
      <c r="D76" s="13">
        <v>0.0</v>
      </c>
      <c r="E76" s="13">
        <v>0.0</v>
      </c>
      <c r="F76" s="13">
        <v>0.0</v>
      </c>
      <c r="G76" s="13">
        <v>0.0</v>
      </c>
      <c r="H76" s="13">
        <v>0.0</v>
      </c>
      <c r="I76" s="13">
        <v>0.0</v>
      </c>
      <c r="J76" s="13">
        <v>0.0</v>
      </c>
      <c r="K76" s="13">
        <v>0.0</v>
      </c>
      <c r="L76" s="13">
        <v>0.0</v>
      </c>
      <c r="M76" s="13">
        <v>0.0</v>
      </c>
      <c r="N76" s="13">
        <v>0.0</v>
      </c>
      <c r="O76" s="18">
        <f t="shared" si="1"/>
        <v>0</v>
      </c>
      <c r="P76" s="18">
        <f t="shared" si="2"/>
        <v>0</v>
      </c>
      <c r="Q76" s="18">
        <f t="shared" si="3"/>
        <v>0</v>
      </c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1" t="s">
        <v>276</v>
      </c>
      <c r="B77" s="1" t="s">
        <v>277</v>
      </c>
      <c r="C77" s="13">
        <v>29704.55</v>
      </c>
      <c r="D77" s="13">
        <v>5436.07</v>
      </c>
      <c r="E77" s="13">
        <v>6850.39</v>
      </c>
      <c r="F77" s="13">
        <v>1355.17</v>
      </c>
      <c r="G77" s="13">
        <v>1757.12</v>
      </c>
      <c r="H77" s="13">
        <v>0.0</v>
      </c>
      <c r="I77" s="13">
        <v>0.0</v>
      </c>
      <c r="J77" s="13">
        <v>2062.8</v>
      </c>
      <c r="K77" s="13">
        <v>478.25</v>
      </c>
      <c r="L77" s="13">
        <v>0.0</v>
      </c>
      <c r="M77" s="13">
        <v>0.0</v>
      </c>
      <c r="N77" s="13">
        <v>0.0</v>
      </c>
      <c r="O77" s="18">
        <f t="shared" si="1"/>
        <v>47644.35</v>
      </c>
      <c r="P77" s="18">
        <f t="shared" si="2"/>
        <v>4764.435</v>
      </c>
      <c r="Q77" s="18">
        <f t="shared" si="3"/>
        <v>3970.3625</v>
      </c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1" t="s">
        <v>278</v>
      </c>
      <c r="B78" s="1" t="s">
        <v>279</v>
      </c>
      <c r="C78" s="13">
        <v>0.0</v>
      </c>
      <c r="D78" s="13">
        <v>0.0</v>
      </c>
      <c r="E78" s="13">
        <v>0.0</v>
      </c>
      <c r="F78" s="13">
        <v>0.0</v>
      </c>
      <c r="G78" s="13">
        <v>0.0</v>
      </c>
      <c r="H78" s="13">
        <v>0.0</v>
      </c>
      <c r="I78" s="13">
        <v>0.0</v>
      </c>
      <c r="J78" s="13">
        <v>0.0</v>
      </c>
      <c r="K78" s="13">
        <v>0.0</v>
      </c>
      <c r="L78" s="13">
        <v>0.0</v>
      </c>
      <c r="M78" s="13">
        <v>0.0</v>
      </c>
      <c r="N78" s="13">
        <v>0.0</v>
      </c>
      <c r="O78" s="18">
        <f t="shared" si="1"/>
        <v>0</v>
      </c>
      <c r="P78" s="18">
        <f t="shared" si="2"/>
        <v>0</v>
      </c>
      <c r="Q78" s="18">
        <f t="shared" si="3"/>
        <v>0</v>
      </c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1" t="s">
        <v>280</v>
      </c>
      <c r="B79" s="1" t="s">
        <v>281</v>
      </c>
      <c r="C79" s="13">
        <v>0.0</v>
      </c>
      <c r="D79" s="13">
        <v>0.0</v>
      </c>
      <c r="E79" s="13">
        <v>0.0</v>
      </c>
      <c r="F79" s="13">
        <v>0.0</v>
      </c>
      <c r="G79" s="13">
        <v>0.0</v>
      </c>
      <c r="H79" s="13">
        <v>0.0</v>
      </c>
      <c r="I79" s="13">
        <v>0.0</v>
      </c>
      <c r="J79" s="13">
        <v>0.0</v>
      </c>
      <c r="K79" s="13">
        <v>0.0</v>
      </c>
      <c r="L79" s="13">
        <v>0.0</v>
      </c>
      <c r="M79" s="13">
        <v>0.0</v>
      </c>
      <c r="N79" s="13">
        <v>0.0</v>
      </c>
      <c r="O79" s="18">
        <f t="shared" si="1"/>
        <v>0</v>
      </c>
      <c r="P79" s="18">
        <f t="shared" si="2"/>
        <v>0</v>
      </c>
      <c r="Q79" s="18">
        <f t="shared" si="3"/>
        <v>0</v>
      </c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1" t="s">
        <v>282</v>
      </c>
      <c r="B80" s="1" t="s">
        <v>77</v>
      </c>
      <c r="C80" s="13">
        <v>0.0</v>
      </c>
      <c r="D80" s="13">
        <v>0.0</v>
      </c>
      <c r="E80" s="13">
        <v>0.0</v>
      </c>
      <c r="F80" s="13">
        <v>0.0</v>
      </c>
      <c r="G80" s="13">
        <v>0.0</v>
      </c>
      <c r="H80" s="13">
        <v>0.0</v>
      </c>
      <c r="I80" s="13">
        <v>0.0</v>
      </c>
      <c r="J80" s="13">
        <v>0.0</v>
      </c>
      <c r="K80" s="13">
        <v>0.0</v>
      </c>
      <c r="L80" s="13">
        <v>0.0</v>
      </c>
      <c r="M80" s="13">
        <v>0.0</v>
      </c>
      <c r="N80" s="13">
        <v>0.0</v>
      </c>
      <c r="O80" s="18">
        <f t="shared" si="1"/>
        <v>0</v>
      </c>
      <c r="P80" s="18">
        <f t="shared" si="2"/>
        <v>0</v>
      </c>
      <c r="Q80" s="18">
        <f t="shared" si="3"/>
        <v>0</v>
      </c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24"/>
      <c r="B81" s="24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1" t="s">
        <v>77</v>
      </c>
      <c r="B82" s="1" t="s">
        <v>115</v>
      </c>
      <c r="C82" s="13">
        <f t="shared" ref="C82:N82" si="4">ROUND(SUBTOTAL(9, C2:C81), 5)</f>
        <v>40826.44</v>
      </c>
      <c r="D82" s="13">
        <f t="shared" si="4"/>
        <v>80337.45</v>
      </c>
      <c r="E82" s="13">
        <f t="shared" si="4"/>
        <v>120831.79</v>
      </c>
      <c r="F82" s="13">
        <f t="shared" si="4"/>
        <v>110353.79</v>
      </c>
      <c r="G82" s="13">
        <f t="shared" si="4"/>
        <v>127920.16</v>
      </c>
      <c r="H82" s="13">
        <f t="shared" si="4"/>
        <v>108140.4</v>
      </c>
      <c r="I82" s="13">
        <f t="shared" si="4"/>
        <v>115829.25</v>
      </c>
      <c r="J82" s="13">
        <f t="shared" si="4"/>
        <v>115116.91</v>
      </c>
      <c r="K82" s="13">
        <f t="shared" si="4"/>
        <v>132785.38</v>
      </c>
      <c r="L82" s="13">
        <f t="shared" si="4"/>
        <v>2111.5</v>
      </c>
      <c r="M82" s="13">
        <f t="shared" si="4"/>
        <v>0</v>
      </c>
      <c r="N82" s="13">
        <f t="shared" si="4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24"/>
      <c r="B83" s="24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3" t="s">
        <v>77</v>
      </c>
      <c r="B84" s="6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1" t="s">
        <v>283</v>
      </c>
      <c r="B85" s="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1" t="s">
        <v>284</v>
      </c>
      <c r="B86" s="1" t="s">
        <v>285</v>
      </c>
      <c r="C86" s="13">
        <v>0.0</v>
      </c>
      <c r="D86" s="13">
        <v>0.0</v>
      </c>
      <c r="E86" s="13">
        <v>0.0</v>
      </c>
      <c r="F86" s="13">
        <v>0.0</v>
      </c>
      <c r="G86" s="13">
        <v>0.0</v>
      </c>
      <c r="H86" s="13">
        <v>0.0</v>
      </c>
      <c r="I86" s="13">
        <v>0.0</v>
      </c>
      <c r="J86" s="13">
        <v>0.0</v>
      </c>
      <c r="K86" s="13">
        <v>0.0</v>
      </c>
      <c r="L86" s="13">
        <v>0.0</v>
      </c>
      <c r="M86" s="13">
        <v>0.0</v>
      </c>
      <c r="N86" s="13">
        <v>0.0</v>
      </c>
      <c r="O86" s="18">
        <f t="shared" ref="O86:O111" si="5">+SUM(C86:N86)</f>
        <v>0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1" t="s">
        <v>286</v>
      </c>
      <c r="B87" s="1" t="s">
        <v>287</v>
      </c>
      <c r="C87" s="13">
        <v>0.0</v>
      </c>
      <c r="D87" s="13">
        <v>0.0</v>
      </c>
      <c r="E87" s="13">
        <v>0.0</v>
      </c>
      <c r="F87" s="13">
        <v>0.0</v>
      </c>
      <c r="G87" s="13">
        <v>0.0</v>
      </c>
      <c r="H87" s="13">
        <v>0.0</v>
      </c>
      <c r="I87" s="13">
        <v>0.0</v>
      </c>
      <c r="J87" s="13">
        <v>0.0</v>
      </c>
      <c r="K87" s="13">
        <v>0.0</v>
      </c>
      <c r="L87" s="13">
        <v>0.0</v>
      </c>
      <c r="M87" s="13">
        <v>0.0</v>
      </c>
      <c r="N87" s="13">
        <v>0.0</v>
      </c>
      <c r="O87" s="18">
        <f t="shared" si="5"/>
        <v>0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1" t="s">
        <v>288</v>
      </c>
      <c r="B88" s="1" t="s">
        <v>289</v>
      </c>
      <c r="C88" s="13">
        <v>0.0</v>
      </c>
      <c r="D88" s="13">
        <v>0.0</v>
      </c>
      <c r="E88" s="13">
        <v>0.0</v>
      </c>
      <c r="F88" s="13">
        <v>0.0</v>
      </c>
      <c r="G88" s="13">
        <v>0.0</v>
      </c>
      <c r="H88" s="13">
        <v>0.0</v>
      </c>
      <c r="I88" s="13">
        <v>0.0</v>
      </c>
      <c r="J88" s="13">
        <v>0.0</v>
      </c>
      <c r="K88" s="13">
        <v>0.0</v>
      </c>
      <c r="L88" s="13">
        <v>0.0</v>
      </c>
      <c r="M88" s="13">
        <v>0.0</v>
      </c>
      <c r="N88" s="13">
        <v>0.0</v>
      </c>
      <c r="O88" s="18">
        <f t="shared" si="5"/>
        <v>0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1" t="s">
        <v>290</v>
      </c>
      <c r="B89" s="1" t="s">
        <v>291</v>
      </c>
      <c r="C89" s="13">
        <v>0.0</v>
      </c>
      <c r="D89" s="13">
        <v>0.0</v>
      </c>
      <c r="E89" s="13">
        <v>0.0</v>
      </c>
      <c r="F89" s="13">
        <v>0.0</v>
      </c>
      <c r="G89" s="13">
        <v>0.0</v>
      </c>
      <c r="H89" s="13">
        <v>0.0</v>
      </c>
      <c r="I89" s="13">
        <v>0.0</v>
      </c>
      <c r="J89" s="13">
        <v>0.0</v>
      </c>
      <c r="K89" s="13">
        <v>0.0</v>
      </c>
      <c r="L89" s="13">
        <v>0.0</v>
      </c>
      <c r="M89" s="13">
        <v>0.0</v>
      </c>
      <c r="N89" s="13">
        <v>0.0</v>
      </c>
      <c r="O89" s="18">
        <f t="shared" si="5"/>
        <v>0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1" t="s">
        <v>292</v>
      </c>
      <c r="B90" s="1" t="s">
        <v>293</v>
      </c>
      <c r="C90" s="13">
        <v>0.0</v>
      </c>
      <c r="D90" s="13">
        <v>0.0</v>
      </c>
      <c r="E90" s="13">
        <v>0.0</v>
      </c>
      <c r="F90" s="13">
        <v>0.0</v>
      </c>
      <c r="G90" s="13">
        <v>0.0</v>
      </c>
      <c r="H90" s="13">
        <v>0.0</v>
      </c>
      <c r="I90" s="13">
        <v>0.0</v>
      </c>
      <c r="J90" s="13">
        <v>0.0</v>
      </c>
      <c r="K90" s="13">
        <v>0.0</v>
      </c>
      <c r="L90" s="13">
        <v>0.0</v>
      </c>
      <c r="M90" s="13">
        <v>0.0</v>
      </c>
      <c r="N90" s="13">
        <v>0.0</v>
      </c>
      <c r="O90" s="18">
        <f t="shared" si="5"/>
        <v>0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1" t="s">
        <v>294</v>
      </c>
      <c r="B91" s="1" t="s">
        <v>295</v>
      </c>
      <c r="C91" s="13">
        <v>0.0</v>
      </c>
      <c r="D91" s="13">
        <v>0.0</v>
      </c>
      <c r="E91" s="13">
        <v>0.0</v>
      </c>
      <c r="F91" s="13">
        <v>0.0</v>
      </c>
      <c r="G91" s="13">
        <v>0.0</v>
      </c>
      <c r="H91" s="13">
        <v>0.0</v>
      </c>
      <c r="I91" s="13">
        <v>0.0</v>
      </c>
      <c r="J91" s="13">
        <v>0.0</v>
      </c>
      <c r="K91" s="13">
        <v>0.0</v>
      </c>
      <c r="L91" s="13">
        <v>0.0</v>
      </c>
      <c r="M91" s="13">
        <v>0.0</v>
      </c>
      <c r="N91" s="13">
        <v>0.0</v>
      </c>
      <c r="O91" s="18">
        <f t="shared" si="5"/>
        <v>0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1" t="s">
        <v>296</v>
      </c>
      <c r="B92" s="1" t="s">
        <v>297</v>
      </c>
      <c r="C92" s="13">
        <v>0.0</v>
      </c>
      <c r="D92" s="13">
        <v>0.0</v>
      </c>
      <c r="E92" s="13">
        <v>0.0</v>
      </c>
      <c r="F92" s="13">
        <v>0.0</v>
      </c>
      <c r="G92" s="13">
        <v>0.0</v>
      </c>
      <c r="H92" s="13">
        <v>0.0</v>
      </c>
      <c r="I92" s="13">
        <v>0.0</v>
      </c>
      <c r="J92" s="13">
        <v>0.0</v>
      </c>
      <c r="K92" s="13">
        <v>0.0</v>
      </c>
      <c r="L92" s="13">
        <v>0.0</v>
      </c>
      <c r="M92" s="13">
        <v>0.0</v>
      </c>
      <c r="N92" s="13">
        <v>0.0</v>
      </c>
      <c r="O92" s="18">
        <f t="shared" si="5"/>
        <v>0</v>
      </c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1" t="s">
        <v>298</v>
      </c>
      <c r="B93" s="1" t="s">
        <v>299</v>
      </c>
      <c r="C93" s="13">
        <v>0.0</v>
      </c>
      <c r="D93" s="13">
        <v>0.0</v>
      </c>
      <c r="E93" s="13">
        <v>0.0</v>
      </c>
      <c r="F93" s="13">
        <v>0.0</v>
      </c>
      <c r="G93" s="13">
        <v>0.0</v>
      </c>
      <c r="H93" s="13">
        <v>0.0</v>
      </c>
      <c r="I93" s="13">
        <v>0.0</v>
      </c>
      <c r="J93" s="13">
        <v>0.0</v>
      </c>
      <c r="K93" s="13">
        <v>0.0</v>
      </c>
      <c r="L93" s="13">
        <v>0.0</v>
      </c>
      <c r="M93" s="13">
        <v>0.0</v>
      </c>
      <c r="N93" s="13">
        <v>0.0</v>
      </c>
      <c r="O93" s="18">
        <f t="shared" si="5"/>
        <v>0</v>
      </c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1" t="s">
        <v>300</v>
      </c>
      <c r="B94" s="1" t="s">
        <v>301</v>
      </c>
      <c r="C94" s="13">
        <v>0.0</v>
      </c>
      <c r="D94" s="13">
        <v>0.0</v>
      </c>
      <c r="E94" s="13">
        <v>0.0</v>
      </c>
      <c r="F94" s="13">
        <v>0.0</v>
      </c>
      <c r="G94" s="13">
        <v>4040.26</v>
      </c>
      <c r="H94" s="13">
        <v>18.75</v>
      </c>
      <c r="I94" s="13">
        <v>0.0</v>
      </c>
      <c r="J94" s="13">
        <v>0.0</v>
      </c>
      <c r="K94" s="13">
        <v>0.0</v>
      </c>
      <c r="L94" s="13">
        <v>0.0</v>
      </c>
      <c r="M94" s="13">
        <v>0.0</v>
      </c>
      <c r="N94" s="13">
        <v>0.0</v>
      </c>
      <c r="O94" s="18">
        <f t="shared" si="5"/>
        <v>4059.01</v>
      </c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1" t="s">
        <v>302</v>
      </c>
      <c r="B95" s="1" t="s">
        <v>303</v>
      </c>
      <c r="C95" s="13">
        <v>0.0</v>
      </c>
      <c r="D95" s="13">
        <v>0.0</v>
      </c>
      <c r="E95" s="13">
        <v>0.0</v>
      </c>
      <c r="F95" s="13">
        <v>0.0</v>
      </c>
      <c r="G95" s="13">
        <v>0.0</v>
      </c>
      <c r="H95" s="13">
        <v>0.0</v>
      </c>
      <c r="I95" s="13">
        <v>0.0</v>
      </c>
      <c r="J95" s="13">
        <v>0.0</v>
      </c>
      <c r="K95" s="13">
        <v>0.0</v>
      </c>
      <c r="L95" s="13">
        <v>0.0</v>
      </c>
      <c r="M95" s="13">
        <v>0.0</v>
      </c>
      <c r="N95" s="13">
        <v>0.0</v>
      </c>
      <c r="O95" s="18">
        <f t="shared" si="5"/>
        <v>0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1" t="s">
        <v>304</v>
      </c>
      <c r="B96" s="1" t="s">
        <v>305</v>
      </c>
      <c r="C96" s="13">
        <v>0.0</v>
      </c>
      <c r="D96" s="13">
        <v>0.0</v>
      </c>
      <c r="E96" s="13">
        <v>0.0</v>
      </c>
      <c r="F96" s="13">
        <v>0.0</v>
      </c>
      <c r="G96" s="13">
        <v>0.0</v>
      </c>
      <c r="H96" s="13">
        <v>0.0</v>
      </c>
      <c r="I96" s="13">
        <v>0.0</v>
      </c>
      <c r="J96" s="13">
        <v>0.0</v>
      </c>
      <c r="K96" s="13">
        <v>0.0</v>
      </c>
      <c r="L96" s="13">
        <v>0.0</v>
      </c>
      <c r="M96" s="13">
        <v>0.0</v>
      </c>
      <c r="N96" s="13">
        <v>0.0</v>
      </c>
      <c r="O96" s="18">
        <f t="shared" si="5"/>
        <v>0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1" t="s">
        <v>306</v>
      </c>
      <c r="B97" s="1" t="s">
        <v>307</v>
      </c>
      <c r="C97" s="13">
        <v>0.0</v>
      </c>
      <c r="D97" s="13">
        <v>0.0</v>
      </c>
      <c r="E97" s="13">
        <v>0.0</v>
      </c>
      <c r="F97" s="13">
        <v>0.0</v>
      </c>
      <c r="G97" s="13">
        <v>0.0</v>
      </c>
      <c r="H97" s="13">
        <v>0.0</v>
      </c>
      <c r="I97" s="13">
        <v>45.0</v>
      </c>
      <c r="J97" s="13">
        <v>100.0</v>
      </c>
      <c r="K97" s="13">
        <v>3216.3</v>
      </c>
      <c r="L97" s="13">
        <v>0.0</v>
      </c>
      <c r="M97" s="13">
        <v>0.0</v>
      </c>
      <c r="N97" s="13">
        <v>0.0</v>
      </c>
      <c r="O97" s="18">
        <f t="shared" si="5"/>
        <v>3361.3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1" t="s">
        <v>308</v>
      </c>
      <c r="B98" s="1" t="s">
        <v>309</v>
      </c>
      <c r="C98" s="13">
        <v>0.0</v>
      </c>
      <c r="D98" s="13">
        <v>0.0</v>
      </c>
      <c r="E98" s="13">
        <v>0.0</v>
      </c>
      <c r="F98" s="13">
        <v>0.0</v>
      </c>
      <c r="G98" s="13">
        <v>0.0</v>
      </c>
      <c r="H98" s="13">
        <v>0.0</v>
      </c>
      <c r="I98" s="13">
        <v>0.0</v>
      </c>
      <c r="J98" s="13">
        <v>0.0</v>
      </c>
      <c r="K98" s="13">
        <v>0.0</v>
      </c>
      <c r="L98" s="13">
        <v>0.0</v>
      </c>
      <c r="M98" s="13">
        <v>0.0</v>
      </c>
      <c r="N98" s="13">
        <v>0.0</v>
      </c>
      <c r="O98" s="18">
        <f t="shared" si="5"/>
        <v>0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1" t="s">
        <v>310</v>
      </c>
      <c r="B99" s="1" t="s">
        <v>311</v>
      </c>
      <c r="C99" s="13">
        <v>0.0</v>
      </c>
      <c r="D99" s="13">
        <v>0.0</v>
      </c>
      <c r="E99" s="13">
        <v>0.0</v>
      </c>
      <c r="F99" s="13">
        <v>0.0</v>
      </c>
      <c r="G99" s="13">
        <v>0.0</v>
      </c>
      <c r="H99" s="13">
        <v>0.0</v>
      </c>
      <c r="I99" s="13">
        <v>0.0</v>
      </c>
      <c r="J99" s="13">
        <v>0.0</v>
      </c>
      <c r="K99" s="13">
        <v>0.0</v>
      </c>
      <c r="L99" s="13">
        <v>0.0</v>
      </c>
      <c r="M99" s="13">
        <v>0.0</v>
      </c>
      <c r="N99" s="13">
        <v>0.0</v>
      </c>
      <c r="O99" s="18">
        <f t="shared" si="5"/>
        <v>0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1" t="s">
        <v>313</v>
      </c>
      <c r="B100" s="1" t="s">
        <v>314</v>
      </c>
      <c r="C100" s="13">
        <v>0.0</v>
      </c>
      <c r="D100" s="13">
        <v>0.0</v>
      </c>
      <c r="E100" s="13">
        <v>0.0</v>
      </c>
      <c r="F100" s="13">
        <v>0.0</v>
      </c>
      <c r="G100" s="13">
        <v>0.0</v>
      </c>
      <c r="H100" s="13">
        <v>0.0</v>
      </c>
      <c r="I100" s="13">
        <v>0.0</v>
      </c>
      <c r="J100" s="13">
        <v>0.0</v>
      </c>
      <c r="K100" s="13">
        <v>0.0</v>
      </c>
      <c r="L100" s="13">
        <v>0.0</v>
      </c>
      <c r="M100" s="13">
        <v>0.0</v>
      </c>
      <c r="N100" s="13">
        <v>0.0</v>
      </c>
      <c r="O100" s="18">
        <f t="shared" si="5"/>
        <v>0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1" t="s">
        <v>315</v>
      </c>
      <c r="B101" s="1" t="s">
        <v>316</v>
      </c>
      <c r="C101" s="13">
        <v>0.0</v>
      </c>
      <c r="D101" s="13">
        <v>0.0</v>
      </c>
      <c r="E101" s="13">
        <v>0.0</v>
      </c>
      <c r="F101" s="13">
        <v>0.0</v>
      </c>
      <c r="G101" s="13">
        <v>0.0</v>
      </c>
      <c r="H101" s="13">
        <v>0.0</v>
      </c>
      <c r="I101" s="13">
        <v>0.0</v>
      </c>
      <c r="J101" s="13">
        <v>0.0</v>
      </c>
      <c r="K101" s="13">
        <v>0.0</v>
      </c>
      <c r="L101" s="13">
        <v>0.0</v>
      </c>
      <c r="M101" s="13">
        <v>0.0</v>
      </c>
      <c r="N101" s="13">
        <v>0.0</v>
      </c>
      <c r="O101" s="18">
        <f t="shared" si="5"/>
        <v>0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1" t="s">
        <v>317</v>
      </c>
      <c r="B102" s="1" t="s">
        <v>318</v>
      </c>
      <c r="C102" s="13">
        <v>0.0</v>
      </c>
      <c r="D102" s="13">
        <v>0.0</v>
      </c>
      <c r="E102" s="13">
        <v>0.0</v>
      </c>
      <c r="F102" s="13">
        <v>0.0</v>
      </c>
      <c r="G102" s="13">
        <v>0.0</v>
      </c>
      <c r="H102" s="13">
        <v>0.0</v>
      </c>
      <c r="I102" s="13">
        <v>0.0</v>
      </c>
      <c r="J102" s="13">
        <v>0.0</v>
      </c>
      <c r="K102" s="13">
        <v>0.0</v>
      </c>
      <c r="L102" s="13">
        <v>0.0</v>
      </c>
      <c r="M102" s="13">
        <v>0.0</v>
      </c>
      <c r="N102" s="13">
        <v>0.0</v>
      </c>
      <c r="O102" s="18">
        <f t="shared" si="5"/>
        <v>0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1" t="s">
        <v>320</v>
      </c>
      <c r="B103" s="1" t="s">
        <v>321</v>
      </c>
      <c r="C103" s="13">
        <v>0.0</v>
      </c>
      <c r="D103" s="13">
        <v>0.0</v>
      </c>
      <c r="E103" s="13">
        <v>0.0</v>
      </c>
      <c r="F103" s="13">
        <v>0.0</v>
      </c>
      <c r="G103" s="13">
        <v>0.0</v>
      </c>
      <c r="H103" s="13">
        <v>0.0</v>
      </c>
      <c r="I103" s="13">
        <v>0.0</v>
      </c>
      <c r="J103" s="13">
        <v>0.0</v>
      </c>
      <c r="K103" s="13">
        <v>0.0</v>
      </c>
      <c r="L103" s="13">
        <v>0.0</v>
      </c>
      <c r="M103" s="13">
        <v>0.0</v>
      </c>
      <c r="N103" s="13">
        <v>0.0</v>
      </c>
      <c r="O103" s="18">
        <f t="shared" si="5"/>
        <v>0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1" t="s">
        <v>323</v>
      </c>
      <c r="B104" s="1" t="s">
        <v>324</v>
      </c>
      <c r="C104" s="13">
        <v>0.0</v>
      </c>
      <c r="D104" s="13">
        <v>0.0</v>
      </c>
      <c r="E104" s="13">
        <v>0.0</v>
      </c>
      <c r="F104" s="13">
        <v>0.0</v>
      </c>
      <c r="G104" s="13">
        <v>0.0</v>
      </c>
      <c r="H104" s="13">
        <v>0.0</v>
      </c>
      <c r="I104" s="13">
        <v>0.0</v>
      </c>
      <c r="J104" s="13">
        <v>0.0</v>
      </c>
      <c r="K104" s="13">
        <v>0.0</v>
      </c>
      <c r="L104" s="13">
        <v>0.0</v>
      </c>
      <c r="M104" s="13">
        <v>0.0</v>
      </c>
      <c r="N104" s="13">
        <v>0.0</v>
      </c>
      <c r="O104" s="18">
        <f t="shared" si="5"/>
        <v>0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1" t="s">
        <v>325</v>
      </c>
      <c r="B105" s="1" t="s">
        <v>326</v>
      </c>
      <c r="C105" s="13">
        <v>0.0</v>
      </c>
      <c r="D105" s="13">
        <v>0.0</v>
      </c>
      <c r="E105" s="13">
        <v>0.0</v>
      </c>
      <c r="F105" s="13">
        <v>0.0</v>
      </c>
      <c r="G105" s="13">
        <v>0.0</v>
      </c>
      <c r="H105" s="13">
        <v>0.0</v>
      </c>
      <c r="I105" s="13">
        <v>0.0</v>
      </c>
      <c r="J105" s="13">
        <v>0.0</v>
      </c>
      <c r="K105" s="13">
        <v>0.0</v>
      </c>
      <c r="L105" s="13">
        <v>0.0</v>
      </c>
      <c r="M105" s="13">
        <v>0.0</v>
      </c>
      <c r="N105" s="13">
        <v>0.0</v>
      </c>
      <c r="O105" s="18">
        <f t="shared" si="5"/>
        <v>0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1" t="s">
        <v>327</v>
      </c>
      <c r="B106" s="1" t="s">
        <v>328</v>
      </c>
      <c r="C106" s="13">
        <v>0.0</v>
      </c>
      <c r="D106" s="13">
        <v>0.0</v>
      </c>
      <c r="E106" s="13">
        <v>245.52</v>
      </c>
      <c r="F106" s="13">
        <v>20.0</v>
      </c>
      <c r="G106" s="13">
        <v>0.0</v>
      </c>
      <c r="H106" s="13">
        <v>0.0</v>
      </c>
      <c r="I106" s="13">
        <v>0.0</v>
      </c>
      <c r="J106" s="13">
        <v>0.0</v>
      </c>
      <c r="K106" s="13">
        <v>0.0</v>
      </c>
      <c r="L106" s="13">
        <v>0.0</v>
      </c>
      <c r="M106" s="13">
        <v>0.0</v>
      </c>
      <c r="N106" s="13">
        <v>0.0</v>
      </c>
      <c r="O106" s="18">
        <f t="shared" si="5"/>
        <v>265.52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1" t="s">
        <v>330</v>
      </c>
      <c r="B107" s="1" t="s">
        <v>331</v>
      </c>
      <c r="C107" s="13">
        <v>0.0</v>
      </c>
      <c r="D107" s="13">
        <v>49.9</v>
      </c>
      <c r="E107" s="13">
        <v>0.0</v>
      </c>
      <c r="F107" s="13">
        <v>99.8</v>
      </c>
      <c r="G107" s="13">
        <v>49.9</v>
      </c>
      <c r="H107" s="13">
        <v>0.0</v>
      </c>
      <c r="I107" s="13">
        <v>0.0</v>
      </c>
      <c r="J107" s="13">
        <v>0.0</v>
      </c>
      <c r="K107" s="13">
        <v>0.0</v>
      </c>
      <c r="L107" s="13">
        <v>0.0</v>
      </c>
      <c r="M107" s="13">
        <v>0.0</v>
      </c>
      <c r="N107" s="13">
        <v>0.0</v>
      </c>
      <c r="O107" s="18">
        <f t="shared" si="5"/>
        <v>199.6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1" t="s">
        <v>333</v>
      </c>
      <c r="B108" s="1" t="s">
        <v>334</v>
      </c>
      <c r="C108" s="13">
        <v>0.0</v>
      </c>
      <c r="D108" s="13">
        <v>0.0</v>
      </c>
      <c r="E108" s="13">
        <v>0.0</v>
      </c>
      <c r="F108" s="13">
        <v>0.0</v>
      </c>
      <c r="G108" s="13">
        <v>0.0</v>
      </c>
      <c r="H108" s="13">
        <v>0.0</v>
      </c>
      <c r="I108" s="13">
        <v>0.0</v>
      </c>
      <c r="J108" s="13">
        <v>0.0</v>
      </c>
      <c r="K108" s="13">
        <v>0.0</v>
      </c>
      <c r="L108" s="13">
        <v>0.0</v>
      </c>
      <c r="M108" s="13">
        <v>0.0</v>
      </c>
      <c r="N108" s="13">
        <v>0.0</v>
      </c>
      <c r="O108" s="18">
        <f t="shared" si="5"/>
        <v>0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1" t="s">
        <v>339</v>
      </c>
      <c r="B109" s="1" t="s">
        <v>340</v>
      </c>
      <c r="C109" s="13">
        <v>0.0</v>
      </c>
      <c r="D109" s="13">
        <v>2056.99</v>
      </c>
      <c r="E109" s="13">
        <v>2474.0</v>
      </c>
      <c r="F109" s="13">
        <v>2222.08</v>
      </c>
      <c r="G109" s="13">
        <v>1979.55</v>
      </c>
      <c r="H109" s="13">
        <v>1278.53</v>
      </c>
      <c r="I109" s="13">
        <v>1455.33</v>
      </c>
      <c r="J109" s="13">
        <v>2181.82</v>
      </c>
      <c r="K109" s="13">
        <v>2096.65</v>
      </c>
      <c r="L109" s="13">
        <v>188.89</v>
      </c>
      <c r="M109" s="13">
        <v>0.0</v>
      </c>
      <c r="N109" s="13">
        <v>0.0</v>
      </c>
      <c r="O109" s="18">
        <f t="shared" si="5"/>
        <v>15933.84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1" t="s">
        <v>342</v>
      </c>
      <c r="B110" s="1" t="s">
        <v>343</v>
      </c>
      <c r="C110" s="13">
        <v>0.0</v>
      </c>
      <c r="D110" s="13">
        <v>0.0</v>
      </c>
      <c r="E110" s="13">
        <v>0.0</v>
      </c>
      <c r="F110" s="13">
        <v>0.0</v>
      </c>
      <c r="G110" s="13">
        <v>0.0</v>
      </c>
      <c r="H110" s="13">
        <v>0.0</v>
      </c>
      <c r="I110" s="13">
        <v>0.0</v>
      </c>
      <c r="J110" s="13">
        <v>0.0</v>
      </c>
      <c r="K110" s="13">
        <v>0.0</v>
      </c>
      <c r="L110" s="13">
        <v>0.0</v>
      </c>
      <c r="M110" s="13">
        <v>0.0</v>
      </c>
      <c r="N110" s="13">
        <v>0.0</v>
      </c>
      <c r="O110" s="18">
        <f t="shared" si="5"/>
        <v>0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1" t="s">
        <v>345</v>
      </c>
      <c r="B111" s="1" t="s">
        <v>346</v>
      </c>
      <c r="C111" s="13">
        <v>0.0</v>
      </c>
      <c r="D111" s="13">
        <v>0.0</v>
      </c>
      <c r="E111" s="13">
        <v>0.0</v>
      </c>
      <c r="F111" s="13">
        <v>0.0</v>
      </c>
      <c r="G111" s="13">
        <v>0.0</v>
      </c>
      <c r="H111" s="13">
        <v>0.0</v>
      </c>
      <c r="I111" s="13">
        <v>0.0</v>
      </c>
      <c r="J111" s="13">
        <v>0.0</v>
      </c>
      <c r="K111" s="13">
        <v>0.0</v>
      </c>
      <c r="L111" s="13">
        <v>0.0</v>
      </c>
      <c r="M111" s="13">
        <v>0.0</v>
      </c>
      <c r="N111" s="13">
        <v>0.0</v>
      </c>
      <c r="O111" s="18">
        <f t="shared" si="5"/>
        <v>0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24"/>
      <c r="B112" s="24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1" t="s">
        <v>77</v>
      </c>
      <c r="B113" s="1" t="s">
        <v>350</v>
      </c>
      <c r="C113" s="13">
        <f t="shared" ref="C113:N113" si="6">ROUND(SUBTOTAL(9, C84:C112), 5)</f>
        <v>0</v>
      </c>
      <c r="D113" s="13">
        <f t="shared" si="6"/>
        <v>2106.89</v>
      </c>
      <c r="E113" s="13">
        <f t="shared" si="6"/>
        <v>2719.52</v>
      </c>
      <c r="F113" s="13">
        <f t="shared" si="6"/>
        <v>2341.88</v>
      </c>
      <c r="G113" s="13">
        <f t="shared" si="6"/>
        <v>6069.71</v>
      </c>
      <c r="H113" s="13">
        <f t="shared" si="6"/>
        <v>1297.28</v>
      </c>
      <c r="I113" s="13">
        <f t="shared" si="6"/>
        <v>1500.33</v>
      </c>
      <c r="J113" s="13">
        <f t="shared" si="6"/>
        <v>2281.82</v>
      </c>
      <c r="K113" s="13">
        <f t="shared" si="6"/>
        <v>5312.95</v>
      </c>
      <c r="L113" s="13">
        <f t="shared" si="6"/>
        <v>188.89</v>
      </c>
      <c r="M113" s="13">
        <f t="shared" si="6"/>
        <v>0</v>
      </c>
      <c r="N113" s="13">
        <f t="shared" si="6"/>
        <v>0</v>
      </c>
      <c r="O113" s="18">
        <f>+SUM(C113:N113)</f>
        <v>23819.27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24"/>
      <c r="B114" s="24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1" t="s">
        <v>77</v>
      </c>
      <c r="B115" s="1" t="s">
        <v>351</v>
      </c>
      <c r="C115" s="13">
        <f t="shared" ref="C115:N115" si="7">-(ROUND(-C82+C113, 5))</f>
        <v>40826.44</v>
      </c>
      <c r="D115" s="13">
        <f t="shared" si="7"/>
        <v>78230.56</v>
      </c>
      <c r="E115" s="13">
        <f t="shared" si="7"/>
        <v>118112.27</v>
      </c>
      <c r="F115" s="13">
        <f t="shared" si="7"/>
        <v>108011.91</v>
      </c>
      <c r="G115" s="13">
        <f t="shared" si="7"/>
        <v>121850.45</v>
      </c>
      <c r="H115" s="13">
        <f t="shared" si="7"/>
        <v>106843.12</v>
      </c>
      <c r="I115" s="13">
        <f t="shared" si="7"/>
        <v>114328.92</v>
      </c>
      <c r="J115" s="13">
        <f t="shared" si="7"/>
        <v>112835.09</v>
      </c>
      <c r="K115" s="13">
        <f t="shared" si="7"/>
        <v>127472.43</v>
      </c>
      <c r="L115" s="13">
        <f t="shared" si="7"/>
        <v>1922.61</v>
      </c>
      <c r="M115" s="13">
        <f t="shared" si="7"/>
        <v>0</v>
      </c>
      <c r="N115" s="13">
        <f t="shared" si="7"/>
        <v>0</v>
      </c>
      <c r="O115" s="18">
        <f>+SUM(C115:N115)</f>
        <v>930433.8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24"/>
      <c r="B116" s="24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1" t="s">
        <v>119</v>
      </c>
      <c r="B117" s="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1" t="s">
        <v>352</v>
      </c>
      <c r="B118" s="1" t="s">
        <v>353</v>
      </c>
      <c r="C118" s="13">
        <v>0.0</v>
      </c>
      <c r="D118" s="13">
        <v>0.0</v>
      </c>
      <c r="E118" s="13">
        <v>0.0</v>
      </c>
      <c r="F118" s="13">
        <v>0.0</v>
      </c>
      <c r="G118" s="13">
        <v>0.0</v>
      </c>
      <c r="H118" s="13">
        <v>0.0</v>
      </c>
      <c r="I118" s="13">
        <v>0.0</v>
      </c>
      <c r="J118" s="13">
        <v>0.0</v>
      </c>
      <c r="K118" s="13">
        <v>0.0</v>
      </c>
      <c r="L118" s="13">
        <v>0.0</v>
      </c>
      <c r="M118" s="13">
        <v>0.0</v>
      </c>
      <c r="N118" s="13">
        <v>0.0</v>
      </c>
      <c r="O118" s="18">
        <f t="shared" ref="O118:O308" si="8">+SUM(C118:N118)</f>
        <v>0</v>
      </c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1" t="s">
        <v>355</v>
      </c>
      <c r="B119" s="1" t="s">
        <v>356</v>
      </c>
      <c r="C119" s="13">
        <v>29704.55</v>
      </c>
      <c r="D119" s="13">
        <v>5436.07</v>
      </c>
      <c r="E119" s="13">
        <v>6850.39</v>
      </c>
      <c r="F119" s="13">
        <v>1355.17</v>
      </c>
      <c r="G119" s="13">
        <v>1757.12</v>
      </c>
      <c r="H119" s="13">
        <v>0.0</v>
      </c>
      <c r="I119" s="13">
        <v>0.0</v>
      </c>
      <c r="J119" s="13">
        <v>2062.8</v>
      </c>
      <c r="K119" s="13">
        <v>478.25</v>
      </c>
      <c r="L119" s="13">
        <v>0.0</v>
      </c>
      <c r="M119" s="13">
        <v>0.0</v>
      </c>
      <c r="N119" s="13">
        <v>0.0</v>
      </c>
      <c r="O119" s="18">
        <f t="shared" si="8"/>
        <v>47644.35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1" t="s">
        <v>357</v>
      </c>
      <c r="B120" s="1" t="s">
        <v>77</v>
      </c>
      <c r="C120" s="13">
        <v>0.0</v>
      </c>
      <c r="D120" s="13">
        <v>0.0</v>
      </c>
      <c r="E120" s="13">
        <v>0.0</v>
      </c>
      <c r="F120" s="13">
        <v>0.0</v>
      </c>
      <c r="G120" s="13">
        <v>0.0</v>
      </c>
      <c r="H120" s="13">
        <v>0.0</v>
      </c>
      <c r="I120" s="13">
        <v>0.0</v>
      </c>
      <c r="J120" s="13">
        <v>0.0</v>
      </c>
      <c r="K120" s="13">
        <v>0.0</v>
      </c>
      <c r="L120" s="13">
        <v>0.0</v>
      </c>
      <c r="M120" s="13">
        <v>0.0</v>
      </c>
      <c r="N120" s="13">
        <v>0.0</v>
      </c>
      <c r="O120" s="18">
        <f t="shared" si="8"/>
        <v>0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1" t="s">
        <v>358</v>
      </c>
      <c r="B121" s="1" t="s">
        <v>359</v>
      </c>
      <c r="C121" s="13">
        <v>0.0</v>
      </c>
      <c r="D121" s="13">
        <v>0.0</v>
      </c>
      <c r="E121" s="13">
        <v>0.0</v>
      </c>
      <c r="F121" s="13">
        <v>0.0</v>
      </c>
      <c r="G121" s="13">
        <v>0.0</v>
      </c>
      <c r="H121" s="13">
        <v>0.0</v>
      </c>
      <c r="I121" s="13">
        <v>0.0</v>
      </c>
      <c r="J121" s="13">
        <v>0.0</v>
      </c>
      <c r="K121" s="13">
        <v>0.0</v>
      </c>
      <c r="L121" s="13">
        <v>0.0</v>
      </c>
      <c r="M121" s="13">
        <v>0.0</v>
      </c>
      <c r="N121" s="13">
        <v>0.0</v>
      </c>
      <c r="O121" s="18">
        <f t="shared" si="8"/>
        <v>0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1" t="s">
        <v>360</v>
      </c>
      <c r="B122" s="1" t="s">
        <v>361</v>
      </c>
      <c r="C122" s="13">
        <v>0.0</v>
      </c>
      <c r="D122" s="13">
        <v>0.0</v>
      </c>
      <c r="E122" s="13">
        <v>0.0</v>
      </c>
      <c r="F122" s="13">
        <v>0.0</v>
      </c>
      <c r="G122" s="13">
        <v>0.0</v>
      </c>
      <c r="H122" s="13">
        <v>0.0</v>
      </c>
      <c r="I122" s="13">
        <v>0.0</v>
      </c>
      <c r="J122" s="13">
        <v>0.0</v>
      </c>
      <c r="K122" s="13">
        <v>0.0</v>
      </c>
      <c r="L122" s="13">
        <v>0.0</v>
      </c>
      <c r="M122" s="13">
        <v>0.0</v>
      </c>
      <c r="N122" s="13">
        <v>0.0</v>
      </c>
      <c r="O122" s="18">
        <f t="shared" si="8"/>
        <v>0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1" t="s">
        <v>362</v>
      </c>
      <c r="B123" s="1" t="s">
        <v>363</v>
      </c>
      <c r="C123" s="13">
        <v>0.0</v>
      </c>
      <c r="D123" s="13">
        <v>1276.47</v>
      </c>
      <c r="E123" s="13">
        <v>2775.17</v>
      </c>
      <c r="F123" s="13">
        <v>2900.17</v>
      </c>
      <c r="G123" s="13">
        <v>2900.17</v>
      </c>
      <c r="H123" s="13">
        <v>2900.17</v>
      </c>
      <c r="I123" s="13">
        <v>3100.17</v>
      </c>
      <c r="J123" s="13">
        <v>3100.17</v>
      </c>
      <c r="K123" s="13">
        <v>3100.17</v>
      </c>
      <c r="L123" s="13">
        <v>0.0</v>
      </c>
      <c r="M123" s="13">
        <v>0.0</v>
      </c>
      <c r="N123" s="13">
        <v>0.0</v>
      </c>
      <c r="O123" s="18">
        <f t="shared" si="8"/>
        <v>22052.66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1" t="s">
        <v>368</v>
      </c>
      <c r="B124" s="1" t="s">
        <v>369</v>
      </c>
      <c r="C124" s="13">
        <v>0.0</v>
      </c>
      <c r="D124" s="13">
        <v>354.09</v>
      </c>
      <c r="E124" s="13">
        <v>708.18</v>
      </c>
      <c r="F124" s="13">
        <v>708.18</v>
      </c>
      <c r="G124" s="13">
        <v>708.18</v>
      </c>
      <c r="H124" s="13">
        <v>708.18</v>
      </c>
      <c r="I124" s="13">
        <v>708.18</v>
      </c>
      <c r="J124" s="13">
        <v>708.18</v>
      </c>
      <c r="K124" s="13">
        <v>708.18</v>
      </c>
      <c r="L124" s="13">
        <v>0.0</v>
      </c>
      <c r="M124" s="13">
        <v>0.0</v>
      </c>
      <c r="N124" s="13">
        <v>0.0</v>
      </c>
      <c r="O124" s="18">
        <f t="shared" si="8"/>
        <v>5311.35</v>
      </c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1" t="s">
        <v>371</v>
      </c>
      <c r="B125" s="1" t="s">
        <v>187</v>
      </c>
      <c r="C125" s="13">
        <v>0.0</v>
      </c>
      <c r="D125" s="13">
        <v>153.26</v>
      </c>
      <c r="E125" s="13">
        <v>153.26</v>
      </c>
      <c r="F125" s="13">
        <v>0.0</v>
      </c>
      <c r="G125" s="13">
        <v>0.0</v>
      </c>
      <c r="H125" s="13">
        <v>0.0</v>
      </c>
      <c r="I125" s="13">
        <v>0.0</v>
      </c>
      <c r="J125" s="13">
        <v>0.0</v>
      </c>
      <c r="K125" s="13">
        <v>0.0</v>
      </c>
      <c r="L125" s="13">
        <v>0.0</v>
      </c>
      <c r="M125" s="13">
        <v>0.0</v>
      </c>
      <c r="N125" s="13">
        <v>0.0</v>
      </c>
      <c r="O125" s="18">
        <f t="shared" si="8"/>
        <v>306.52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1" t="s">
        <v>373</v>
      </c>
      <c r="B126" s="1" t="s">
        <v>374</v>
      </c>
      <c r="C126" s="13">
        <v>1120.0</v>
      </c>
      <c r="D126" s="13">
        <v>120.0</v>
      </c>
      <c r="E126" s="13">
        <v>120.0</v>
      </c>
      <c r="F126" s="13">
        <v>0.0</v>
      </c>
      <c r="G126" s="13">
        <v>120.0</v>
      </c>
      <c r="H126" s="13">
        <v>240.0</v>
      </c>
      <c r="I126" s="13">
        <v>0.0</v>
      </c>
      <c r="J126" s="13">
        <v>120.0</v>
      </c>
      <c r="K126" s="13">
        <v>120.0</v>
      </c>
      <c r="L126" s="13">
        <v>120.0</v>
      </c>
      <c r="M126" s="13">
        <v>120.0</v>
      </c>
      <c r="N126" s="13">
        <v>0.0</v>
      </c>
      <c r="O126" s="18">
        <f t="shared" si="8"/>
        <v>2200</v>
      </c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1" t="s">
        <v>375</v>
      </c>
      <c r="B127" s="1" t="s">
        <v>376</v>
      </c>
      <c r="C127" s="13">
        <v>0.0</v>
      </c>
      <c r="D127" s="13">
        <v>0.0</v>
      </c>
      <c r="E127" s="13">
        <v>525.0</v>
      </c>
      <c r="F127" s="13">
        <v>567.0</v>
      </c>
      <c r="G127" s="13">
        <v>210.0</v>
      </c>
      <c r="H127" s="13">
        <v>196.0</v>
      </c>
      <c r="I127" s="13">
        <v>472.5</v>
      </c>
      <c r="J127" s="13">
        <v>916.0</v>
      </c>
      <c r="K127" s="13">
        <v>238.0</v>
      </c>
      <c r="L127" s="13">
        <v>0.0</v>
      </c>
      <c r="M127" s="13">
        <v>0.0</v>
      </c>
      <c r="N127" s="13">
        <v>0.0</v>
      </c>
      <c r="O127" s="18">
        <f t="shared" si="8"/>
        <v>3124.5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1" t="s">
        <v>377</v>
      </c>
      <c r="B128" s="1" t="s">
        <v>378</v>
      </c>
      <c r="C128" s="13">
        <v>0.0</v>
      </c>
      <c r="D128" s="13">
        <v>720.0</v>
      </c>
      <c r="E128" s="13">
        <v>720.0</v>
      </c>
      <c r="F128" s="13">
        <v>2160.0</v>
      </c>
      <c r="G128" s="13">
        <v>720.0</v>
      </c>
      <c r="H128" s="13">
        <v>1440.0</v>
      </c>
      <c r="I128" s="13">
        <v>720.0</v>
      </c>
      <c r="J128" s="13">
        <v>1440.0</v>
      </c>
      <c r="K128" s="13">
        <v>1440.0</v>
      </c>
      <c r="L128" s="13">
        <v>0.0</v>
      </c>
      <c r="M128" s="13">
        <v>0.0</v>
      </c>
      <c r="N128" s="13">
        <v>0.0</v>
      </c>
      <c r="O128" s="18">
        <f t="shared" si="8"/>
        <v>9360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1" t="s">
        <v>379</v>
      </c>
      <c r="B129" s="1" t="s">
        <v>380</v>
      </c>
      <c r="C129" s="13">
        <v>0.0</v>
      </c>
      <c r="D129" s="13">
        <v>0.0</v>
      </c>
      <c r="E129" s="13">
        <v>0.0</v>
      </c>
      <c r="F129" s="13">
        <v>0.0</v>
      </c>
      <c r="G129" s="13">
        <v>0.0</v>
      </c>
      <c r="H129" s="13">
        <v>0.0</v>
      </c>
      <c r="I129" s="13">
        <v>450.0</v>
      </c>
      <c r="J129" s="13">
        <v>0.0</v>
      </c>
      <c r="K129" s="13">
        <v>0.0</v>
      </c>
      <c r="L129" s="13">
        <v>0.0</v>
      </c>
      <c r="M129" s="13">
        <v>0.0</v>
      </c>
      <c r="N129" s="13">
        <v>0.0</v>
      </c>
      <c r="O129" s="18">
        <f t="shared" si="8"/>
        <v>450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1" t="s">
        <v>381</v>
      </c>
      <c r="B130" s="1" t="s">
        <v>382</v>
      </c>
      <c r="C130" s="13">
        <v>0.0</v>
      </c>
      <c r="D130" s="13">
        <v>0.0</v>
      </c>
      <c r="E130" s="13">
        <v>0.0</v>
      </c>
      <c r="F130" s="13">
        <v>0.0</v>
      </c>
      <c r="G130" s="13">
        <v>0.0</v>
      </c>
      <c r="H130" s="13">
        <v>0.0</v>
      </c>
      <c r="I130" s="13">
        <v>0.0</v>
      </c>
      <c r="J130" s="13">
        <v>0.0</v>
      </c>
      <c r="K130" s="13">
        <v>0.0</v>
      </c>
      <c r="L130" s="13">
        <v>0.0</v>
      </c>
      <c r="M130" s="13">
        <v>0.0</v>
      </c>
      <c r="N130" s="13">
        <v>0.0</v>
      </c>
      <c r="O130" s="18">
        <f t="shared" si="8"/>
        <v>0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1" t="s">
        <v>383</v>
      </c>
      <c r="B131" s="1" t="s">
        <v>384</v>
      </c>
      <c r="C131" s="13">
        <v>26368.76</v>
      </c>
      <c r="D131" s="13">
        <v>27745.52</v>
      </c>
      <c r="E131" s="13">
        <v>27745.52</v>
      </c>
      <c r="F131" s="13">
        <v>27745.52</v>
      </c>
      <c r="G131" s="13">
        <v>27745.52</v>
      </c>
      <c r="H131" s="13">
        <v>27745.52</v>
      </c>
      <c r="I131" s="13">
        <v>27745.52</v>
      </c>
      <c r="J131" s="13">
        <v>25078.86</v>
      </c>
      <c r="K131" s="13">
        <v>25078.86</v>
      </c>
      <c r="L131" s="13">
        <v>12539.43</v>
      </c>
      <c r="M131" s="13">
        <v>0.0</v>
      </c>
      <c r="N131" s="13">
        <v>0.0</v>
      </c>
      <c r="O131" s="18">
        <f t="shared" si="8"/>
        <v>255539.03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1" t="s">
        <v>385</v>
      </c>
      <c r="B132" s="1" t="s">
        <v>386</v>
      </c>
      <c r="C132" s="13">
        <v>0.0</v>
      </c>
      <c r="D132" s="13">
        <v>1852.9</v>
      </c>
      <c r="E132" s="13">
        <v>1026.9</v>
      </c>
      <c r="F132" s="13">
        <v>1429.4</v>
      </c>
      <c r="G132" s="13">
        <v>1447.6</v>
      </c>
      <c r="H132" s="13">
        <v>518.0</v>
      </c>
      <c r="I132" s="13">
        <v>952.7</v>
      </c>
      <c r="J132" s="13">
        <v>1393.0</v>
      </c>
      <c r="K132" s="13">
        <v>2238.6</v>
      </c>
      <c r="L132" s="13">
        <v>1120.0</v>
      </c>
      <c r="M132" s="13">
        <v>0.0</v>
      </c>
      <c r="N132" s="13">
        <v>0.0</v>
      </c>
      <c r="O132" s="18">
        <f t="shared" si="8"/>
        <v>11979.1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1" t="s">
        <v>387</v>
      </c>
      <c r="B133" s="1" t="s">
        <v>388</v>
      </c>
      <c r="C133" s="13">
        <v>0.0</v>
      </c>
      <c r="D133" s="13">
        <v>0.0</v>
      </c>
      <c r="E133" s="13">
        <v>0.0</v>
      </c>
      <c r="F133" s="13">
        <v>0.0</v>
      </c>
      <c r="G133" s="13">
        <v>0.0</v>
      </c>
      <c r="H133" s="13">
        <v>0.0</v>
      </c>
      <c r="I133" s="13">
        <v>0.0</v>
      </c>
      <c r="J133" s="13">
        <v>0.0</v>
      </c>
      <c r="K133" s="13">
        <v>0.0</v>
      </c>
      <c r="L133" s="13">
        <v>0.0</v>
      </c>
      <c r="M133" s="13">
        <v>0.0</v>
      </c>
      <c r="N133" s="13">
        <v>0.0</v>
      </c>
      <c r="O133" s="18">
        <f t="shared" si="8"/>
        <v>0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1" t="s">
        <v>389</v>
      </c>
      <c r="B134" s="1" t="s">
        <v>390</v>
      </c>
      <c r="C134" s="13">
        <v>18190.95</v>
      </c>
      <c r="D134" s="13">
        <v>21485.16</v>
      </c>
      <c r="E134" s="13">
        <v>21485.16</v>
      </c>
      <c r="F134" s="13">
        <v>21485.16</v>
      </c>
      <c r="G134" s="13">
        <v>21485.16</v>
      </c>
      <c r="H134" s="13">
        <v>21485.16</v>
      </c>
      <c r="I134" s="13">
        <v>21485.16</v>
      </c>
      <c r="J134" s="13">
        <v>21485.16</v>
      </c>
      <c r="K134" s="13">
        <v>21485.16</v>
      </c>
      <c r="L134" s="13">
        <v>10742.58</v>
      </c>
      <c r="M134" s="13">
        <v>0.0</v>
      </c>
      <c r="N134" s="13">
        <v>0.0</v>
      </c>
      <c r="O134" s="18">
        <f t="shared" si="8"/>
        <v>200814.81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1" t="s">
        <v>391</v>
      </c>
      <c r="B135" s="1" t="s">
        <v>392</v>
      </c>
      <c r="C135" s="13">
        <v>0.0</v>
      </c>
      <c r="D135" s="13">
        <v>0.0</v>
      </c>
      <c r="E135" s="13">
        <v>0.0</v>
      </c>
      <c r="F135" s="13">
        <v>0.0</v>
      </c>
      <c r="G135" s="13">
        <v>0.0</v>
      </c>
      <c r="H135" s="13">
        <v>0.0</v>
      </c>
      <c r="I135" s="13">
        <v>0.0</v>
      </c>
      <c r="J135" s="13">
        <v>0.0</v>
      </c>
      <c r="K135" s="13">
        <v>0.0</v>
      </c>
      <c r="L135" s="13">
        <v>0.0</v>
      </c>
      <c r="M135" s="13">
        <v>0.0</v>
      </c>
      <c r="N135" s="13">
        <v>0.0</v>
      </c>
      <c r="O135" s="18">
        <f t="shared" si="8"/>
        <v>0</v>
      </c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1" t="s">
        <v>393</v>
      </c>
      <c r="B136" s="1" t="s">
        <v>394</v>
      </c>
      <c r="C136" s="13">
        <v>3901.5</v>
      </c>
      <c r="D136" s="13">
        <v>3901.5</v>
      </c>
      <c r="E136" s="13">
        <v>3901.5</v>
      </c>
      <c r="F136" s="13">
        <v>3901.5</v>
      </c>
      <c r="G136" s="13">
        <v>3901.5</v>
      </c>
      <c r="H136" s="13">
        <v>3901.5</v>
      </c>
      <c r="I136" s="13">
        <v>3901.5</v>
      </c>
      <c r="J136" s="13">
        <v>3901.5</v>
      </c>
      <c r="K136" s="13">
        <v>3901.5</v>
      </c>
      <c r="L136" s="13">
        <v>1950.75</v>
      </c>
      <c r="M136" s="13">
        <v>0.0</v>
      </c>
      <c r="N136" s="13">
        <v>0.0</v>
      </c>
      <c r="O136" s="18">
        <f t="shared" si="8"/>
        <v>37064.25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1" t="s">
        <v>395</v>
      </c>
      <c r="B137" s="1" t="s">
        <v>396</v>
      </c>
      <c r="C137" s="13">
        <v>250.0</v>
      </c>
      <c r="D137" s="13">
        <v>250.0</v>
      </c>
      <c r="E137" s="13">
        <v>2250.0</v>
      </c>
      <c r="F137" s="13">
        <v>1150.0</v>
      </c>
      <c r="G137" s="13">
        <v>1750.0</v>
      </c>
      <c r="H137" s="13">
        <v>250.0</v>
      </c>
      <c r="I137" s="13">
        <v>250.0</v>
      </c>
      <c r="J137" s="13">
        <v>250.0</v>
      </c>
      <c r="K137" s="13">
        <v>125.0</v>
      </c>
      <c r="L137" s="13">
        <v>500.0</v>
      </c>
      <c r="M137" s="13">
        <v>0.0</v>
      </c>
      <c r="N137" s="13">
        <v>0.0</v>
      </c>
      <c r="O137" s="18">
        <f t="shared" si="8"/>
        <v>7025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1" t="s">
        <v>397</v>
      </c>
      <c r="B138" s="1" t="s">
        <v>398</v>
      </c>
      <c r="C138" s="13">
        <v>0.0</v>
      </c>
      <c r="D138" s="13">
        <v>216.01</v>
      </c>
      <c r="E138" s="13">
        <v>473.68</v>
      </c>
      <c r="F138" s="13">
        <v>473.68</v>
      </c>
      <c r="G138" s="13">
        <v>473.68</v>
      </c>
      <c r="H138" s="13">
        <v>473.68</v>
      </c>
      <c r="I138" s="13">
        <v>473.68</v>
      </c>
      <c r="J138" s="13">
        <v>473.68</v>
      </c>
      <c r="K138" s="13">
        <v>473.68</v>
      </c>
      <c r="L138" s="13">
        <v>187.5</v>
      </c>
      <c r="M138" s="13">
        <v>0.0</v>
      </c>
      <c r="N138" s="13">
        <v>0.0</v>
      </c>
      <c r="O138" s="18">
        <f t="shared" si="8"/>
        <v>3719.27</v>
      </c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1" t="s">
        <v>399</v>
      </c>
      <c r="B139" s="1" t="s">
        <v>400</v>
      </c>
      <c r="C139" s="13">
        <v>-26368.76</v>
      </c>
      <c r="D139" s="13">
        <v>-9533.65</v>
      </c>
      <c r="E139" s="13">
        <v>7301.45</v>
      </c>
      <c r="F139" s="13">
        <v>7301.45</v>
      </c>
      <c r="G139" s="13">
        <v>7301.45</v>
      </c>
      <c r="H139" s="13">
        <v>7301.45</v>
      </c>
      <c r="I139" s="13">
        <v>7301.45</v>
      </c>
      <c r="J139" s="13">
        <v>7301.45</v>
      </c>
      <c r="K139" s="13">
        <v>7301.45</v>
      </c>
      <c r="L139" s="13">
        <v>0.0</v>
      </c>
      <c r="M139" s="13">
        <v>0.0</v>
      </c>
      <c r="N139" s="13">
        <v>0.0</v>
      </c>
      <c r="O139" s="18">
        <f t="shared" si="8"/>
        <v>15207.74</v>
      </c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1" t="s">
        <v>401</v>
      </c>
      <c r="B140" s="1" t="s">
        <v>402</v>
      </c>
      <c r="C140" s="13">
        <v>0.0</v>
      </c>
      <c r="D140" s="13">
        <v>840.0</v>
      </c>
      <c r="E140" s="13">
        <v>1050.0</v>
      </c>
      <c r="F140" s="13">
        <v>997.5</v>
      </c>
      <c r="G140" s="13">
        <v>735.0</v>
      </c>
      <c r="H140" s="13">
        <v>682.5</v>
      </c>
      <c r="I140" s="13">
        <v>840.0</v>
      </c>
      <c r="J140" s="13">
        <v>945.0</v>
      </c>
      <c r="K140" s="13">
        <v>945.0</v>
      </c>
      <c r="L140" s="13">
        <v>577.5</v>
      </c>
      <c r="M140" s="13">
        <v>0.0</v>
      </c>
      <c r="N140" s="13">
        <v>0.0</v>
      </c>
      <c r="O140" s="18">
        <f t="shared" si="8"/>
        <v>7612.5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1" t="s">
        <v>404</v>
      </c>
      <c r="B141" s="1" t="s">
        <v>405</v>
      </c>
      <c r="C141" s="13">
        <v>0.0</v>
      </c>
      <c r="D141" s="13">
        <v>0.0</v>
      </c>
      <c r="E141" s="13">
        <v>0.0</v>
      </c>
      <c r="F141" s="13">
        <v>0.0</v>
      </c>
      <c r="G141" s="13">
        <v>0.0</v>
      </c>
      <c r="H141" s="13">
        <v>0.0</v>
      </c>
      <c r="I141" s="13">
        <v>0.0</v>
      </c>
      <c r="J141" s="13">
        <v>0.0</v>
      </c>
      <c r="K141" s="13">
        <v>0.0</v>
      </c>
      <c r="L141" s="13">
        <v>0.0</v>
      </c>
      <c r="M141" s="13">
        <v>0.0</v>
      </c>
      <c r="N141" s="13">
        <v>0.0</v>
      </c>
      <c r="O141" s="18">
        <f t="shared" si="8"/>
        <v>0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1" t="s">
        <v>407</v>
      </c>
      <c r="B142" s="1" t="s">
        <v>408</v>
      </c>
      <c r="C142" s="13">
        <v>0.0</v>
      </c>
      <c r="D142" s="13">
        <v>0.0</v>
      </c>
      <c r="E142" s="13">
        <v>0.0</v>
      </c>
      <c r="F142" s="13">
        <v>0.0</v>
      </c>
      <c r="G142" s="13">
        <v>0.0</v>
      </c>
      <c r="H142" s="13">
        <v>0.0</v>
      </c>
      <c r="I142" s="13">
        <v>0.0</v>
      </c>
      <c r="J142" s="13">
        <v>0.0</v>
      </c>
      <c r="K142" s="13">
        <v>0.0</v>
      </c>
      <c r="L142" s="13">
        <v>0.0</v>
      </c>
      <c r="M142" s="13">
        <v>0.0</v>
      </c>
      <c r="N142" s="13">
        <v>0.0</v>
      </c>
      <c r="O142" s="18">
        <f t="shared" si="8"/>
        <v>0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1" t="s">
        <v>410</v>
      </c>
      <c r="B143" s="1" t="s">
        <v>412</v>
      </c>
      <c r="C143" s="13">
        <v>0.0</v>
      </c>
      <c r="D143" s="13">
        <v>0.0</v>
      </c>
      <c r="E143" s="13">
        <v>0.0</v>
      </c>
      <c r="F143" s="13">
        <v>0.0</v>
      </c>
      <c r="G143" s="13">
        <v>0.0</v>
      </c>
      <c r="H143" s="13">
        <v>0.0</v>
      </c>
      <c r="I143" s="13">
        <v>0.0</v>
      </c>
      <c r="J143" s="13">
        <v>0.0</v>
      </c>
      <c r="K143" s="13">
        <v>0.0</v>
      </c>
      <c r="L143" s="13">
        <v>0.0</v>
      </c>
      <c r="M143" s="13">
        <v>0.0</v>
      </c>
      <c r="N143" s="13">
        <v>0.0</v>
      </c>
      <c r="O143" s="18">
        <f t="shared" si="8"/>
        <v>0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1" t="s">
        <v>420</v>
      </c>
      <c r="B144" s="1" t="s">
        <v>421</v>
      </c>
      <c r="C144" s="13">
        <v>0.0</v>
      </c>
      <c r="D144" s="13">
        <v>400.0</v>
      </c>
      <c r="E144" s="13">
        <v>400.0</v>
      </c>
      <c r="F144" s="13">
        <v>400.0</v>
      </c>
      <c r="G144" s="13">
        <v>400.0</v>
      </c>
      <c r="H144" s="13">
        <v>400.0</v>
      </c>
      <c r="I144" s="13">
        <v>400.0</v>
      </c>
      <c r="J144" s="13">
        <v>400.0</v>
      </c>
      <c r="K144" s="13">
        <v>400.0</v>
      </c>
      <c r="L144" s="13">
        <v>200.0</v>
      </c>
      <c r="M144" s="13">
        <v>0.0</v>
      </c>
      <c r="N144" s="13">
        <v>0.0</v>
      </c>
      <c r="O144" s="18">
        <f t="shared" si="8"/>
        <v>3400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1" t="s">
        <v>433</v>
      </c>
      <c r="B145" s="1" t="s">
        <v>434</v>
      </c>
      <c r="C145" s="13">
        <v>0.0</v>
      </c>
      <c r="D145" s="13">
        <v>0.0</v>
      </c>
      <c r="E145" s="13">
        <v>0.0</v>
      </c>
      <c r="F145" s="13">
        <v>0.0</v>
      </c>
      <c r="G145" s="13">
        <v>0.0</v>
      </c>
      <c r="H145" s="13">
        <v>4602.07</v>
      </c>
      <c r="I145" s="13">
        <v>0.0</v>
      </c>
      <c r="J145" s="13">
        <v>0.0</v>
      </c>
      <c r="K145" s="13">
        <v>-270.71</v>
      </c>
      <c r="L145" s="13">
        <v>300.0</v>
      </c>
      <c r="M145" s="13">
        <v>0.0</v>
      </c>
      <c r="N145" s="13">
        <v>0.0</v>
      </c>
      <c r="O145" s="18">
        <f t="shared" si="8"/>
        <v>4631.36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1" t="s">
        <v>435</v>
      </c>
      <c r="B146" s="1" t="s">
        <v>434</v>
      </c>
      <c r="C146" s="13">
        <v>0.0</v>
      </c>
      <c r="D146" s="13">
        <v>0.0</v>
      </c>
      <c r="E146" s="13">
        <v>0.0</v>
      </c>
      <c r="F146" s="13">
        <v>0.0</v>
      </c>
      <c r="G146" s="13">
        <v>0.0</v>
      </c>
      <c r="H146" s="13">
        <v>0.0</v>
      </c>
      <c r="I146" s="13">
        <v>0.0</v>
      </c>
      <c r="J146" s="13">
        <v>0.0</v>
      </c>
      <c r="K146" s="13">
        <v>0.0</v>
      </c>
      <c r="L146" s="13">
        <v>0.0</v>
      </c>
      <c r="M146" s="13">
        <v>0.0</v>
      </c>
      <c r="N146" s="13">
        <v>0.0</v>
      </c>
      <c r="O146" s="18">
        <f t="shared" si="8"/>
        <v>0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1" t="s">
        <v>436</v>
      </c>
      <c r="B147" s="1" t="s">
        <v>434</v>
      </c>
      <c r="C147" s="13">
        <v>0.0</v>
      </c>
      <c r="D147" s="13">
        <v>0.0</v>
      </c>
      <c r="E147" s="13">
        <v>0.0</v>
      </c>
      <c r="F147" s="13">
        <v>0.0</v>
      </c>
      <c r="G147" s="13">
        <v>0.0</v>
      </c>
      <c r="H147" s="13">
        <v>0.0</v>
      </c>
      <c r="I147" s="13">
        <v>0.0</v>
      </c>
      <c r="J147" s="13">
        <v>0.0</v>
      </c>
      <c r="K147" s="13">
        <v>0.0</v>
      </c>
      <c r="L147" s="13">
        <v>0.0</v>
      </c>
      <c r="M147" s="13">
        <v>0.0</v>
      </c>
      <c r="N147" s="13">
        <v>0.0</v>
      </c>
      <c r="O147" s="18">
        <f t="shared" si="8"/>
        <v>0</v>
      </c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1" t="s">
        <v>437</v>
      </c>
      <c r="B148" s="1" t="s">
        <v>438</v>
      </c>
      <c r="C148" s="13">
        <v>0.0</v>
      </c>
      <c r="D148" s="13">
        <v>0.0</v>
      </c>
      <c r="E148" s="13">
        <v>0.0</v>
      </c>
      <c r="F148" s="13">
        <v>0.0</v>
      </c>
      <c r="G148" s="13">
        <v>0.0</v>
      </c>
      <c r="H148" s="13">
        <v>0.0</v>
      </c>
      <c r="I148" s="13">
        <v>0.0</v>
      </c>
      <c r="J148" s="13">
        <v>0.0</v>
      </c>
      <c r="K148" s="13">
        <v>0.0</v>
      </c>
      <c r="L148" s="13">
        <v>0.0</v>
      </c>
      <c r="M148" s="13">
        <v>0.0</v>
      </c>
      <c r="N148" s="13">
        <v>0.0</v>
      </c>
      <c r="O148" s="18">
        <f t="shared" si="8"/>
        <v>0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1" t="s">
        <v>439</v>
      </c>
      <c r="B149" s="1" t="s">
        <v>440</v>
      </c>
      <c r="C149" s="13">
        <v>112.43</v>
      </c>
      <c r="D149" s="13">
        <v>662.06</v>
      </c>
      <c r="E149" s="13">
        <v>1311.67</v>
      </c>
      <c r="F149" s="13">
        <v>1250.09</v>
      </c>
      <c r="G149" s="13">
        <v>1242.22</v>
      </c>
      <c r="H149" s="13">
        <v>1197.52</v>
      </c>
      <c r="I149" s="13">
        <v>1159.11</v>
      </c>
      <c r="J149" s="13">
        <v>1162.26</v>
      </c>
      <c r="K149" s="13">
        <v>1162.27</v>
      </c>
      <c r="L149" s="13">
        <v>506.29</v>
      </c>
      <c r="M149" s="13">
        <v>0.0</v>
      </c>
      <c r="N149" s="13">
        <v>0.0</v>
      </c>
      <c r="O149" s="18">
        <f t="shared" si="8"/>
        <v>9765.92</v>
      </c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1" t="s">
        <v>441</v>
      </c>
      <c r="B150" s="1" t="s">
        <v>440</v>
      </c>
      <c r="C150" s="13">
        <v>394.56</v>
      </c>
      <c r="D150" s="13">
        <v>394.56</v>
      </c>
      <c r="E150" s="13">
        <v>394.56</v>
      </c>
      <c r="F150" s="13">
        <v>394.56</v>
      </c>
      <c r="G150" s="13">
        <v>394.56</v>
      </c>
      <c r="H150" s="13">
        <v>358.46</v>
      </c>
      <c r="I150" s="13">
        <v>306.12</v>
      </c>
      <c r="J150" s="13">
        <v>306.12</v>
      </c>
      <c r="K150" s="13">
        <v>302.37</v>
      </c>
      <c r="L150" s="13">
        <v>149.31</v>
      </c>
      <c r="M150" s="13">
        <v>0.0</v>
      </c>
      <c r="N150" s="13">
        <v>0.0</v>
      </c>
      <c r="O150" s="18">
        <f t="shared" si="8"/>
        <v>3395.18</v>
      </c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1" t="s">
        <v>442</v>
      </c>
      <c r="B151" s="1" t="s">
        <v>440</v>
      </c>
      <c r="C151" s="13">
        <v>0.0</v>
      </c>
      <c r="D151" s="13">
        <v>0.0</v>
      </c>
      <c r="E151" s="13">
        <v>0.0</v>
      </c>
      <c r="F151" s="13">
        <v>0.0</v>
      </c>
      <c r="G151" s="13">
        <v>0.0</v>
      </c>
      <c r="H151" s="13">
        <v>0.0</v>
      </c>
      <c r="I151" s="13">
        <v>0.0</v>
      </c>
      <c r="J151" s="13">
        <v>0.0</v>
      </c>
      <c r="K151" s="13">
        <v>0.0</v>
      </c>
      <c r="L151" s="13">
        <v>0.0</v>
      </c>
      <c r="M151" s="13">
        <v>0.0</v>
      </c>
      <c r="N151" s="13">
        <v>0.0</v>
      </c>
      <c r="O151" s="18">
        <f t="shared" si="8"/>
        <v>0</v>
      </c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1" t="s">
        <v>443</v>
      </c>
      <c r="B152" s="1" t="s">
        <v>444</v>
      </c>
      <c r="C152" s="13">
        <v>0.0</v>
      </c>
      <c r="D152" s="13">
        <v>3564.71</v>
      </c>
      <c r="E152" s="13">
        <v>5723.21</v>
      </c>
      <c r="F152" s="13">
        <v>5723.21</v>
      </c>
      <c r="G152" s="13">
        <v>5723.21</v>
      </c>
      <c r="H152" s="13">
        <v>8405.61</v>
      </c>
      <c r="I152" s="13">
        <v>5580.47</v>
      </c>
      <c r="J152" s="13">
        <v>5715.61</v>
      </c>
      <c r="K152" s="13">
        <v>8209.54</v>
      </c>
      <c r="L152" s="13">
        <v>7264.73</v>
      </c>
      <c r="M152" s="13">
        <v>0.0</v>
      </c>
      <c r="N152" s="13">
        <v>0.0</v>
      </c>
      <c r="O152" s="18">
        <f t="shared" si="8"/>
        <v>55910.3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1" t="s">
        <v>445</v>
      </c>
      <c r="B153" s="1" t="s">
        <v>444</v>
      </c>
      <c r="C153" s="13">
        <v>2155.88</v>
      </c>
      <c r="D153" s="13">
        <v>1616.91</v>
      </c>
      <c r="E153" s="13">
        <v>2694.75</v>
      </c>
      <c r="F153" s="13">
        <v>2694.75</v>
      </c>
      <c r="G153" s="13">
        <v>2694.75</v>
      </c>
      <c r="H153" s="13">
        <v>0.0</v>
      </c>
      <c r="I153" s="13">
        <v>2690.0</v>
      </c>
      <c r="J153" s="13">
        <v>2690.0</v>
      </c>
      <c r="K153" s="13">
        <v>0.0</v>
      </c>
      <c r="L153" s="13">
        <v>0.0</v>
      </c>
      <c r="M153" s="13">
        <v>0.0</v>
      </c>
      <c r="N153" s="13">
        <v>0.0</v>
      </c>
      <c r="O153" s="18">
        <f t="shared" si="8"/>
        <v>17237.04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1" t="s">
        <v>446</v>
      </c>
      <c r="B154" s="1" t="s">
        <v>444</v>
      </c>
      <c r="C154" s="13">
        <v>0.0</v>
      </c>
      <c r="D154" s="13">
        <v>0.0</v>
      </c>
      <c r="E154" s="13">
        <v>0.0</v>
      </c>
      <c r="F154" s="13">
        <v>0.0</v>
      </c>
      <c r="G154" s="13">
        <v>0.0</v>
      </c>
      <c r="H154" s="13">
        <v>0.0</v>
      </c>
      <c r="I154" s="13">
        <v>0.0</v>
      </c>
      <c r="J154" s="13">
        <v>0.0</v>
      </c>
      <c r="K154" s="13">
        <v>0.0</v>
      </c>
      <c r="L154" s="13">
        <v>0.0</v>
      </c>
      <c r="M154" s="13">
        <v>0.0</v>
      </c>
      <c r="N154" s="13">
        <v>0.0</v>
      </c>
      <c r="O154" s="18">
        <f t="shared" si="8"/>
        <v>0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1" t="s">
        <v>447</v>
      </c>
      <c r="B155" s="1" t="s">
        <v>448</v>
      </c>
      <c r="C155" s="13">
        <v>0.0</v>
      </c>
      <c r="D155" s="13">
        <v>0.0</v>
      </c>
      <c r="E155" s="13">
        <v>0.0</v>
      </c>
      <c r="F155" s="13">
        <v>0.0</v>
      </c>
      <c r="G155" s="13">
        <v>0.0</v>
      </c>
      <c r="H155" s="13">
        <v>0.0</v>
      </c>
      <c r="I155" s="13">
        <v>0.0</v>
      </c>
      <c r="J155" s="13">
        <v>0.0</v>
      </c>
      <c r="K155" s="13">
        <v>0.0</v>
      </c>
      <c r="L155" s="13">
        <v>0.0</v>
      </c>
      <c r="M155" s="13">
        <v>0.0</v>
      </c>
      <c r="N155" s="13">
        <v>0.0</v>
      </c>
      <c r="O155" s="18">
        <f t="shared" si="8"/>
        <v>0</v>
      </c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1" t="s">
        <v>449</v>
      </c>
      <c r="B156" s="1" t="s">
        <v>448</v>
      </c>
      <c r="C156" s="13">
        <v>0.0</v>
      </c>
      <c r="D156" s="13">
        <v>0.0</v>
      </c>
      <c r="E156" s="13">
        <v>0.0</v>
      </c>
      <c r="F156" s="13">
        <v>0.0</v>
      </c>
      <c r="G156" s="13">
        <v>0.0</v>
      </c>
      <c r="H156" s="13">
        <v>0.0</v>
      </c>
      <c r="I156" s="13">
        <v>0.0</v>
      </c>
      <c r="J156" s="13">
        <v>0.0</v>
      </c>
      <c r="K156" s="13">
        <v>0.0</v>
      </c>
      <c r="L156" s="13">
        <v>0.0</v>
      </c>
      <c r="M156" s="13">
        <v>0.0</v>
      </c>
      <c r="N156" s="13">
        <v>0.0</v>
      </c>
      <c r="O156" s="18">
        <f t="shared" si="8"/>
        <v>0</v>
      </c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1" t="s">
        <v>450</v>
      </c>
      <c r="B157" s="1" t="s">
        <v>452</v>
      </c>
      <c r="C157" s="13">
        <v>0.0</v>
      </c>
      <c r="D157" s="13">
        <v>0.0</v>
      </c>
      <c r="E157" s="13">
        <v>0.0</v>
      </c>
      <c r="F157" s="13">
        <v>0.0</v>
      </c>
      <c r="G157" s="13">
        <v>0.0</v>
      </c>
      <c r="H157" s="13">
        <v>0.0</v>
      </c>
      <c r="I157" s="13">
        <v>0.0</v>
      </c>
      <c r="J157" s="13">
        <v>0.0</v>
      </c>
      <c r="K157" s="13">
        <v>0.0</v>
      </c>
      <c r="L157" s="13">
        <v>0.0</v>
      </c>
      <c r="M157" s="13">
        <v>0.0</v>
      </c>
      <c r="N157" s="13">
        <v>0.0</v>
      </c>
      <c r="O157" s="18">
        <f t="shared" si="8"/>
        <v>0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1" t="s">
        <v>453</v>
      </c>
      <c r="B158" s="1" t="s">
        <v>454</v>
      </c>
      <c r="C158" s="13">
        <v>66.5</v>
      </c>
      <c r="D158" s="13">
        <v>66.5</v>
      </c>
      <c r="E158" s="13">
        <v>86.45</v>
      </c>
      <c r="F158" s="13">
        <v>59.85</v>
      </c>
      <c r="G158" s="13">
        <v>0.0</v>
      </c>
      <c r="H158" s="13">
        <v>99.75</v>
      </c>
      <c r="I158" s="13">
        <v>59.85</v>
      </c>
      <c r="J158" s="13">
        <v>59.85</v>
      </c>
      <c r="K158" s="13">
        <v>99.75</v>
      </c>
      <c r="L158" s="13">
        <v>99.75</v>
      </c>
      <c r="M158" s="13">
        <v>0.0</v>
      </c>
      <c r="N158" s="13">
        <v>0.0</v>
      </c>
      <c r="O158" s="18">
        <f t="shared" si="8"/>
        <v>698.25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1" t="s">
        <v>455</v>
      </c>
      <c r="B159" s="1" t="s">
        <v>454</v>
      </c>
      <c r="C159" s="13">
        <v>24.28</v>
      </c>
      <c r="D159" s="13">
        <v>0.0</v>
      </c>
      <c r="E159" s="13">
        <v>33.25</v>
      </c>
      <c r="F159" s="13">
        <v>33.25</v>
      </c>
      <c r="G159" s="13">
        <v>106.4</v>
      </c>
      <c r="H159" s="13">
        <v>0.0</v>
      </c>
      <c r="I159" s="13">
        <v>39.9</v>
      </c>
      <c r="J159" s="13">
        <v>39.9</v>
      </c>
      <c r="K159" s="13">
        <v>0.0</v>
      </c>
      <c r="L159" s="13">
        <v>0.0</v>
      </c>
      <c r="M159" s="13">
        <v>0.0</v>
      </c>
      <c r="N159" s="13">
        <v>0.0</v>
      </c>
      <c r="O159" s="18">
        <f t="shared" si="8"/>
        <v>276.98</v>
      </c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1" t="s">
        <v>456</v>
      </c>
      <c r="B160" s="1" t="s">
        <v>454</v>
      </c>
      <c r="C160" s="13">
        <v>0.0</v>
      </c>
      <c r="D160" s="13">
        <v>0.0</v>
      </c>
      <c r="E160" s="13">
        <v>0.0</v>
      </c>
      <c r="F160" s="13">
        <v>0.0</v>
      </c>
      <c r="G160" s="13">
        <v>0.0</v>
      </c>
      <c r="H160" s="13">
        <v>0.0</v>
      </c>
      <c r="I160" s="13">
        <v>0.0</v>
      </c>
      <c r="J160" s="13">
        <v>0.0</v>
      </c>
      <c r="K160" s="13">
        <v>0.0</v>
      </c>
      <c r="L160" s="13">
        <v>0.0</v>
      </c>
      <c r="M160" s="13">
        <v>0.0</v>
      </c>
      <c r="N160" s="13">
        <v>0.0</v>
      </c>
      <c r="O160" s="18">
        <f t="shared" si="8"/>
        <v>0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1" t="s">
        <v>457</v>
      </c>
      <c r="B161" s="1" t="s">
        <v>458</v>
      </c>
      <c r="C161" s="13">
        <v>0.0</v>
      </c>
      <c r="D161" s="13">
        <v>0.0</v>
      </c>
      <c r="E161" s="13">
        <v>0.0</v>
      </c>
      <c r="F161" s="13">
        <v>0.0</v>
      </c>
      <c r="G161" s="13">
        <v>0.0</v>
      </c>
      <c r="H161" s="13">
        <v>0.0</v>
      </c>
      <c r="I161" s="13">
        <v>0.0</v>
      </c>
      <c r="J161" s="13">
        <v>0.0</v>
      </c>
      <c r="K161" s="13">
        <v>0.0</v>
      </c>
      <c r="L161" s="13">
        <v>0.0</v>
      </c>
      <c r="M161" s="13">
        <v>0.0</v>
      </c>
      <c r="N161" s="13">
        <v>0.0</v>
      </c>
      <c r="O161" s="18">
        <f t="shared" si="8"/>
        <v>0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1" t="s">
        <v>459</v>
      </c>
      <c r="B162" s="1" t="s">
        <v>460</v>
      </c>
      <c r="C162" s="13">
        <v>1350.88</v>
      </c>
      <c r="D162" s="13">
        <v>2856.54</v>
      </c>
      <c r="E162" s="13">
        <v>3979.85</v>
      </c>
      <c r="F162" s="13">
        <v>3959.26</v>
      </c>
      <c r="G162" s="13">
        <v>3862.4</v>
      </c>
      <c r="H162" s="13">
        <v>4102.88</v>
      </c>
      <c r="I162" s="13">
        <v>3823.38</v>
      </c>
      <c r="J162" s="13">
        <v>3694.31</v>
      </c>
      <c r="K162" s="13">
        <v>3709.82</v>
      </c>
      <c r="L162" s="13">
        <v>1678.34</v>
      </c>
      <c r="M162" s="13">
        <v>0.0</v>
      </c>
      <c r="N162" s="13">
        <v>0.0</v>
      </c>
      <c r="O162" s="18">
        <f t="shared" si="8"/>
        <v>33017.66</v>
      </c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1" t="s">
        <v>461</v>
      </c>
      <c r="B163" s="1" t="s">
        <v>460</v>
      </c>
      <c r="C163" s="13">
        <v>0.0</v>
      </c>
      <c r="D163" s="13">
        <v>0.0</v>
      </c>
      <c r="E163" s="13">
        <v>0.0</v>
      </c>
      <c r="F163" s="13">
        <v>0.0</v>
      </c>
      <c r="G163" s="13">
        <v>0.0</v>
      </c>
      <c r="H163" s="13">
        <v>0.0</v>
      </c>
      <c r="I163" s="13">
        <v>0.0</v>
      </c>
      <c r="J163" s="13">
        <v>0.0</v>
      </c>
      <c r="K163" s="13">
        <v>0.0</v>
      </c>
      <c r="L163" s="13">
        <v>0.0</v>
      </c>
      <c r="M163" s="13">
        <v>0.0</v>
      </c>
      <c r="N163" s="13">
        <v>0.0</v>
      </c>
      <c r="O163" s="18">
        <f t="shared" si="8"/>
        <v>0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1" t="s">
        <v>462</v>
      </c>
      <c r="B164" s="1" t="s">
        <v>460</v>
      </c>
      <c r="C164" s="13">
        <v>0.0</v>
      </c>
      <c r="D164" s="13">
        <v>0.0</v>
      </c>
      <c r="E164" s="13">
        <v>0.0</v>
      </c>
      <c r="F164" s="13">
        <v>0.0</v>
      </c>
      <c r="G164" s="13">
        <v>0.0</v>
      </c>
      <c r="H164" s="13">
        <v>0.0</v>
      </c>
      <c r="I164" s="13">
        <v>0.0</v>
      </c>
      <c r="J164" s="13">
        <v>0.0</v>
      </c>
      <c r="K164" s="13">
        <v>0.0</v>
      </c>
      <c r="L164" s="13">
        <v>0.0</v>
      </c>
      <c r="M164" s="13">
        <v>0.0</v>
      </c>
      <c r="N164" s="13">
        <v>0.0</v>
      </c>
      <c r="O164" s="18">
        <f t="shared" si="8"/>
        <v>0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1" t="s">
        <v>463</v>
      </c>
      <c r="B165" s="1" t="s">
        <v>464</v>
      </c>
      <c r="C165" s="13">
        <v>315.94</v>
      </c>
      <c r="D165" s="13">
        <v>668.91</v>
      </c>
      <c r="E165" s="13">
        <v>930.75</v>
      </c>
      <c r="F165" s="13">
        <v>1003.31</v>
      </c>
      <c r="G165" s="13">
        <v>903.29</v>
      </c>
      <c r="H165" s="13">
        <v>958.55</v>
      </c>
      <c r="I165" s="13">
        <v>894.2</v>
      </c>
      <c r="J165" s="13">
        <v>863.96</v>
      </c>
      <c r="K165" s="13">
        <v>867.61</v>
      </c>
      <c r="L165" s="13">
        <v>392.51</v>
      </c>
      <c r="M165" s="13">
        <v>0.0</v>
      </c>
      <c r="N165" s="13">
        <v>0.0</v>
      </c>
      <c r="O165" s="18">
        <f t="shared" si="8"/>
        <v>7799.03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1" t="s">
        <v>465</v>
      </c>
      <c r="B166" s="1" t="s">
        <v>464</v>
      </c>
      <c r="C166" s="13">
        <v>0.0</v>
      </c>
      <c r="D166" s="13">
        <v>0.0</v>
      </c>
      <c r="E166" s="13">
        <v>0.0</v>
      </c>
      <c r="F166" s="13">
        <v>0.0</v>
      </c>
      <c r="G166" s="13">
        <v>0.0</v>
      </c>
      <c r="H166" s="13">
        <v>0.0</v>
      </c>
      <c r="I166" s="13">
        <v>0.0</v>
      </c>
      <c r="J166" s="13">
        <v>0.0</v>
      </c>
      <c r="K166" s="13">
        <v>0.0</v>
      </c>
      <c r="L166" s="13">
        <v>0.0</v>
      </c>
      <c r="M166" s="13">
        <v>0.0</v>
      </c>
      <c r="N166" s="13">
        <v>0.0</v>
      </c>
      <c r="O166" s="18">
        <f t="shared" si="8"/>
        <v>0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1" t="s">
        <v>466</v>
      </c>
      <c r="B167" s="1" t="s">
        <v>464</v>
      </c>
      <c r="C167" s="13">
        <v>0.0</v>
      </c>
      <c r="D167" s="13">
        <v>0.0</v>
      </c>
      <c r="E167" s="13">
        <v>0.0</v>
      </c>
      <c r="F167" s="13">
        <v>0.0</v>
      </c>
      <c r="G167" s="13">
        <v>0.0</v>
      </c>
      <c r="H167" s="13">
        <v>0.0</v>
      </c>
      <c r="I167" s="13">
        <v>0.0</v>
      </c>
      <c r="J167" s="13">
        <v>0.0</v>
      </c>
      <c r="K167" s="13">
        <v>0.0</v>
      </c>
      <c r="L167" s="13">
        <v>0.0</v>
      </c>
      <c r="M167" s="13">
        <v>0.0</v>
      </c>
      <c r="N167" s="13">
        <v>0.0</v>
      </c>
      <c r="O167" s="18">
        <f t="shared" si="8"/>
        <v>0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1" t="s">
        <v>467</v>
      </c>
      <c r="B168" s="1" t="s">
        <v>468</v>
      </c>
      <c r="C168" s="13">
        <v>0.0</v>
      </c>
      <c r="D168" s="13">
        <v>0.0</v>
      </c>
      <c r="E168" s="13">
        <v>0.0</v>
      </c>
      <c r="F168" s="13">
        <v>0.0</v>
      </c>
      <c r="G168" s="13">
        <v>0.0</v>
      </c>
      <c r="H168" s="13">
        <v>0.0</v>
      </c>
      <c r="I168" s="13">
        <v>0.0</v>
      </c>
      <c r="J168" s="13">
        <v>0.0</v>
      </c>
      <c r="K168" s="13">
        <v>0.0</v>
      </c>
      <c r="L168" s="13">
        <v>0.0</v>
      </c>
      <c r="M168" s="13">
        <v>0.0</v>
      </c>
      <c r="N168" s="13">
        <v>0.0</v>
      </c>
      <c r="O168" s="18">
        <f t="shared" si="8"/>
        <v>0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1" t="s">
        <v>469</v>
      </c>
      <c r="B169" s="1" t="s">
        <v>470</v>
      </c>
      <c r="C169" s="13">
        <v>0.0</v>
      </c>
      <c r="D169" s="13">
        <v>0.0</v>
      </c>
      <c r="E169" s="13">
        <v>0.0</v>
      </c>
      <c r="F169" s="13">
        <v>0.0</v>
      </c>
      <c r="G169" s="13">
        <v>0.0</v>
      </c>
      <c r="H169" s="13">
        <v>0.0</v>
      </c>
      <c r="I169" s="13">
        <v>0.0</v>
      </c>
      <c r="J169" s="13">
        <v>0.0</v>
      </c>
      <c r="K169" s="13">
        <v>0.0</v>
      </c>
      <c r="L169" s="13">
        <v>0.0</v>
      </c>
      <c r="M169" s="13">
        <v>0.0</v>
      </c>
      <c r="N169" s="13">
        <v>0.0</v>
      </c>
      <c r="O169" s="18">
        <f t="shared" si="8"/>
        <v>0</v>
      </c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1" t="s">
        <v>471</v>
      </c>
      <c r="B170" s="1" t="s">
        <v>472</v>
      </c>
      <c r="C170" s="13">
        <v>6000.0</v>
      </c>
      <c r="D170" s="13">
        <v>0.0</v>
      </c>
      <c r="E170" s="13">
        <v>0.0</v>
      </c>
      <c r="F170" s="13">
        <v>0.0</v>
      </c>
      <c r="G170" s="13">
        <v>0.0</v>
      </c>
      <c r="H170" s="13">
        <v>0.0</v>
      </c>
      <c r="I170" s="13">
        <v>0.0</v>
      </c>
      <c r="J170" s="13">
        <v>0.0</v>
      </c>
      <c r="K170" s="13">
        <v>0.0</v>
      </c>
      <c r="L170" s="13">
        <v>0.0</v>
      </c>
      <c r="M170" s="13">
        <v>0.0</v>
      </c>
      <c r="N170" s="13">
        <v>0.0</v>
      </c>
      <c r="O170" s="18">
        <f t="shared" si="8"/>
        <v>6000</v>
      </c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1" t="s">
        <v>473</v>
      </c>
      <c r="B171" s="1" t="s">
        <v>474</v>
      </c>
      <c r="C171" s="13">
        <v>0.0</v>
      </c>
      <c r="D171" s="13">
        <v>0.0</v>
      </c>
      <c r="E171" s="13">
        <v>0.0</v>
      </c>
      <c r="F171" s="13">
        <v>0.0</v>
      </c>
      <c r="G171" s="13">
        <v>2000.0</v>
      </c>
      <c r="H171" s="13">
        <v>0.0</v>
      </c>
      <c r="I171" s="13">
        <v>0.0</v>
      </c>
      <c r="J171" s="13">
        <v>0.0</v>
      </c>
      <c r="K171" s="13">
        <v>0.0</v>
      </c>
      <c r="L171" s="13">
        <v>0.0</v>
      </c>
      <c r="M171" s="13">
        <v>0.0</v>
      </c>
      <c r="N171" s="13">
        <v>0.0</v>
      </c>
      <c r="O171" s="18">
        <f t="shared" si="8"/>
        <v>2000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1" t="s">
        <v>475</v>
      </c>
      <c r="B172" s="1" t="s">
        <v>476</v>
      </c>
      <c r="C172" s="13">
        <v>0.0</v>
      </c>
      <c r="D172" s="13">
        <v>0.0</v>
      </c>
      <c r="E172" s="13">
        <v>0.0</v>
      </c>
      <c r="F172" s="13">
        <v>0.0</v>
      </c>
      <c r="G172" s="13">
        <v>0.0</v>
      </c>
      <c r="H172" s="13">
        <v>0.0</v>
      </c>
      <c r="I172" s="13">
        <v>0.0</v>
      </c>
      <c r="J172" s="13">
        <v>0.0</v>
      </c>
      <c r="K172" s="13">
        <v>0.0</v>
      </c>
      <c r="L172" s="13">
        <v>0.0</v>
      </c>
      <c r="M172" s="13">
        <v>0.0</v>
      </c>
      <c r="N172" s="13">
        <v>0.0</v>
      </c>
      <c r="O172" s="18">
        <f t="shared" si="8"/>
        <v>0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1" t="s">
        <v>477</v>
      </c>
      <c r="B173" s="1" t="s">
        <v>478</v>
      </c>
      <c r="C173" s="13">
        <v>0.0</v>
      </c>
      <c r="D173" s="13">
        <v>0.0</v>
      </c>
      <c r="E173" s="13">
        <v>0.0</v>
      </c>
      <c r="F173" s="13">
        <v>0.0</v>
      </c>
      <c r="G173" s="13">
        <v>0.0</v>
      </c>
      <c r="H173" s="13">
        <v>0.0</v>
      </c>
      <c r="I173" s="13">
        <v>0.0</v>
      </c>
      <c r="J173" s="13">
        <v>0.0</v>
      </c>
      <c r="K173" s="13">
        <v>0.0</v>
      </c>
      <c r="L173" s="13">
        <v>0.0</v>
      </c>
      <c r="M173" s="13">
        <v>0.0</v>
      </c>
      <c r="N173" s="13">
        <v>0.0</v>
      </c>
      <c r="O173" s="18">
        <f t="shared" si="8"/>
        <v>0</v>
      </c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1" t="s">
        <v>479</v>
      </c>
      <c r="B174" s="1" t="s">
        <v>480</v>
      </c>
      <c r="C174" s="13">
        <v>155.62</v>
      </c>
      <c r="D174" s="13">
        <v>164.5</v>
      </c>
      <c r="E174" s="13">
        <v>174.0</v>
      </c>
      <c r="F174" s="13">
        <v>130.2</v>
      </c>
      <c r="G174" s="13">
        <v>147.96</v>
      </c>
      <c r="H174" s="13">
        <v>367.74</v>
      </c>
      <c r="I174" s="13">
        <v>147.96</v>
      </c>
      <c r="J174" s="13">
        <v>143.28</v>
      </c>
      <c r="K174" s="13">
        <v>158.63</v>
      </c>
      <c r="L174" s="13">
        <v>74.39</v>
      </c>
      <c r="M174" s="13">
        <v>0.0</v>
      </c>
      <c r="N174" s="13">
        <v>0.0</v>
      </c>
      <c r="O174" s="18">
        <f t="shared" si="8"/>
        <v>1664.28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1" t="s">
        <v>481</v>
      </c>
      <c r="B175" s="1" t="s">
        <v>482</v>
      </c>
      <c r="C175" s="13">
        <v>1000.0</v>
      </c>
      <c r="D175" s="13">
        <v>1000.0</v>
      </c>
      <c r="E175" s="13">
        <v>1000.0</v>
      </c>
      <c r="F175" s="13">
        <v>1000.0</v>
      </c>
      <c r="G175" s="13">
        <v>1000.0</v>
      </c>
      <c r="H175" s="13">
        <v>1000.0</v>
      </c>
      <c r="I175" s="13">
        <v>1000.0</v>
      </c>
      <c r="J175" s="13">
        <v>1000.0</v>
      </c>
      <c r="K175" s="13">
        <v>1000.0</v>
      </c>
      <c r="L175" s="13">
        <v>1000.0</v>
      </c>
      <c r="M175" s="13">
        <v>0.0</v>
      </c>
      <c r="N175" s="13">
        <v>0.0</v>
      </c>
      <c r="O175" s="18">
        <f t="shared" si="8"/>
        <v>10000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1" t="s">
        <v>483</v>
      </c>
      <c r="B176" s="1" t="s">
        <v>484</v>
      </c>
      <c r="C176" s="13">
        <v>0.0</v>
      </c>
      <c r="D176" s="13">
        <v>2597.5</v>
      </c>
      <c r="E176" s="13">
        <v>0.0</v>
      </c>
      <c r="F176" s="13">
        <v>361.25</v>
      </c>
      <c r="G176" s="13">
        <v>0.0</v>
      </c>
      <c r="H176" s="13">
        <v>276.25</v>
      </c>
      <c r="I176" s="13">
        <v>0.0</v>
      </c>
      <c r="J176" s="13">
        <v>528.75</v>
      </c>
      <c r="K176" s="13">
        <v>0.0</v>
      </c>
      <c r="L176" s="13">
        <v>0.0</v>
      </c>
      <c r="M176" s="13">
        <v>0.0</v>
      </c>
      <c r="N176" s="13">
        <v>0.0</v>
      </c>
      <c r="O176" s="18">
        <f t="shared" si="8"/>
        <v>3763.75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1" t="s">
        <v>485</v>
      </c>
      <c r="B177" s="1" t="s">
        <v>486</v>
      </c>
      <c r="C177" s="13">
        <v>0.0</v>
      </c>
      <c r="D177" s="13">
        <v>0.0</v>
      </c>
      <c r="E177" s="13">
        <v>0.0</v>
      </c>
      <c r="F177" s="13">
        <v>0.0</v>
      </c>
      <c r="G177" s="13">
        <v>600.0</v>
      </c>
      <c r="H177" s="13">
        <v>0.0</v>
      </c>
      <c r="I177" s="13">
        <v>0.0</v>
      </c>
      <c r="J177" s="13">
        <v>0.0</v>
      </c>
      <c r="K177" s="13">
        <v>0.0</v>
      </c>
      <c r="L177" s="13">
        <v>0.0</v>
      </c>
      <c r="M177" s="13">
        <v>0.0</v>
      </c>
      <c r="N177" s="13">
        <v>0.0</v>
      </c>
      <c r="O177" s="18">
        <f t="shared" si="8"/>
        <v>600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1" t="s">
        <v>487</v>
      </c>
      <c r="B178" s="1" t="s">
        <v>488</v>
      </c>
      <c r="C178" s="13">
        <v>0.0</v>
      </c>
      <c r="D178" s="13">
        <v>0.0</v>
      </c>
      <c r="E178" s="13">
        <v>0.0</v>
      </c>
      <c r="F178" s="13">
        <v>0.0</v>
      </c>
      <c r="G178" s="13">
        <v>0.0</v>
      </c>
      <c r="H178" s="13">
        <v>0.0</v>
      </c>
      <c r="I178" s="13">
        <v>0.0</v>
      </c>
      <c r="J178" s="13">
        <v>0.0</v>
      </c>
      <c r="K178" s="13">
        <v>0.0</v>
      </c>
      <c r="L178" s="13">
        <v>0.0</v>
      </c>
      <c r="M178" s="13">
        <v>0.0</v>
      </c>
      <c r="N178" s="13">
        <v>0.0</v>
      </c>
      <c r="O178" s="18">
        <f t="shared" si="8"/>
        <v>0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1" t="s">
        <v>489</v>
      </c>
      <c r="B179" s="1" t="s">
        <v>177</v>
      </c>
      <c r="C179" s="13">
        <v>294.74</v>
      </c>
      <c r="D179" s="13">
        <v>209.45</v>
      </c>
      <c r="E179" s="13">
        <v>221.43</v>
      </c>
      <c r="F179" s="13">
        <v>69.9</v>
      </c>
      <c r="G179" s="13">
        <v>0.0</v>
      </c>
      <c r="H179" s="13">
        <v>29.28</v>
      </c>
      <c r="I179" s="13">
        <v>4.5</v>
      </c>
      <c r="J179" s="13">
        <v>15.95</v>
      </c>
      <c r="K179" s="13">
        <v>0.0</v>
      </c>
      <c r="L179" s="13">
        <v>0.0</v>
      </c>
      <c r="M179" s="13">
        <v>0.0</v>
      </c>
      <c r="N179" s="13">
        <v>0.0</v>
      </c>
      <c r="O179" s="18">
        <f t="shared" si="8"/>
        <v>845.25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1" t="s">
        <v>490</v>
      </c>
      <c r="B180" s="1" t="s">
        <v>491</v>
      </c>
      <c r="C180" s="13">
        <v>0.0</v>
      </c>
      <c r="D180" s="13">
        <v>0.0</v>
      </c>
      <c r="E180" s="13">
        <v>0.0</v>
      </c>
      <c r="F180" s="13">
        <v>0.0</v>
      </c>
      <c r="G180" s="13">
        <v>0.0</v>
      </c>
      <c r="H180" s="13">
        <v>0.0</v>
      </c>
      <c r="I180" s="13">
        <v>0.0</v>
      </c>
      <c r="J180" s="13">
        <v>0.0</v>
      </c>
      <c r="K180" s="13">
        <v>0.0</v>
      </c>
      <c r="L180" s="13">
        <v>0.0</v>
      </c>
      <c r="M180" s="13">
        <v>0.0</v>
      </c>
      <c r="N180" s="13">
        <v>0.0</v>
      </c>
      <c r="O180" s="18">
        <f t="shared" si="8"/>
        <v>0</v>
      </c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1" t="s">
        <v>492</v>
      </c>
      <c r="B181" s="1" t="s">
        <v>146</v>
      </c>
      <c r="C181" s="13">
        <v>835.54</v>
      </c>
      <c r="D181" s="13">
        <v>715.61</v>
      </c>
      <c r="E181" s="13">
        <v>191.54</v>
      </c>
      <c r="F181" s="13">
        <v>274.12</v>
      </c>
      <c r="G181" s="13">
        <v>96.33</v>
      </c>
      <c r="H181" s="13">
        <v>165.24</v>
      </c>
      <c r="I181" s="13">
        <v>481.35</v>
      </c>
      <c r="J181" s="13">
        <v>586.42</v>
      </c>
      <c r="K181" s="13">
        <v>30.97</v>
      </c>
      <c r="L181" s="13">
        <v>345.57</v>
      </c>
      <c r="M181" s="13">
        <v>0.0</v>
      </c>
      <c r="N181" s="13">
        <v>0.0</v>
      </c>
      <c r="O181" s="18">
        <f t="shared" si="8"/>
        <v>3722.69</v>
      </c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1" t="s">
        <v>493</v>
      </c>
      <c r="B182" s="1" t="s">
        <v>146</v>
      </c>
      <c r="C182" s="13">
        <v>43.0</v>
      </c>
      <c r="D182" s="13">
        <v>282.57</v>
      </c>
      <c r="E182" s="13">
        <v>59.3</v>
      </c>
      <c r="F182" s="13">
        <v>0.0</v>
      </c>
      <c r="G182" s="13">
        <v>0.0</v>
      </c>
      <c r="H182" s="13">
        <v>0.0</v>
      </c>
      <c r="I182" s="13">
        <v>436.24</v>
      </c>
      <c r="J182" s="13">
        <v>158.08</v>
      </c>
      <c r="K182" s="13">
        <v>0.0</v>
      </c>
      <c r="L182" s="13">
        <v>0.0</v>
      </c>
      <c r="M182" s="13">
        <v>0.0</v>
      </c>
      <c r="N182" s="13">
        <v>0.0</v>
      </c>
      <c r="O182" s="18">
        <f t="shared" si="8"/>
        <v>979.19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1" t="s">
        <v>494</v>
      </c>
      <c r="B183" s="1" t="s">
        <v>146</v>
      </c>
      <c r="C183" s="13">
        <v>0.0</v>
      </c>
      <c r="D183" s="13">
        <v>0.0</v>
      </c>
      <c r="E183" s="13">
        <v>0.0</v>
      </c>
      <c r="F183" s="13">
        <v>0.0</v>
      </c>
      <c r="G183" s="13">
        <v>0.0</v>
      </c>
      <c r="H183" s="13">
        <v>0.0</v>
      </c>
      <c r="I183" s="13">
        <v>0.0</v>
      </c>
      <c r="J183" s="13">
        <v>0.0</v>
      </c>
      <c r="K183" s="13">
        <v>0.0</v>
      </c>
      <c r="L183" s="13">
        <v>0.0</v>
      </c>
      <c r="M183" s="13">
        <v>0.0</v>
      </c>
      <c r="N183" s="13">
        <v>0.0</v>
      </c>
      <c r="O183" s="18">
        <f t="shared" si="8"/>
        <v>0</v>
      </c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1" t="s">
        <v>495</v>
      </c>
      <c r="B184" s="1" t="s">
        <v>496</v>
      </c>
      <c r="C184" s="13">
        <v>96.0</v>
      </c>
      <c r="D184" s="13">
        <v>366.0</v>
      </c>
      <c r="E184" s="13">
        <v>96.0</v>
      </c>
      <c r="F184" s="13">
        <v>96.0</v>
      </c>
      <c r="G184" s="13">
        <v>96.0</v>
      </c>
      <c r="H184" s="13">
        <v>174.0</v>
      </c>
      <c r="I184" s="13">
        <v>96.0</v>
      </c>
      <c r="J184" s="13">
        <v>96.0</v>
      </c>
      <c r="K184" s="13">
        <v>121.0</v>
      </c>
      <c r="L184" s="13">
        <v>0.0</v>
      </c>
      <c r="M184" s="13">
        <v>0.0</v>
      </c>
      <c r="N184" s="13">
        <v>0.0</v>
      </c>
      <c r="O184" s="18">
        <f t="shared" si="8"/>
        <v>1237</v>
      </c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1" t="s">
        <v>497</v>
      </c>
      <c r="B185" s="1" t="s">
        <v>496</v>
      </c>
      <c r="C185" s="13">
        <v>0.0</v>
      </c>
      <c r="D185" s="13">
        <v>0.0</v>
      </c>
      <c r="E185" s="13">
        <v>0.0</v>
      </c>
      <c r="F185" s="13">
        <v>0.0</v>
      </c>
      <c r="G185" s="13">
        <v>0.0</v>
      </c>
      <c r="H185" s="13">
        <v>59.99</v>
      </c>
      <c r="I185" s="13">
        <v>0.0</v>
      </c>
      <c r="J185" s="13">
        <v>59.99</v>
      </c>
      <c r="K185" s="13">
        <v>0.0</v>
      </c>
      <c r="L185" s="13">
        <v>0.0</v>
      </c>
      <c r="M185" s="13">
        <v>0.0</v>
      </c>
      <c r="N185" s="13">
        <v>0.0</v>
      </c>
      <c r="O185" s="18">
        <f t="shared" si="8"/>
        <v>119.98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1" t="s">
        <v>498</v>
      </c>
      <c r="B186" s="1" t="s">
        <v>496</v>
      </c>
      <c r="C186" s="13">
        <v>0.0</v>
      </c>
      <c r="D186" s="13">
        <v>27.0</v>
      </c>
      <c r="E186" s="13">
        <v>78.0</v>
      </c>
      <c r="F186" s="13">
        <v>0.0</v>
      </c>
      <c r="G186" s="13">
        <v>0.0</v>
      </c>
      <c r="H186" s="13">
        <v>0.0</v>
      </c>
      <c r="I186" s="13">
        <v>29.17</v>
      </c>
      <c r="J186" s="13">
        <v>29.17</v>
      </c>
      <c r="K186" s="13">
        <v>29.17</v>
      </c>
      <c r="L186" s="13">
        <v>0.0</v>
      </c>
      <c r="M186" s="13">
        <v>0.0</v>
      </c>
      <c r="N186" s="13">
        <v>0.0</v>
      </c>
      <c r="O186" s="18">
        <f t="shared" si="8"/>
        <v>192.51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1" t="s">
        <v>499</v>
      </c>
      <c r="B187" s="1" t="s">
        <v>500</v>
      </c>
      <c r="C187" s="13">
        <v>0.0</v>
      </c>
      <c r="D187" s="13">
        <v>261.79</v>
      </c>
      <c r="E187" s="13">
        <v>0.0</v>
      </c>
      <c r="F187" s="13">
        <v>0.0</v>
      </c>
      <c r="G187" s="13">
        <v>0.0</v>
      </c>
      <c r="H187" s="13">
        <v>0.0</v>
      </c>
      <c r="I187" s="13">
        <v>0.0</v>
      </c>
      <c r="J187" s="13">
        <v>0.0</v>
      </c>
      <c r="K187" s="13">
        <v>0.0</v>
      </c>
      <c r="L187" s="13">
        <v>51.75</v>
      </c>
      <c r="M187" s="13">
        <v>0.0</v>
      </c>
      <c r="N187" s="13">
        <v>0.0</v>
      </c>
      <c r="O187" s="18">
        <f t="shared" si="8"/>
        <v>313.54</v>
      </c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1" t="s">
        <v>501</v>
      </c>
      <c r="B188" s="1" t="s">
        <v>196</v>
      </c>
      <c r="C188" s="13">
        <v>379.95</v>
      </c>
      <c r="D188" s="13">
        <v>442.42</v>
      </c>
      <c r="E188" s="13">
        <v>307.31</v>
      </c>
      <c r="F188" s="13">
        <v>401.27</v>
      </c>
      <c r="G188" s="13">
        <v>0.0</v>
      </c>
      <c r="H188" s="13">
        <v>0.0</v>
      </c>
      <c r="I188" s="13">
        <v>81.38</v>
      </c>
      <c r="J188" s="13">
        <v>0.0</v>
      </c>
      <c r="K188" s="13">
        <v>4.37</v>
      </c>
      <c r="L188" s="13">
        <v>0.0</v>
      </c>
      <c r="M188" s="13">
        <v>0.0</v>
      </c>
      <c r="N188" s="13">
        <v>0.0</v>
      </c>
      <c r="O188" s="18">
        <f t="shared" si="8"/>
        <v>1616.7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1" t="s">
        <v>502</v>
      </c>
      <c r="B189" s="1" t="s">
        <v>503</v>
      </c>
      <c r="C189" s="13">
        <v>475.08</v>
      </c>
      <c r="D189" s="13">
        <v>475.08</v>
      </c>
      <c r="E189" s="13">
        <v>475.08</v>
      </c>
      <c r="F189" s="13">
        <v>475.08</v>
      </c>
      <c r="G189" s="13">
        <v>475.08</v>
      </c>
      <c r="H189" s="13">
        <v>475.08</v>
      </c>
      <c r="I189" s="13">
        <v>475.08</v>
      </c>
      <c r="J189" s="13">
        <v>475.08</v>
      </c>
      <c r="K189" s="13">
        <v>475.08</v>
      </c>
      <c r="L189" s="13">
        <v>0.0</v>
      </c>
      <c r="M189" s="13">
        <v>0.0</v>
      </c>
      <c r="N189" s="13">
        <v>0.0</v>
      </c>
      <c r="O189" s="18">
        <f t="shared" si="8"/>
        <v>4275.72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1" t="s">
        <v>504</v>
      </c>
      <c r="B190" s="1" t="s">
        <v>505</v>
      </c>
      <c r="C190" s="13">
        <v>0.0</v>
      </c>
      <c r="D190" s="13">
        <v>0.0</v>
      </c>
      <c r="E190" s="13">
        <v>0.0</v>
      </c>
      <c r="F190" s="13">
        <v>0.0</v>
      </c>
      <c r="G190" s="13">
        <v>0.0</v>
      </c>
      <c r="H190" s="13">
        <v>0.0</v>
      </c>
      <c r="I190" s="13">
        <v>0.0</v>
      </c>
      <c r="J190" s="13">
        <v>0.0</v>
      </c>
      <c r="K190" s="13">
        <v>0.0</v>
      </c>
      <c r="L190" s="13">
        <v>0.0</v>
      </c>
      <c r="M190" s="13">
        <v>0.0</v>
      </c>
      <c r="N190" s="13">
        <v>0.0</v>
      </c>
      <c r="O190" s="18">
        <f t="shared" si="8"/>
        <v>0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1" t="s">
        <v>506</v>
      </c>
      <c r="B191" s="1" t="s">
        <v>507</v>
      </c>
      <c r="C191" s="13">
        <v>270.75</v>
      </c>
      <c r="D191" s="13">
        <v>291.17</v>
      </c>
      <c r="E191" s="13">
        <v>291.17</v>
      </c>
      <c r="F191" s="13">
        <v>607.67</v>
      </c>
      <c r="G191" s="13">
        <v>607.67</v>
      </c>
      <c r="H191" s="13">
        <v>607.67</v>
      </c>
      <c r="I191" s="13">
        <v>607.67</v>
      </c>
      <c r="J191" s="13">
        <v>607.67</v>
      </c>
      <c r="K191" s="13">
        <v>607.67</v>
      </c>
      <c r="L191" s="13">
        <v>0.0</v>
      </c>
      <c r="M191" s="13">
        <v>0.0</v>
      </c>
      <c r="N191" s="13">
        <v>0.0</v>
      </c>
      <c r="O191" s="18">
        <f t="shared" si="8"/>
        <v>4499.11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1" t="s">
        <v>508</v>
      </c>
      <c r="B192" s="1" t="s">
        <v>509</v>
      </c>
      <c r="C192" s="13">
        <v>543.87</v>
      </c>
      <c r="D192" s="13">
        <v>364.0</v>
      </c>
      <c r="E192" s="13">
        <v>364.0</v>
      </c>
      <c r="F192" s="13">
        <v>364.0</v>
      </c>
      <c r="G192" s="13">
        <v>364.0</v>
      </c>
      <c r="H192" s="13">
        <v>364.0</v>
      </c>
      <c r="I192" s="13">
        <v>364.0</v>
      </c>
      <c r="J192" s="13">
        <v>364.0</v>
      </c>
      <c r="K192" s="13">
        <v>364.0</v>
      </c>
      <c r="L192" s="13">
        <v>0.0</v>
      </c>
      <c r="M192" s="13">
        <v>0.0</v>
      </c>
      <c r="N192" s="13">
        <v>0.0</v>
      </c>
      <c r="O192" s="18">
        <f t="shared" si="8"/>
        <v>3455.87</v>
      </c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1" t="s">
        <v>510</v>
      </c>
      <c r="B193" s="1" t="s">
        <v>56</v>
      </c>
      <c r="C193" s="13">
        <v>0.0</v>
      </c>
      <c r="D193" s="13">
        <v>264.0</v>
      </c>
      <c r="E193" s="13">
        <v>0.0</v>
      </c>
      <c r="F193" s="13">
        <v>274.0</v>
      </c>
      <c r="G193" s="13">
        <v>248.0</v>
      </c>
      <c r="H193" s="13">
        <v>173.99</v>
      </c>
      <c r="I193" s="13">
        <v>1039.0</v>
      </c>
      <c r="J193" s="13">
        <v>529.44</v>
      </c>
      <c r="K193" s="13">
        <v>0.0</v>
      </c>
      <c r="L193" s="13">
        <v>8.0</v>
      </c>
      <c r="M193" s="13">
        <v>0.0</v>
      </c>
      <c r="N193" s="13">
        <v>0.0</v>
      </c>
      <c r="O193" s="18">
        <f t="shared" si="8"/>
        <v>2536.43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1" t="s">
        <v>511</v>
      </c>
      <c r="B194" s="1" t="s">
        <v>512</v>
      </c>
      <c r="C194" s="13">
        <v>0.0</v>
      </c>
      <c r="D194" s="13">
        <v>100.0</v>
      </c>
      <c r="E194" s="13">
        <v>0.0</v>
      </c>
      <c r="F194" s="13">
        <v>0.0</v>
      </c>
      <c r="G194" s="13">
        <v>1480.25</v>
      </c>
      <c r="H194" s="13">
        <v>0.0</v>
      </c>
      <c r="I194" s="13">
        <v>0.0</v>
      </c>
      <c r="J194" s="13">
        <v>0.0</v>
      </c>
      <c r="K194" s="13">
        <v>0.0</v>
      </c>
      <c r="L194" s="13">
        <v>0.0</v>
      </c>
      <c r="M194" s="13">
        <v>0.0</v>
      </c>
      <c r="N194" s="13">
        <v>0.0</v>
      </c>
      <c r="O194" s="18">
        <f t="shared" si="8"/>
        <v>1580.25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1" t="s">
        <v>513</v>
      </c>
      <c r="B195" s="1" t="s">
        <v>514</v>
      </c>
      <c r="C195" s="13">
        <v>0.0</v>
      </c>
      <c r="D195" s="13">
        <v>0.0</v>
      </c>
      <c r="E195" s="13">
        <v>1356.75</v>
      </c>
      <c r="F195" s="13">
        <v>0.0</v>
      </c>
      <c r="G195" s="13">
        <v>89.14</v>
      </c>
      <c r="H195" s="13">
        <v>-56.73</v>
      </c>
      <c r="I195" s="13">
        <v>25.0</v>
      </c>
      <c r="J195" s="13">
        <v>106.53</v>
      </c>
      <c r="K195" s="13">
        <v>0.0</v>
      </c>
      <c r="L195" s="13">
        <v>234.0</v>
      </c>
      <c r="M195" s="13">
        <v>0.0</v>
      </c>
      <c r="N195" s="13">
        <v>0.0</v>
      </c>
      <c r="O195" s="18">
        <f t="shared" si="8"/>
        <v>1754.69</v>
      </c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1" t="s">
        <v>515</v>
      </c>
      <c r="B196" s="1" t="s">
        <v>516</v>
      </c>
      <c r="C196" s="13">
        <v>0.0</v>
      </c>
      <c r="D196" s="13">
        <v>0.0</v>
      </c>
      <c r="E196" s="13">
        <v>0.0</v>
      </c>
      <c r="F196" s="13">
        <v>0.0</v>
      </c>
      <c r="G196" s="13">
        <v>100.0</v>
      </c>
      <c r="H196" s="13">
        <v>100.0</v>
      </c>
      <c r="I196" s="13">
        <v>0.0</v>
      </c>
      <c r="J196" s="13">
        <v>250.0</v>
      </c>
      <c r="K196" s="13">
        <v>0.0</v>
      </c>
      <c r="L196" s="13">
        <v>0.0</v>
      </c>
      <c r="M196" s="13">
        <v>0.0</v>
      </c>
      <c r="N196" s="13">
        <v>0.0</v>
      </c>
      <c r="O196" s="18">
        <f t="shared" si="8"/>
        <v>450</v>
      </c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1" t="s">
        <v>517</v>
      </c>
      <c r="B197" s="1" t="s">
        <v>518</v>
      </c>
      <c r="C197" s="13">
        <v>0.0</v>
      </c>
      <c r="D197" s="13">
        <v>0.0</v>
      </c>
      <c r="E197" s="13">
        <v>0.0</v>
      </c>
      <c r="F197" s="13">
        <v>0.0</v>
      </c>
      <c r="G197" s="13">
        <v>0.0</v>
      </c>
      <c r="H197" s="13">
        <v>0.0</v>
      </c>
      <c r="I197" s="13">
        <v>0.0</v>
      </c>
      <c r="J197" s="13">
        <v>0.0</v>
      </c>
      <c r="K197" s="13">
        <v>478.25</v>
      </c>
      <c r="L197" s="13">
        <v>593.26</v>
      </c>
      <c r="M197" s="13">
        <v>0.0</v>
      </c>
      <c r="N197" s="13">
        <v>0.0</v>
      </c>
      <c r="O197" s="18">
        <f t="shared" si="8"/>
        <v>1071.51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1" t="s">
        <v>519</v>
      </c>
      <c r="B198" s="1" t="s">
        <v>520</v>
      </c>
      <c r="C198" s="13">
        <v>0.0</v>
      </c>
      <c r="D198" s="13">
        <v>0.0</v>
      </c>
      <c r="E198" s="13">
        <v>0.0</v>
      </c>
      <c r="F198" s="13">
        <v>0.0</v>
      </c>
      <c r="G198" s="13">
        <v>0.0</v>
      </c>
      <c r="H198" s="13">
        <v>0.0</v>
      </c>
      <c r="I198" s="13">
        <v>0.0</v>
      </c>
      <c r="J198" s="13">
        <v>0.0</v>
      </c>
      <c r="K198" s="13">
        <v>0.0</v>
      </c>
      <c r="L198" s="13">
        <v>0.0</v>
      </c>
      <c r="M198" s="13">
        <v>0.0</v>
      </c>
      <c r="N198" s="13">
        <v>0.0</v>
      </c>
      <c r="O198" s="18">
        <f t="shared" si="8"/>
        <v>0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1" t="s">
        <v>521</v>
      </c>
      <c r="B199" s="1" t="s">
        <v>522</v>
      </c>
      <c r="C199" s="13">
        <v>0.0</v>
      </c>
      <c r="D199" s="13">
        <v>0.0</v>
      </c>
      <c r="E199" s="13">
        <v>0.0</v>
      </c>
      <c r="F199" s="13">
        <v>0.0</v>
      </c>
      <c r="G199" s="13">
        <v>0.0</v>
      </c>
      <c r="H199" s="13">
        <v>0.0</v>
      </c>
      <c r="I199" s="13">
        <v>0.0</v>
      </c>
      <c r="J199" s="13">
        <v>0.0</v>
      </c>
      <c r="K199" s="13">
        <v>-40.5</v>
      </c>
      <c r="L199" s="13">
        <v>109.34</v>
      </c>
      <c r="M199" s="13">
        <v>0.0</v>
      </c>
      <c r="N199" s="13">
        <v>0.0</v>
      </c>
      <c r="O199" s="18">
        <f t="shared" si="8"/>
        <v>68.84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1" t="s">
        <v>523</v>
      </c>
      <c r="B200" s="1" t="s">
        <v>524</v>
      </c>
      <c r="C200" s="13">
        <v>0.0</v>
      </c>
      <c r="D200" s="13">
        <v>0.0</v>
      </c>
      <c r="E200" s="13">
        <v>0.0</v>
      </c>
      <c r="F200" s="13">
        <v>0.0</v>
      </c>
      <c r="G200" s="13">
        <v>0.0</v>
      </c>
      <c r="H200" s="13">
        <v>0.0</v>
      </c>
      <c r="I200" s="13">
        <v>0.0</v>
      </c>
      <c r="J200" s="13">
        <v>0.0</v>
      </c>
      <c r="K200" s="13">
        <v>0.0</v>
      </c>
      <c r="L200" s="13">
        <v>87.5</v>
      </c>
      <c r="M200" s="13">
        <v>0.0</v>
      </c>
      <c r="N200" s="13">
        <v>0.0</v>
      </c>
      <c r="O200" s="18">
        <f t="shared" si="8"/>
        <v>87.5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1" t="s">
        <v>525</v>
      </c>
      <c r="B201" s="1" t="s">
        <v>526</v>
      </c>
      <c r="C201" s="13">
        <v>0.0</v>
      </c>
      <c r="D201" s="13">
        <v>0.0</v>
      </c>
      <c r="E201" s="13">
        <v>0.0</v>
      </c>
      <c r="F201" s="13">
        <v>0.0</v>
      </c>
      <c r="G201" s="13">
        <v>0.0</v>
      </c>
      <c r="H201" s="13">
        <v>0.0</v>
      </c>
      <c r="I201" s="13">
        <v>0.0</v>
      </c>
      <c r="J201" s="13">
        <v>0.0</v>
      </c>
      <c r="K201" s="13">
        <v>110.0</v>
      </c>
      <c r="L201" s="13">
        <v>0.0</v>
      </c>
      <c r="M201" s="13">
        <v>0.0</v>
      </c>
      <c r="N201" s="13">
        <v>0.0</v>
      </c>
      <c r="O201" s="18">
        <f t="shared" si="8"/>
        <v>110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1" t="s">
        <v>527</v>
      </c>
      <c r="B202" s="1" t="s">
        <v>528</v>
      </c>
      <c r="C202" s="13">
        <v>0.0</v>
      </c>
      <c r="D202" s="13">
        <v>0.0</v>
      </c>
      <c r="E202" s="13">
        <v>0.0</v>
      </c>
      <c r="F202" s="13">
        <v>0.0</v>
      </c>
      <c r="G202" s="13">
        <v>0.0</v>
      </c>
      <c r="H202" s="13">
        <v>0.0</v>
      </c>
      <c r="I202" s="13">
        <v>0.0</v>
      </c>
      <c r="J202" s="13">
        <v>0.0</v>
      </c>
      <c r="K202" s="13">
        <v>0.0</v>
      </c>
      <c r="L202" s="13">
        <v>0.0</v>
      </c>
      <c r="M202" s="13">
        <v>0.0</v>
      </c>
      <c r="N202" s="13">
        <v>0.0</v>
      </c>
      <c r="O202" s="18">
        <f t="shared" si="8"/>
        <v>0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1" t="s">
        <v>529</v>
      </c>
      <c r="B203" s="1" t="s">
        <v>530</v>
      </c>
      <c r="C203" s="13">
        <v>0.0</v>
      </c>
      <c r="D203" s="13">
        <v>0.0</v>
      </c>
      <c r="E203" s="13">
        <v>82.91</v>
      </c>
      <c r="F203" s="13">
        <v>92.92</v>
      </c>
      <c r="G203" s="13">
        <v>0.0</v>
      </c>
      <c r="H203" s="13">
        <v>0.0</v>
      </c>
      <c r="I203" s="13">
        <v>0.0</v>
      </c>
      <c r="J203" s="13">
        <v>0.0</v>
      </c>
      <c r="K203" s="13">
        <v>77.57</v>
      </c>
      <c r="L203" s="13">
        <v>0.0</v>
      </c>
      <c r="M203" s="13">
        <v>0.0</v>
      </c>
      <c r="N203" s="13">
        <v>0.0</v>
      </c>
      <c r="O203" s="18">
        <f t="shared" si="8"/>
        <v>253.4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1" t="s">
        <v>531</v>
      </c>
      <c r="B204" s="1" t="s">
        <v>532</v>
      </c>
      <c r="C204" s="13">
        <v>0.0</v>
      </c>
      <c r="D204" s="13">
        <v>0.0</v>
      </c>
      <c r="E204" s="13">
        <v>0.0</v>
      </c>
      <c r="F204" s="13">
        <v>0.0</v>
      </c>
      <c r="G204" s="13">
        <v>0.0</v>
      </c>
      <c r="H204" s="13">
        <v>0.0</v>
      </c>
      <c r="I204" s="13">
        <v>0.0</v>
      </c>
      <c r="J204" s="13">
        <v>0.0</v>
      </c>
      <c r="K204" s="13">
        <v>0.0</v>
      </c>
      <c r="L204" s="13">
        <v>0.0</v>
      </c>
      <c r="M204" s="13">
        <v>0.0</v>
      </c>
      <c r="N204" s="13">
        <v>0.0</v>
      </c>
      <c r="O204" s="18">
        <f t="shared" si="8"/>
        <v>0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1" t="s">
        <v>533</v>
      </c>
      <c r="B205" s="1" t="s">
        <v>534</v>
      </c>
      <c r="C205" s="13">
        <v>0.0</v>
      </c>
      <c r="D205" s="13">
        <v>0.0</v>
      </c>
      <c r="E205" s="13">
        <v>0.0</v>
      </c>
      <c r="F205" s="13">
        <v>0.0</v>
      </c>
      <c r="G205" s="13">
        <v>0.0</v>
      </c>
      <c r="H205" s="13">
        <v>0.0</v>
      </c>
      <c r="I205" s="13">
        <v>0.0</v>
      </c>
      <c r="J205" s="13">
        <v>0.0</v>
      </c>
      <c r="K205" s="13">
        <v>78.0</v>
      </c>
      <c r="L205" s="13">
        <v>0.0</v>
      </c>
      <c r="M205" s="13">
        <v>0.0</v>
      </c>
      <c r="N205" s="13">
        <v>0.0</v>
      </c>
      <c r="O205" s="18">
        <f t="shared" si="8"/>
        <v>78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1" t="s">
        <v>535</v>
      </c>
      <c r="B206" s="1" t="s">
        <v>536</v>
      </c>
      <c r="C206" s="13">
        <v>0.0</v>
      </c>
      <c r="D206" s="13">
        <v>0.0</v>
      </c>
      <c r="E206" s="13">
        <v>0.0</v>
      </c>
      <c r="F206" s="13">
        <v>0.0</v>
      </c>
      <c r="G206" s="13">
        <v>0.0</v>
      </c>
      <c r="H206" s="13">
        <v>0.0</v>
      </c>
      <c r="I206" s="13">
        <v>0.0</v>
      </c>
      <c r="J206" s="13">
        <v>0.0</v>
      </c>
      <c r="K206" s="13">
        <v>0.0</v>
      </c>
      <c r="L206" s="13">
        <v>0.0</v>
      </c>
      <c r="M206" s="13">
        <v>0.0</v>
      </c>
      <c r="N206" s="13">
        <v>0.0</v>
      </c>
      <c r="O206" s="18">
        <f t="shared" si="8"/>
        <v>0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1" t="s">
        <v>537</v>
      </c>
      <c r="B207" s="1" t="s">
        <v>538</v>
      </c>
      <c r="C207" s="13">
        <v>0.0</v>
      </c>
      <c r="D207" s="13">
        <v>0.0</v>
      </c>
      <c r="E207" s="13">
        <v>0.0</v>
      </c>
      <c r="F207" s="13">
        <v>0.0</v>
      </c>
      <c r="G207" s="13">
        <v>0.0</v>
      </c>
      <c r="H207" s="13">
        <v>0.0</v>
      </c>
      <c r="I207" s="13">
        <v>0.0</v>
      </c>
      <c r="J207" s="13">
        <v>0.0</v>
      </c>
      <c r="K207" s="13">
        <v>0.0</v>
      </c>
      <c r="L207" s="13">
        <v>0.0</v>
      </c>
      <c r="M207" s="13">
        <v>0.0</v>
      </c>
      <c r="N207" s="13">
        <v>0.0</v>
      </c>
      <c r="O207" s="18">
        <f t="shared" si="8"/>
        <v>0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1" t="s">
        <v>539</v>
      </c>
      <c r="B208" s="1" t="s">
        <v>540</v>
      </c>
      <c r="C208" s="13">
        <v>0.0</v>
      </c>
      <c r="D208" s="13">
        <v>0.0</v>
      </c>
      <c r="E208" s="13">
        <v>0.0</v>
      </c>
      <c r="F208" s="13">
        <v>0.0</v>
      </c>
      <c r="G208" s="13">
        <v>0.0</v>
      </c>
      <c r="H208" s="13">
        <v>0.0</v>
      </c>
      <c r="I208" s="13">
        <v>0.0</v>
      </c>
      <c r="J208" s="13">
        <v>0.0</v>
      </c>
      <c r="K208" s="13">
        <v>0.0</v>
      </c>
      <c r="L208" s="13">
        <v>0.0</v>
      </c>
      <c r="M208" s="13">
        <v>0.0</v>
      </c>
      <c r="N208" s="13">
        <v>0.0</v>
      </c>
      <c r="O208" s="18">
        <f t="shared" si="8"/>
        <v>0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1" t="s">
        <v>541</v>
      </c>
      <c r="B209" s="1" t="s">
        <v>542</v>
      </c>
      <c r="C209" s="13">
        <v>0.0</v>
      </c>
      <c r="D209" s="13">
        <v>975.0</v>
      </c>
      <c r="E209" s="13">
        <v>900.0</v>
      </c>
      <c r="F209" s="13">
        <v>675.0</v>
      </c>
      <c r="G209" s="13">
        <v>675.0</v>
      </c>
      <c r="H209" s="13">
        <v>0.0</v>
      </c>
      <c r="I209" s="13">
        <v>675.0</v>
      </c>
      <c r="J209" s="13">
        <v>675.0</v>
      </c>
      <c r="K209" s="13">
        <v>2042.0</v>
      </c>
      <c r="L209" s="13">
        <v>0.0</v>
      </c>
      <c r="M209" s="13">
        <v>0.0</v>
      </c>
      <c r="N209" s="13">
        <v>0.0</v>
      </c>
      <c r="O209" s="18">
        <f t="shared" si="8"/>
        <v>6617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1" t="s">
        <v>543</v>
      </c>
      <c r="B210" s="1" t="s">
        <v>544</v>
      </c>
      <c r="C210" s="13">
        <v>0.0</v>
      </c>
      <c r="D210" s="13">
        <v>0.0</v>
      </c>
      <c r="E210" s="13">
        <v>0.0</v>
      </c>
      <c r="F210" s="13">
        <v>0.0</v>
      </c>
      <c r="G210" s="13">
        <v>0.0</v>
      </c>
      <c r="H210" s="13">
        <v>0.0</v>
      </c>
      <c r="I210" s="13">
        <v>0.0</v>
      </c>
      <c r="J210" s="13">
        <v>0.0</v>
      </c>
      <c r="K210" s="13">
        <v>0.0</v>
      </c>
      <c r="L210" s="13">
        <v>0.0</v>
      </c>
      <c r="M210" s="13">
        <v>0.0</v>
      </c>
      <c r="N210" s="13">
        <v>0.0</v>
      </c>
      <c r="O210" s="18">
        <f t="shared" si="8"/>
        <v>0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1" t="s">
        <v>545</v>
      </c>
      <c r="B211" s="1" t="s">
        <v>161</v>
      </c>
      <c r="C211" s="13">
        <v>0.0</v>
      </c>
      <c r="D211" s="13">
        <v>0.0</v>
      </c>
      <c r="E211" s="13">
        <v>0.0</v>
      </c>
      <c r="F211" s="13">
        <v>0.0</v>
      </c>
      <c r="G211" s="13">
        <v>0.0</v>
      </c>
      <c r="H211" s="13">
        <v>0.0</v>
      </c>
      <c r="I211" s="13">
        <v>31.5</v>
      </c>
      <c r="J211" s="13">
        <v>46.13</v>
      </c>
      <c r="K211" s="13">
        <v>-20.77</v>
      </c>
      <c r="L211" s="13">
        <v>275.75</v>
      </c>
      <c r="M211" s="13">
        <v>0.0</v>
      </c>
      <c r="N211" s="13">
        <v>0.0</v>
      </c>
      <c r="O211" s="18">
        <f t="shared" si="8"/>
        <v>332.61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1" t="s">
        <v>546</v>
      </c>
      <c r="B212" s="1" t="s">
        <v>161</v>
      </c>
      <c r="C212" s="13">
        <v>0.0</v>
      </c>
      <c r="D212" s="13">
        <v>0.0</v>
      </c>
      <c r="E212" s="13">
        <v>100.0</v>
      </c>
      <c r="F212" s="13">
        <v>0.0</v>
      </c>
      <c r="G212" s="13">
        <v>0.0</v>
      </c>
      <c r="H212" s="13">
        <v>0.0</v>
      </c>
      <c r="I212" s="13">
        <v>0.0</v>
      </c>
      <c r="J212" s="13">
        <v>0.0</v>
      </c>
      <c r="K212" s="13">
        <v>0.0</v>
      </c>
      <c r="L212" s="13">
        <v>0.0</v>
      </c>
      <c r="M212" s="13">
        <v>0.0</v>
      </c>
      <c r="N212" s="13">
        <v>0.0</v>
      </c>
      <c r="O212" s="18">
        <f t="shared" si="8"/>
        <v>100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1" t="s">
        <v>547</v>
      </c>
      <c r="B213" s="1" t="s">
        <v>161</v>
      </c>
      <c r="C213" s="13">
        <v>0.0</v>
      </c>
      <c r="D213" s="13">
        <v>0.0</v>
      </c>
      <c r="E213" s="13">
        <v>0.0</v>
      </c>
      <c r="F213" s="13">
        <v>0.0</v>
      </c>
      <c r="G213" s="13">
        <v>0.0</v>
      </c>
      <c r="H213" s="13">
        <v>0.0</v>
      </c>
      <c r="I213" s="13">
        <v>0.0</v>
      </c>
      <c r="J213" s="13">
        <v>0.0</v>
      </c>
      <c r="K213" s="13">
        <v>0.0</v>
      </c>
      <c r="L213" s="13">
        <v>0.0</v>
      </c>
      <c r="M213" s="13">
        <v>0.0</v>
      </c>
      <c r="N213" s="13">
        <v>0.0</v>
      </c>
      <c r="O213" s="18">
        <f t="shared" si="8"/>
        <v>0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1" t="s">
        <v>548</v>
      </c>
      <c r="B214" s="1" t="s">
        <v>549</v>
      </c>
      <c r="C214" s="13">
        <v>0.0</v>
      </c>
      <c r="D214" s="13">
        <v>0.0</v>
      </c>
      <c r="E214" s="13">
        <v>0.0</v>
      </c>
      <c r="F214" s="13">
        <v>0.0</v>
      </c>
      <c r="G214" s="13">
        <v>0.0</v>
      </c>
      <c r="H214" s="13">
        <v>39.5</v>
      </c>
      <c r="I214" s="13">
        <v>999.5</v>
      </c>
      <c r="J214" s="13">
        <v>39.5</v>
      </c>
      <c r="K214" s="13">
        <v>0.0</v>
      </c>
      <c r="L214" s="13">
        <v>0.0</v>
      </c>
      <c r="M214" s="13">
        <v>0.0</v>
      </c>
      <c r="N214" s="13">
        <v>0.0</v>
      </c>
      <c r="O214" s="18">
        <f t="shared" si="8"/>
        <v>1078.5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1" t="s">
        <v>550</v>
      </c>
      <c r="B215" s="1" t="s">
        <v>551</v>
      </c>
      <c r="C215" s="13">
        <v>1279.0</v>
      </c>
      <c r="D215" s="13">
        <v>399.0</v>
      </c>
      <c r="E215" s="13">
        <v>638.95</v>
      </c>
      <c r="F215" s="13">
        <v>24.0</v>
      </c>
      <c r="G215" s="13">
        <v>394.0</v>
      </c>
      <c r="H215" s="13">
        <v>24.0</v>
      </c>
      <c r="I215" s="13">
        <v>24.0</v>
      </c>
      <c r="J215" s="13">
        <v>24.0</v>
      </c>
      <c r="K215" s="13">
        <v>59.99</v>
      </c>
      <c r="L215" s="13">
        <v>0.0</v>
      </c>
      <c r="M215" s="13">
        <v>0.0</v>
      </c>
      <c r="N215" s="13">
        <v>0.0</v>
      </c>
      <c r="O215" s="18">
        <f t="shared" si="8"/>
        <v>2866.94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1" t="s">
        <v>552</v>
      </c>
      <c r="B216" s="1" t="s">
        <v>551</v>
      </c>
      <c r="C216" s="13">
        <v>0.0</v>
      </c>
      <c r="D216" s="13">
        <v>0.0</v>
      </c>
      <c r="E216" s="13">
        <v>0.0</v>
      </c>
      <c r="F216" s="13">
        <v>0.0</v>
      </c>
      <c r="G216" s="13">
        <v>0.0</v>
      </c>
      <c r="H216" s="13">
        <v>0.0</v>
      </c>
      <c r="I216" s="13">
        <v>59.99</v>
      </c>
      <c r="J216" s="13">
        <v>0.0</v>
      </c>
      <c r="K216" s="13">
        <v>0.0</v>
      </c>
      <c r="L216" s="13">
        <v>0.0</v>
      </c>
      <c r="M216" s="13">
        <v>0.0</v>
      </c>
      <c r="N216" s="13">
        <v>0.0</v>
      </c>
      <c r="O216" s="18">
        <f t="shared" si="8"/>
        <v>59.99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1" t="s">
        <v>553</v>
      </c>
      <c r="B217" s="1" t="s">
        <v>551</v>
      </c>
      <c r="C217" s="13">
        <v>0.0</v>
      </c>
      <c r="D217" s="13">
        <v>0.0</v>
      </c>
      <c r="E217" s="13">
        <v>0.0</v>
      </c>
      <c r="F217" s="13">
        <v>0.0</v>
      </c>
      <c r="G217" s="13">
        <v>0.0</v>
      </c>
      <c r="H217" s="13">
        <v>0.0</v>
      </c>
      <c r="I217" s="13">
        <v>0.0</v>
      </c>
      <c r="J217" s="13">
        <v>0.0</v>
      </c>
      <c r="K217" s="13">
        <v>900.0</v>
      </c>
      <c r="L217" s="13">
        <v>0.0</v>
      </c>
      <c r="M217" s="13">
        <v>0.0</v>
      </c>
      <c r="N217" s="13">
        <v>0.0</v>
      </c>
      <c r="O217" s="18">
        <f t="shared" si="8"/>
        <v>900</v>
      </c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1" t="s">
        <v>554</v>
      </c>
      <c r="B218" s="1" t="s">
        <v>555</v>
      </c>
      <c r="C218" s="13">
        <v>0.0</v>
      </c>
      <c r="D218" s="13">
        <v>0.0</v>
      </c>
      <c r="E218" s="13">
        <v>90.0</v>
      </c>
      <c r="F218" s="13">
        <v>0.0</v>
      </c>
      <c r="G218" s="13">
        <v>0.0</v>
      </c>
      <c r="H218" s="13">
        <v>0.0</v>
      </c>
      <c r="I218" s="13">
        <v>0.0</v>
      </c>
      <c r="J218" s="13">
        <v>0.0</v>
      </c>
      <c r="K218" s="13">
        <v>0.0</v>
      </c>
      <c r="L218" s="13">
        <v>0.0</v>
      </c>
      <c r="M218" s="13">
        <v>0.0</v>
      </c>
      <c r="N218" s="13">
        <v>0.0</v>
      </c>
      <c r="O218" s="18">
        <f t="shared" si="8"/>
        <v>90</v>
      </c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1" t="s">
        <v>556</v>
      </c>
      <c r="B219" s="1" t="s">
        <v>557</v>
      </c>
      <c r="C219" s="13">
        <v>1500.0</v>
      </c>
      <c r="D219" s="13">
        <v>0.0</v>
      </c>
      <c r="E219" s="13">
        <v>0.0</v>
      </c>
      <c r="F219" s="13">
        <v>0.0</v>
      </c>
      <c r="G219" s="13">
        <v>0.0</v>
      </c>
      <c r="H219" s="13">
        <v>0.0</v>
      </c>
      <c r="I219" s="13">
        <v>0.0</v>
      </c>
      <c r="J219" s="13">
        <v>0.0</v>
      </c>
      <c r="K219" s="13">
        <v>0.0</v>
      </c>
      <c r="L219" s="13">
        <v>0.0</v>
      </c>
      <c r="M219" s="13">
        <v>0.0</v>
      </c>
      <c r="N219" s="13">
        <v>0.0</v>
      </c>
      <c r="O219" s="18">
        <f t="shared" si="8"/>
        <v>1500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1" t="s">
        <v>558</v>
      </c>
      <c r="B220" s="1" t="s">
        <v>559</v>
      </c>
      <c r="C220" s="13">
        <v>0.0</v>
      </c>
      <c r="D220" s="13">
        <v>0.0</v>
      </c>
      <c r="E220" s="13">
        <v>0.0</v>
      </c>
      <c r="F220" s="13">
        <v>0.0</v>
      </c>
      <c r="G220" s="13">
        <v>1000.0</v>
      </c>
      <c r="H220" s="13">
        <v>0.0</v>
      </c>
      <c r="I220" s="13">
        <v>0.0</v>
      </c>
      <c r="J220" s="13">
        <v>0.0</v>
      </c>
      <c r="K220" s="13">
        <v>0.0</v>
      </c>
      <c r="L220" s="13">
        <v>0.0</v>
      </c>
      <c r="M220" s="13">
        <v>0.0</v>
      </c>
      <c r="N220" s="13">
        <v>0.0</v>
      </c>
      <c r="O220" s="18">
        <f t="shared" si="8"/>
        <v>1000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1" t="s">
        <v>560</v>
      </c>
      <c r="B221" s="1" t="s">
        <v>559</v>
      </c>
      <c r="C221" s="13">
        <v>0.0</v>
      </c>
      <c r="D221" s="13">
        <v>0.0</v>
      </c>
      <c r="E221" s="13">
        <v>0.0</v>
      </c>
      <c r="F221" s="13">
        <v>0.0</v>
      </c>
      <c r="G221" s="13">
        <v>0.0</v>
      </c>
      <c r="H221" s="13">
        <v>0.0</v>
      </c>
      <c r="I221" s="13">
        <v>0.0</v>
      </c>
      <c r="J221" s="13">
        <v>0.0</v>
      </c>
      <c r="K221" s="13">
        <v>0.0</v>
      </c>
      <c r="L221" s="13">
        <v>0.0</v>
      </c>
      <c r="M221" s="13">
        <v>0.0</v>
      </c>
      <c r="N221" s="13">
        <v>0.0</v>
      </c>
      <c r="O221" s="18">
        <f t="shared" si="8"/>
        <v>0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1" t="s">
        <v>561</v>
      </c>
      <c r="B222" s="1" t="s">
        <v>562</v>
      </c>
      <c r="C222" s="13">
        <v>0.0</v>
      </c>
      <c r="D222" s="13">
        <v>51.26</v>
      </c>
      <c r="E222" s="13">
        <v>740.0</v>
      </c>
      <c r="F222" s="13">
        <v>165.0</v>
      </c>
      <c r="G222" s="13">
        <v>92.19</v>
      </c>
      <c r="H222" s="13">
        <v>399.0</v>
      </c>
      <c r="I222" s="13">
        <v>0.0</v>
      </c>
      <c r="J222" s="13">
        <v>0.0</v>
      </c>
      <c r="K222" s="13">
        <v>187.11</v>
      </c>
      <c r="L222" s="13">
        <v>0.0</v>
      </c>
      <c r="M222" s="13">
        <v>0.0</v>
      </c>
      <c r="N222" s="13">
        <v>0.0</v>
      </c>
      <c r="O222" s="18">
        <f t="shared" si="8"/>
        <v>1634.56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1" t="s">
        <v>563</v>
      </c>
      <c r="B223" s="1" t="s">
        <v>564</v>
      </c>
      <c r="C223" s="13">
        <v>19.89</v>
      </c>
      <c r="D223" s="13">
        <v>0.0</v>
      </c>
      <c r="E223" s="13">
        <v>47.83</v>
      </c>
      <c r="F223" s="13">
        <v>0.0</v>
      </c>
      <c r="G223" s="13">
        <v>0.0</v>
      </c>
      <c r="H223" s="13">
        <v>0.0</v>
      </c>
      <c r="I223" s="13">
        <v>0.0</v>
      </c>
      <c r="J223" s="13">
        <v>0.0</v>
      </c>
      <c r="K223" s="13">
        <v>0.0</v>
      </c>
      <c r="L223" s="13">
        <v>0.0</v>
      </c>
      <c r="M223" s="13">
        <v>0.0</v>
      </c>
      <c r="N223" s="13">
        <v>0.0</v>
      </c>
      <c r="O223" s="18">
        <f t="shared" si="8"/>
        <v>67.72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1" t="s">
        <v>565</v>
      </c>
      <c r="B224" s="1" t="s">
        <v>566</v>
      </c>
      <c r="C224" s="13">
        <v>0.0</v>
      </c>
      <c r="D224" s="13">
        <v>33.37</v>
      </c>
      <c r="E224" s="13">
        <v>0.0</v>
      </c>
      <c r="F224" s="13">
        <v>0.0</v>
      </c>
      <c r="G224" s="13">
        <v>0.0</v>
      </c>
      <c r="H224" s="13">
        <v>0.0</v>
      </c>
      <c r="I224" s="13">
        <v>0.0</v>
      </c>
      <c r="J224" s="13">
        <v>0.0</v>
      </c>
      <c r="K224" s="13">
        <v>0.0</v>
      </c>
      <c r="L224" s="13">
        <v>0.0</v>
      </c>
      <c r="M224" s="13">
        <v>0.0</v>
      </c>
      <c r="N224" s="13">
        <v>0.0</v>
      </c>
      <c r="O224" s="18">
        <f t="shared" si="8"/>
        <v>33.37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1" t="s">
        <v>567</v>
      </c>
      <c r="B225" s="1" t="s">
        <v>566</v>
      </c>
      <c r="C225" s="13">
        <v>0.0</v>
      </c>
      <c r="D225" s="13">
        <v>0.0</v>
      </c>
      <c r="E225" s="13">
        <v>0.0</v>
      </c>
      <c r="F225" s="13">
        <v>6.77</v>
      </c>
      <c r="G225" s="13">
        <v>30.94</v>
      </c>
      <c r="H225" s="13">
        <v>0.0</v>
      </c>
      <c r="I225" s="13">
        <v>0.0</v>
      </c>
      <c r="J225" s="13">
        <v>0.0</v>
      </c>
      <c r="K225" s="13">
        <v>0.0</v>
      </c>
      <c r="L225" s="13">
        <v>0.0</v>
      </c>
      <c r="M225" s="13">
        <v>0.0</v>
      </c>
      <c r="N225" s="13">
        <v>0.0</v>
      </c>
      <c r="O225" s="18">
        <f t="shared" si="8"/>
        <v>37.71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1" t="s">
        <v>568</v>
      </c>
      <c r="B226" s="1" t="s">
        <v>566</v>
      </c>
      <c r="C226" s="13">
        <v>0.0</v>
      </c>
      <c r="D226" s="13">
        <v>0.0</v>
      </c>
      <c r="E226" s="13">
        <v>0.0</v>
      </c>
      <c r="F226" s="13">
        <v>0.0</v>
      </c>
      <c r="G226" s="13">
        <v>0.0</v>
      </c>
      <c r="H226" s="13">
        <v>0.0</v>
      </c>
      <c r="I226" s="13">
        <v>0.0</v>
      </c>
      <c r="J226" s="13">
        <v>0.0</v>
      </c>
      <c r="K226" s="13">
        <v>0.0</v>
      </c>
      <c r="L226" s="13">
        <v>0.0</v>
      </c>
      <c r="M226" s="13">
        <v>0.0</v>
      </c>
      <c r="N226" s="13">
        <v>0.0</v>
      </c>
      <c r="O226" s="18">
        <f t="shared" si="8"/>
        <v>0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1" t="s">
        <v>569</v>
      </c>
      <c r="B227" s="1" t="s">
        <v>570</v>
      </c>
      <c r="C227" s="13">
        <v>0.0</v>
      </c>
      <c r="D227" s="13">
        <v>0.0</v>
      </c>
      <c r="E227" s="13">
        <v>0.0</v>
      </c>
      <c r="F227" s="13">
        <v>0.0</v>
      </c>
      <c r="G227" s="13">
        <v>261.22</v>
      </c>
      <c r="H227" s="13">
        <v>150.04</v>
      </c>
      <c r="I227" s="13">
        <v>0.0</v>
      </c>
      <c r="J227" s="13">
        <v>0.0</v>
      </c>
      <c r="K227" s="13">
        <v>0.0</v>
      </c>
      <c r="L227" s="13">
        <v>0.0</v>
      </c>
      <c r="M227" s="13">
        <v>0.0</v>
      </c>
      <c r="N227" s="13">
        <v>0.0</v>
      </c>
      <c r="O227" s="18">
        <f t="shared" si="8"/>
        <v>411.26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1" t="s">
        <v>571</v>
      </c>
      <c r="B228" s="1" t="s">
        <v>570</v>
      </c>
      <c r="C228" s="13">
        <v>0.0</v>
      </c>
      <c r="D228" s="13">
        <v>8.15</v>
      </c>
      <c r="E228" s="13">
        <v>16.0</v>
      </c>
      <c r="F228" s="13">
        <v>32.0</v>
      </c>
      <c r="G228" s="13">
        <v>71.99</v>
      </c>
      <c r="H228" s="13">
        <v>0.0</v>
      </c>
      <c r="I228" s="13">
        <v>0.0</v>
      </c>
      <c r="J228" s="13">
        <v>88.68</v>
      </c>
      <c r="K228" s="13">
        <v>0.0</v>
      </c>
      <c r="L228" s="13">
        <v>0.0</v>
      </c>
      <c r="M228" s="13">
        <v>0.0</v>
      </c>
      <c r="N228" s="13">
        <v>0.0</v>
      </c>
      <c r="O228" s="18">
        <f t="shared" si="8"/>
        <v>216.82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1" t="s">
        <v>572</v>
      </c>
      <c r="B229" s="1" t="s">
        <v>570</v>
      </c>
      <c r="C229" s="13">
        <v>0.0</v>
      </c>
      <c r="D229" s="13">
        <v>0.0</v>
      </c>
      <c r="E229" s="13">
        <v>0.0</v>
      </c>
      <c r="F229" s="13">
        <v>0.0</v>
      </c>
      <c r="G229" s="13">
        <v>0.0</v>
      </c>
      <c r="H229" s="13">
        <v>198.31</v>
      </c>
      <c r="I229" s="13">
        <v>0.0</v>
      </c>
      <c r="J229" s="13">
        <v>0.0</v>
      </c>
      <c r="K229" s="13">
        <v>0.0</v>
      </c>
      <c r="L229" s="13">
        <v>0.0</v>
      </c>
      <c r="M229" s="13">
        <v>0.0</v>
      </c>
      <c r="N229" s="13">
        <v>0.0</v>
      </c>
      <c r="O229" s="18">
        <f t="shared" si="8"/>
        <v>198.31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1" t="s">
        <v>573</v>
      </c>
      <c r="B230" s="1" t="s">
        <v>574</v>
      </c>
      <c r="C230" s="13">
        <v>1686.0</v>
      </c>
      <c r="D230" s="13">
        <v>814.0</v>
      </c>
      <c r="E230" s="13">
        <v>96.0</v>
      </c>
      <c r="F230" s="13">
        <v>92.0</v>
      </c>
      <c r="G230" s="13">
        <v>112.0</v>
      </c>
      <c r="H230" s="13">
        <v>20.0</v>
      </c>
      <c r="I230" s="13">
        <v>132.0</v>
      </c>
      <c r="J230" s="13">
        <v>66.0</v>
      </c>
      <c r="K230" s="13">
        <v>46.0</v>
      </c>
      <c r="L230" s="13">
        <v>0.0</v>
      </c>
      <c r="M230" s="13">
        <v>0.0</v>
      </c>
      <c r="N230" s="13">
        <v>0.0</v>
      </c>
      <c r="O230" s="18">
        <f t="shared" si="8"/>
        <v>3064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1" t="s">
        <v>575</v>
      </c>
      <c r="B231" s="1" t="s">
        <v>154</v>
      </c>
      <c r="C231" s="13">
        <v>63.0</v>
      </c>
      <c r="D231" s="13">
        <v>59.75</v>
      </c>
      <c r="E231" s="13">
        <v>57.5</v>
      </c>
      <c r="F231" s="13">
        <v>64.0</v>
      </c>
      <c r="G231" s="13">
        <v>151.0</v>
      </c>
      <c r="H231" s="13">
        <v>190.5</v>
      </c>
      <c r="I231" s="13">
        <v>109.78</v>
      </c>
      <c r="J231" s="13">
        <v>70.5</v>
      </c>
      <c r="K231" s="13">
        <v>37.5</v>
      </c>
      <c r="L231" s="13">
        <v>0.0</v>
      </c>
      <c r="M231" s="13">
        <v>0.0</v>
      </c>
      <c r="N231" s="13">
        <v>0.0</v>
      </c>
      <c r="O231" s="18">
        <f t="shared" si="8"/>
        <v>803.53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1" t="s">
        <v>576</v>
      </c>
      <c r="B232" s="1" t="s">
        <v>577</v>
      </c>
      <c r="C232" s="13">
        <v>0.0</v>
      </c>
      <c r="D232" s="13">
        <v>0.0</v>
      </c>
      <c r="E232" s="13">
        <v>0.0</v>
      </c>
      <c r="F232" s="13">
        <v>0.0</v>
      </c>
      <c r="G232" s="13">
        <v>0.0</v>
      </c>
      <c r="H232" s="13">
        <v>0.0</v>
      </c>
      <c r="I232" s="13">
        <v>61.95</v>
      </c>
      <c r="J232" s="13">
        <v>17.65</v>
      </c>
      <c r="K232" s="13">
        <v>-3.74</v>
      </c>
      <c r="L232" s="13">
        <v>0.0</v>
      </c>
      <c r="M232" s="13">
        <v>0.0</v>
      </c>
      <c r="N232" s="13">
        <v>0.0</v>
      </c>
      <c r="O232" s="18">
        <f t="shared" si="8"/>
        <v>75.86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1" t="s">
        <v>578</v>
      </c>
      <c r="B233" s="1" t="s">
        <v>577</v>
      </c>
      <c r="C233" s="13">
        <v>0.0</v>
      </c>
      <c r="D233" s="13">
        <v>0.0</v>
      </c>
      <c r="E233" s="13">
        <v>0.0</v>
      </c>
      <c r="F233" s="13">
        <v>0.0</v>
      </c>
      <c r="G233" s="13">
        <v>0.0</v>
      </c>
      <c r="H233" s="13">
        <v>0.0</v>
      </c>
      <c r="I233" s="13">
        <v>149.0</v>
      </c>
      <c r="J233" s="13">
        <v>0.0</v>
      </c>
      <c r="K233" s="13">
        <v>0.0</v>
      </c>
      <c r="L233" s="13">
        <v>0.0</v>
      </c>
      <c r="M233" s="13">
        <v>0.0</v>
      </c>
      <c r="N233" s="13">
        <v>0.0</v>
      </c>
      <c r="O233" s="18">
        <f t="shared" si="8"/>
        <v>149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1" t="s">
        <v>579</v>
      </c>
      <c r="B234" s="1" t="s">
        <v>580</v>
      </c>
      <c r="C234" s="13">
        <v>0.0</v>
      </c>
      <c r="D234" s="13">
        <v>54.5</v>
      </c>
      <c r="E234" s="13">
        <v>0.0</v>
      </c>
      <c r="F234" s="13">
        <v>0.0</v>
      </c>
      <c r="G234" s="13">
        <v>0.0</v>
      </c>
      <c r="H234" s="13">
        <v>0.0</v>
      </c>
      <c r="I234" s="13">
        <v>56.12</v>
      </c>
      <c r="J234" s="13">
        <v>133.4</v>
      </c>
      <c r="K234" s="13">
        <v>30.89</v>
      </c>
      <c r="L234" s="13">
        <v>20.85</v>
      </c>
      <c r="M234" s="13">
        <v>0.0</v>
      </c>
      <c r="N234" s="13">
        <v>0.0</v>
      </c>
      <c r="O234" s="18">
        <f t="shared" si="8"/>
        <v>295.76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1" t="s">
        <v>581</v>
      </c>
      <c r="B235" s="1" t="s">
        <v>151</v>
      </c>
      <c r="C235" s="13">
        <v>0.0</v>
      </c>
      <c r="D235" s="13">
        <v>0.0</v>
      </c>
      <c r="E235" s="13">
        <v>0.0</v>
      </c>
      <c r="F235" s="13">
        <v>0.0</v>
      </c>
      <c r="G235" s="13">
        <v>0.0</v>
      </c>
      <c r="H235" s="13">
        <v>0.0</v>
      </c>
      <c r="I235" s="13">
        <v>0.0</v>
      </c>
      <c r="J235" s="13">
        <v>0.0</v>
      </c>
      <c r="K235" s="13">
        <v>0.0</v>
      </c>
      <c r="L235" s="13">
        <v>0.0</v>
      </c>
      <c r="M235" s="13">
        <v>0.0</v>
      </c>
      <c r="N235" s="13">
        <v>0.0</v>
      </c>
      <c r="O235" s="18">
        <f t="shared" si="8"/>
        <v>0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1" t="s">
        <v>582</v>
      </c>
      <c r="B236" s="1" t="s">
        <v>583</v>
      </c>
      <c r="C236" s="13">
        <v>263.93</v>
      </c>
      <c r="D236" s="13">
        <v>275.7</v>
      </c>
      <c r="E236" s="13">
        <v>275.7</v>
      </c>
      <c r="F236" s="13">
        <v>785.44</v>
      </c>
      <c r="G236" s="13">
        <v>451.73</v>
      </c>
      <c r="H236" s="13">
        <v>162.79</v>
      </c>
      <c r="I236" s="13">
        <v>164.11</v>
      </c>
      <c r="J236" s="13">
        <v>163.64</v>
      </c>
      <c r="K236" s="13">
        <v>164.14</v>
      </c>
      <c r="L236" s="13">
        <v>0.0</v>
      </c>
      <c r="M236" s="13">
        <v>0.0</v>
      </c>
      <c r="N236" s="13">
        <v>0.0</v>
      </c>
      <c r="O236" s="18">
        <f t="shared" si="8"/>
        <v>2707.18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1" t="s">
        <v>584</v>
      </c>
      <c r="B237" s="1" t="s">
        <v>583</v>
      </c>
      <c r="C237" s="13">
        <v>0.0</v>
      </c>
      <c r="D237" s="13">
        <v>0.0</v>
      </c>
      <c r="E237" s="13">
        <v>0.0</v>
      </c>
      <c r="F237" s="13">
        <v>0.0</v>
      </c>
      <c r="G237" s="13">
        <v>0.0</v>
      </c>
      <c r="H237" s="13">
        <v>0.0</v>
      </c>
      <c r="I237" s="13">
        <v>0.0</v>
      </c>
      <c r="J237" s="13">
        <v>0.0</v>
      </c>
      <c r="K237" s="13">
        <v>0.0</v>
      </c>
      <c r="L237" s="13">
        <v>0.0</v>
      </c>
      <c r="M237" s="13">
        <v>0.0</v>
      </c>
      <c r="N237" s="13">
        <v>0.0</v>
      </c>
      <c r="O237" s="18">
        <f t="shared" si="8"/>
        <v>0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1" t="s">
        <v>585</v>
      </c>
      <c r="B238" s="1" t="s">
        <v>583</v>
      </c>
      <c r="C238" s="13">
        <v>0.0</v>
      </c>
      <c r="D238" s="13">
        <v>0.0</v>
      </c>
      <c r="E238" s="13">
        <v>0.0</v>
      </c>
      <c r="F238" s="13">
        <v>0.0</v>
      </c>
      <c r="G238" s="13">
        <v>0.0</v>
      </c>
      <c r="H238" s="13">
        <v>0.0</v>
      </c>
      <c r="I238" s="13">
        <v>0.0</v>
      </c>
      <c r="J238" s="13">
        <v>0.0</v>
      </c>
      <c r="K238" s="13">
        <v>0.0</v>
      </c>
      <c r="L238" s="13">
        <v>0.0</v>
      </c>
      <c r="M238" s="13">
        <v>0.0</v>
      </c>
      <c r="N238" s="13">
        <v>0.0</v>
      </c>
      <c r="O238" s="18">
        <f t="shared" si="8"/>
        <v>0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1" t="s">
        <v>586</v>
      </c>
      <c r="B239" s="1" t="s">
        <v>587</v>
      </c>
      <c r="C239" s="13">
        <v>0.0</v>
      </c>
      <c r="D239" s="13">
        <v>0.0</v>
      </c>
      <c r="E239" s="13">
        <v>0.0</v>
      </c>
      <c r="F239" s="13">
        <v>0.0</v>
      </c>
      <c r="G239" s="13">
        <v>0.0</v>
      </c>
      <c r="H239" s="13">
        <v>0.0</v>
      </c>
      <c r="I239" s="13">
        <v>0.0</v>
      </c>
      <c r="J239" s="13">
        <v>0.0</v>
      </c>
      <c r="K239" s="13">
        <v>0.0</v>
      </c>
      <c r="L239" s="13">
        <v>0.0</v>
      </c>
      <c r="M239" s="13">
        <v>0.0</v>
      </c>
      <c r="N239" s="13">
        <v>0.0</v>
      </c>
      <c r="O239" s="18">
        <f t="shared" si="8"/>
        <v>0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1" t="s">
        <v>588</v>
      </c>
      <c r="B240" s="1" t="s">
        <v>589</v>
      </c>
      <c r="C240" s="13">
        <v>0.0</v>
      </c>
      <c r="D240" s="13">
        <v>0.0</v>
      </c>
      <c r="E240" s="13">
        <v>0.0</v>
      </c>
      <c r="F240" s="13">
        <v>0.0</v>
      </c>
      <c r="G240" s="13">
        <v>0.0</v>
      </c>
      <c r="H240" s="13">
        <v>0.0</v>
      </c>
      <c r="I240" s="13">
        <v>0.0</v>
      </c>
      <c r="J240" s="13">
        <v>0.0</v>
      </c>
      <c r="K240" s="13">
        <v>0.0</v>
      </c>
      <c r="L240" s="13">
        <v>0.0</v>
      </c>
      <c r="M240" s="13">
        <v>0.0</v>
      </c>
      <c r="N240" s="13">
        <v>0.0</v>
      </c>
      <c r="O240" s="18">
        <f t="shared" si="8"/>
        <v>0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1" t="s">
        <v>590</v>
      </c>
      <c r="B241" s="1" t="s">
        <v>591</v>
      </c>
      <c r="C241" s="13">
        <v>868.22</v>
      </c>
      <c r="D241" s="13">
        <v>282.78</v>
      </c>
      <c r="E241" s="13">
        <v>527.06</v>
      </c>
      <c r="F241" s="13">
        <v>257.92</v>
      </c>
      <c r="G241" s="13">
        <v>264.47</v>
      </c>
      <c r="H241" s="13">
        <v>175.93</v>
      </c>
      <c r="I241" s="13">
        <v>175.93</v>
      </c>
      <c r="J241" s="13">
        <v>197.41</v>
      </c>
      <c r="K241" s="13">
        <v>175.93</v>
      </c>
      <c r="L241" s="13">
        <v>0.0</v>
      </c>
      <c r="M241" s="13">
        <v>0.0</v>
      </c>
      <c r="N241" s="13">
        <v>0.0</v>
      </c>
      <c r="O241" s="18">
        <f t="shared" si="8"/>
        <v>2925.65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1" t="s">
        <v>592</v>
      </c>
      <c r="B242" s="1" t="s">
        <v>593</v>
      </c>
      <c r="C242" s="13">
        <v>0.0</v>
      </c>
      <c r="D242" s="13">
        <v>0.0</v>
      </c>
      <c r="E242" s="13">
        <v>0.0</v>
      </c>
      <c r="F242" s="13">
        <v>0.0</v>
      </c>
      <c r="G242" s="13">
        <v>0.0</v>
      </c>
      <c r="H242" s="13">
        <v>0.0</v>
      </c>
      <c r="I242" s="13">
        <v>0.0</v>
      </c>
      <c r="J242" s="13">
        <v>0.0</v>
      </c>
      <c r="K242" s="13">
        <v>0.0</v>
      </c>
      <c r="L242" s="13">
        <v>0.0</v>
      </c>
      <c r="M242" s="13">
        <v>0.0</v>
      </c>
      <c r="N242" s="13">
        <v>0.0</v>
      </c>
      <c r="O242" s="18">
        <f t="shared" si="8"/>
        <v>0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1" t="s">
        <v>595</v>
      </c>
      <c r="B243" s="1" t="s">
        <v>596</v>
      </c>
      <c r="C243" s="13">
        <v>32.76</v>
      </c>
      <c r="D243" s="13">
        <v>51.69</v>
      </c>
      <c r="E243" s="13">
        <v>145.57</v>
      </c>
      <c r="F243" s="13">
        <v>32.76</v>
      </c>
      <c r="G243" s="13">
        <v>32.76</v>
      </c>
      <c r="H243" s="13">
        <v>256.12</v>
      </c>
      <c r="I243" s="13">
        <v>8.73</v>
      </c>
      <c r="J243" s="13">
        <v>32.76</v>
      </c>
      <c r="K243" s="13">
        <v>32.76</v>
      </c>
      <c r="L243" s="13">
        <v>200.48</v>
      </c>
      <c r="M243" s="13">
        <v>0.0</v>
      </c>
      <c r="N243" s="13">
        <v>0.0</v>
      </c>
      <c r="O243" s="18">
        <f t="shared" si="8"/>
        <v>826.39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1" t="s">
        <v>597</v>
      </c>
      <c r="B244" s="1" t="s">
        <v>596</v>
      </c>
      <c r="C244" s="13">
        <v>0.0</v>
      </c>
      <c r="D244" s="13">
        <v>0.0</v>
      </c>
      <c r="E244" s="13">
        <v>0.0</v>
      </c>
      <c r="F244" s="13">
        <v>0.0</v>
      </c>
      <c r="G244" s="13">
        <v>0.0</v>
      </c>
      <c r="H244" s="13">
        <v>0.0</v>
      </c>
      <c r="I244" s="13">
        <v>0.0</v>
      </c>
      <c r="J244" s="13">
        <v>0.0</v>
      </c>
      <c r="K244" s="13">
        <v>0.0</v>
      </c>
      <c r="L244" s="13">
        <v>0.0</v>
      </c>
      <c r="M244" s="13">
        <v>0.0</v>
      </c>
      <c r="N244" s="13">
        <v>0.0</v>
      </c>
      <c r="O244" s="18">
        <f t="shared" si="8"/>
        <v>0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1" t="s">
        <v>598</v>
      </c>
      <c r="B245" s="1" t="s">
        <v>596</v>
      </c>
      <c r="C245" s="13">
        <v>0.0</v>
      </c>
      <c r="D245" s="13">
        <v>0.0</v>
      </c>
      <c r="E245" s="13">
        <v>0.0</v>
      </c>
      <c r="F245" s="13">
        <v>0.0</v>
      </c>
      <c r="G245" s="13">
        <v>0.0</v>
      </c>
      <c r="H245" s="13">
        <v>0.0</v>
      </c>
      <c r="I245" s="13">
        <v>0.0</v>
      </c>
      <c r="J245" s="13">
        <v>0.0</v>
      </c>
      <c r="K245" s="13">
        <v>0.0</v>
      </c>
      <c r="L245" s="13">
        <v>0.0</v>
      </c>
      <c r="M245" s="13">
        <v>0.0</v>
      </c>
      <c r="N245" s="13">
        <v>0.0</v>
      </c>
      <c r="O245" s="18">
        <f t="shared" si="8"/>
        <v>0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1" t="s">
        <v>599</v>
      </c>
      <c r="B246" s="1" t="s">
        <v>600</v>
      </c>
      <c r="C246" s="13">
        <v>3859.0</v>
      </c>
      <c r="D246" s="13">
        <v>3859.0</v>
      </c>
      <c r="E246" s="13">
        <v>3859.0</v>
      </c>
      <c r="F246" s="13">
        <v>3859.0</v>
      </c>
      <c r="G246" s="13">
        <v>3859.0</v>
      </c>
      <c r="H246" s="13">
        <v>3859.0</v>
      </c>
      <c r="I246" s="13">
        <v>3859.0</v>
      </c>
      <c r="J246" s="13">
        <v>3859.0</v>
      </c>
      <c r="K246" s="13">
        <v>3859.0</v>
      </c>
      <c r="L246" s="13">
        <v>0.0</v>
      </c>
      <c r="M246" s="13">
        <v>0.0</v>
      </c>
      <c r="N246" s="13">
        <v>0.0</v>
      </c>
      <c r="O246" s="18">
        <f t="shared" si="8"/>
        <v>34731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1" t="s">
        <v>602</v>
      </c>
      <c r="B247" s="1" t="s">
        <v>600</v>
      </c>
      <c r="C247" s="13">
        <v>0.0</v>
      </c>
      <c r="D247" s="13">
        <v>0.0</v>
      </c>
      <c r="E247" s="13">
        <v>0.0</v>
      </c>
      <c r="F247" s="13">
        <v>0.0</v>
      </c>
      <c r="G247" s="13">
        <v>0.0</v>
      </c>
      <c r="H247" s="13">
        <v>0.0</v>
      </c>
      <c r="I247" s="13">
        <v>0.0</v>
      </c>
      <c r="J247" s="13">
        <v>0.0</v>
      </c>
      <c r="K247" s="13">
        <v>0.0</v>
      </c>
      <c r="L247" s="13">
        <v>0.0</v>
      </c>
      <c r="M247" s="13">
        <v>0.0</v>
      </c>
      <c r="N247" s="13">
        <v>0.0</v>
      </c>
      <c r="O247" s="18">
        <f t="shared" si="8"/>
        <v>0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1" t="s">
        <v>603</v>
      </c>
      <c r="B248" s="1" t="s">
        <v>600</v>
      </c>
      <c r="C248" s="13">
        <v>0.0</v>
      </c>
      <c r="D248" s="13">
        <v>0.0</v>
      </c>
      <c r="E248" s="13">
        <v>0.0</v>
      </c>
      <c r="F248" s="13">
        <v>0.0</v>
      </c>
      <c r="G248" s="13">
        <v>0.0</v>
      </c>
      <c r="H248" s="13">
        <v>0.0</v>
      </c>
      <c r="I248" s="13">
        <v>0.0</v>
      </c>
      <c r="J248" s="13">
        <v>0.0</v>
      </c>
      <c r="K248" s="13">
        <v>0.0</v>
      </c>
      <c r="L248" s="13">
        <v>0.0</v>
      </c>
      <c r="M248" s="13">
        <v>0.0</v>
      </c>
      <c r="N248" s="13">
        <v>0.0</v>
      </c>
      <c r="O248" s="18">
        <f t="shared" si="8"/>
        <v>0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1" t="s">
        <v>604</v>
      </c>
      <c r="B249" s="1" t="s">
        <v>605</v>
      </c>
      <c r="C249" s="13">
        <v>0.0</v>
      </c>
      <c r="D249" s="13">
        <v>0.0</v>
      </c>
      <c r="E249" s="13">
        <v>0.0</v>
      </c>
      <c r="F249" s="13">
        <v>0.0</v>
      </c>
      <c r="G249" s="13">
        <v>0.0</v>
      </c>
      <c r="H249" s="13">
        <v>0.0</v>
      </c>
      <c r="I249" s="13">
        <v>0.0</v>
      </c>
      <c r="J249" s="13">
        <v>0.0</v>
      </c>
      <c r="K249" s="13">
        <v>0.0</v>
      </c>
      <c r="L249" s="13">
        <v>0.0</v>
      </c>
      <c r="M249" s="13">
        <v>0.0</v>
      </c>
      <c r="N249" s="13">
        <v>0.0</v>
      </c>
      <c r="O249" s="18">
        <f t="shared" si="8"/>
        <v>0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1" t="s">
        <v>606</v>
      </c>
      <c r="B250" s="1" t="s">
        <v>607</v>
      </c>
      <c r="C250" s="13">
        <v>0.0</v>
      </c>
      <c r="D250" s="13">
        <v>79.0</v>
      </c>
      <c r="E250" s="13">
        <v>0.0</v>
      </c>
      <c r="F250" s="13">
        <v>0.0</v>
      </c>
      <c r="G250" s="13">
        <v>0.0</v>
      </c>
      <c r="H250" s="13">
        <v>0.0</v>
      </c>
      <c r="I250" s="13">
        <v>0.0</v>
      </c>
      <c r="J250" s="13">
        <v>0.0</v>
      </c>
      <c r="K250" s="13">
        <v>0.0</v>
      </c>
      <c r="L250" s="13">
        <v>0.0</v>
      </c>
      <c r="M250" s="13">
        <v>0.0</v>
      </c>
      <c r="N250" s="13">
        <v>0.0</v>
      </c>
      <c r="O250" s="18">
        <f t="shared" si="8"/>
        <v>79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1" t="s">
        <v>608</v>
      </c>
      <c r="B251" s="1" t="s">
        <v>609</v>
      </c>
      <c r="C251" s="13">
        <v>0.0</v>
      </c>
      <c r="D251" s="13">
        <v>0.0</v>
      </c>
      <c r="E251" s="13">
        <v>0.0</v>
      </c>
      <c r="F251" s="13">
        <v>0.0</v>
      </c>
      <c r="G251" s="13">
        <v>0.0</v>
      </c>
      <c r="H251" s="13">
        <v>0.0</v>
      </c>
      <c r="I251" s="13">
        <v>0.0</v>
      </c>
      <c r="J251" s="13">
        <v>0.0</v>
      </c>
      <c r="K251" s="13">
        <v>0.0</v>
      </c>
      <c r="L251" s="13">
        <v>0.0</v>
      </c>
      <c r="M251" s="13">
        <v>0.0</v>
      </c>
      <c r="N251" s="13">
        <v>0.0</v>
      </c>
      <c r="O251" s="18">
        <f t="shared" si="8"/>
        <v>0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1" t="s">
        <v>610</v>
      </c>
      <c r="B252" s="1" t="s">
        <v>611</v>
      </c>
      <c r="C252" s="13">
        <v>0.0</v>
      </c>
      <c r="D252" s="13">
        <v>0.0</v>
      </c>
      <c r="E252" s="13">
        <v>0.0</v>
      </c>
      <c r="F252" s="13">
        <v>0.0</v>
      </c>
      <c r="G252" s="13">
        <v>0.0</v>
      </c>
      <c r="H252" s="13">
        <v>0.0</v>
      </c>
      <c r="I252" s="13">
        <v>0.0</v>
      </c>
      <c r="J252" s="13">
        <v>0.0</v>
      </c>
      <c r="K252" s="13">
        <v>0.0</v>
      </c>
      <c r="L252" s="13">
        <v>0.0</v>
      </c>
      <c r="M252" s="13">
        <v>0.0</v>
      </c>
      <c r="N252" s="13">
        <v>0.0</v>
      </c>
      <c r="O252" s="18">
        <f t="shared" si="8"/>
        <v>0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1" t="s">
        <v>612</v>
      </c>
      <c r="B253" s="1" t="s">
        <v>613</v>
      </c>
      <c r="C253" s="13">
        <v>0.0</v>
      </c>
      <c r="D253" s="13">
        <v>0.0</v>
      </c>
      <c r="E253" s="13">
        <v>0.0</v>
      </c>
      <c r="F253" s="13">
        <v>0.0</v>
      </c>
      <c r="G253" s="13">
        <v>0.0</v>
      </c>
      <c r="H253" s="13">
        <v>0.0</v>
      </c>
      <c r="I253" s="13">
        <v>0.0</v>
      </c>
      <c r="J253" s="13">
        <v>0.0</v>
      </c>
      <c r="K253" s="13">
        <v>0.0</v>
      </c>
      <c r="L253" s="13">
        <v>0.0</v>
      </c>
      <c r="M253" s="13">
        <v>0.0</v>
      </c>
      <c r="N253" s="13">
        <v>0.0</v>
      </c>
      <c r="O253" s="18">
        <f t="shared" si="8"/>
        <v>0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1" t="s">
        <v>614</v>
      </c>
      <c r="B254" s="1" t="s">
        <v>615</v>
      </c>
      <c r="C254" s="13">
        <v>0.0</v>
      </c>
      <c r="D254" s="13">
        <v>0.0</v>
      </c>
      <c r="E254" s="13">
        <v>0.0</v>
      </c>
      <c r="F254" s="13">
        <v>0.0</v>
      </c>
      <c r="G254" s="13">
        <v>0.0</v>
      </c>
      <c r="H254" s="13">
        <v>0.0</v>
      </c>
      <c r="I254" s="13">
        <v>0.0</v>
      </c>
      <c r="J254" s="13">
        <v>0.0</v>
      </c>
      <c r="K254" s="13">
        <v>0.0</v>
      </c>
      <c r="L254" s="13">
        <v>0.0</v>
      </c>
      <c r="M254" s="13">
        <v>0.0</v>
      </c>
      <c r="N254" s="13">
        <v>0.0</v>
      </c>
      <c r="O254" s="18">
        <f t="shared" si="8"/>
        <v>0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1" t="s">
        <v>616</v>
      </c>
      <c r="B255" s="1" t="s">
        <v>617</v>
      </c>
      <c r="C255" s="13">
        <v>317.34</v>
      </c>
      <c r="D255" s="13">
        <v>317.34</v>
      </c>
      <c r="E255" s="13">
        <v>68.59</v>
      </c>
      <c r="F255" s="13">
        <v>123.05</v>
      </c>
      <c r="G255" s="13">
        <v>178.29</v>
      </c>
      <c r="H255" s="13">
        <v>178.29</v>
      </c>
      <c r="I255" s="13">
        <v>184.44</v>
      </c>
      <c r="J255" s="13">
        <v>193.09</v>
      </c>
      <c r="K255" s="13">
        <v>386.18</v>
      </c>
      <c r="L255" s="13">
        <v>0.0</v>
      </c>
      <c r="M255" s="13">
        <v>0.0</v>
      </c>
      <c r="N255" s="13">
        <v>0.0</v>
      </c>
      <c r="O255" s="18">
        <f t="shared" si="8"/>
        <v>1946.61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1" t="s">
        <v>618</v>
      </c>
      <c r="B256" s="1" t="s">
        <v>619</v>
      </c>
      <c r="C256" s="13">
        <v>258.48</v>
      </c>
      <c r="D256" s="13">
        <v>280.74</v>
      </c>
      <c r="E256" s="13">
        <v>239.65</v>
      </c>
      <c r="F256" s="13">
        <v>289.88</v>
      </c>
      <c r="G256" s="13">
        <v>242.73</v>
      </c>
      <c r="H256" s="13">
        <v>292.38</v>
      </c>
      <c r="I256" s="13">
        <v>234.17</v>
      </c>
      <c r="J256" s="13">
        <v>245.13</v>
      </c>
      <c r="K256" s="13">
        <v>339.04</v>
      </c>
      <c r="L256" s="13">
        <v>0.0</v>
      </c>
      <c r="M256" s="13">
        <v>0.0</v>
      </c>
      <c r="N256" s="13">
        <v>0.0</v>
      </c>
      <c r="O256" s="18">
        <f t="shared" si="8"/>
        <v>2422.2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1" t="s">
        <v>620</v>
      </c>
      <c r="B257" s="1" t="s">
        <v>621</v>
      </c>
      <c r="C257" s="13">
        <v>24.26</v>
      </c>
      <c r="D257" s="13">
        <v>19.8</v>
      </c>
      <c r="E257" s="13">
        <v>19.8</v>
      </c>
      <c r="F257" s="13">
        <v>21.51</v>
      </c>
      <c r="G257" s="13">
        <v>27.01</v>
      </c>
      <c r="H257" s="13">
        <v>155.79</v>
      </c>
      <c r="I257" s="13">
        <v>673.99</v>
      </c>
      <c r="J257" s="13">
        <v>1028.83</v>
      </c>
      <c r="K257" s="13">
        <v>1179.72</v>
      </c>
      <c r="L257" s="13">
        <v>0.0</v>
      </c>
      <c r="M257" s="13">
        <v>0.0</v>
      </c>
      <c r="N257" s="13">
        <v>0.0</v>
      </c>
      <c r="O257" s="18">
        <f t="shared" si="8"/>
        <v>3150.71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1" t="s">
        <v>622</v>
      </c>
      <c r="B258" s="1" t="s">
        <v>623</v>
      </c>
      <c r="C258" s="13">
        <v>1762.81</v>
      </c>
      <c r="D258" s="13">
        <v>2355.9</v>
      </c>
      <c r="E258" s="13">
        <v>2030.42</v>
      </c>
      <c r="F258" s="13">
        <v>1809.0</v>
      </c>
      <c r="G258" s="13">
        <v>1036.79</v>
      </c>
      <c r="H258" s="13">
        <v>903.39</v>
      </c>
      <c r="I258" s="13">
        <v>854.89</v>
      </c>
      <c r="J258" s="13">
        <v>1319.47</v>
      </c>
      <c r="K258" s="13">
        <v>1274.08</v>
      </c>
      <c r="L258" s="13">
        <v>0.0</v>
      </c>
      <c r="M258" s="13">
        <v>0.0</v>
      </c>
      <c r="N258" s="13">
        <v>0.0</v>
      </c>
      <c r="O258" s="18">
        <f t="shared" si="8"/>
        <v>13346.75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1" t="s">
        <v>624</v>
      </c>
      <c r="B259" s="1" t="s">
        <v>625</v>
      </c>
      <c r="C259" s="13">
        <v>0.0</v>
      </c>
      <c r="D259" s="13">
        <v>0.0</v>
      </c>
      <c r="E259" s="13">
        <v>0.0</v>
      </c>
      <c r="F259" s="13">
        <v>0.0</v>
      </c>
      <c r="G259" s="13">
        <v>0.0</v>
      </c>
      <c r="H259" s="13">
        <v>0.0</v>
      </c>
      <c r="I259" s="13">
        <v>0.0</v>
      </c>
      <c r="J259" s="13">
        <v>0.0</v>
      </c>
      <c r="K259" s="13">
        <v>0.0</v>
      </c>
      <c r="L259" s="13">
        <v>0.0</v>
      </c>
      <c r="M259" s="13">
        <v>0.0</v>
      </c>
      <c r="N259" s="13">
        <v>0.0</v>
      </c>
      <c r="O259" s="18">
        <f t="shared" si="8"/>
        <v>0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1" t="s">
        <v>626</v>
      </c>
      <c r="B260" s="1" t="s">
        <v>627</v>
      </c>
      <c r="C260" s="13">
        <v>0.0</v>
      </c>
      <c r="D260" s="13">
        <v>0.0</v>
      </c>
      <c r="E260" s="13">
        <v>0.0</v>
      </c>
      <c r="F260" s="13">
        <v>0.0</v>
      </c>
      <c r="G260" s="13">
        <v>0.0</v>
      </c>
      <c r="H260" s="13">
        <v>0.0</v>
      </c>
      <c r="I260" s="13">
        <v>0.0</v>
      </c>
      <c r="J260" s="13">
        <v>0.0</v>
      </c>
      <c r="K260" s="13">
        <v>0.0</v>
      </c>
      <c r="L260" s="13">
        <v>0.0</v>
      </c>
      <c r="M260" s="13">
        <v>0.0</v>
      </c>
      <c r="N260" s="13">
        <v>0.0</v>
      </c>
      <c r="O260" s="18">
        <f t="shared" si="8"/>
        <v>0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1" t="s">
        <v>628</v>
      </c>
      <c r="B261" s="1" t="s">
        <v>629</v>
      </c>
      <c r="C261" s="13">
        <v>222.48</v>
      </c>
      <c r="D261" s="13">
        <v>221.13</v>
      </c>
      <c r="E261" s="13">
        <v>310.72</v>
      </c>
      <c r="F261" s="13">
        <v>318.93</v>
      </c>
      <c r="G261" s="13">
        <v>283.86</v>
      </c>
      <c r="H261" s="13">
        <v>327.19</v>
      </c>
      <c r="I261" s="13">
        <v>263.79</v>
      </c>
      <c r="J261" s="13">
        <v>282.41</v>
      </c>
      <c r="K261" s="13">
        <v>302.33</v>
      </c>
      <c r="L261" s="13">
        <v>280.07</v>
      </c>
      <c r="M261" s="13">
        <v>0.0</v>
      </c>
      <c r="N261" s="13">
        <v>0.0</v>
      </c>
      <c r="O261" s="18">
        <f t="shared" si="8"/>
        <v>2812.91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1" t="s">
        <v>630</v>
      </c>
      <c r="B262" s="1" t="s">
        <v>631</v>
      </c>
      <c r="C262" s="13">
        <v>0.0</v>
      </c>
      <c r="D262" s="13">
        <v>0.0</v>
      </c>
      <c r="E262" s="13">
        <v>0.0</v>
      </c>
      <c r="F262" s="13">
        <v>0.0</v>
      </c>
      <c r="G262" s="13">
        <v>0.0</v>
      </c>
      <c r="H262" s="13">
        <v>0.0</v>
      </c>
      <c r="I262" s="13">
        <v>0.0</v>
      </c>
      <c r="J262" s="13">
        <v>0.0</v>
      </c>
      <c r="K262" s="13">
        <v>0.0</v>
      </c>
      <c r="L262" s="13">
        <v>0.0</v>
      </c>
      <c r="M262" s="13">
        <v>0.0</v>
      </c>
      <c r="N262" s="13">
        <v>0.0</v>
      </c>
      <c r="O262" s="18">
        <f t="shared" si="8"/>
        <v>0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1" t="s">
        <v>632</v>
      </c>
      <c r="B263" s="1" t="s">
        <v>633</v>
      </c>
      <c r="C263" s="13">
        <v>0.0</v>
      </c>
      <c r="D263" s="13">
        <v>0.0</v>
      </c>
      <c r="E263" s="13">
        <v>0.0</v>
      </c>
      <c r="F263" s="13">
        <v>0.0</v>
      </c>
      <c r="G263" s="13">
        <v>0.0</v>
      </c>
      <c r="H263" s="13">
        <v>0.0</v>
      </c>
      <c r="I263" s="13">
        <v>0.0</v>
      </c>
      <c r="J263" s="13">
        <v>0.0</v>
      </c>
      <c r="K263" s="13">
        <v>0.0</v>
      </c>
      <c r="L263" s="13">
        <v>0.0</v>
      </c>
      <c r="M263" s="13">
        <v>0.0</v>
      </c>
      <c r="N263" s="13">
        <v>0.0</v>
      </c>
      <c r="O263" s="18">
        <f t="shared" si="8"/>
        <v>0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1" t="s">
        <v>634</v>
      </c>
      <c r="B264" s="1" t="s">
        <v>635</v>
      </c>
      <c r="C264" s="13">
        <v>0.0</v>
      </c>
      <c r="D264" s="13">
        <v>0.0</v>
      </c>
      <c r="E264" s="13">
        <v>0.0</v>
      </c>
      <c r="F264" s="13">
        <v>0.0</v>
      </c>
      <c r="G264" s="13">
        <v>0.0</v>
      </c>
      <c r="H264" s="13">
        <v>0.0</v>
      </c>
      <c r="I264" s="13">
        <v>0.0</v>
      </c>
      <c r="J264" s="13">
        <v>0.0</v>
      </c>
      <c r="K264" s="13">
        <v>0.0</v>
      </c>
      <c r="L264" s="13">
        <v>0.0</v>
      </c>
      <c r="M264" s="13">
        <v>0.0</v>
      </c>
      <c r="N264" s="13">
        <v>0.0</v>
      </c>
      <c r="O264" s="18">
        <f t="shared" si="8"/>
        <v>0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1" t="s">
        <v>636</v>
      </c>
      <c r="B265" s="1" t="s">
        <v>635</v>
      </c>
      <c r="C265" s="13">
        <v>0.0</v>
      </c>
      <c r="D265" s="13">
        <v>0.0</v>
      </c>
      <c r="E265" s="13">
        <v>0.0</v>
      </c>
      <c r="F265" s="13">
        <v>0.0</v>
      </c>
      <c r="G265" s="13">
        <v>0.0</v>
      </c>
      <c r="H265" s="13">
        <v>0.0</v>
      </c>
      <c r="I265" s="13">
        <v>0.0</v>
      </c>
      <c r="J265" s="13">
        <v>0.0</v>
      </c>
      <c r="K265" s="13">
        <v>0.0</v>
      </c>
      <c r="L265" s="13">
        <v>0.0</v>
      </c>
      <c r="M265" s="13">
        <v>0.0</v>
      </c>
      <c r="N265" s="13">
        <v>0.0</v>
      </c>
      <c r="O265" s="18">
        <f t="shared" si="8"/>
        <v>0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1" t="s">
        <v>637</v>
      </c>
      <c r="B266" s="1" t="s">
        <v>638</v>
      </c>
      <c r="C266" s="13">
        <v>0.0</v>
      </c>
      <c r="D266" s="13">
        <v>0.0</v>
      </c>
      <c r="E266" s="13">
        <v>0.0</v>
      </c>
      <c r="F266" s="13">
        <v>0.0</v>
      </c>
      <c r="G266" s="13">
        <v>0.0</v>
      </c>
      <c r="H266" s="13">
        <v>0.0</v>
      </c>
      <c r="I266" s="13">
        <v>0.0</v>
      </c>
      <c r="J266" s="13">
        <v>0.0</v>
      </c>
      <c r="K266" s="13">
        <v>0.0</v>
      </c>
      <c r="L266" s="13">
        <v>0.0</v>
      </c>
      <c r="M266" s="13">
        <v>0.0</v>
      </c>
      <c r="N266" s="13">
        <v>0.0</v>
      </c>
      <c r="O266" s="18">
        <f t="shared" si="8"/>
        <v>0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1" t="s">
        <v>639</v>
      </c>
      <c r="B267" s="1" t="s">
        <v>640</v>
      </c>
      <c r="C267" s="13">
        <v>0.0</v>
      </c>
      <c r="D267" s="13">
        <v>0.0</v>
      </c>
      <c r="E267" s="13">
        <v>0.0</v>
      </c>
      <c r="F267" s="13">
        <v>0.0</v>
      </c>
      <c r="G267" s="13">
        <v>0.0</v>
      </c>
      <c r="H267" s="13">
        <v>0.0</v>
      </c>
      <c r="I267" s="13">
        <v>0.0</v>
      </c>
      <c r="J267" s="13">
        <v>0.0</v>
      </c>
      <c r="K267" s="13">
        <v>0.0</v>
      </c>
      <c r="L267" s="13">
        <v>0.0</v>
      </c>
      <c r="M267" s="13">
        <v>0.0</v>
      </c>
      <c r="N267" s="13">
        <v>0.0</v>
      </c>
      <c r="O267" s="18">
        <f t="shared" si="8"/>
        <v>0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1" t="s">
        <v>642</v>
      </c>
      <c r="B268" s="1" t="s">
        <v>643</v>
      </c>
      <c r="C268" s="13">
        <v>0.0</v>
      </c>
      <c r="D268" s="13">
        <v>0.0</v>
      </c>
      <c r="E268" s="13">
        <v>0.0</v>
      </c>
      <c r="F268" s="13">
        <v>0.0</v>
      </c>
      <c r="G268" s="13">
        <v>0.0</v>
      </c>
      <c r="H268" s="13">
        <v>0.0</v>
      </c>
      <c r="I268" s="13">
        <v>0.0</v>
      </c>
      <c r="J268" s="13">
        <v>0.0</v>
      </c>
      <c r="K268" s="13">
        <v>0.0</v>
      </c>
      <c r="L268" s="13">
        <v>0.0</v>
      </c>
      <c r="M268" s="13">
        <v>0.0</v>
      </c>
      <c r="N268" s="13">
        <v>0.0</v>
      </c>
      <c r="O268" s="18">
        <f t="shared" si="8"/>
        <v>0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1" t="s">
        <v>644</v>
      </c>
      <c r="B269" s="1" t="s">
        <v>643</v>
      </c>
      <c r="C269" s="13">
        <v>0.0</v>
      </c>
      <c r="D269" s="13">
        <v>0.0</v>
      </c>
      <c r="E269" s="13">
        <v>0.0</v>
      </c>
      <c r="F269" s="13">
        <v>0.0</v>
      </c>
      <c r="G269" s="13">
        <v>0.0</v>
      </c>
      <c r="H269" s="13">
        <v>0.0</v>
      </c>
      <c r="I269" s="13">
        <v>0.0</v>
      </c>
      <c r="J269" s="13">
        <v>0.0</v>
      </c>
      <c r="K269" s="13">
        <v>0.0</v>
      </c>
      <c r="L269" s="13">
        <v>0.0</v>
      </c>
      <c r="M269" s="13">
        <v>0.0</v>
      </c>
      <c r="N269" s="13">
        <v>0.0</v>
      </c>
      <c r="O269" s="18">
        <f t="shared" si="8"/>
        <v>0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1" t="s">
        <v>645</v>
      </c>
      <c r="B270" s="1" t="s">
        <v>643</v>
      </c>
      <c r="C270" s="13">
        <v>0.0</v>
      </c>
      <c r="D270" s="13">
        <v>0.0</v>
      </c>
      <c r="E270" s="13">
        <v>0.0</v>
      </c>
      <c r="F270" s="13">
        <v>0.0</v>
      </c>
      <c r="G270" s="13">
        <v>0.0</v>
      </c>
      <c r="H270" s="13">
        <v>0.0</v>
      </c>
      <c r="I270" s="13">
        <v>0.0</v>
      </c>
      <c r="J270" s="13">
        <v>0.0</v>
      </c>
      <c r="K270" s="13">
        <v>0.0</v>
      </c>
      <c r="L270" s="13">
        <v>0.0</v>
      </c>
      <c r="M270" s="13">
        <v>0.0</v>
      </c>
      <c r="N270" s="13">
        <v>0.0</v>
      </c>
      <c r="O270" s="18">
        <f t="shared" si="8"/>
        <v>0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1" t="s">
        <v>646</v>
      </c>
      <c r="B271" s="1" t="s">
        <v>647</v>
      </c>
      <c r="C271" s="13">
        <v>0.0</v>
      </c>
      <c r="D271" s="13">
        <v>0.0</v>
      </c>
      <c r="E271" s="13">
        <v>0.0</v>
      </c>
      <c r="F271" s="13">
        <v>0.0</v>
      </c>
      <c r="G271" s="13">
        <v>0.0</v>
      </c>
      <c r="H271" s="13">
        <v>0.0</v>
      </c>
      <c r="I271" s="13">
        <v>0.0</v>
      </c>
      <c r="J271" s="13">
        <v>0.0</v>
      </c>
      <c r="K271" s="13">
        <v>0.0</v>
      </c>
      <c r="L271" s="13">
        <v>0.0</v>
      </c>
      <c r="M271" s="13">
        <v>0.0</v>
      </c>
      <c r="N271" s="13">
        <v>0.0</v>
      </c>
      <c r="O271" s="18">
        <f t="shared" si="8"/>
        <v>0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1" t="s">
        <v>648</v>
      </c>
      <c r="B272" s="1" t="s">
        <v>649</v>
      </c>
      <c r="C272" s="13">
        <v>0.0</v>
      </c>
      <c r="D272" s="13">
        <v>0.0</v>
      </c>
      <c r="E272" s="13">
        <v>0.0</v>
      </c>
      <c r="F272" s="13">
        <v>0.0</v>
      </c>
      <c r="G272" s="13">
        <v>0.0</v>
      </c>
      <c r="H272" s="13">
        <v>0.0</v>
      </c>
      <c r="I272" s="13">
        <v>0.0</v>
      </c>
      <c r="J272" s="13">
        <v>0.0</v>
      </c>
      <c r="K272" s="13">
        <v>0.0</v>
      </c>
      <c r="L272" s="13">
        <v>0.0</v>
      </c>
      <c r="M272" s="13">
        <v>0.0</v>
      </c>
      <c r="N272" s="13">
        <v>0.0</v>
      </c>
      <c r="O272" s="18">
        <f t="shared" si="8"/>
        <v>0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1" t="s">
        <v>650</v>
      </c>
      <c r="B273" s="1" t="s">
        <v>649</v>
      </c>
      <c r="C273" s="13">
        <v>0.0</v>
      </c>
      <c r="D273" s="13">
        <v>0.0</v>
      </c>
      <c r="E273" s="13">
        <v>0.0</v>
      </c>
      <c r="F273" s="13">
        <v>0.0</v>
      </c>
      <c r="G273" s="13">
        <v>0.0</v>
      </c>
      <c r="H273" s="13">
        <v>0.0</v>
      </c>
      <c r="I273" s="13">
        <v>0.0</v>
      </c>
      <c r="J273" s="13">
        <v>0.0</v>
      </c>
      <c r="K273" s="13">
        <v>0.0</v>
      </c>
      <c r="L273" s="13">
        <v>0.0</v>
      </c>
      <c r="M273" s="13">
        <v>0.0</v>
      </c>
      <c r="N273" s="13">
        <v>0.0</v>
      </c>
      <c r="O273" s="18">
        <f t="shared" si="8"/>
        <v>0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1" t="s">
        <v>651</v>
      </c>
      <c r="B274" s="1" t="s">
        <v>649</v>
      </c>
      <c r="C274" s="13">
        <v>0.0</v>
      </c>
      <c r="D274" s="13">
        <v>0.0</v>
      </c>
      <c r="E274" s="13">
        <v>0.0</v>
      </c>
      <c r="F274" s="13">
        <v>0.0</v>
      </c>
      <c r="G274" s="13">
        <v>0.0</v>
      </c>
      <c r="H274" s="13">
        <v>0.0</v>
      </c>
      <c r="I274" s="13">
        <v>0.0</v>
      </c>
      <c r="J274" s="13">
        <v>0.0</v>
      </c>
      <c r="K274" s="13">
        <v>0.0</v>
      </c>
      <c r="L274" s="13">
        <v>0.0</v>
      </c>
      <c r="M274" s="13">
        <v>0.0</v>
      </c>
      <c r="N274" s="13">
        <v>0.0</v>
      </c>
      <c r="O274" s="18">
        <f t="shared" si="8"/>
        <v>0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1" t="s">
        <v>652</v>
      </c>
      <c r="B275" s="1" t="s">
        <v>653</v>
      </c>
      <c r="C275" s="13">
        <v>0.0</v>
      </c>
      <c r="D275" s="13">
        <v>0.0</v>
      </c>
      <c r="E275" s="13">
        <v>0.0</v>
      </c>
      <c r="F275" s="13">
        <v>0.0</v>
      </c>
      <c r="G275" s="13">
        <v>0.0</v>
      </c>
      <c r="H275" s="13">
        <v>0.0</v>
      </c>
      <c r="I275" s="13">
        <v>0.0</v>
      </c>
      <c r="J275" s="13">
        <v>0.0</v>
      </c>
      <c r="K275" s="13">
        <v>0.0</v>
      </c>
      <c r="L275" s="13">
        <v>0.0</v>
      </c>
      <c r="M275" s="13">
        <v>0.0</v>
      </c>
      <c r="N275" s="13">
        <v>0.0</v>
      </c>
      <c r="O275" s="18">
        <f t="shared" si="8"/>
        <v>0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1" t="s">
        <v>654</v>
      </c>
      <c r="B276" s="1" t="s">
        <v>653</v>
      </c>
      <c r="C276" s="13">
        <v>0.0</v>
      </c>
      <c r="D276" s="13">
        <v>0.0</v>
      </c>
      <c r="E276" s="13">
        <v>0.0</v>
      </c>
      <c r="F276" s="13">
        <v>0.0</v>
      </c>
      <c r="G276" s="13">
        <v>0.0</v>
      </c>
      <c r="H276" s="13">
        <v>0.0</v>
      </c>
      <c r="I276" s="13">
        <v>0.0</v>
      </c>
      <c r="J276" s="13">
        <v>0.0</v>
      </c>
      <c r="K276" s="13">
        <v>0.0</v>
      </c>
      <c r="L276" s="13">
        <v>0.0</v>
      </c>
      <c r="M276" s="13">
        <v>0.0</v>
      </c>
      <c r="N276" s="13">
        <v>0.0</v>
      </c>
      <c r="O276" s="18">
        <f t="shared" si="8"/>
        <v>0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1" t="s">
        <v>655</v>
      </c>
      <c r="B277" s="1" t="s">
        <v>653</v>
      </c>
      <c r="C277" s="13">
        <v>0.0</v>
      </c>
      <c r="D277" s="13">
        <v>0.0</v>
      </c>
      <c r="E277" s="13">
        <v>0.0</v>
      </c>
      <c r="F277" s="13">
        <v>0.0</v>
      </c>
      <c r="G277" s="13">
        <v>0.0</v>
      </c>
      <c r="H277" s="13">
        <v>0.0</v>
      </c>
      <c r="I277" s="13">
        <v>0.0</v>
      </c>
      <c r="J277" s="13">
        <v>0.0</v>
      </c>
      <c r="K277" s="13">
        <v>0.0</v>
      </c>
      <c r="L277" s="13">
        <v>0.0</v>
      </c>
      <c r="M277" s="13">
        <v>0.0</v>
      </c>
      <c r="N277" s="13">
        <v>0.0</v>
      </c>
      <c r="O277" s="18">
        <f t="shared" si="8"/>
        <v>0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1" t="s">
        <v>656</v>
      </c>
      <c r="B278" s="1" t="s">
        <v>657</v>
      </c>
      <c r="C278" s="13">
        <v>0.0</v>
      </c>
      <c r="D278" s="13">
        <v>0.0</v>
      </c>
      <c r="E278" s="13">
        <v>0.0</v>
      </c>
      <c r="F278" s="13">
        <v>0.0</v>
      </c>
      <c r="G278" s="13">
        <v>0.0</v>
      </c>
      <c r="H278" s="13">
        <v>0.0</v>
      </c>
      <c r="I278" s="13">
        <v>0.0</v>
      </c>
      <c r="J278" s="13">
        <v>0.0</v>
      </c>
      <c r="K278" s="13">
        <v>0.0</v>
      </c>
      <c r="L278" s="13">
        <v>0.0</v>
      </c>
      <c r="M278" s="13">
        <v>0.0</v>
      </c>
      <c r="N278" s="13">
        <v>0.0</v>
      </c>
      <c r="O278" s="18">
        <f t="shared" si="8"/>
        <v>0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1" t="s">
        <v>658</v>
      </c>
      <c r="B279" s="1" t="s">
        <v>657</v>
      </c>
      <c r="C279" s="13">
        <v>0.0</v>
      </c>
      <c r="D279" s="13">
        <v>0.0</v>
      </c>
      <c r="E279" s="13">
        <v>0.0</v>
      </c>
      <c r="F279" s="13">
        <v>0.0</v>
      </c>
      <c r="G279" s="13">
        <v>0.0</v>
      </c>
      <c r="H279" s="13">
        <v>0.0</v>
      </c>
      <c r="I279" s="13">
        <v>0.0</v>
      </c>
      <c r="J279" s="13">
        <v>0.0</v>
      </c>
      <c r="K279" s="13">
        <v>0.0</v>
      </c>
      <c r="L279" s="13">
        <v>0.0</v>
      </c>
      <c r="M279" s="13">
        <v>0.0</v>
      </c>
      <c r="N279" s="13">
        <v>0.0</v>
      </c>
      <c r="O279" s="18">
        <f t="shared" si="8"/>
        <v>0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1" t="s">
        <v>659</v>
      </c>
      <c r="B280" s="1" t="s">
        <v>657</v>
      </c>
      <c r="C280" s="13">
        <v>0.0</v>
      </c>
      <c r="D280" s="13">
        <v>0.0</v>
      </c>
      <c r="E280" s="13">
        <v>0.0</v>
      </c>
      <c r="F280" s="13">
        <v>0.0</v>
      </c>
      <c r="G280" s="13">
        <v>0.0</v>
      </c>
      <c r="H280" s="13">
        <v>0.0</v>
      </c>
      <c r="I280" s="13">
        <v>0.0</v>
      </c>
      <c r="J280" s="13">
        <v>0.0</v>
      </c>
      <c r="K280" s="13">
        <v>0.0</v>
      </c>
      <c r="L280" s="13">
        <v>0.0</v>
      </c>
      <c r="M280" s="13">
        <v>0.0</v>
      </c>
      <c r="N280" s="13">
        <v>0.0</v>
      </c>
      <c r="O280" s="18">
        <f t="shared" si="8"/>
        <v>0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1" t="s">
        <v>660</v>
      </c>
      <c r="B281" s="1" t="s">
        <v>661</v>
      </c>
      <c r="C281" s="13">
        <v>0.0</v>
      </c>
      <c r="D281" s="13">
        <v>0.0</v>
      </c>
      <c r="E281" s="13">
        <v>0.0</v>
      </c>
      <c r="F281" s="13">
        <v>0.0</v>
      </c>
      <c r="G281" s="13">
        <v>0.0</v>
      </c>
      <c r="H281" s="13">
        <v>0.0</v>
      </c>
      <c r="I281" s="13">
        <v>0.0</v>
      </c>
      <c r="J281" s="13">
        <v>0.0</v>
      </c>
      <c r="K281" s="13">
        <v>0.0</v>
      </c>
      <c r="L281" s="13">
        <v>0.0</v>
      </c>
      <c r="M281" s="13">
        <v>0.0</v>
      </c>
      <c r="N281" s="13">
        <v>0.0</v>
      </c>
      <c r="O281" s="18">
        <f t="shared" si="8"/>
        <v>0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1" t="s">
        <v>662</v>
      </c>
      <c r="B282" s="1" t="s">
        <v>661</v>
      </c>
      <c r="C282" s="13">
        <v>0.0</v>
      </c>
      <c r="D282" s="13">
        <v>0.0</v>
      </c>
      <c r="E282" s="13">
        <v>0.0</v>
      </c>
      <c r="F282" s="13">
        <v>0.0</v>
      </c>
      <c r="G282" s="13">
        <v>0.0</v>
      </c>
      <c r="H282" s="13">
        <v>0.0</v>
      </c>
      <c r="I282" s="13">
        <v>0.0</v>
      </c>
      <c r="J282" s="13">
        <v>0.0</v>
      </c>
      <c r="K282" s="13">
        <v>0.0</v>
      </c>
      <c r="L282" s="13">
        <v>0.0</v>
      </c>
      <c r="M282" s="13">
        <v>0.0</v>
      </c>
      <c r="N282" s="13">
        <v>0.0</v>
      </c>
      <c r="O282" s="18">
        <f t="shared" si="8"/>
        <v>0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1" t="s">
        <v>663</v>
      </c>
      <c r="B283" s="1" t="s">
        <v>661</v>
      </c>
      <c r="C283" s="13">
        <v>0.0</v>
      </c>
      <c r="D283" s="13">
        <v>0.0</v>
      </c>
      <c r="E283" s="13">
        <v>0.0</v>
      </c>
      <c r="F283" s="13">
        <v>0.0</v>
      </c>
      <c r="G283" s="13">
        <v>0.0</v>
      </c>
      <c r="H283" s="13">
        <v>0.0</v>
      </c>
      <c r="I283" s="13">
        <v>0.0</v>
      </c>
      <c r="J283" s="13">
        <v>0.0</v>
      </c>
      <c r="K283" s="13">
        <v>0.0</v>
      </c>
      <c r="L283" s="13">
        <v>0.0</v>
      </c>
      <c r="M283" s="13">
        <v>0.0</v>
      </c>
      <c r="N283" s="13">
        <v>0.0</v>
      </c>
      <c r="O283" s="18">
        <f t="shared" si="8"/>
        <v>0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1" t="s">
        <v>664</v>
      </c>
      <c r="B284" s="1" t="s">
        <v>665</v>
      </c>
      <c r="C284" s="13">
        <v>0.0</v>
      </c>
      <c r="D284" s="13">
        <v>0.0</v>
      </c>
      <c r="E284" s="13">
        <v>0.0</v>
      </c>
      <c r="F284" s="13">
        <v>0.0</v>
      </c>
      <c r="G284" s="13">
        <v>0.0</v>
      </c>
      <c r="H284" s="13">
        <v>0.0</v>
      </c>
      <c r="I284" s="13">
        <v>0.0</v>
      </c>
      <c r="J284" s="13">
        <v>0.0</v>
      </c>
      <c r="K284" s="13">
        <v>0.0</v>
      </c>
      <c r="L284" s="13">
        <v>0.0</v>
      </c>
      <c r="M284" s="13">
        <v>0.0</v>
      </c>
      <c r="N284" s="13">
        <v>0.0</v>
      </c>
      <c r="O284" s="18">
        <f t="shared" si="8"/>
        <v>0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1" t="s">
        <v>666</v>
      </c>
      <c r="B285" s="1" t="s">
        <v>665</v>
      </c>
      <c r="C285" s="13">
        <v>0.0</v>
      </c>
      <c r="D285" s="13">
        <v>0.0</v>
      </c>
      <c r="E285" s="13">
        <v>0.0</v>
      </c>
      <c r="F285" s="13">
        <v>38.0</v>
      </c>
      <c r="G285" s="13">
        <v>0.0</v>
      </c>
      <c r="H285" s="13">
        <v>0.0</v>
      </c>
      <c r="I285" s="13">
        <v>0.0</v>
      </c>
      <c r="J285" s="13">
        <v>0.0</v>
      </c>
      <c r="K285" s="13">
        <v>0.0</v>
      </c>
      <c r="L285" s="13">
        <v>0.0</v>
      </c>
      <c r="M285" s="13">
        <v>0.0</v>
      </c>
      <c r="N285" s="13">
        <v>0.0</v>
      </c>
      <c r="O285" s="18">
        <f t="shared" si="8"/>
        <v>38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1" t="s">
        <v>667</v>
      </c>
      <c r="B286" s="1" t="s">
        <v>665</v>
      </c>
      <c r="C286" s="13">
        <v>0.0</v>
      </c>
      <c r="D286" s="13">
        <v>0.0</v>
      </c>
      <c r="E286" s="13">
        <v>0.0</v>
      </c>
      <c r="F286" s="13">
        <v>0.0</v>
      </c>
      <c r="G286" s="13">
        <v>0.0</v>
      </c>
      <c r="H286" s="13">
        <v>0.0</v>
      </c>
      <c r="I286" s="13">
        <v>0.0</v>
      </c>
      <c r="J286" s="13">
        <v>0.0</v>
      </c>
      <c r="K286" s="13">
        <v>0.0</v>
      </c>
      <c r="L286" s="13">
        <v>0.0</v>
      </c>
      <c r="M286" s="13">
        <v>0.0</v>
      </c>
      <c r="N286" s="13">
        <v>0.0</v>
      </c>
      <c r="O286" s="18">
        <f t="shared" si="8"/>
        <v>0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1" t="s">
        <v>668</v>
      </c>
      <c r="B287" s="1" t="s">
        <v>669</v>
      </c>
      <c r="C287" s="13">
        <v>0.0</v>
      </c>
      <c r="D287" s="13">
        <v>166.82</v>
      </c>
      <c r="E287" s="13">
        <v>156.86</v>
      </c>
      <c r="F287" s="13">
        <v>166.98</v>
      </c>
      <c r="G287" s="13">
        <v>46.96</v>
      </c>
      <c r="H287" s="13">
        <v>143.89</v>
      </c>
      <c r="I287" s="13">
        <v>44.31</v>
      </c>
      <c r="J287" s="13">
        <v>126.2</v>
      </c>
      <c r="K287" s="13">
        <v>127.55</v>
      </c>
      <c r="L287" s="13">
        <v>83.1</v>
      </c>
      <c r="M287" s="13">
        <v>0.0</v>
      </c>
      <c r="N287" s="13">
        <v>0.0</v>
      </c>
      <c r="O287" s="18">
        <f t="shared" si="8"/>
        <v>1062.67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1" t="s">
        <v>670</v>
      </c>
      <c r="B288" s="1" t="s">
        <v>671</v>
      </c>
      <c r="C288" s="13">
        <v>0.0</v>
      </c>
      <c r="D288" s="13">
        <v>1048.69</v>
      </c>
      <c r="E288" s="13">
        <v>0.0</v>
      </c>
      <c r="F288" s="13">
        <v>119.95</v>
      </c>
      <c r="G288" s="13">
        <v>0.0</v>
      </c>
      <c r="H288" s="13">
        <v>0.0</v>
      </c>
      <c r="I288" s="13">
        <v>0.0</v>
      </c>
      <c r="J288" s="13">
        <v>126.45</v>
      </c>
      <c r="K288" s="13">
        <v>0.0</v>
      </c>
      <c r="L288" s="13">
        <v>0.0</v>
      </c>
      <c r="M288" s="13">
        <v>0.0</v>
      </c>
      <c r="N288" s="13">
        <v>0.0</v>
      </c>
      <c r="O288" s="18">
        <f t="shared" si="8"/>
        <v>1295.09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1" t="s">
        <v>672</v>
      </c>
      <c r="B289" s="1" t="s">
        <v>673</v>
      </c>
      <c r="C289" s="13">
        <v>0.0</v>
      </c>
      <c r="D289" s="13">
        <v>119.5</v>
      </c>
      <c r="E289" s="13">
        <v>33.2</v>
      </c>
      <c r="F289" s="13">
        <v>0.0</v>
      </c>
      <c r="G289" s="13">
        <v>0.0</v>
      </c>
      <c r="H289" s="13">
        <v>68.4</v>
      </c>
      <c r="I289" s="13">
        <v>0.0</v>
      </c>
      <c r="J289" s="13">
        <v>252.0</v>
      </c>
      <c r="K289" s="13">
        <v>95.58</v>
      </c>
      <c r="L289" s="13">
        <v>0.0</v>
      </c>
      <c r="M289" s="13">
        <v>0.0</v>
      </c>
      <c r="N289" s="13">
        <v>0.0</v>
      </c>
      <c r="O289" s="18">
        <f t="shared" si="8"/>
        <v>568.68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1" t="s">
        <v>674</v>
      </c>
      <c r="B290" s="1" t="s">
        <v>675</v>
      </c>
      <c r="C290" s="13">
        <v>0.0</v>
      </c>
      <c r="D290" s="13">
        <v>0.0</v>
      </c>
      <c r="E290" s="13">
        <v>0.0</v>
      </c>
      <c r="F290" s="13">
        <v>0.0</v>
      </c>
      <c r="G290" s="13">
        <v>0.0</v>
      </c>
      <c r="H290" s="13">
        <v>0.0</v>
      </c>
      <c r="I290" s="13">
        <v>0.0</v>
      </c>
      <c r="J290" s="13">
        <v>216.55</v>
      </c>
      <c r="K290" s="13">
        <v>0.0</v>
      </c>
      <c r="L290" s="13">
        <v>0.0</v>
      </c>
      <c r="M290" s="13">
        <v>0.0</v>
      </c>
      <c r="N290" s="13">
        <v>0.0</v>
      </c>
      <c r="O290" s="18">
        <f t="shared" si="8"/>
        <v>216.55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1" t="s">
        <v>676</v>
      </c>
      <c r="B291" s="1" t="s">
        <v>677</v>
      </c>
      <c r="C291" s="13">
        <v>181.71</v>
      </c>
      <c r="D291" s="13">
        <v>184.68</v>
      </c>
      <c r="E291" s="13">
        <v>181.71</v>
      </c>
      <c r="F291" s="13">
        <v>172.95</v>
      </c>
      <c r="G291" s="13">
        <v>175.69</v>
      </c>
      <c r="H291" s="13">
        <v>167.31</v>
      </c>
      <c r="I291" s="13">
        <v>169.63</v>
      </c>
      <c r="J291" s="13">
        <v>166.59</v>
      </c>
      <c r="K291" s="13">
        <v>153.08</v>
      </c>
      <c r="L291" s="13">
        <v>0.0</v>
      </c>
      <c r="M291" s="13">
        <v>0.0</v>
      </c>
      <c r="N291" s="13">
        <v>0.0</v>
      </c>
      <c r="O291" s="18">
        <f t="shared" si="8"/>
        <v>1553.35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1" t="s">
        <v>678</v>
      </c>
      <c r="B292" s="1" t="s">
        <v>255</v>
      </c>
      <c r="C292" s="13">
        <v>0.0</v>
      </c>
      <c r="D292" s="13">
        <v>0.0</v>
      </c>
      <c r="E292" s="13">
        <v>0.0</v>
      </c>
      <c r="F292" s="13">
        <v>0.0</v>
      </c>
      <c r="G292" s="13">
        <v>0.0</v>
      </c>
      <c r="H292" s="13">
        <v>0.0</v>
      </c>
      <c r="I292" s="13">
        <v>0.0</v>
      </c>
      <c r="J292" s="13">
        <v>0.0</v>
      </c>
      <c r="K292" s="13">
        <v>0.0</v>
      </c>
      <c r="L292" s="13">
        <v>0.0</v>
      </c>
      <c r="M292" s="13">
        <v>0.0</v>
      </c>
      <c r="N292" s="13">
        <v>0.0</v>
      </c>
      <c r="O292" s="18">
        <f t="shared" si="8"/>
        <v>0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1" t="s">
        <v>679</v>
      </c>
      <c r="B293" s="1" t="s">
        <v>255</v>
      </c>
      <c r="C293" s="13">
        <v>0.0</v>
      </c>
      <c r="D293" s="13">
        <v>0.0</v>
      </c>
      <c r="E293" s="13">
        <v>0.0</v>
      </c>
      <c r="F293" s="13">
        <v>0.0</v>
      </c>
      <c r="G293" s="13">
        <v>0.0</v>
      </c>
      <c r="H293" s="13">
        <v>0.0</v>
      </c>
      <c r="I293" s="13">
        <v>0.0</v>
      </c>
      <c r="J293" s="13">
        <v>0.0</v>
      </c>
      <c r="K293" s="13">
        <v>0.0</v>
      </c>
      <c r="L293" s="13">
        <v>0.0</v>
      </c>
      <c r="M293" s="13">
        <v>0.0</v>
      </c>
      <c r="N293" s="13">
        <v>0.0</v>
      </c>
      <c r="O293" s="18">
        <f t="shared" si="8"/>
        <v>0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1" t="s">
        <v>680</v>
      </c>
      <c r="B294" s="1" t="s">
        <v>681</v>
      </c>
      <c r="C294" s="13">
        <v>1726.32</v>
      </c>
      <c r="D294" s="13">
        <v>1756.93</v>
      </c>
      <c r="E294" s="13">
        <v>1756.93</v>
      </c>
      <c r="F294" s="13">
        <v>1756.93</v>
      </c>
      <c r="G294" s="13">
        <v>1756.93</v>
      </c>
      <c r="H294" s="13">
        <v>1756.93</v>
      </c>
      <c r="I294" s="13">
        <v>1756.93</v>
      </c>
      <c r="J294" s="13">
        <v>1774.12</v>
      </c>
      <c r="K294" s="13">
        <v>1628.52</v>
      </c>
      <c r="L294" s="13">
        <v>0.0</v>
      </c>
      <c r="M294" s="13">
        <v>0.0</v>
      </c>
      <c r="N294" s="13">
        <v>0.0</v>
      </c>
      <c r="O294" s="18">
        <f t="shared" si="8"/>
        <v>15670.54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1" t="s">
        <v>682</v>
      </c>
      <c r="B295" s="1" t="s">
        <v>681</v>
      </c>
      <c r="C295" s="13">
        <v>0.0</v>
      </c>
      <c r="D295" s="13">
        <v>0.0</v>
      </c>
      <c r="E295" s="13">
        <v>0.0</v>
      </c>
      <c r="F295" s="13">
        <v>0.0</v>
      </c>
      <c r="G295" s="13">
        <v>0.0</v>
      </c>
      <c r="H295" s="13">
        <v>0.0</v>
      </c>
      <c r="I295" s="13">
        <v>0.0</v>
      </c>
      <c r="J295" s="13">
        <v>0.0</v>
      </c>
      <c r="K295" s="13">
        <v>0.0</v>
      </c>
      <c r="L295" s="13">
        <v>0.0</v>
      </c>
      <c r="M295" s="13">
        <v>0.0</v>
      </c>
      <c r="N295" s="13">
        <v>0.0</v>
      </c>
      <c r="O295" s="18">
        <f t="shared" si="8"/>
        <v>0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1" t="s">
        <v>683</v>
      </c>
      <c r="B296" s="1" t="s">
        <v>681</v>
      </c>
      <c r="C296" s="13">
        <v>0.0</v>
      </c>
      <c r="D296" s="13">
        <v>0.0</v>
      </c>
      <c r="E296" s="13">
        <v>0.0</v>
      </c>
      <c r="F296" s="13">
        <v>0.0</v>
      </c>
      <c r="G296" s="13">
        <v>0.0</v>
      </c>
      <c r="H296" s="13">
        <v>0.0</v>
      </c>
      <c r="I296" s="13">
        <v>0.0</v>
      </c>
      <c r="J296" s="13">
        <v>0.0</v>
      </c>
      <c r="K296" s="13">
        <v>0.0</v>
      </c>
      <c r="L296" s="13">
        <v>0.0</v>
      </c>
      <c r="M296" s="13">
        <v>0.0</v>
      </c>
      <c r="N296" s="13">
        <v>0.0</v>
      </c>
      <c r="O296" s="18">
        <f t="shared" si="8"/>
        <v>0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1" t="s">
        <v>684</v>
      </c>
      <c r="B297" s="1" t="s">
        <v>685</v>
      </c>
      <c r="C297" s="13">
        <v>-889.14</v>
      </c>
      <c r="D297" s="13">
        <v>-4.33</v>
      </c>
      <c r="E297" s="13">
        <v>0.0</v>
      </c>
      <c r="F297" s="13">
        <v>-1289.21</v>
      </c>
      <c r="G297" s="13">
        <v>-75.5</v>
      </c>
      <c r="H297" s="13">
        <v>85.0</v>
      </c>
      <c r="I297" s="13">
        <v>-85.0</v>
      </c>
      <c r="J297" s="13">
        <v>0.0</v>
      </c>
      <c r="K297" s="13">
        <v>6252.95</v>
      </c>
      <c r="L297" s="13">
        <v>0.0</v>
      </c>
      <c r="M297" s="13">
        <v>0.0</v>
      </c>
      <c r="N297" s="13">
        <v>0.0</v>
      </c>
      <c r="O297" s="18">
        <f t="shared" si="8"/>
        <v>3994.77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1" t="s">
        <v>686</v>
      </c>
      <c r="B298" s="1" t="s">
        <v>685</v>
      </c>
      <c r="C298" s="13">
        <v>0.0</v>
      </c>
      <c r="D298" s="13">
        <v>0.0</v>
      </c>
      <c r="E298" s="13">
        <v>0.0</v>
      </c>
      <c r="F298" s="13">
        <v>0.0</v>
      </c>
      <c r="G298" s="13">
        <v>0.0</v>
      </c>
      <c r="H298" s="13">
        <v>0.0</v>
      </c>
      <c r="I298" s="13">
        <v>0.0</v>
      </c>
      <c r="J298" s="13">
        <v>0.0</v>
      </c>
      <c r="K298" s="13">
        <v>0.0</v>
      </c>
      <c r="L298" s="13">
        <v>0.0</v>
      </c>
      <c r="M298" s="13">
        <v>0.0</v>
      </c>
      <c r="N298" s="13">
        <v>0.0</v>
      </c>
      <c r="O298" s="18">
        <f t="shared" si="8"/>
        <v>0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1" t="s">
        <v>687</v>
      </c>
      <c r="B299" s="1" t="s">
        <v>685</v>
      </c>
      <c r="C299" s="13">
        <v>0.0</v>
      </c>
      <c r="D299" s="13">
        <v>0.0</v>
      </c>
      <c r="E299" s="13">
        <v>0.0</v>
      </c>
      <c r="F299" s="13">
        <v>0.0</v>
      </c>
      <c r="G299" s="13">
        <v>0.0</v>
      </c>
      <c r="H299" s="13">
        <v>0.0</v>
      </c>
      <c r="I299" s="13">
        <v>0.0</v>
      </c>
      <c r="J299" s="13">
        <v>0.0</v>
      </c>
      <c r="K299" s="13">
        <v>0.0</v>
      </c>
      <c r="L299" s="13">
        <v>0.0</v>
      </c>
      <c r="M299" s="13">
        <v>0.0</v>
      </c>
      <c r="N299" s="13">
        <v>0.0</v>
      </c>
      <c r="O299" s="18">
        <f t="shared" si="8"/>
        <v>0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1" t="s">
        <v>688</v>
      </c>
      <c r="B300" s="1" t="s">
        <v>689</v>
      </c>
      <c r="C300" s="13">
        <v>0.0</v>
      </c>
      <c r="D300" s="13">
        <v>0.0</v>
      </c>
      <c r="E300" s="13">
        <v>0.0</v>
      </c>
      <c r="F300" s="13">
        <v>0.0</v>
      </c>
      <c r="G300" s="13">
        <v>0.0</v>
      </c>
      <c r="H300" s="13">
        <v>0.0</v>
      </c>
      <c r="I300" s="13">
        <v>0.0</v>
      </c>
      <c r="J300" s="13">
        <v>0.0</v>
      </c>
      <c r="K300" s="13">
        <v>0.0</v>
      </c>
      <c r="L300" s="13">
        <v>0.0</v>
      </c>
      <c r="M300" s="13">
        <v>0.0</v>
      </c>
      <c r="N300" s="13">
        <v>0.0</v>
      </c>
      <c r="O300" s="18">
        <f t="shared" si="8"/>
        <v>0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1" t="s">
        <v>690</v>
      </c>
      <c r="B301" s="1" t="s">
        <v>691</v>
      </c>
      <c r="C301" s="13">
        <v>0.0</v>
      </c>
      <c r="D301" s="13">
        <v>0.0</v>
      </c>
      <c r="E301" s="13">
        <v>0.0</v>
      </c>
      <c r="F301" s="13">
        <v>0.0</v>
      </c>
      <c r="G301" s="13">
        <v>0.0</v>
      </c>
      <c r="H301" s="13">
        <v>0.0</v>
      </c>
      <c r="I301" s="13">
        <v>0.0</v>
      </c>
      <c r="J301" s="13">
        <v>0.0</v>
      </c>
      <c r="K301" s="13">
        <v>0.0</v>
      </c>
      <c r="L301" s="13">
        <v>0.0</v>
      </c>
      <c r="M301" s="13">
        <v>0.0</v>
      </c>
      <c r="N301" s="13">
        <v>0.0</v>
      </c>
      <c r="O301" s="18">
        <f t="shared" si="8"/>
        <v>0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1" t="s">
        <v>692</v>
      </c>
      <c r="B302" s="1" t="s">
        <v>245</v>
      </c>
      <c r="C302" s="13">
        <v>0.0</v>
      </c>
      <c r="D302" s="13">
        <v>0.0</v>
      </c>
      <c r="E302" s="13">
        <v>0.0</v>
      </c>
      <c r="F302" s="13">
        <v>0.0</v>
      </c>
      <c r="G302" s="13">
        <v>0.0</v>
      </c>
      <c r="H302" s="13">
        <v>0.0</v>
      </c>
      <c r="I302" s="13">
        <v>0.0</v>
      </c>
      <c r="J302" s="13">
        <v>0.0</v>
      </c>
      <c r="K302" s="13">
        <v>0.0</v>
      </c>
      <c r="L302" s="13">
        <v>0.0</v>
      </c>
      <c r="M302" s="13">
        <v>0.0</v>
      </c>
      <c r="N302" s="13">
        <v>0.0</v>
      </c>
      <c r="O302" s="18">
        <f t="shared" si="8"/>
        <v>0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1" t="s">
        <v>693</v>
      </c>
      <c r="B303" s="1" t="s">
        <v>694</v>
      </c>
      <c r="C303" s="13">
        <v>0.0</v>
      </c>
      <c r="D303" s="13">
        <v>0.0</v>
      </c>
      <c r="E303" s="13">
        <v>0.0</v>
      </c>
      <c r="F303" s="13">
        <v>0.0</v>
      </c>
      <c r="G303" s="13">
        <v>0.0</v>
      </c>
      <c r="H303" s="13">
        <v>0.0</v>
      </c>
      <c r="I303" s="13">
        <v>0.0</v>
      </c>
      <c r="J303" s="13">
        <v>0.0</v>
      </c>
      <c r="K303" s="13">
        <v>0.0</v>
      </c>
      <c r="L303" s="13">
        <v>0.0</v>
      </c>
      <c r="M303" s="13">
        <v>0.0</v>
      </c>
      <c r="N303" s="13">
        <v>0.0</v>
      </c>
      <c r="O303" s="18">
        <f t="shared" si="8"/>
        <v>0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1" t="s">
        <v>695</v>
      </c>
      <c r="B304" s="1" t="s">
        <v>249</v>
      </c>
      <c r="C304" s="13">
        <v>0.0</v>
      </c>
      <c r="D304" s="13">
        <v>0.0</v>
      </c>
      <c r="E304" s="13">
        <v>0.0</v>
      </c>
      <c r="F304" s="13">
        <v>0.0</v>
      </c>
      <c r="G304" s="13">
        <v>0.0</v>
      </c>
      <c r="H304" s="13">
        <v>0.0</v>
      </c>
      <c r="I304" s="13">
        <v>2349.81</v>
      </c>
      <c r="J304" s="13">
        <v>2349.81</v>
      </c>
      <c r="K304" s="13">
        <v>3899.9</v>
      </c>
      <c r="L304" s="13">
        <v>0.0</v>
      </c>
      <c r="M304" s="13">
        <v>0.0</v>
      </c>
      <c r="N304" s="13">
        <v>0.0</v>
      </c>
      <c r="O304" s="18">
        <f t="shared" si="8"/>
        <v>8599.52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1" t="s">
        <v>696</v>
      </c>
      <c r="B305" s="1" t="s">
        <v>697</v>
      </c>
      <c r="C305" s="13">
        <v>8.43</v>
      </c>
      <c r="D305" s="13">
        <v>8.77</v>
      </c>
      <c r="E305" s="13">
        <v>8.49</v>
      </c>
      <c r="F305" s="13">
        <v>7.67</v>
      </c>
      <c r="G305" s="13">
        <v>9.04</v>
      </c>
      <c r="H305" s="13">
        <v>7.95</v>
      </c>
      <c r="I305" s="13">
        <v>8.77</v>
      </c>
      <c r="J305" s="13">
        <v>8.49</v>
      </c>
      <c r="K305" s="13">
        <v>7.95</v>
      </c>
      <c r="L305" s="13">
        <v>0.0</v>
      </c>
      <c r="M305" s="13">
        <v>0.0</v>
      </c>
      <c r="N305" s="13">
        <v>0.0</v>
      </c>
      <c r="O305" s="18">
        <f t="shared" si="8"/>
        <v>75.56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1" t="s">
        <v>698</v>
      </c>
      <c r="B306" s="1" t="s">
        <v>699</v>
      </c>
      <c r="C306" s="13">
        <v>-8.43</v>
      </c>
      <c r="D306" s="13">
        <v>-8.77</v>
      </c>
      <c r="E306" s="13">
        <v>-8.49</v>
      </c>
      <c r="F306" s="13">
        <v>-7.67</v>
      </c>
      <c r="G306" s="13">
        <v>-9.04</v>
      </c>
      <c r="H306" s="13">
        <v>-7.95</v>
      </c>
      <c r="I306" s="13">
        <v>-8.77</v>
      </c>
      <c r="J306" s="13">
        <v>-8.49</v>
      </c>
      <c r="K306" s="13">
        <v>-7.95</v>
      </c>
      <c r="L306" s="13">
        <v>0.0</v>
      </c>
      <c r="M306" s="13">
        <v>0.0</v>
      </c>
      <c r="N306" s="13">
        <v>0.0</v>
      </c>
      <c r="O306" s="18">
        <f t="shared" si="8"/>
        <v>-75.56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1" t="s">
        <v>700</v>
      </c>
      <c r="B307" s="1" t="s">
        <v>701</v>
      </c>
      <c r="C307" s="13">
        <v>0.0</v>
      </c>
      <c r="D307" s="13">
        <v>0.0</v>
      </c>
      <c r="E307" s="13">
        <v>0.0</v>
      </c>
      <c r="F307" s="13">
        <v>0.0</v>
      </c>
      <c r="G307" s="13">
        <v>0.0</v>
      </c>
      <c r="H307" s="13">
        <v>0.0</v>
      </c>
      <c r="I307" s="13">
        <v>0.0</v>
      </c>
      <c r="J307" s="13">
        <v>0.0</v>
      </c>
      <c r="K307" s="13">
        <v>0.0</v>
      </c>
      <c r="L307" s="13">
        <v>0.0</v>
      </c>
      <c r="M307" s="13">
        <v>0.0</v>
      </c>
      <c r="N307" s="13">
        <v>0.0</v>
      </c>
      <c r="O307" s="18">
        <f t="shared" si="8"/>
        <v>0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1" t="s">
        <v>702</v>
      </c>
      <c r="B308" s="1" t="s">
        <v>703</v>
      </c>
      <c r="C308" s="13">
        <v>0.0</v>
      </c>
      <c r="D308" s="13">
        <v>0.0</v>
      </c>
      <c r="E308" s="13">
        <v>0.0</v>
      </c>
      <c r="F308" s="13">
        <v>0.0</v>
      </c>
      <c r="G308" s="13">
        <v>0.0</v>
      </c>
      <c r="H308" s="13">
        <v>0.0</v>
      </c>
      <c r="I308" s="13">
        <v>0.0</v>
      </c>
      <c r="J308" s="13">
        <v>0.0</v>
      </c>
      <c r="K308" s="13">
        <v>0.0</v>
      </c>
      <c r="L308" s="13">
        <v>0.0</v>
      </c>
      <c r="M308" s="13">
        <v>0.0</v>
      </c>
      <c r="N308" s="13">
        <v>0.0</v>
      </c>
      <c r="O308" s="18">
        <f t="shared" si="8"/>
        <v>0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24"/>
      <c r="B309" s="24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1" t="s">
        <v>77</v>
      </c>
      <c r="B310" s="1" t="s">
        <v>242</v>
      </c>
      <c r="C310" s="13">
        <f t="shared" ref="C310:N310" si="9">ROUND(SUBTOTAL(9, C117:C309), 5)</f>
        <v>80858.08</v>
      </c>
      <c r="D310" s="13">
        <f t="shared" si="9"/>
        <v>86019.01</v>
      </c>
      <c r="E310" s="13">
        <f t="shared" si="9"/>
        <v>109629.68</v>
      </c>
      <c r="F310" s="13">
        <f t="shared" si="9"/>
        <v>101361.28</v>
      </c>
      <c r="G310" s="13">
        <f t="shared" si="9"/>
        <v>104955.7</v>
      </c>
      <c r="H310" s="13">
        <f t="shared" si="9"/>
        <v>101257.27</v>
      </c>
      <c r="I310" s="13">
        <f t="shared" si="9"/>
        <v>101094.81</v>
      </c>
      <c r="J310" s="13">
        <f t="shared" si="9"/>
        <v>102552.49</v>
      </c>
      <c r="K310" s="13">
        <f t="shared" si="9"/>
        <v>108758.45</v>
      </c>
      <c r="L310" s="13">
        <f t="shared" si="9"/>
        <v>41692.75</v>
      </c>
      <c r="M310" s="13">
        <f t="shared" si="9"/>
        <v>120</v>
      </c>
      <c r="N310" s="13">
        <f t="shared" si="9"/>
        <v>0</v>
      </c>
      <c r="O310" s="18">
        <f>+SUM(C310:N310)</f>
        <v>938299.52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24"/>
      <c r="B311" s="24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1" t="s">
        <v>77</v>
      </c>
      <c r="B312" s="1" t="s">
        <v>259</v>
      </c>
      <c r="C312" s="13">
        <f t="shared" ref="C312:N312" si="10">-(ROUND(-C115+C310, 5))</f>
        <v>-40031.64</v>
      </c>
      <c r="D312" s="13">
        <f t="shared" si="10"/>
        <v>-7788.45</v>
      </c>
      <c r="E312" s="13">
        <f t="shared" si="10"/>
        <v>8482.59</v>
      </c>
      <c r="F312" s="13">
        <f t="shared" si="10"/>
        <v>6650.63</v>
      </c>
      <c r="G312" s="13">
        <f t="shared" si="10"/>
        <v>16894.75</v>
      </c>
      <c r="H312" s="13">
        <f t="shared" si="10"/>
        <v>5585.85</v>
      </c>
      <c r="I312" s="13">
        <f t="shared" si="10"/>
        <v>13234.11</v>
      </c>
      <c r="J312" s="13">
        <f t="shared" si="10"/>
        <v>10282.6</v>
      </c>
      <c r="K312" s="13">
        <f t="shared" si="10"/>
        <v>18713.98</v>
      </c>
      <c r="L312" s="13">
        <f t="shared" si="10"/>
        <v>-39770.14</v>
      </c>
      <c r="M312" s="13">
        <f t="shared" si="10"/>
        <v>-120</v>
      </c>
      <c r="N312" s="13">
        <f t="shared" si="10"/>
        <v>0</v>
      </c>
      <c r="O312" s="18">
        <f>+SUM(C312:N312)</f>
        <v>-7865.72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59"/>
      <c r="B313" s="59"/>
      <c r="C313" s="60">
        <f>+C312</f>
        <v>-40031.64</v>
      </c>
      <c r="D313" s="60">
        <f t="shared" ref="D313:K313" si="11">+C313+D312</f>
        <v>-47820.09</v>
      </c>
      <c r="E313" s="60">
        <f t="shared" si="11"/>
        <v>-39337.5</v>
      </c>
      <c r="F313" s="60">
        <f t="shared" si="11"/>
        <v>-32686.87</v>
      </c>
      <c r="G313" s="60">
        <f t="shared" si="11"/>
        <v>-15792.12</v>
      </c>
      <c r="H313" s="60">
        <f t="shared" si="11"/>
        <v>-10206.27</v>
      </c>
      <c r="I313" s="60">
        <f t="shared" si="11"/>
        <v>3027.84</v>
      </c>
      <c r="J313" s="60">
        <f t="shared" si="11"/>
        <v>13310.44</v>
      </c>
      <c r="K313" s="60">
        <f t="shared" si="11"/>
        <v>32024.42</v>
      </c>
      <c r="L313" s="61"/>
      <c r="M313" s="61"/>
      <c r="N313" s="61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6527777777777778" footer="0.0" header="0.0" left="0.7" right="0.7" top="1.375"/>
  <pageSetup orientation="landscape"/>
  <headerFooter>
    <oddHeader>&amp;L  &amp;C Benton Hall Academy Income Statement - 12 Periods For July 1, 2015 through June 30, 2016 </oddHeader>
    <oddFooter>&amp;L&amp;D at &amp;T&amp;CFor Management Purposes Only&amp;RPage: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0"/>
    <col customWidth="1" hidden="1" min="2" max="2" width="13.63"/>
    <col customWidth="1" min="3" max="3" width="12.13"/>
    <col customWidth="1" min="4" max="4" width="11.0"/>
    <col customWidth="1" min="5" max="5" width="9.13"/>
    <col customWidth="1" min="6" max="11" width="7.63"/>
    <col customWidth="1" min="12" max="12" width="10.13"/>
    <col customWidth="1" min="13" max="26" width="7.63"/>
  </cols>
  <sheetData>
    <row r="1">
      <c r="C1" s="2" t="s">
        <v>1</v>
      </c>
      <c r="D1" s="2" t="s">
        <v>2</v>
      </c>
      <c r="E1" s="2" t="s">
        <v>3</v>
      </c>
    </row>
    <row r="2">
      <c r="A2" s="4" t="s">
        <v>4</v>
      </c>
      <c r="C2" s="8">
        <v>68.0</v>
      </c>
      <c r="D2" s="8">
        <v>68.0</v>
      </c>
      <c r="E2" s="11">
        <f>+IFERROR(C2/D2,0)</f>
        <v>1</v>
      </c>
    </row>
    <row r="3">
      <c r="A3" s="12" t="s">
        <v>20</v>
      </c>
      <c r="B3" s="12" t="s">
        <v>39</v>
      </c>
      <c r="G3" s="14"/>
    </row>
    <row r="4">
      <c r="A4" s="16" t="s">
        <v>40</v>
      </c>
      <c r="B4" s="16"/>
      <c r="G4" s="14"/>
    </row>
    <row r="5">
      <c r="A5" s="1" t="s">
        <v>42</v>
      </c>
      <c r="B5" s="14" t="s">
        <v>43</v>
      </c>
      <c r="C5" s="19">
        <f>+SUMIF('Variance16-17'!Q:Q,'Summary Budget.Old'!B5,'Variance16-17'!W:W)</f>
        <v>1010382.02</v>
      </c>
      <c r="D5" s="19">
        <f>+SUMIF('Variance16-17'!Q:Q,'Summary Budget.Old'!B5,'Variance16-17'!R:R)</f>
        <v>970668.03</v>
      </c>
      <c r="E5" s="11">
        <f t="shared" ref="E5:E11" si="1">+IFERROR(C5/D5,0)</f>
        <v>1.040914081</v>
      </c>
      <c r="G5" s="14"/>
    </row>
    <row r="6">
      <c r="A6" s="1" t="s">
        <v>46</v>
      </c>
      <c r="B6" s="14" t="s">
        <v>47</v>
      </c>
      <c r="C6" s="19">
        <f>+SUMIF('Variance16-17'!Q:Q,'Summary Budget.Old'!B6,'Variance16-17'!W:W)</f>
        <v>0</v>
      </c>
      <c r="D6" s="19">
        <f>+SUMIF('Variance16-17'!Q:Q,'Summary Budget.Old'!B6,'Variance16-17'!R:R)</f>
        <v>5000</v>
      </c>
      <c r="E6" s="11">
        <f t="shared" si="1"/>
        <v>0</v>
      </c>
      <c r="G6" s="14"/>
    </row>
    <row r="7">
      <c r="A7" s="1" t="s">
        <v>50</v>
      </c>
      <c r="B7" s="14" t="s">
        <v>50</v>
      </c>
      <c r="C7" s="19">
        <f>+SUMIF('Variance16-17'!Q:Q,'Summary Budget.Old'!B7,'Variance16-17'!W:W)</f>
        <v>7600</v>
      </c>
      <c r="D7" s="19">
        <f>+SUMIF('Variance16-17'!Q:Q,'Summary Budget.Old'!B7,'Variance16-17'!R:R)</f>
        <v>7600</v>
      </c>
      <c r="E7" s="11">
        <f t="shared" si="1"/>
        <v>1</v>
      </c>
      <c r="G7" s="14"/>
    </row>
    <row r="8">
      <c r="A8" s="1" t="s">
        <v>55</v>
      </c>
      <c r="B8" s="14" t="s">
        <v>56</v>
      </c>
      <c r="C8" s="19">
        <f>+SUMIF('Variance16-17'!Q:Q,'Summary Budget.Old'!B8,'Variance16-17'!W:W)</f>
        <v>13050</v>
      </c>
      <c r="D8" s="19">
        <f>+SUMIF('Variance16-17'!Q:Q,'Summary Budget.Old'!B8,'Variance16-17'!R:R)</f>
        <v>12649.99</v>
      </c>
      <c r="E8" s="11">
        <f t="shared" si="1"/>
        <v>1.031621369</v>
      </c>
      <c r="G8" s="14"/>
    </row>
    <row r="9">
      <c r="A9" s="1" t="s">
        <v>59</v>
      </c>
      <c r="B9" s="14" t="s">
        <v>59</v>
      </c>
      <c r="C9" s="19">
        <f>+SUMIF('Variance16-17'!Q:Q,'Summary Budget.Old'!B9,'Variance16-17'!W:W)</f>
        <v>6670</v>
      </c>
      <c r="D9" s="19">
        <f>+SUMIF('Variance16-17'!Q:Q,'Summary Budget.Old'!B9,'Variance16-17'!R:R)</f>
        <v>13500.01</v>
      </c>
      <c r="E9" s="11">
        <f t="shared" si="1"/>
        <v>0.4940737081</v>
      </c>
      <c r="G9" s="14"/>
    </row>
    <row r="10">
      <c r="A10" s="1" t="s">
        <v>60</v>
      </c>
      <c r="B10" s="14" t="s">
        <v>61</v>
      </c>
      <c r="C10" s="19">
        <f>+SUMIF('Variance16-17'!Q:Q,'Summary Budget.Old'!B10,'Variance16-17'!W:W)</f>
        <v>39217.1975</v>
      </c>
      <c r="D10" s="19">
        <f>+SUMIF('Variance16-17'!Q:Q,'Summary Budget.Old'!B10,'Variance16-17'!R:R)</f>
        <v>2250.01</v>
      </c>
      <c r="E10" s="11">
        <f t="shared" si="1"/>
        <v>17.42978809</v>
      </c>
      <c r="G10" s="14"/>
    </row>
    <row r="11">
      <c r="A11" s="21" t="s">
        <v>64</v>
      </c>
      <c r="B11" s="22" t="s">
        <v>67</v>
      </c>
      <c r="C11" s="23">
        <f>-SUMIF('Variance16-17'!Q:Q,'Summary Budget.Old'!B11,'Variance16-17'!W:W)</f>
        <v>-21417.3</v>
      </c>
      <c r="D11" s="23">
        <f>-SUMIF('Variance16-17'!Q:Q,'Summary Budget.Old'!B11,'Variance16-17'!R:R)</f>
        <v>-1500.01</v>
      </c>
      <c r="E11" s="11">
        <f t="shared" si="1"/>
        <v>14.27810481</v>
      </c>
      <c r="G11" s="14"/>
    </row>
    <row r="12">
      <c r="A12" s="24"/>
      <c r="B12" s="24"/>
      <c r="E12" s="25"/>
      <c r="G12" s="14"/>
    </row>
    <row r="13">
      <c r="A13" s="1" t="s">
        <v>72</v>
      </c>
      <c r="B13" s="1"/>
      <c r="C13" s="26">
        <f t="shared" ref="C13:D13" si="2">+SUM(C5:C11)</f>
        <v>1055501.918</v>
      </c>
      <c r="D13" s="26">
        <f t="shared" si="2"/>
        <v>1010168.03</v>
      </c>
      <c r="E13" s="11">
        <f>+IFERROR(C13/D13,0)</f>
        <v>1.044877571</v>
      </c>
      <c r="G13" s="14"/>
    </row>
    <row r="14">
      <c r="A14" s="3" t="s">
        <v>77</v>
      </c>
      <c r="B14" s="3"/>
      <c r="G14" s="14"/>
    </row>
    <row r="15">
      <c r="A15" s="16" t="s">
        <v>78</v>
      </c>
      <c r="B15" s="16"/>
      <c r="G15" s="14"/>
    </row>
    <row r="16">
      <c r="A16" s="1" t="s">
        <v>45</v>
      </c>
      <c r="B16" s="14" t="s">
        <v>45</v>
      </c>
      <c r="C16" s="19">
        <f>+SUMIF('Variance16-17'!Q:Q,'Summary Budget.Old'!B16,'Variance16-17'!W:W)</f>
        <v>51500</v>
      </c>
      <c r="D16" s="19">
        <f>+SUMIF('Variance16-17'!Q:Q,'Summary Budget.Old'!B16,'Variance16-17'!R:R)</f>
        <v>36000</v>
      </c>
      <c r="E16" s="11">
        <f t="shared" ref="E16:E21" si="3">+IFERROR(C16/D16,0)</f>
        <v>1.430555556</v>
      </c>
      <c r="G16" s="14"/>
    </row>
    <row r="17">
      <c r="A17" s="1" t="s">
        <v>81</v>
      </c>
      <c r="B17" s="14" t="s">
        <v>81</v>
      </c>
      <c r="C17" s="19">
        <f>+SUMIF('Variance16-17'!Q:Q,'Summary Budget.Old'!B17,'Variance16-17'!W:W)</f>
        <v>0</v>
      </c>
      <c r="D17" s="19">
        <f>+SUMIF('Variance16-17'!Q:Q,'Summary Budget.Old'!B17,'Variance16-17'!R:R)</f>
        <v>0</v>
      </c>
      <c r="E17" s="11">
        <f t="shared" si="3"/>
        <v>0</v>
      </c>
    </row>
    <row r="18">
      <c r="A18" s="1" t="s">
        <v>84</v>
      </c>
      <c r="B18" s="14" t="s">
        <v>84</v>
      </c>
      <c r="C18" s="19">
        <f>+SUMIF('Variance16-17'!Q:Q,'Summary Budget.Old'!B18,'Variance16-17'!W:W)</f>
        <v>33700</v>
      </c>
      <c r="D18" s="19">
        <f>+SUMIF('Variance16-17'!Q:Q,'Summary Budget.Old'!B18,'Variance16-17'!R:R)</f>
        <v>35000</v>
      </c>
      <c r="E18" s="11">
        <f t="shared" si="3"/>
        <v>0.9628571429</v>
      </c>
    </row>
    <row r="19">
      <c r="A19" s="1" t="s">
        <v>87</v>
      </c>
      <c r="B19" s="14" t="s">
        <v>87</v>
      </c>
      <c r="C19" s="19">
        <f>-SUMIF('Variance16-17'!Q:Q,'Summary Budget.Old'!B19,'Variance16-17'!W:W)</f>
        <v>-34000</v>
      </c>
      <c r="D19" s="19">
        <f>-SUMIF('Variance16-17'!Q:Q,'Summary Budget.Old'!B19,'Variance16-17'!R:R)</f>
        <v>-9999.99</v>
      </c>
      <c r="E19" s="11">
        <f t="shared" si="3"/>
        <v>3.4000034</v>
      </c>
      <c r="G19" s="14"/>
    </row>
    <row r="20">
      <c r="A20" s="1" t="s">
        <v>90</v>
      </c>
      <c r="B20" s="14" t="s">
        <v>91</v>
      </c>
      <c r="C20" s="19">
        <f>+SUMIF('Variance16-17'!Q:Q,'Summary Budget.Old'!B20,'Variance16-17'!W:W)</f>
        <v>0</v>
      </c>
      <c r="D20" s="19">
        <f>+SUMIF('Variance16-17'!Q:Q,'Summary Budget.Old'!B20,'Variance16-17'!R:R)</f>
        <v>0</v>
      </c>
      <c r="E20" s="11">
        <f t="shared" si="3"/>
        <v>0</v>
      </c>
      <c r="G20" s="14"/>
    </row>
    <row r="21" ht="15.75" customHeight="1">
      <c r="A21" s="21" t="s">
        <v>94</v>
      </c>
      <c r="B21" s="22" t="s">
        <v>94</v>
      </c>
      <c r="C21" s="23">
        <f>+SUMIF('Variance16-17'!Q:Q,'Summary Budget.Old'!B21,'Variance16-17'!W:W)</f>
        <v>10000</v>
      </c>
      <c r="D21" s="23">
        <f>+SUMIF('Variance16-17'!Q:Q,'Summary Budget.Old'!B21,'Variance16-17'!R:R)</f>
        <v>10000</v>
      </c>
      <c r="E21" s="11">
        <f t="shared" si="3"/>
        <v>1</v>
      </c>
    </row>
    <row r="22" ht="15.75" customHeight="1">
      <c r="A22" s="24"/>
      <c r="B22" s="24"/>
      <c r="E22" s="25"/>
      <c r="G22" s="14"/>
    </row>
    <row r="23" ht="15.75" customHeight="1">
      <c r="A23" s="1" t="s">
        <v>97</v>
      </c>
      <c r="B23" s="1"/>
      <c r="C23" s="26">
        <f t="shared" ref="C23:D23" si="4">+SUM(C16:C21)</f>
        <v>61200</v>
      </c>
      <c r="D23" s="26">
        <f t="shared" si="4"/>
        <v>71000.01</v>
      </c>
      <c r="E23" s="11">
        <f>+IFERROR(C23/D23,0)</f>
        <v>0.8619717096</v>
      </c>
      <c r="G23" s="14"/>
    </row>
    <row r="24" ht="15.75" customHeight="1">
      <c r="A24" s="3" t="s">
        <v>77</v>
      </c>
      <c r="B24" s="3"/>
    </row>
    <row r="25" ht="15.75" customHeight="1">
      <c r="A25" s="16" t="s">
        <v>102</v>
      </c>
      <c r="B25" s="16"/>
      <c r="G25" s="14"/>
    </row>
    <row r="26" ht="15.75" customHeight="1">
      <c r="A26" s="1" t="s">
        <v>103</v>
      </c>
      <c r="B26" s="14" t="s">
        <v>104</v>
      </c>
      <c r="C26" s="19">
        <f>+SUMIF('Variance16-17'!Q:Q,'Summary Budget.Old'!B26,'Variance16-17'!W:W)</f>
        <v>190.6666667</v>
      </c>
      <c r="D26" s="19">
        <f>+SUMIF('Variance16-17'!Q:Q,'Summary Budget.Old'!B26,'Variance16-17'!R:R)</f>
        <v>249.96</v>
      </c>
      <c r="E26" s="11">
        <f t="shared" ref="E26:E27" si="5">+IFERROR(C26/D26,0)</f>
        <v>0.7627887129</v>
      </c>
      <c r="G26" s="14"/>
    </row>
    <row r="27" ht="15.75" customHeight="1">
      <c r="A27" s="21" t="s">
        <v>107</v>
      </c>
      <c r="B27" s="22" t="s">
        <v>108</v>
      </c>
      <c r="C27" s="23">
        <f>+SUMIF('Variance16-17'!Q:Q,'Summary Budget.Old'!B27,'Variance16-17'!W:W)</f>
        <v>0</v>
      </c>
      <c r="D27" s="23">
        <f>+SUMIF('Variance16-17'!Q:Q,'Summary Budget.Old'!B27,'Variance16-17'!R:R)</f>
        <v>0</v>
      </c>
      <c r="E27" s="11">
        <f t="shared" si="5"/>
        <v>0</v>
      </c>
    </row>
    <row r="28" ht="15.75" customHeight="1">
      <c r="A28" s="24"/>
      <c r="B28" s="24"/>
      <c r="E28" s="25"/>
      <c r="G28" s="14"/>
    </row>
    <row r="29" ht="15.75" customHeight="1">
      <c r="A29" s="1" t="s">
        <v>113</v>
      </c>
      <c r="C29" s="26">
        <f t="shared" ref="C29:D29" si="6">+SUM(C26:C27)</f>
        <v>190.6666667</v>
      </c>
      <c r="D29" s="26">
        <f t="shared" si="6"/>
        <v>249.96</v>
      </c>
      <c r="E29" s="11">
        <f>+IFERROR(C29/D29,0)</f>
        <v>0.7627887129</v>
      </c>
    </row>
    <row r="30" ht="15.75" customHeight="1">
      <c r="A30" s="3" t="s">
        <v>77</v>
      </c>
      <c r="B30" s="3"/>
      <c r="G30" s="14"/>
    </row>
    <row r="31" ht="15.75" customHeight="1">
      <c r="A31" s="24"/>
      <c r="B31" s="24"/>
      <c r="G31" s="14"/>
    </row>
    <row r="32" ht="15.75" customHeight="1">
      <c r="A32" s="1" t="s">
        <v>115</v>
      </c>
      <c r="B32" s="1"/>
      <c r="C32" s="26">
        <f t="shared" ref="C32:D32" si="7">+SUM(C13,C23,C29)</f>
        <v>1116892.584</v>
      </c>
      <c r="D32" s="26">
        <f t="shared" si="7"/>
        <v>1081418</v>
      </c>
      <c r="E32" s="11">
        <f>+IFERROR(C32/D32,0)</f>
        <v>1.032803767</v>
      </c>
      <c r="G32" s="14"/>
    </row>
    <row r="33" ht="15.75" customHeight="1">
      <c r="A33" s="24"/>
      <c r="B33" s="24"/>
      <c r="G33" s="14"/>
    </row>
    <row r="34" ht="15.75" customHeight="1">
      <c r="A34" s="12" t="s">
        <v>119</v>
      </c>
      <c r="B34" s="12"/>
      <c r="G34" s="14"/>
    </row>
    <row r="35" ht="15.75" customHeight="1">
      <c r="A35" s="16" t="s">
        <v>120</v>
      </c>
      <c r="B35" s="16"/>
      <c r="G35" s="14"/>
    </row>
    <row r="36" ht="15.75" customHeight="1">
      <c r="A36" s="1" t="s">
        <v>121</v>
      </c>
      <c r="B36" s="14" t="s">
        <v>122</v>
      </c>
      <c r="C36" s="19">
        <f>+SUMIF('Variance16-17'!Q:Q,'Summary Budget.Old'!B36,'Variance16-17'!W:W)</f>
        <v>1244903.842</v>
      </c>
      <c r="D36" s="19">
        <f>+SUMIF('Variance16-17'!Q:Q,'Summary Budget.Old'!B36,'Variance16-17'!R:R)</f>
        <v>666843.98</v>
      </c>
      <c r="E36" s="11">
        <f t="shared" ref="E36:E61" si="8">+IFERROR(C36/D36,0)</f>
        <v>1.866859234</v>
      </c>
      <c r="G36" s="14"/>
    </row>
    <row r="37" ht="15.75" customHeight="1">
      <c r="A37" s="1" t="s">
        <v>125</v>
      </c>
      <c r="B37" s="14" t="s">
        <v>126</v>
      </c>
      <c r="C37" s="19">
        <f>+SUMIF('Variance16-17'!Q:Q,'Summary Budget.Old'!B37,'Variance16-17'!W:W)</f>
        <v>49412.94</v>
      </c>
      <c r="D37" s="19">
        <f>+SUMIF('Variance16-17'!Q:Q,'Summary Budget.Old'!B37,'Variance16-17'!R:R)</f>
        <v>72348.49</v>
      </c>
      <c r="E37" s="11">
        <f t="shared" si="8"/>
        <v>0.6829850906</v>
      </c>
      <c r="G37" s="14"/>
    </row>
    <row r="38" ht="15.75" customHeight="1">
      <c r="A38" s="1" t="s">
        <v>131</v>
      </c>
      <c r="B38" s="14" t="s">
        <v>131</v>
      </c>
      <c r="C38" s="19">
        <f>+SUMIF('Variance16-17'!Q:Q,'Summary Budget.Old'!B38,'Variance16-17'!W:W)</f>
        <v>48415.7862</v>
      </c>
      <c r="D38" s="19">
        <f>+SUMIF('Variance16-17'!Q:Q,'Summary Budget.Old'!B38,'Variance16-17'!R:R)</f>
        <v>49854.3</v>
      </c>
      <c r="E38" s="11">
        <f t="shared" si="8"/>
        <v>0.9711456424</v>
      </c>
      <c r="G38" s="14"/>
    </row>
    <row r="39" ht="15.75" customHeight="1">
      <c r="A39" s="1" t="s">
        <v>132</v>
      </c>
      <c r="B39" s="14" t="s">
        <v>133</v>
      </c>
      <c r="C39" s="19">
        <f>+SUMIF('Variance16-17'!Q:Q,'Summary Budget.Old'!B39,'Variance16-17'!W:W)</f>
        <v>36300</v>
      </c>
      <c r="D39" s="19">
        <f>+SUMIF('Variance16-17'!Q:Q,'Summary Budget.Old'!B39,'Variance16-17'!R:R)</f>
        <v>31300.12</v>
      </c>
      <c r="E39" s="11">
        <f t="shared" si="8"/>
        <v>1.159739963</v>
      </c>
      <c r="G39" s="14"/>
    </row>
    <row r="40" ht="15.75" customHeight="1">
      <c r="A40" s="1" t="s">
        <v>136</v>
      </c>
      <c r="B40" s="14" t="s">
        <v>136</v>
      </c>
      <c r="C40" s="19">
        <f>+SUMIF('Variance16-17'!Q:Q,'Summary Budget.Old'!B40,'Variance16-17'!W:W)</f>
        <v>14000</v>
      </c>
      <c r="D40" s="19">
        <f>+SUMIF('Variance16-17'!Q:Q,'Summary Budget.Old'!B40,'Variance16-17'!R:R)</f>
        <v>14000.04</v>
      </c>
      <c r="E40" s="11">
        <f t="shared" si="8"/>
        <v>0.9999971429</v>
      </c>
      <c r="G40" s="14"/>
    </row>
    <row r="41" ht="15.75" customHeight="1">
      <c r="A41" s="1" t="s">
        <v>139</v>
      </c>
      <c r="B41" s="14" t="s">
        <v>139</v>
      </c>
      <c r="C41" s="19">
        <f>+SUMIF('Variance16-17'!Q:Q,'Summary Budget.Old'!B41,'Variance16-17'!W:W)</f>
        <v>0</v>
      </c>
      <c r="D41" s="19">
        <f>+SUMIF('Variance16-17'!Q:Q,'Summary Budget.Old'!B41,'Variance16-17'!R:R)</f>
        <v>4000.05</v>
      </c>
      <c r="E41" s="11">
        <f t="shared" si="8"/>
        <v>0</v>
      </c>
      <c r="G41" s="14"/>
    </row>
    <row r="42" ht="15.75" customHeight="1">
      <c r="A42" s="1" t="s">
        <v>142</v>
      </c>
      <c r="B42" s="14" t="s">
        <v>143</v>
      </c>
      <c r="C42" s="19">
        <f>+SUMIF('Variance16-17'!Q:Q,'Summary Budget.Old'!B42,'Variance16-17'!W:W)</f>
        <v>750</v>
      </c>
      <c r="D42" s="19">
        <f>+SUMIF('Variance16-17'!Q:Q,'Summary Budget.Old'!B42,'Variance16-17'!R:R)</f>
        <v>750</v>
      </c>
      <c r="E42" s="11">
        <f t="shared" si="8"/>
        <v>1</v>
      </c>
      <c r="G42" s="14"/>
    </row>
    <row r="43" ht="15.75" customHeight="1">
      <c r="A43" s="1" t="s">
        <v>146</v>
      </c>
      <c r="B43" s="14" t="s">
        <v>146</v>
      </c>
      <c r="C43" s="19">
        <f>+SUMIF('Variance16-17'!Q:Q,'Summary Budget.Old'!B43,'Variance16-17'!W:W)</f>
        <v>6269.173333</v>
      </c>
      <c r="D43" s="19">
        <f>+SUMIF('Variance16-17'!Q:Q,'Summary Budget.Old'!B43,'Variance16-17'!R:R)</f>
        <v>3500.03</v>
      </c>
      <c r="E43" s="11">
        <f t="shared" si="8"/>
        <v>1.791177028</v>
      </c>
      <c r="G43" s="14"/>
    </row>
    <row r="44" ht="15.75" customHeight="1">
      <c r="A44" s="1" t="s">
        <v>151</v>
      </c>
      <c r="B44" s="14" t="s">
        <v>151</v>
      </c>
      <c r="C44" s="19">
        <f>+SUMIF('Variance16-17'!Q:Q,'Summary Budget.Old'!B44,'Variance16-17'!W:W)</f>
        <v>7000</v>
      </c>
      <c r="D44" s="19">
        <f>+SUMIF('Variance16-17'!Q:Q,'Summary Budget.Old'!B44,'Variance16-17'!R:R)</f>
        <v>7000.08</v>
      </c>
      <c r="E44" s="11">
        <f t="shared" si="8"/>
        <v>0.9999885716</v>
      </c>
      <c r="G44" s="14"/>
    </row>
    <row r="45" ht="15.75" customHeight="1">
      <c r="A45" s="1" t="s">
        <v>154</v>
      </c>
      <c r="B45" s="14" t="s">
        <v>154</v>
      </c>
      <c r="C45" s="19">
        <f>+SUMIF('Variance16-17'!Q:Q,'Summary Budget.Old'!B45,'Variance16-17'!W:W)</f>
        <v>4500</v>
      </c>
      <c r="D45" s="19">
        <f>+SUMIF('Variance16-17'!Q:Q,'Summary Budget.Old'!B45,'Variance16-17'!R:R)</f>
        <v>4500</v>
      </c>
      <c r="E45" s="11">
        <f t="shared" si="8"/>
        <v>1</v>
      </c>
    </row>
    <row r="46" ht="15.75" customHeight="1">
      <c r="A46" s="1" t="s">
        <v>157</v>
      </c>
      <c r="B46" s="14" t="s">
        <v>158</v>
      </c>
      <c r="C46" s="19">
        <f>+SUMIF('Variance16-17'!Q:Q,'Summary Budget.Old'!B46,'Variance16-17'!W:W)</f>
        <v>100</v>
      </c>
      <c r="D46" s="19">
        <f>+SUMIF('Variance16-17'!Q:Q,'Summary Budget.Old'!B46,'Variance16-17'!R:R)</f>
        <v>99.99</v>
      </c>
      <c r="E46" s="11">
        <f t="shared" si="8"/>
        <v>1.00010001</v>
      </c>
      <c r="G46" s="14"/>
    </row>
    <row r="47" ht="15.75" customHeight="1">
      <c r="A47" s="1" t="s">
        <v>161</v>
      </c>
      <c r="B47" s="14" t="s">
        <v>162</v>
      </c>
      <c r="C47" s="19">
        <f>+SUMIF('Variance16-17'!Q:Q,'Summary Budget.Old'!B47,'Variance16-17'!W:W)</f>
        <v>2500</v>
      </c>
      <c r="D47" s="19">
        <f>+SUMIF('Variance16-17'!Q:Q,'Summary Budget.Old'!B47,'Variance16-17'!R:R)</f>
        <v>2500.08</v>
      </c>
      <c r="E47" s="11">
        <f t="shared" si="8"/>
        <v>0.999968001</v>
      </c>
      <c r="G47" s="14"/>
    </row>
    <row r="48" ht="15.75" customHeight="1">
      <c r="A48" s="1" t="s">
        <v>165</v>
      </c>
      <c r="B48" s="14" t="s">
        <v>166</v>
      </c>
      <c r="C48" s="19">
        <f>+SUMIF('Variance16-17'!Q:Q,'Summary Budget.Old'!B48,'Variance16-17'!W:W)</f>
        <v>2500</v>
      </c>
      <c r="D48" s="19">
        <f>+SUMIF('Variance16-17'!Q:Q,'Summary Budget.Old'!B48,'Variance16-17'!R:R)</f>
        <v>2500.02</v>
      </c>
      <c r="E48" s="11">
        <f t="shared" si="8"/>
        <v>0.9999920001</v>
      </c>
      <c r="G48" s="14"/>
    </row>
    <row r="49" ht="15.75" customHeight="1">
      <c r="A49" s="1" t="s">
        <v>169</v>
      </c>
      <c r="B49" s="14" t="s">
        <v>170</v>
      </c>
      <c r="C49" s="19">
        <f>+SUMIF('Variance16-17'!Q:Q,'Summary Budget.Old'!B49,'Variance16-17'!W:W)</f>
        <v>2500</v>
      </c>
      <c r="D49" s="19">
        <f>+SUMIF('Variance16-17'!Q:Q,'Summary Budget.Old'!B49,'Variance16-17'!R:R)</f>
        <v>2500.08</v>
      </c>
      <c r="E49" s="11">
        <f t="shared" si="8"/>
        <v>0.999968001</v>
      </c>
    </row>
    <row r="50" ht="15.75" customHeight="1">
      <c r="A50" s="1" t="s">
        <v>173</v>
      </c>
      <c r="B50" s="14" t="s">
        <v>174</v>
      </c>
      <c r="C50" s="19">
        <f>+SUMIF('Variance16-17'!Q:Q,'Summary Budget.Old'!B50,'Variance16-17'!W:W)</f>
        <v>36500</v>
      </c>
      <c r="D50" s="19">
        <f>+SUMIF('Variance16-17'!Q:Q,'Summary Budget.Old'!B50,'Variance16-17'!R:R)</f>
        <v>36500.03</v>
      </c>
      <c r="E50" s="11">
        <f t="shared" si="8"/>
        <v>0.9999991781</v>
      </c>
      <c r="G50" s="14"/>
    </row>
    <row r="51" ht="15.75" customHeight="1">
      <c r="A51" s="1" t="s">
        <v>177</v>
      </c>
      <c r="B51" s="14" t="s">
        <v>177</v>
      </c>
      <c r="C51" s="19">
        <f>+SUMIF('Variance16-17'!Q:Q,'Summary Budget.Old'!B51,'Variance16-17'!W:W)</f>
        <v>2000</v>
      </c>
      <c r="D51" s="19">
        <f>+SUMIF('Variance16-17'!Q:Q,'Summary Budget.Old'!B51,'Variance16-17'!R:R)</f>
        <v>1999.98</v>
      </c>
      <c r="E51" s="11">
        <f t="shared" si="8"/>
        <v>1.00001</v>
      </c>
      <c r="G51" s="14"/>
    </row>
    <row r="52" ht="15.75" customHeight="1">
      <c r="A52" s="1" t="s">
        <v>56</v>
      </c>
      <c r="B52" s="14" t="s">
        <v>180</v>
      </c>
      <c r="C52" s="19">
        <f>+SUMIF('Variance16-17'!Q:Q,'Summary Budget.Old'!B52,'Variance16-17'!W:W)</f>
        <v>11871.25</v>
      </c>
      <c r="D52" s="19">
        <f>+SUMIF('Variance16-17'!Q:Q,'Summary Budget.Old'!B52,'Variance16-17'!R:R)</f>
        <v>25149.91</v>
      </c>
      <c r="E52" s="11">
        <f t="shared" si="8"/>
        <v>0.4720195818</v>
      </c>
    </row>
    <row r="53" ht="15.75" customHeight="1">
      <c r="A53" s="1" t="s">
        <v>59</v>
      </c>
      <c r="B53" s="14" t="s">
        <v>183</v>
      </c>
      <c r="C53" s="19">
        <f>+SUMIF('Variance16-17'!Q:Q,'Summary Budget.Old'!B53,'Variance16-17'!W:W)</f>
        <v>4250</v>
      </c>
      <c r="D53" s="19">
        <f>+SUMIF('Variance16-17'!Q:Q,'Summary Budget.Old'!B53,'Variance16-17'!R:R)</f>
        <v>4250.04</v>
      </c>
      <c r="E53" s="11">
        <f t="shared" si="8"/>
        <v>0.9999905883</v>
      </c>
      <c r="G53" s="14"/>
    </row>
    <row r="54" ht="15.75" customHeight="1">
      <c r="A54" s="1" t="s">
        <v>186</v>
      </c>
      <c r="B54" s="14" t="s">
        <v>187</v>
      </c>
      <c r="C54" s="19">
        <f>+SUMIF('Variance16-17'!Q:Q,'Summary Budget.Old'!B54,'Variance16-17'!W:W)</f>
        <v>1440</v>
      </c>
      <c r="D54" s="19">
        <f>+SUMIF('Variance16-17'!Q:Q,'Summary Budget.Old'!B54,'Variance16-17'!R:R)</f>
        <v>4500</v>
      </c>
      <c r="E54" s="11">
        <f t="shared" si="8"/>
        <v>0.32</v>
      </c>
      <c r="G54" s="14"/>
    </row>
    <row r="55" ht="15.75" customHeight="1">
      <c r="A55" s="1" t="s">
        <v>191</v>
      </c>
      <c r="B55" s="14" t="s">
        <v>193</v>
      </c>
      <c r="C55" s="19">
        <f>+SUMIF('Variance16-17'!Q:Q,'Summary Budget.Old'!B55,'Variance16-17'!W:W)</f>
        <v>1200</v>
      </c>
      <c r="D55" s="19">
        <f>+SUMIF('Variance16-17'!Q:Q,'Summary Budget.Old'!B55,'Variance16-17'!R:R)</f>
        <v>1200</v>
      </c>
      <c r="E55" s="11">
        <f t="shared" si="8"/>
        <v>1</v>
      </c>
      <c r="G55" s="14"/>
    </row>
    <row r="56" ht="15.75" customHeight="1">
      <c r="A56" s="1" t="s">
        <v>196</v>
      </c>
      <c r="B56" s="14" t="s">
        <v>196</v>
      </c>
      <c r="C56" s="19">
        <f>+SUMIF('Variance16-17'!Q:Q,'Summary Budget.Old'!B56,'Variance16-17'!W:W)</f>
        <v>0</v>
      </c>
      <c r="D56" s="19">
        <f>+SUMIF('Variance16-17'!Q:Q,'Summary Budget.Old'!B56,'Variance16-17'!R:R)</f>
        <v>5000.01</v>
      </c>
      <c r="E56" s="11">
        <f t="shared" si="8"/>
        <v>0</v>
      </c>
      <c r="G56" s="14"/>
    </row>
    <row r="57" ht="15.75" customHeight="1">
      <c r="A57" s="1" t="s">
        <v>199</v>
      </c>
      <c r="B57" s="14" t="s">
        <v>199</v>
      </c>
      <c r="C57" s="19">
        <f>+SUMIF('Variance16-17'!Q:Q,'Summary Budget.Old'!B57,'Variance16-17'!W:W)</f>
        <v>0</v>
      </c>
      <c r="D57" s="19">
        <f>+SUMIF('Variance16-17'!Q:Q,'Summary Budget.Old'!B57,'Variance16-17'!R:R)</f>
        <v>5000</v>
      </c>
      <c r="E57" s="11">
        <f t="shared" si="8"/>
        <v>0</v>
      </c>
    </row>
    <row r="58" ht="15.75" customHeight="1">
      <c r="A58" s="1" t="s">
        <v>204</v>
      </c>
      <c r="B58" s="14" t="s">
        <v>205</v>
      </c>
      <c r="C58" s="19">
        <f>+SUMIF('Variance16-17'!Q:Q,'Summary Budget.Old'!B58,'Variance16-17'!W:W)</f>
        <v>750</v>
      </c>
      <c r="D58" s="19">
        <f>+SUMIF('Variance16-17'!Q:Q,'Summary Budget.Old'!B58,'Variance16-17'!R:R)</f>
        <v>750.01</v>
      </c>
      <c r="E58" s="11">
        <f t="shared" si="8"/>
        <v>0.9999866668</v>
      </c>
    </row>
    <row r="59" ht="15.75" customHeight="1">
      <c r="A59" s="1" t="s">
        <v>208</v>
      </c>
      <c r="B59" s="14" t="s">
        <v>209</v>
      </c>
      <c r="C59" s="19">
        <f>+SUMIF('Variance16-17'!Q:Q,'Summary Budget.Old'!B59,'Variance16-17'!W:W)</f>
        <v>10900</v>
      </c>
      <c r="D59" s="19">
        <f>+SUMIF('Variance16-17'!Q:Q,'Summary Budget.Old'!B59,'Variance16-17'!R:R)</f>
        <v>10900.02</v>
      </c>
      <c r="E59" s="11">
        <f t="shared" si="8"/>
        <v>0.9999981651</v>
      </c>
      <c r="G59" s="14"/>
    </row>
    <row r="60" ht="15.75" customHeight="1">
      <c r="A60" s="1" t="s">
        <v>212</v>
      </c>
      <c r="B60" s="14" t="s">
        <v>212</v>
      </c>
      <c r="C60" s="19">
        <f>+SUMIF('Variance16-17'!Q:Q,'Summary Budget.Old'!B60,'Variance16-17'!W:W)</f>
        <v>8950</v>
      </c>
      <c r="D60" s="19">
        <f>+SUMIF('Variance16-17'!Q:Q,'Summary Budget.Old'!B60,'Variance16-17'!R:R)</f>
        <v>949.98</v>
      </c>
      <c r="E60" s="11">
        <f t="shared" si="8"/>
        <v>9.421250974</v>
      </c>
      <c r="G60" s="14"/>
    </row>
    <row r="61" ht="15.75" customHeight="1">
      <c r="A61" s="21" t="s">
        <v>217</v>
      </c>
      <c r="B61" s="22" t="s">
        <v>218</v>
      </c>
      <c r="C61" s="23">
        <f>+SUMIF('Variance16-17'!Q:Q,'Summary Budget.Old'!B61,'Variance16-17'!W:W)</f>
        <v>2000</v>
      </c>
      <c r="D61" s="19">
        <f>+SUMIF('Variance16-17'!Q:Q,'Summary Budget.Old'!B61,'Variance16-17'!R:R)</f>
        <v>2000.04</v>
      </c>
      <c r="E61" s="11">
        <f t="shared" si="8"/>
        <v>0.9999800004</v>
      </c>
      <c r="G61" s="14"/>
    </row>
    <row r="62" ht="15.75" customHeight="1">
      <c r="A62" s="24"/>
      <c r="B62" s="24"/>
      <c r="D62" s="25"/>
      <c r="E62" s="25"/>
    </row>
    <row r="63" ht="15.75" customHeight="1">
      <c r="A63" s="1" t="s">
        <v>223</v>
      </c>
      <c r="B63" s="1"/>
      <c r="C63" s="26">
        <f t="shared" ref="C63:D63" si="9">+SUM(C36:C61)</f>
        <v>1499012.991</v>
      </c>
      <c r="D63" s="26">
        <f t="shared" si="9"/>
        <v>959897.28</v>
      </c>
      <c r="E63" s="11">
        <f>+IFERROR(C63/D63,0)</f>
        <v>1.561638961</v>
      </c>
    </row>
    <row r="64" ht="15.75" customHeight="1">
      <c r="A64" s="3" t="s">
        <v>77</v>
      </c>
      <c r="B64" s="3"/>
    </row>
    <row r="65" ht="15.75" customHeight="1">
      <c r="A65" s="16" t="s">
        <v>226</v>
      </c>
      <c r="B65" s="16"/>
    </row>
    <row r="66" ht="15.75" customHeight="1">
      <c r="A66" s="1" t="s">
        <v>227</v>
      </c>
      <c r="B66" s="14" t="s">
        <v>228</v>
      </c>
      <c r="C66" s="19">
        <f>+SUMIF('Variance16-17'!Q:Q,'Summary Budget.Old'!B66,'Variance16-17'!W:W)</f>
        <v>0</v>
      </c>
      <c r="D66" s="19">
        <f>+SUMIF('Variance16-17'!Q:Q,'Summary Budget.Old'!B66,'Variance16-17'!R:R)</f>
        <v>34999.92</v>
      </c>
      <c r="E66" s="11">
        <f t="shared" ref="E66:E67" si="10">+IFERROR(C66/D66,0)</f>
        <v>0</v>
      </c>
    </row>
    <row r="67" ht="15.75" customHeight="1">
      <c r="A67" s="21" t="s">
        <v>232</v>
      </c>
      <c r="B67" s="22" t="s">
        <v>234</v>
      </c>
      <c r="C67" s="19">
        <f>+SUMIF('Variance16-17'!Q:Q,'Summary Budget.Old'!B67,'Variance16-17'!W:W)</f>
        <v>94000</v>
      </c>
      <c r="D67" s="19">
        <f>+SUMIF('Variance16-17'!Q:Q,'Summary Budget.Old'!B67,'Variance16-17'!R:R)</f>
        <v>47000.04</v>
      </c>
      <c r="E67" s="11">
        <f t="shared" si="10"/>
        <v>1.999998298</v>
      </c>
    </row>
    <row r="68" ht="15.75" customHeight="1">
      <c r="A68" s="24"/>
      <c r="B68" s="24"/>
      <c r="C68" s="25"/>
      <c r="D68" s="25"/>
      <c r="E68" s="25"/>
    </row>
    <row r="69" ht="15.75" customHeight="1">
      <c r="A69" s="1" t="s">
        <v>237</v>
      </c>
      <c r="B69" s="1"/>
      <c r="C69" s="26">
        <f t="shared" ref="C69:D69" si="11">+SUM(C66:C67)</f>
        <v>94000</v>
      </c>
      <c r="D69" s="26">
        <f t="shared" si="11"/>
        <v>81999.96</v>
      </c>
      <c r="E69" s="11">
        <f>+IFERROR(C69/D69,0)</f>
        <v>1.146342023</v>
      </c>
      <c r="L69" s="27"/>
    </row>
    <row r="70" ht="15.75" customHeight="1">
      <c r="A70" s="3" t="s">
        <v>77</v>
      </c>
      <c r="B70" s="3"/>
    </row>
    <row r="71" ht="15.75" customHeight="1">
      <c r="A71" s="24"/>
      <c r="B71" s="24"/>
      <c r="L71" s="27"/>
    </row>
    <row r="72" ht="15.75" customHeight="1">
      <c r="A72" s="16" t="s">
        <v>242</v>
      </c>
      <c r="B72" s="16"/>
      <c r="C72" s="26">
        <f t="shared" ref="C72:D72" si="12">+C63+C69</f>
        <v>1593012.991</v>
      </c>
      <c r="D72" s="26">
        <f t="shared" si="12"/>
        <v>1041897.24</v>
      </c>
      <c r="E72" s="11">
        <f>+IFERROR(C72/D72,0)</f>
        <v>1.528954037</v>
      </c>
    </row>
    <row r="73" ht="15.75" customHeight="1">
      <c r="A73" s="3" t="s">
        <v>77</v>
      </c>
      <c r="B73" s="3"/>
      <c r="L73" s="27"/>
    </row>
    <row r="74" ht="15.75" customHeight="1">
      <c r="A74" s="1" t="s">
        <v>245</v>
      </c>
      <c r="B74" s="14" t="s">
        <v>246</v>
      </c>
      <c r="C74" s="19">
        <f>+SUMIF('Variance16-17'!Q:Q,'Summary Budget.Old'!B74,'Variance16-17'!W:W)</f>
        <v>3000</v>
      </c>
      <c r="D74" s="19">
        <f>+SUMIF('Variance16-17'!Q:Q,'Summary Budget.Old'!B74,'Variance16-17'!R:R)</f>
        <v>2500</v>
      </c>
      <c r="E74" s="11">
        <f t="shared" ref="E74:E76" si="13">+IFERROR(C74/D74,0)</f>
        <v>1.2</v>
      </c>
    </row>
    <row r="75" ht="15.75" customHeight="1">
      <c r="A75" s="1" t="s">
        <v>249</v>
      </c>
      <c r="B75" s="14" t="s">
        <v>250</v>
      </c>
      <c r="C75" s="19">
        <f>+SUMIF('Variance16-17'!Q:Q,'Summary Budget.Old'!B75,'Variance16-17'!W:W)</f>
        <v>22000</v>
      </c>
      <c r="D75" s="19">
        <f>+SUMIF('Variance16-17'!Q:Q,'Summary Budget.Old'!B75,'Variance16-17'!R:R)</f>
        <v>17500</v>
      </c>
      <c r="E75" s="11">
        <f t="shared" si="13"/>
        <v>1.257142857</v>
      </c>
    </row>
    <row r="76" ht="15.75" customHeight="1">
      <c r="A76" s="21" t="s">
        <v>255</v>
      </c>
      <c r="B76" s="22" t="s">
        <v>256</v>
      </c>
      <c r="C76" s="23">
        <f>+SUMIF('Variance16-17'!Q:Q,'Summary Budget.Old'!B76,'Variance16-17'!W:W)</f>
        <v>1575</v>
      </c>
      <c r="D76" s="19">
        <f>+SUMIF('Variance16-17'!Q:Q,'Summary Budget.Old'!B76,'Variance16-17'!R:R)</f>
        <v>2500</v>
      </c>
      <c r="E76" s="11">
        <f t="shared" si="13"/>
        <v>0.63</v>
      </c>
    </row>
    <row r="77" ht="15.75" customHeight="1">
      <c r="A77" s="3" t="s">
        <v>77</v>
      </c>
      <c r="B77" s="3"/>
      <c r="D77" s="25"/>
      <c r="E77" s="25"/>
    </row>
    <row r="78" ht="15.75" customHeight="1">
      <c r="A78" s="28" t="s">
        <v>259</v>
      </c>
      <c r="B78" s="28"/>
      <c r="C78" s="26">
        <f t="shared" ref="C78:D78" si="14">+C32-C63-C69-C74-C75-C76</f>
        <v>-502695.4073</v>
      </c>
      <c r="D78" s="26">
        <f t="shared" si="14"/>
        <v>17020.76</v>
      </c>
      <c r="E78" s="11">
        <f>+IFERROR(C78/D78,0)</f>
        <v>-29.53425154</v>
      </c>
    </row>
    <row r="79" ht="15.75" customHeight="1">
      <c r="A79" s="3" t="s">
        <v>77</v>
      </c>
      <c r="B79" s="3"/>
    </row>
    <row r="80" ht="15.75" customHeight="1">
      <c r="A80" s="1" t="s">
        <v>263</v>
      </c>
      <c r="B80" s="14" t="s">
        <v>263</v>
      </c>
      <c r="C80" s="19">
        <f>+SUMIF('Variance16-17'!Q:Q,'Summary Budget.Old'!B80,'Variance16-17'!W:W)</f>
        <v>25000</v>
      </c>
      <c r="D80" s="19">
        <f>+SUMIF('Variance16-17'!Q:Q,'Summary Budget.Old'!B80,'Variance16-17'!R:R)</f>
        <v>17000</v>
      </c>
      <c r="E80" s="11">
        <f>+IFERROR(C80/D80,0)</f>
        <v>1.470588235</v>
      </c>
    </row>
    <row r="81" ht="15.75" customHeight="1">
      <c r="A81" s="3" t="s">
        <v>77</v>
      </c>
      <c r="B81" s="3"/>
    </row>
    <row r="82" ht="15.75" customHeight="1">
      <c r="A82" s="24"/>
      <c r="B82" s="24"/>
    </row>
    <row r="83" ht="15.75" customHeight="1">
      <c r="A83" s="1" t="s">
        <v>267</v>
      </c>
      <c r="B83" s="1"/>
      <c r="C83" s="26">
        <f t="shared" ref="C83:D83" si="15">+C78-C80</f>
        <v>-527695.4073</v>
      </c>
      <c r="D83" s="26">
        <f t="shared" si="15"/>
        <v>20.76</v>
      </c>
      <c r="E83" s="11"/>
    </row>
    <row r="84" ht="15.75" customHeight="1">
      <c r="A84" s="14"/>
      <c r="B84" s="14"/>
    </row>
    <row r="85" ht="15.75" customHeight="1">
      <c r="A85" s="14"/>
      <c r="B85" s="14"/>
    </row>
    <row r="86" ht="15.75" customHeight="1">
      <c r="A86" s="14"/>
      <c r="B86" s="14"/>
    </row>
    <row r="87" ht="15.75" customHeight="1">
      <c r="A87" s="14"/>
      <c r="B87" s="14"/>
    </row>
    <row r="88" ht="15.75" customHeight="1">
      <c r="A88" s="14"/>
      <c r="B88" s="14"/>
    </row>
    <row r="89" ht="15.75" customHeight="1">
      <c r="A89" s="14"/>
      <c r="B89" s="14"/>
    </row>
    <row r="90" ht="15.75" customHeight="1">
      <c r="A90" s="14"/>
      <c r="B90" s="14"/>
    </row>
    <row r="91" ht="15.75" customHeight="1">
      <c r="A91" s="14"/>
      <c r="B91" s="14"/>
    </row>
    <row r="92" ht="15.75" customHeight="1">
      <c r="A92" s="14"/>
      <c r="B92" s="14"/>
    </row>
    <row r="93" ht="15.75" customHeight="1">
      <c r="A93" s="14"/>
      <c r="B93" s="14"/>
    </row>
    <row r="94" ht="15.75" customHeight="1">
      <c r="A94" s="14"/>
      <c r="B94" s="14"/>
    </row>
    <row r="95" ht="15.75" customHeight="1">
      <c r="A95" s="14"/>
      <c r="B95" s="14"/>
    </row>
    <row r="96" ht="15.75" customHeight="1">
      <c r="A96" s="14"/>
      <c r="B96" s="14"/>
    </row>
    <row r="97" ht="15.75" customHeight="1">
      <c r="A97" s="14"/>
      <c r="B97" s="14"/>
    </row>
    <row r="98" ht="15.75" customHeight="1">
      <c r="A98" s="14"/>
      <c r="B98" s="14"/>
    </row>
    <row r="99" ht="15.75" customHeight="1">
      <c r="A99" s="14"/>
      <c r="B99" s="14"/>
    </row>
    <row r="100" ht="15.75" customHeight="1">
      <c r="A100" s="14"/>
      <c r="B100" s="14"/>
    </row>
    <row r="101" ht="15.75" customHeight="1">
      <c r="A101" s="14"/>
      <c r="B101" s="14"/>
    </row>
    <row r="102" ht="15.75" customHeight="1">
      <c r="A102" s="14"/>
      <c r="B102" s="14"/>
    </row>
    <row r="103" ht="15.75" customHeight="1">
      <c r="A103" s="14"/>
      <c r="B103" s="14"/>
    </row>
    <row r="104" ht="15.75" customHeight="1">
      <c r="A104" s="14"/>
      <c r="B104" s="14"/>
    </row>
    <row r="105" ht="15.75" customHeight="1">
      <c r="A105" s="14"/>
      <c r="B105" s="14"/>
    </row>
    <row r="106" ht="15.75" customHeight="1">
      <c r="A106" s="14"/>
      <c r="B106" s="14"/>
    </row>
    <row r="107" ht="15.75" customHeight="1">
      <c r="A107" s="14"/>
      <c r="B107" s="14"/>
    </row>
    <row r="108" ht="15.75" customHeight="1">
      <c r="A108" s="14"/>
      <c r="B108" s="14"/>
    </row>
    <row r="109" ht="15.75" customHeight="1">
      <c r="A109" s="14"/>
      <c r="B109" s="14"/>
    </row>
    <row r="110" ht="15.75" customHeight="1">
      <c r="A110" s="14"/>
      <c r="B110" s="14"/>
    </row>
    <row r="111" ht="15.75" customHeight="1">
      <c r="A111" s="14"/>
      <c r="B111" s="14"/>
    </row>
    <row r="112" ht="15.75" customHeight="1">
      <c r="A112" s="14"/>
      <c r="B112" s="14"/>
    </row>
    <row r="113" ht="15.75" customHeight="1">
      <c r="A113" s="14"/>
      <c r="B113" s="14"/>
    </row>
    <row r="114" ht="15.75" customHeight="1">
      <c r="A114" s="14"/>
      <c r="B114" s="14"/>
    </row>
    <row r="115" ht="15.75" customHeight="1">
      <c r="A115" s="14"/>
      <c r="B115" s="14"/>
    </row>
    <row r="116" ht="15.75" customHeight="1">
      <c r="A116" s="14"/>
      <c r="B116" s="14"/>
    </row>
    <row r="117" ht="15.75" customHeight="1">
      <c r="A117" s="14"/>
      <c r="B117" s="14"/>
    </row>
    <row r="118" ht="15.75" customHeight="1">
      <c r="A118" s="14"/>
      <c r="B118" s="14"/>
    </row>
    <row r="119" ht="15.75" customHeight="1">
      <c r="A119" s="14"/>
      <c r="B119" s="14"/>
    </row>
    <row r="120" ht="15.75" customHeight="1">
      <c r="A120" s="14"/>
      <c r="B120" s="14"/>
    </row>
    <row r="121" ht="15.75" customHeight="1">
      <c r="A121" s="14"/>
      <c r="B121" s="14"/>
    </row>
    <row r="122" ht="15.75" customHeight="1">
      <c r="A122" s="14"/>
      <c r="B122" s="14"/>
    </row>
    <row r="123" ht="15.75" customHeight="1">
      <c r="A123" s="14"/>
      <c r="B123" s="14"/>
    </row>
    <row r="124" ht="15.75" customHeight="1">
      <c r="A124" s="14"/>
      <c r="B124" s="14"/>
    </row>
    <row r="125" ht="15.75" customHeight="1">
      <c r="A125" s="14"/>
      <c r="B125" s="14"/>
    </row>
    <row r="126" ht="15.75" customHeight="1">
      <c r="A126" s="14"/>
      <c r="B126" s="14"/>
    </row>
    <row r="127" ht="15.75" customHeight="1">
      <c r="A127" s="14"/>
      <c r="B127" s="14"/>
    </row>
    <row r="128" ht="15.75" customHeight="1">
      <c r="A128" s="14"/>
      <c r="B128" s="14"/>
    </row>
    <row r="129" ht="15.75" customHeight="1">
      <c r="A129" s="14"/>
      <c r="B129" s="14"/>
    </row>
    <row r="130" ht="15.75" customHeight="1">
      <c r="A130" s="14"/>
      <c r="B130" s="14"/>
    </row>
    <row r="131" ht="15.75" customHeight="1">
      <c r="A131" s="14"/>
      <c r="B131" s="14"/>
    </row>
    <row r="132" ht="15.75" customHeight="1">
      <c r="A132" s="14"/>
      <c r="B132" s="14"/>
    </row>
    <row r="133" ht="15.75" customHeight="1">
      <c r="A133" s="14"/>
      <c r="B133" s="14"/>
    </row>
    <row r="134" ht="15.75" customHeight="1">
      <c r="A134" s="14"/>
      <c r="B134" s="14"/>
    </row>
    <row r="135" ht="15.75" customHeight="1">
      <c r="A135" s="14"/>
      <c r="B135" s="14"/>
    </row>
    <row r="136" ht="15.75" customHeight="1">
      <c r="A136" s="14"/>
      <c r="B136" s="14"/>
    </row>
    <row r="137" ht="15.75" customHeight="1">
      <c r="A137" s="14"/>
      <c r="B137" s="14"/>
    </row>
    <row r="138" ht="15.75" customHeight="1">
      <c r="A138" s="14"/>
      <c r="B138" s="14"/>
    </row>
    <row r="139" ht="15.75" customHeight="1">
      <c r="A139" s="14"/>
      <c r="B139" s="14"/>
    </row>
    <row r="140" ht="15.75" customHeight="1">
      <c r="A140" s="14"/>
      <c r="B140" s="14"/>
    </row>
    <row r="141" ht="15.75" customHeight="1">
      <c r="A141" s="14"/>
      <c r="B141" s="14"/>
    </row>
    <row r="142" ht="15.75" customHeight="1">
      <c r="A142" s="14"/>
      <c r="B142" s="14"/>
    </row>
    <row r="143" ht="15.75" customHeight="1">
      <c r="A143" s="14"/>
      <c r="B143" s="14"/>
    </row>
    <row r="144" ht="15.75" customHeight="1">
      <c r="A144" s="14"/>
      <c r="B144" s="14"/>
    </row>
    <row r="145" ht="15.75" customHeight="1">
      <c r="A145" s="14"/>
      <c r="B145" s="14"/>
    </row>
    <row r="146" ht="15.75" customHeight="1">
      <c r="A146" s="14"/>
      <c r="B146" s="14"/>
    </row>
    <row r="147" ht="15.75" customHeight="1">
      <c r="A147" s="14"/>
      <c r="B147" s="14"/>
    </row>
    <row r="148" ht="15.75" customHeight="1">
      <c r="A148" s="14"/>
      <c r="B148" s="14"/>
    </row>
    <row r="149" ht="15.75" customHeight="1">
      <c r="A149" s="14"/>
      <c r="B149" s="14"/>
    </row>
    <row r="150" ht="15.75" customHeight="1">
      <c r="A150" s="14"/>
      <c r="B150" s="14"/>
    </row>
    <row r="151" ht="15.75" customHeight="1">
      <c r="A151" s="14"/>
      <c r="B151" s="14"/>
    </row>
    <row r="152" ht="15.75" customHeight="1">
      <c r="A152" s="14"/>
      <c r="B152" s="14"/>
    </row>
    <row r="153" ht="15.75" customHeight="1">
      <c r="A153" s="14"/>
      <c r="B153" s="14"/>
    </row>
    <row r="154" ht="15.75" customHeight="1">
      <c r="A154" s="14"/>
      <c r="B154" s="14"/>
    </row>
    <row r="155" ht="15.75" customHeight="1">
      <c r="A155" s="14"/>
      <c r="B155" s="14"/>
    </row>
    <row r="156" ht="15.75" customHeight="1">
      <c r="A156" s="14"/>
      <c r="B156" s="14"/>
    </row>
    <row r="157" ht="15.75" customHeight="1">
      <c r="A157" s="14"/>
      <c r="B157" s="14"/>
    </row>
    <row r="158" ht="15.75" customHeight="1">
      <c r="A158" s="14"/>
      <c r="B158" s="14"/>
    </row>
    <row r="159" ht="15.75" customHeight="1">
      <c r="A159" s="14"/>
      <c r="B159" s="14"/>
    </row>
    <row r="160" ht="15.75" customHeight="1">
      <c r="A160" s="14"/>
      <c r="B160" s="14"/>
    </row>
    <row r="161" ht="15.75" customHeight="1">
      <c r="A161" s="14"/>
      <c r="B161" s="14"/>
    </row>
    <row r="162" ht="15.75" customHeight="1">
      <c r="A162" s="14"/>
      <c r="B162" s="14"/>
    </row>
    <row r="163" ht="15.75" customHeight="1">
      <c r="A163" s="14"/>
      <c r="B163" s="14"/>
    </row>
    <row r="164" ht="15.75" customHeight="1">
      <c r="A164" s="14"/>
      <c r="B164" s="14"/>
    </row>
    <row r="165" ht="15.75" customHeight="1">
      <c r="A165" s="14"/>
      <c r="B165" s="14"/>
    </row>
    <row r="166" ht="15.75" customHeight="1">
      <c r="A166" s="14"/>
      <c r="B166" s="14"/>
    </row>
    <row r="167" ht="15.75" customHeight="1">
      <c r="A167" s="14"/>
      <c r="B167" s="14"/>
    </row>
    <row r="168" ht="15.75" customHeight="1">
      <c r="A168" s="14"/>
      <c r="B168" s="14"/>
    </row>
    <row r="169" ht="15.75" customHeight="1">
      <c r="A169" s="14"/>
      <c r="B169" s="14"/>
    </row>
    <row r="170" ht="15.75" customHeight="1">
      <c r="A170" s="14"/>
      <c r="B170" s="14"/>
    </row>
    <row r="171" ht="15.75" customHeight="1">
      <c r="A171" s="14"/>
      <c r="B171" s="14"/>
    </row>
    <row r="172" ht="15.75" customHeight="1">
      <c r="A172" s="14"/>
      <c r="B172" s="14"/>
    </row>
    <row r="173" ht="15.75" customHeight="1">
      <c r="A173" s="14"/>
      <c r="B173" s="14"/>
    </row>
    <row r="174" ht="15.75" customHeight="1">
      <c r="A174" s="14"/>
      <c r="B174" s="14"/>
    </row>
    <row r="175" ht="15.75" customHeight="1">
      <c r="A175" s="14"/>
      <c r="B175" s="14"/>
    </row>
    <row r="176" ht="15.75" customHeight="1">
      <c r="A176" s="14"/>
      <c r="B176" s="14"/>
    </row>
    <row r="177" ht="15.75" customHeight="1">
      <c r="A177" s="14"/>
      <c r="B177" s="14"/>
    </row>
    <row r="178" ht="15.75" customHeight="1">
      <c r="A178" s="14"/>
      <c r="B178" s="14"/>
    </row>
    <row r="179" ht="15.75" customHeight="1">
      <c r="A179" s="14"/>
      <c r="B179" s="14"/>
    </row>
    <row r="180" ht="15.75" customHeight="1">
      <c r="A180" s="14"/>
      <c r="B180" s="14"/>
    </row>
    <row r="181" ht="15.75" customHeight="1">
      <c r="A181" s="14"/>
      <c r="B181" s="14"/>
    </row>
    <row r="182" ht="15.75" customHeight="1">
      <c r="A182" s="14"/>
      <c r="B182" s="14"/>
    </row>
    <row r="183" ht="15.75" customHeight="1">
      <c r="A183" s="14"/>
      <c r="B183" s="14"/>
    </row>
    <row r="184" ht="15.75" customHeight="1">
      <c r="A184" s="14"/>
      <c r="B184" s="14"/>
    </row>
    <row r="185" ht="15.75" customHeight="1">
      <c r="A185" s="14"/>
      <c r="B185" s="14"/>
    </row>
    <row r="186" ht="15.75" customHeight="1">
      <c r="A186" s="14"/>
      <c r="B186" s="14"/>
    </row>
    <row r="187" ht="15.75" customHeight="1">
      <c r="A187" s="14"/>
      <c r="B187" s="14"/>
    </row>
    <row r="188" ht="15.75" customHeight="1">
      <c r="A188" s="14"/>
      <c r="B188" s="14"/>
    </row>
    <row r="189" ht="15.75" customHeight="1">
      <c r="A189" s="14"/>
      <c r="B189" s="14"/>
    </row>
    <row r="190" ht="15.75" customHeight="1">
      <c r="A190" s="14"/>
      <c r="B190" s="14"/>
    </row>
    <row r="191" ht="15.75" customHeight="1">
      <c r="A191" s="14"/>
      <c r="B191" s="14"/>
    </row>
    <row r="192" ht="15.75" customHeight="1">
      <c r="A192" s="14"/>
      <c r="B192" s="14"/>
    </row>
    <row r="193" ht="15.75" customHeight="1">
      <c r="A193" s="14"/>
      <c r="B193" s="14"/>
    </row>
    <row r="194" ht="15.75" customHeight="1">
      <c r="A194" s="14"/>
      <c r="B194" s="14"/>
    </row>
    <row r="195" ht="15.75" customHeight="1">
      <c r="A195" s="14"/>
      <c r="B195" s="14"/>
    </row>
    <row r="196" ht="15.75" customHeight="1">
      <c r="A196" s="14"/>
      <c r="B196" s="14"/>
    </row>
    <row r="197" ht="15.75" customHeight="1">
      <c r="A197" s="14"/>
      <c r="B197" s="14"/>
    </row>
    <row r="198" ht="15.75" customHeight="1">
      <c r="A198" s="14"/>
      <c r="B198" s="14"/>
    </row>
    <row r="199" ht="15.75" customHeight="1">
      <c r="A199" s="14"/>
      <c r="B199" s="14"/>
    </row>
    <row r="200" ht="15.75" customHeight="1">
      <c r="A200" s="14"/>
      <c r="B200" s="14"/>
    </row>
    <row r="201" ht="15.75" customHeight="1">
      <c r="A201" s="14"/>
      <c r="B201" s="14"/>
    </row>
    <row r="202" ht="15.75" customHeight="1">
      <c r="A202" s="14"/>
      <c r="B202" s="14"/>
    </row>
    <row r="203" ht="15.75" customHeight="1">
      <c r="A203" s="14"/>
      <c r="B203" s="14"/>
    </row>
    <row r="204" ht="15.75" customHeight="1">
      <c r="A204" s="14"/>
      <c r="B204" s="14"/>
    </row>
    <row r="205" ht="15.75" customHeight="1">
      <c r="A205" s="14"/>
      <c r="B205" s="14"/>
    </row>
    <row r="206" ht="15.75" customHeight="1">
      <c r="A206" s="14"/>
      <c r="B206" s="14"/>
    </row>
    <row r="207" ht="15.75" customHeight="1">
      <c r="A207" s="14"/>
      <c r="B207" s="14"/>
    </row>
    <row r="208" ht="15.75" customHeight="1">
      <c r="A208" s="14"/>
      <c r="B208" s="14"/>
    </row>
    <row r="209" ht="15.75" customHeight="1">
      <c r="A209" s="14"/>
      <c r="B209" s="14"/>
    </row>
    <row r="210" ht="15.75" customHeight="1">
      <c r="A210" s="14"/>
      <c r="B210" s="14"/>
    </row>
    <row r="211" ht="15.75" customHeight="1">
      <c r="A211" s="14"/>
      <c r="B211" s="14"/>
    </row>
    <row r="212" ht="15.75" customHeight="1">
      <c r="A212" s="14"/>
      <c r="B212" s="14"/>
    </row>
    <row r="213" ht="15.75" customHeight="1">
      <c r="A213" s="14"/>
      <c r="B213" s="14"/>
    </row>
    <row r="214" ht="15.75" customHeight="1">
      <c r="A214" s="14"/>
      <c r="B214" s="14"/>
    </row>
    <row r="215" ht="15.75" customHeight="1">
      <c r="A215" s="14"/>
      <c r="B215" s="14"/>
    </row>
    <row r="216" ht="15.75" customHeight="1">
      <c r="A216" s="14"/>
      <c r="B216" s="14"/>
    </row>
    <row r="217" ht="15.75" customHeight="1">
      <c r="A217" s="14"/>
      <c r="B217" s="14"/>
    </row>
    <row r="218" ht="15.75" customHeight="1">
      <c r="A218" s="14"/>
      <c r="B218" s="14"/>
    </row>
    <row r="219" ht="15.75" customHeight="1">
      <c r="A219" s="14"/>
      <c r="B219" s="14"/>
    </row>
    <row r="220" ht="15.75" customHeight="1">
      <c r="A220" s="14"/>
      <c r="B220" s="14"/>
    </row>
    <row r="221" ht="15.75" customHeight="1">
      <c r="A221" s="14"/>
      <c r="B221" s="14"/>
    </row>
    <row r="222" ht="15.75" customHeight="1">
      <c r="A222" s="14"/>
      <c r="B222" s="14"/>
    </row>
    <row r="223" ht="15.75" customHeight="1">
      <c r="A223" s="14"/>
      <c r="B223" s="14"/>
    </row>
    <row r="224" ht="15.75" customHeight="1">
      <c r="A224" s="14"/>
      <c r="B224" s="14"/>
    </row>
    <row r="225" ht="15.75" customHeight="1">
      <c r="A225" s="14"/>
      <c r="B225" s="14"/>
    </row>
    <row r="226" ht="15.75" customHeight="1">
      <c r="A226" s="14"/>
      <c r="B226" s="14"/>
    </row>
    <row r="227" ht="15.75" customHeight="1">
      <c r="A227" s="14"/>
      <c r="B227" s="14"/>
    </row>
    <row r="228" ht="15.75" customHeight="1">
      <c r="A228" s="14"/>
      <c r="B228" s="14"/>
    </row>
    <row r="229" ht="15.75" customHeight="1">
      <c r="A229" s="14"/>
      <c r="B229" s="14"/>
    </row>
    <row r="230" ht="15.75" customHeight="1">
      <c r="A230" s="14"/>
      <c r="B230" s="14"/>
    </row>
    <row r="231" ht="15.75" customHeight="1">
      <c r="A231" s="14"/>
      <c r="B231" s="14"/>
    </row>
    <row r="232" ht="15.75" customHeight="1">
      <c r="A232" s="14"/>
      <c r="B232" s="14"/>
    </row>
    <row r="233" ht="15.75" customHeight="1">
      <c r="A233" s="14"/>
      <c r="B233" s="14"/>
    </row>
    <row r="234" ht="15.75" customHeight="1">
      <c r="A234" s="14"/>
      <c r="B234" s="14"/>
    </row>
    <row r="235" ht="15.75" customHeight="1">
      <c r="A235" s="14"/>
      <c r="B235" s="14"/>
    </row>
    <row r="236" ht="15.75" customHeight="1">
      <c r="A236" s="14"/>
      <c r="B236" s="14"/>
    </row>
    <row r="237" ht="15.75" customHeight="1">
      <c r="A237" s="14"/>
      <c r="B237" s="14"/>
    </row>
    <row r="238" ht="15.75" customHeight="1">
      <c r="A238" s="14"/>
      <c r="B238" s="14"/>
    </row>
    <row r="239" ht="15.75" customHeight="1">
      <c r="A239" s="14"/>
      <c r="B239" s="14"/>
    </row>
    <row r="240" ht="15.75" customHeight="1">
      <c r="A240" s="14"/>
      <c r="B240" s="14"/>
    </row>
    <row r="241" ht="15.75" customHeight="1">
      <c r="A241" s="14"/>
      <c r="B241" s="14"/>
    </row>
    <row r="242" ht="15.75" customHeight="1">
      <c r="A242" s="14"/>
      <c r="B242" s="14"/>
    </row>
    <row r="243" ht="15.75" customHeight="1">
      <c r="A243" s="14"/>
      <c r="B243" s="14"/>
    </row>
    <row r="244" ht="15.75" customHeight="1">
      <c r="A244" s="14"/>
      <c r="B244" s="14"/>
    </row>
    <row r="245" ht="15.75" customHeight="1">
      <c r="A245" s="14"/>
      <c r="B245" s="14"/>
    </row>
    <row r="246" ht="15.75" customHeight="1">
      <c r="A246" s="14"/>
      <c r="B246" s="14"/>
    </row>
    <row r="247" ht="15.75" customHeight="1">
      <c r="A247" s="14"/>
      <c r="B247" s="14"/>
    </row>
    <row r="248" ht="15.75" customHeight="1">
      <c r="A248" s="14"/>
      <c r="B248" s="14"/>
    </row>
    <row r="249" ht="15.75" customHeight="1">
      <c r="A249" s="14"/>
      <c r="B249" s="14"/>
    </row>
    <row r="250" ht="15.75" customHeight="1">
      <c r="A250" s="14"/>
      <c r="B250" s="14"/>
    </row>
    <row r="251" ht="15.75" customHeight="1">
      <c r="A251" s="14"/>
      <c r="B251" s="14"/>
    </row>
    <row r="252" ht="15.75" customHeight="1">
      <c r="A252" s="14"/>
      <c r="B252" s="14"/>
    </row>
    <row r="253" ht="15.75" customHeight="1">
      <c r="A253" s="14"/>
      <c r="B253" s="14"/>
    </row>
    <row r="254" ht="15.75" customHeight="1">
      <c r="A254" s="14"/>
      <c r="B254" s="14"/>
    </row>
    <row r="255" ht="15.75" customHeight="1">
      <c r="A255" s="14"/>
      <c r="B255" s="14"/>
    </row>
    <row r="256" ht="15.75" customHeight="1">
      <c r="A256" s="14"/>
      <c r="B256" s="14"/>
    </row>
    <row r="257" ht="15.75" customHeight="1">
      <c r="A257" s="14"/>
      <c r="B257" s="14"/>
    </row>
    <row r="258" ht="15.75" customHeight="1">
      <c r="A258" s="14"/>
      <c r="B258" s="14"/>
    </row>
    <row r="259" ht="15.75" customHeight="1">
      <c r="A259" s="14"/>
      <c r="B259" s="14"/>
    </row>
    <row r="260" ht="15.75" customHeight="1">
      <c r="A260" s="14"/>
      <c r="B260" s="14"/>
    </row>
    <row r="261" ht="15.75" customHeight="1">
      <c r="A261" s="14"/>
      <c r="B261" s="14"/>
    </row>
    <row r="262" ht="15.75" customHeight="1">
      <c r="A262" s="14"/>
      <c r="B262" s="14"/>
    </row>
    <row r="263" ht="15.75" customHeight="1">
      <c r="A263" s="14"/>
      <c r="B263" s="14"/>
    </row>
    <row r="264" ht="15.75" customHeight="1">
      <c r="A264" s="14"/>
      <c r="B264" s="14"/>
    </row>
    <row r="265" ht="15.75" customHeight="1">
      <c r="A265" s="14"/>
      <c r="B265" s="14"/>
    </row>
    <row r="266" ht="15.75" customHeight="1">
      <c r="A266" s="14"/>
      <c r="B266" s="14"/>
    </row>
    <row r="267" ht="15.75" customHeight="1">
      <c r="A267" s="14"/>
      <c r="B267" s="14"/>
    </row>
    <row r="268" ht="15.75" customHeight="1">
      <c r="A268" s="14"/>
      <c r="B268" s="14"/>
    </row>
    <row r="269" ht="15.75" customHeight="1">
      <c r="A269" s="14"/>
      <c r="B269" s="14"/>
    </row>
    <row r="270" ht="15.75" customHeight="1">
      <c r="A270" s="14"/>
      <c r="B270" s="14"/>
    </row>
    <row r="271" ht="15.75" customHeight="1">
      <c r="A271" s="14"/>
      <c r="B271" s="14"/>
    </row>
    <row r="272" ht="15.75" customHeight="1">
      <c r="A272" s="14"/>
      <c r="B272" s="14"/>
    </row>
    <row r="273" ht="15.75" customHeight="1">
      <c r="A273" s="14"/>
      <c r="B273" s="14"/>
    </row>
    <row r="274" ht="15.75" customHeight="1">
      <c r="A274" s="14"/>
      <c r="B274" s="14"/>
    </row>
    <row r="275" ht="15.75" customHeight="1">
      <c r="A275" s="14"/>
      <c r="B275" s="14"/>
    </row>
    <row r="276" ht="15.75" customHeight="1">
      <c r="A276" s="14"/>
      <c r="B276" s="14"/>
    </row>
    <row r="277" ht="15.75" customHeight="1">
      <c r="A277" s="14"/>
      <c r="B277" s="14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95"/>
  <pageSetup orientation="portrait"/>
  <headerFooter>
    <oddHeader>&amp;CBenton Hall Academy 2016-17 Budget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13"/>
    <col customWidth="1" min="2" max="2" width="10.25"/>
    <col customWidth="1" min="3" max="3" width="7.38"/>
    <col customWidth="1" min="4" max="4" width="13.75"/>
    <col customWidth="1" min="5" max="6" width="10.25"/>
    <col customWidth="1" min="7" max="7" width="9.63"/>
    <col customWidth="1" min="8" max="26" width="7.63"/>
  </cols>
  <sheetData>
    <row r="2">
      <c r="A2" s="31" t="s">
        <v>312</v>
      </c>
      <c r="B2" s="32"/>
      <c r="C2" s="32"/>
      <c r="D2" s="32"/>
      <c r="E2" s="32"/>
      <c r="F2" s="32"/>
      <c r="G2" s="32"/>
    </row>
    <row r="3">
      <c r="A3" s="31" t="s">
        <v>319</v>
      </c>
      <c r="B3" s="32"/>
      <c r="C3" s="32"/>
      <c r="D3" s="32"/>
      <c r="E3" s="32"/>
      <c r="F3" s="32"/>
      <c r="G3" s="32"/>
    </row>
    <row r="4">
      <c r="A4" s="32"/>
      <c r="B4" s="32"/>
      <c r="C4" s="32"/>
      <c r="D4" s="32"/>
      <c r="E4" s="32"/>
      <c r="F4" s="32"/>
      <c r="G4" s="32"/>
    </row>
    <row r="5">
      <c r="A5" s="33" t="s">
        <v>322</v>
      </c>
      <c r="B5" s="34"/>
      <c r="C5" s="34"/>
      <c r="D5" s="34"/>
      <c r="E5" s="34"/>
      <c r="F5" s="34"/>
      <c r="G5" s="35"/>
    </row>
    <row r="6">
      <c r="A6" s="36" t="s">
        <v>329</v>
      </c>
      <c r="B6" s="37">
        <v>13301.0</v>
      </c>
      <c r="C6" s="38" t="s">
        <v>332</v>
      </c>
      <c r="D6" s="38" t="s">
        <v>335</v>
      </c>
      <c r="E6" s="38" t="s">
        <v>336</v>
      </c>
      <c r="F6" s="38" t="s">
        <v>337</v>
      </c>
      <c r="G6" s="39" t="s">
        <v>338</v>
      </c>
    </row>
    <row r="7">
      <c r="A7" s="36"/>
      <c r="B7" s="37">
        <v>375.0</v>
      </c>
      <c r="C7" s="38" t="s">
        <v>341</v>
      </c>
      <c r="D7" s="32"/>
      <c r="E7" s="32"/>
      <c r="F7" s="32"/>
      <c r="G7" s="39"/>
    </row>
    <row r="8">
      <c r="A8" s="36"/>
      <c r="B8" s="37">
        <f>+SUM(B6:B7)</f>
        <v>13676</v>
      </c>
      <c r="C8" s="38" t="s">
        <v>267</v>
      </c>
      <c r="D8" s="38" t="s">
        <v>344</v>
      </c>
      <c r="E8" s="38" t="s">
        <v>347</v>
      </c>
      <c r="F8" s="32"/>
      <c r="G8" s="39"/>
    </row>
    <row r="9">
      <c r="A9" s="36"/>
      <c r="B9" s="40"/>
      <c r="C9" s="32"/>
      <c r="D9" s="32"/>
      <c r="E9" s="32"/>
      <c r="F9" s="32"/>
      <c r="G9" s="39"/>
    </row>
    <row r="10">
      <c r="A10" s="36" t="s">
        <v>348</v>
      </c>
      <c r="B10" s="37">
        <v>13951.0</v>
      </c>
      <c r="C10" s="38" t="s">
        <v>332</v>
      </c>
      <c r="D10" s="38" t="s">
        <v>335</v>
      </c>
      <c r="E10" s="38" t="s">
        <v>336</v>
      </c>
      <c r="F10" s="38" t="s">
        <v>349</v>
      </c>
      <c r="G10" s="39" t="s">
        <v>338</v>
      </c>
    </row>
    <row r="11">
      <c r="A11" s="36"/>
      <c r="B11" s="37">
        <v>375.0</v>
      </c>
      <c r="C11" s="38" t="s">
        <v>341</v>
      </c>
      <c r="D11" s="32"/>
      <c r="E11" s="32"/>
      <c r="F11" s="32"/>
      <c r="G11" s="39"/>
    </row>
    <row r="12">
      <c r="A12" s="41"/>
      <c r="B12" s="42">
        <v>14326.0</v>
      </c>
      <c r="C12" s="43" t="s">
        <v>267</v>
      </c>
      <c r="D12" s="43" t="s">
        <v>344</v>
      </c>
      <c r="E12" s="43" t="s">
        <v>347</v>
      </c>
      <c r="F12" s="43"/>
      <c r="G12" s="44"/>
    </row>
    <row r="13">
      <c r="A13" s="32"/>
      <c r="B13" s="40"/>
      <c r="C13" s="32"/>
      <c r="D13" s="32"/>
      <c r="E13" s="32"/>
      <c r="F13" s="32"/>
      <c r="G13" s="32"/>
    </row>
    <row r="14">
      <c r="B14" s="27"/>
    </row>
    <row r="15">
      <c r="A15" s="33" t="s">
        <v>319</v>
      </c>
      <c r="B15" s="34"/>
      <c r="C15" s="34"/>
      <c r="D15" s="34"/>
      <c r="E15" s="34"/>
      <c r="F15" s="34"/>
      <c r="G15" s="35"/>
    </row>
    <row r="16">
      <c r="A16" s="36" t="s">
        <v>329</v>
      </c>
      <c r="B16" s="45">
        <f>+B6*1.04</f>
        <v>13833.04</v>
      </c>
      <c r="C16" s="38"/>
      <c r="D16" s="38" t="s">
        <v>354</v>
      </c>
      <c r="E16" s="38"/>
      <c r="F16" s="38"/>
      <c r="G16" s="39"/>
    </row>
    <row r="17">
      <c r="A17" s="36"/>
      <c r="B17" s="46">
        <v>375.0</v>
      </c>
      <c r="C17" s="38" t="s">
        <v>341</v>
      </c>
      <c r="D17" s="32"/>
      <c r="E17" s="32"/>
      <c r="F17" s="32"/>
      <c r="G17" s="39"/>
    </row>
    <row r="18">
      <c r="A18" s="36"/>
      <c r="B18" s="45">
        <f>SUM(B16:B17)</f>
        <v>14208.04</v>
      </c>
      <c r="C18" s="38" t="s">
        <v>267</v>
      </c>
      <c r="E18" s="38"/>
      <c r="F18" s="32"/>
      <c r="G18" s="39"/>
    </row>
    <row r="19">
      <c r="A19" s="36"/>
      <c r="B19" s="47"/>
      <c r="C19" s="32"/>
      <c r="D19" s="32"/>
      <c r="E19" s="32"/>
      <c r="F19" s="32"/>
      <c r="G19" s="39"/>
    </row>
    <row r="20">
      <c r="A20" s="36" t="s">
        <v>348</v>
      </c>
      <c r="B20" s="45">
        <f>+B10*1.04</f>
        <v>14509.04</v>
      </c>
      <c r="C20" s="38"/>
      <c r="D20" s="38" t="s">
        <v>354</v>
      </c>
      <c r="E20" s="38"/>
      <c r="F20" s="38"/>
      <c r="G20" s="39"/>
    </row>
    <row r="21" ht="15.75" customHeight="1">
      <c r="A21" s="36"/>
      <c r="B21" s="46">
        <v>375.0</v>
      </c>
      <c r="C21" s="38" t="s">
        <v>341</v>
      </c>
      <c r="D21" s="32"/>
      <c r="E21" s="32"/>
      <c r="F21" s="32"/>
      <c r="G21" s="39"/>
    </row>
    <row r="22" ht="15.75" customHeight="1">
      <c r="A22" s="41"/>
      <c r="B22" s="48">
        <f>SUM(B20:B21)</f>
        <v>14884.04</v>
      </c>
      <c r="C22" s="43" t="s">
        <v>267</v>
      </c>
      <c r="D22" s="49"/>
      <c r="E22" s="43"/>
      <c r="F22" s="43"/>
      <c r="G22" s="44"/>
    </row>
    <row r="23" ht="15.75" customHeight="1"/>
    <row r="24" ht="15.75" customHeight="1"/>
    <row r="25" ht="15.75" customHeight="1">
      <c r="A25" s="50" t="s">
        <v>364</v>
      </c>
    </row>
    <row r="26" ht="15.75" customHeight="1"/>
    <row r="27" ht="15.75" customHeight="1">
      <c r="A27" s="8" t="s">
        <v>365</v>
      </c>
      <c r="B27" s="8">
        <v>67.0</v>
      </c>
    </row>
    <row r="28" ht="15.75" customHeight="1">
      <c r="A28" s="8" t="s">
        <v>366</v>
      </c>
      <c r="B28" s="8">
        <v>64.0</v>
      </c>
    </row>
    <row r="29" ht="15.75" customHeight="1"/>
    <row r="30" ht="15.75" customHeight="1">
      <c r="A30" s="8" t="s">
        <v>367</v>
      </c>
      <c r="B30" s="51">
        <v>50.0</v>
      </c>
    </row>
    <row r="31" ht="15.75" customHeight="1">
      <c r="A31" s="8" t="s">
        <v>370</v>
      </c>
      <c r="B31" s="27">
        <f>ROUND(B20*(ROUND(0.9*B30,0)),0)</f>
        <v>652907</v>
      </c>
    </row>
    <row r="32" ht="15.75" customHeight="1">
      <c r="A32" s="8" t="s">
        <v>372</v>
      </c>
      <c r="B32" s="27">
        <f>ROUND(B16*ROUND(B30*0.1,0),0)</f>
        <v>69165</v>
      </c>
      <c r="D32" s="5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/>
  <cols>
    <col customWidth="1" min="1" max="1" width="7.63"/>
    <col customWidth="1" min="2" max="2" width="20.63"/>
    <col customWidth="1" min="3" max="3" width="9.5"/>
    <col customWidth="1" hidden="1" min="4" max="4" width="8.38" outlineLevel="1"/>
    <col customWidth="1" hidden="1" min="5" max="11" width="7.88" outlineLevel="1"/>
    <col customWidth="1" hidden="1" min="12" max="12" width="7.63" outlineLevel="1"/>
    <col customWidth="1" hidden="1" min="13" max="15" width="8.38" outlineLevel="1"/>
    <col collapsed="1" customWidth="1" min="16" max="16" width="9.13"/>
    <col customWidth="1" min="17" max="17" width="13.63"/>
    <col customWidth="1" min="18" max="18" width="8.63"/>
    <col customWidth="1" min="19" max="19" width="9.0"/>
    <col customWidth="1" min="20" max="20" width="5.88"/>
    <col customWidth="1" min="21" max="21" width="6.75"/>
    <col customWidth="1" min="22" max="22" width="7.63"/>
    <col customWidth="1" min="23" max="24" width="12.88"/>
    <col customWidth="1" hidden="1" min="25" max="25" width="22.5"/>
    <col customWidth="1" hidden="1" min="26" max="26" width="10.13"/>
    <col customWidth="1" min="27" max="27" width="9.88"/>
    <col customWidth="1" min="28" max="37" width="9.25"/>
    <col customWidth="1" min="38" max="39" width="9.88"/>
  </cols>
  <sheetData>
    <row r="1">
      <c r="A1" s="5" t="s">
        <v>0</v>
      </c>
      <c r="B1" s="5" t="s">
        <v>17</v>
      </c>
      <c r="C1" s="5" t="s">
        <v>403</v>
      </c>
      <c r="D1" s="7" t="s">
        <v>19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7" t="s">
        <v>29</v>
      </c>
      <c r="N1" s="7" t="s">
        <v>30</v>
      </c>
      <c r="O1" s="7" t="s">
        <v>31</v>
      </c>
      <c r="P1" s="7" t="s">
        <v>32</v>
      </c>
      <c r="Q1" s="9" t="s">
        <v>33</v>
      </c>
      <c r="R1" s="53" t="s">
        <v>406</v>
      </c>
      <c r="S1" s="53" t="s">
        <v>409</v>
      </c>
      <c r="T1" s="53" t="s">
        <v>411</v>
      </c>
      <c r="U1" s="53" t="s">
        <v>413</v>
      </c>
      <c r="V1" s="53" t="s">
        <v>414</v>
      </c>
      <c r="W1" s="53" t="s">
        <v>415</v>
      </c>
      <c r="X1" s="53" t="s">
        <v>416</v>
      </c>
      <c r="Z1" s="54" t="s">
        <v>417</v>
      </c>
      <c r="AA1" s="55" t="s">
        <v>418</v>
      </c>
      <c r="AB1" s="55" t="s">
        <v>419</v>
      </c>
      <c r="AC1" s="55" t="s">
        <v>422</v>
      </c>
      <c r="AD1" s="55" t="s">
        <v>423</v>
      </c>
      <c r="AE1" s="55" t="s">
        <v>424</v>
      </c>
      <c r="AF1" s="55" t="s">
        <v>425</v>
      </c>
      <c r="AG1" s="55" t="s">
        <v>426</v>
      </c>
      <c r="AH1" s="55" t="s">
        <v>427</v>
      </c>
      <c r="AI1" s="55" t="s">
        <v>428</v>
      </c>
      <c r="AJ1" s="55" t="s">
        <v>429</v>
      </c>
      <c r="AK1" s="55" t="s">
        <v>430</v>
      </c>
      <c r="AL1" s="55" t="s">
        <v>431</v>
      </c>
      <c r="AM1" s="54" t="s">
        <v>432</v>
      </c>
    </row>
    <row r="2">
      <c r="A2" s="15" t="s">
        <v>36</v>
      </c>
      <c r="B2" s="15" t="s">
        <v>37</v>
      </c>
      <c r="C2" s="15" t="s">
        <v>41</v>
      </c>
      <c r="D2" s="56">
        <f>SUMIF('2015-16 12 Mnths'!$A:$A,'Variance16-17'!$A2,'2015-16 12 Mnths'!C:C)-SUMIF('Budget 12 Mnths'!$A:$A,'Variance16-17'!$A2,'Budget 12 Mnths'!D:D)</f>
        <v>0</v>
      </c>
      <c r="E2" s="56">
        <f>SUMIF('2015-16 12 Mnths'!$A:$A,'Variance16-17'!$A2,'2015-16 12 Mnths'!D:D)-SUMIF('Budget 12 Mnths'!$A:$A,'Variance16-17'!$A2,'Budget 12 Mnths'!E:E)</f>
        <v>0</v>
      </c>
      <c r="F2" s="56">
        <f>SUMIF('2015-16 12 Mnths'!$A:$A,'Variance16-17'!$A2,'2015-16 12 Mnths'!E:E)-SUMIF('Budget 12 Mnths'!$A:$A,'Variance16-17'!$A2,'Budget 12 Mnths'!F:F)</f>
        <v>-3125</v>
      </c>
      <c r="G2" s="56">
        <f>SUMIF('2015-16 12 Mnths'!$A:$A,'Variance16-17'!$A2,'2015-16 12 Mnths'!F:F)-SUMIF('Budget 12 Mnths'!$A:$A,'Variance16-17'!$A2,'Budget 12 Mnths'!G:G)</f>
        <v>-3125</v>
      </c>
      <c r="H2" s="56">
        <f>SUMIF('2015-16 12 Mnths'!$A:$A,'Variance16-17'!$A2,'2015-16 12 Mnths'!G:G)-SUMIF('Budget 12 Mnths'!$A:$A,'Variance16-17'!$A2,'Budget 12 Mnths'!H:H)</f>
        <v>18155.35</v>
      </c>
      <c r="I2" s="56">
        <f>SUMIF('2015-16 12 Mnths'!$A:$A,'Variance16-17'!$A2,'2015-16 12 Mnths'!H:H)-SUMIF('Budget 12 Mnths'!$A:$A,'Variance16-17'!$A2,'Budget 12 Mnths'!I:I)</f>
        <v>5584.97</v>
      </c>
      <c r="J2" s="56">
        <f>SUMIF('2015-16 12 Mnths'!$A:$A,'Variance16-17'!$A2,'2015-16 12 Mnths'!I:I)-SUMIF('Budget 12 Mnths'!$A:$A,'Variance16-17'!$A2,'Budget 12 Mnths'!J:J)</f>
        <v>2700</v>
      </c>
      <c r="K2" s="56">
        <f>SUMIF('2015-16 12 Mnths'!$A:$A,'Variance16-17'!$A2,'2015-16 12 Mnths'!J:J)-SUMIF('Budget 12 Mnths'!$A:$A,'Variance16-17'!$A2,'Budget 12 Mnths'!K:K)</f>
        <v>0</v>
      </c>
      <c r="L2" s="56">
        <f>SUMIF('2015-16 12 Mnths'!$A:$A,'Variance16-17'!$A2,'2015-16 12 Mnths'!K:K)-SUMIF('Budget 12 Mnths'!$A:$A,'Variance16-17'!$A2,'Budget 12 Mnths'!L:L)</f>
        <v>0</v>
      </c>
      <c r="M2" s="56"/>
      <c r="N2" s="56"/>
      <c r="O2" s="56"/>
      <c r="P2" s="56">
        <f t="shared" ref="P2:P276" si="1">+SUM(D2:O2)</f>
        <v>20190.32</v>
      </c>
      <c r="Q2" s="14" t="str">
        <f>+VLOOKUP(A2,Mapping!$A$1:$E$443,5,FALSE)</f>
        <v>Contributions</v>
      </c>
      <c r="R2" s="26">
        <f>+SUMIF('Budget 12 Mnths'!$A:$A,'Variance16-17'!$A2,'Budget 12 Mnths'!$P:$P)</f>
        <v>12500</v>
      </c>
      <c r="S2" s="26">
        <f>+SUMIF('2015-16 12 Mnths'!$A:$A,'Variance16-17'!$A2,'2015-16 12 Mnths'!$O:$O)</f>
        <v>32690.32</v>
      </c>
      <c r="T2" s="57">
        <f t="shared" ref="T2:T276" si="2">IFERROR(P2/R2,0)</f>
        <v>1.6152256</v>
      </c>
      <c r="U2" s="57">
        <f t="shared" ref="U2:U276" si="3">IFERROR(P2/S2,0)</f>
        <v>0.6176238104</v>
      </c>
      <c r="V2" s="8" t="s">
        <v>451</v>
      </c>
      <c r="W2" s="27">
        <v>28000.0</v>
      </c>
      <c r="X2" s="27">
        <f t="shared" ref="X2:X10" si="4">+W2</f>
        <v>28000</v>
      </c>
      <c r="Z2" s="57">
        <f t="shared" ref="Z2:Z10" si="5">+X2/2</f>
        <v>14000</v>
      </c>
      <c r="AA2" s="27"/>
      <c r="AB2" s="27"/>
      <c r="AC2" s="27">
        <v>7000.0</v>
      </c>
      <c r="AD2" s="27">
        <v>7000.0</v>
      </c>
      <c r="AE2" s="27">
        <v>7000.0</v>
      </c>
      <c r="AF2" s="27">
        <v>7000.0</v>
      </c>
      <c r="AG2" s="27"/>
      <c r="AH2" s="27"/>
      <c r="AI2" s="27"/>
      <c r="AJ2" s="27"/>
      <c r="AK2" s="27"/>
      <c r="AL2" s="27"/>
      <c r="AM2" s="27">
        <f t="shared" ref="AM2:AM276" si="7">+SUM(AA2:AL2)-X2</f>
        <v>0</v>
      </c>
    </row>
    <row r="3">
      <c r="A3" s="15" t="s">
        <v>44</v>
      </c>
      <c r="B3" s="15" t="s">
        <v>45</v>
      </c>
      <c r="C3" s="15" t="s">
        <v>41</v>
      </c>
      <c r="D3" s="56">
        <f>SUMIF('2015-16 12 Mnths'!$A:$A,'Variance16-17'!$A3,'2015-16 12 Mnths'!C:C)-SUMIF('Budget 12 Mnths'!$A:$A,'Variance16-17'!$A3,'Budget 12 Mnths'!D:D)</f>
        <v>10000</v>
      </c>
      <c r="E3" s="56">
        <f>SUMIF('2015-16 12 Mnths'!$A:$A,'Variance16-17'!$A3,'2015-16 12 Mnths'!D:D)-SUMIF('Budget 12 Mnths'!$A:$A,'Variance16-17'!$A3,'Budget 12 Mnths'!E:E)</f>
        <v>0</v>
      </c>
      <c r="F3" s="56">
        <f>SUMIF('2015-16 12 Mnths'!$A:$A,'Variance16-17'!$A3,'2015-16 12 Mnths'!E:E)-SUMIF('Budget 12 Mnths'!$A:$A,'Variance16-17'!$A3,'Budget 12 Mnths'!F:F)</f>
        <v>0</v>
      </c>
      <c r="G3" s="56">
        <f>SUMIF('2015-16 12 Mnths'!$A:$A,'Variance16-17'!$A3,'2015-16 12 Mnths'!F:F)-SUMIF('Budget 12 Mnths'!$A:$A,'Variance16-17'!$A3,'Budget 12 Mnths'!G:G)</f>
        <v>9598.07</v>
      </c>
      <c r="H3" s="56">
        <f>SUMIF('2015-16 12 Mnths'!$A:$A,'Variance16-17'!$A3,'2015-16 12 Mnths'!G:G)-SUMIF('Budget 12 Mnths'!$A:$A,'Variance16-17'!$A3,'Budget 12 Mnths'!H:H)</f>
        <v>12.04</v>
      </c>
      <c r="I3" s="56">
        <f>SUMIF('2015-16 12 Mnths'!$A:$A,'Variance16-17'!$A3,'2015-16 12 Mnths'!H:H)-SUMIF('Budget 12 Mnths'!$A:$A,'Variance16-17'!$A3,'Budget 12 Mnths'!I:I)</f>
        <v>0</v>
      </c>
      <c r="J3" s="56">
        <f>SUMIF('2015-16 12 Mnths'!$A:$A,'Variance16-17'!$A3,'2015-16 12 Mnths'!I:I)-SUMIF('Budget 12 Mnths'!$A:$A,'Variance16-17'!$A3,'Budget 12 Mnths'!J:J)</f>
        <v>-5875</v>
      </c>
      <c r="K3" s="56">
        <f>SUMIF('2015-16 12 Mnths'!$A:$A,'Variance16-17'!$A3,'2015-16 12 Mnths'!J:J)-SUMIF('Budget 12 Mnths'!$A:$A,'Variance16-17'!$A3,'Budget 12 Mnths'!K:K)</f>
        <v>-4724.46</v>
      </c>
      <c r="L3" s="56">
        <f>SUMIF('2015-16 12 Mnths'!$A:$A,'Variance16-17'!$A3,'2015-16 12 Mnths'!K:K)-SUMIF('Budget 12 Mnths'!$A:$A,'Variance16-17'!$A3,'Budget 12 Mnths'!L:L)</f>
        <v>-5875</v>
      </c>
      <c r="M3" s="56"/>
      <c r="N3" s="56"/>
      <c r="O3" s="56"/>
      <c r="P3" s="56">
        <f t="shared" si="1"/>
        <v>3135.65</v>
      </c>
      <c r="Q3" s="14" t="str">
        <f>+VLOOKUP(A3,Mapping!$A$1:$E$443,5,FALSE)</f>
        <v>Contributions</v>
      </c>
      <c r="R3" s="26">
        <f>+SUMIF('Budget 12 Mnths'!$A:$A,'Variance16-17'!$A3,'Budget 12 Mnths'!$P:$P)</f>
        <v>23500</v>
      </c>
      <c r="S3" s="26">
        <f>+SUMIF('2015-16 12 Mnths'!$A:$A,'Variance16-17'!$A3,'2015-16 12 Mnths'!$O:$O)</f>
        <v>20790.15</v>
      </c>
      <c r="T3" s="57">
        <f t="shared" si="2"/>
        <v>0.1334319149</v>
      </c>
      <c r="U3" s="57">
        <f t="shared" si="3"/>
        <v>0.1508238276</v>
      </c>
      <c r="V3" s="8" t="s">
        <v>451</v>
      </c>
      <c r="W3" s="27">
        <v>23500.0</v>
      </c>
      <c r="X3" s="27">
        <f t="shared" si="4"/>
        <v>23500</v>
      </c>
      <c r="Z3" s="57">
        <f t="shared" si="5"/>
        <v>11750</v>
      </c>
      <c r="AA3" s="57">
        <f t="shared" ref="AA3:AL3" si="6">+$X3/12</f>
        <v>1958.333333</v>
      </c>
      <c r="AB3" s="57">
        <f t="shared" si="6"/>
        <v>1958.333333</v>
      </c>
      <c r="AC3" s="57">
        <f t="shared" si="6"/>
        <v>1958.333333</v>
      </c>
      <c r="AD3" s="57">
        <f t="shared" si="6"/>
        <v>1958.333333</v>
      </c>
      <c r="AE3" s="57">
        <f t="shared" si="6"/>
        <v>1958.333333</v>
      </c>
      <c r="AF3" s="57">
        <f t="shared" si="6"/>
        <v>1958.333333</v>
      </c>
      <c r="AG3" s="57">
        <f t="shared" si="6"/>
        <v>1958.333333</v>
      </c>
      <c r="AH3" s="57">
        <f t="shared" si="6"/>
        <v>1958.333333</v>
      </c>
      <c r="AI3" s="57">
        <f t="shared" si="6"/>
        <v>1958.333333</v>
      </c>
      <c r="AJ3" s="57">
        <f t="shared" si="6"/>
        <v>1958.333333</v>
      </c>
      <c r="AK3" s="57">
        <f t="shared" si="6"/>
        <v>1958.333333</v>
      </c>
      <c r="AL3" s="57">
        <f t="shared" si="6"/>
        <v>1958.333333</v>
      </c>
      <c r="AM3" s="27">
        <f t="shared" si="7"/>
        <v>0</v>
      </c>
    </row>
    <row r="4">
      <c r="A4" s="15" t="s">
        <v>48</v>
      </c>
      <c r="B4" s="15" t="s">
        <v>49</v>
      </c>
      <c r="C4" s="15" t="s">
        <v>41</v>
      </c>
      <c r="D4" s="56">
        <f>SUMIF('2015-16 12 Mnths'!$A:$A,'Variance16-17'!$A4,'2015-16 12 Mnths'!C:C)-SUMIF('Budget 12 Mnths'!$A:$A,'Variance16-17'!$A4,'Budget 12 Mnths'!D:D)</f>
        <v>0</v>
      </c>
      <c r="E4" s="56">
        <f>SUMIF('2015-16 12 Mnths'!$A:$A,'Variance16-17'!$A4,'2015-16 12 Mnths'!D:D)-SUMIF('Budget 12 Mnths'!$A:$A,'Variance16-17'!$A4,'Budget 12 Mnths'!E:E)</f>
        <v>0</v>
      </c>
      <c r="F4" s="56">
        <f>SUMIF('2015-16 12 Mnths'!$A:$A,'Variance16-17'!$A4,'2015-16 12 Mnths'!E:E)-SUMIF('Budget 12 Mnths'!$A:$A,'Variance16-17'!$A4,'Budget 12 Mnths'!F:F)</f>
        <v>0</v>
      </c>
      <c r="G4" s="56">
        <f>SUMIF('2015-16 12 Mnths'!$A:$A,'Variance16-17'!$A4,'2015-16 12 Mnths'!F:F)-SUMIF('Budget 12 Mnths'!$A:$A,'Variance16-17'!$A4,'Budget 12 Mnths'!G:G)</f>
        <v>0</v>
      </c>
      <c r="H4" s="56">
        <f>SUMIF('2015-16 12 Mnths'!$A:$A,'Variance16-17'!$A4,'2015-16 12 Mnths'!G:G)-SUMIF('Budget 12 Mnths'!$A:$A,'Variance16-17'!$A4,'Budget 12 Mnths'!H:H)</f>
        <v>0</v>
      </c>
      <c r="I4" s="56">
        <f>SUMIF('2015-16 12 Mnths'!$A:$A,'Variance16-17'!$A4,'2015-16 12 Mnths'!H:H)-SUMIF('Budget 12 Mnths'!$A:$A,'Variance16-17'!$A4,'Budget 12 Mnths'!I:I)</f>
        <v>0</v>
      </c>
      <c r="J4" s="56">
        <f>SUMIF('2015-16 12 Mnths'!$A:$A,'Variance16-17'!$A4,'2015-16 12 Mnths'!I:I)-SUMIF('Budget 12 Mnths'!$A:$A,'Variance16-17'!$A4,'Budget 12 Mnths'!J:J)</f>
        <v>0</v>
      </c>
      <c r="K4" s="56">
        <f>SUMIF('2015-16 12 Mnths'!$A:$A,'Variance16-17'!$A4,'2015-16 12 Mnths'!J:J)-SUMIF('Budget 12 Mnths'!$A:$A,'Variance16-17'!$A4,'Budget 12 Mnths'!K:K)</f>
        <v>0</v>
      </c>
      <c r="L4" s="56">
        <f>SUMIF('2015-16 12 Mnths'!$A:$A,'Variance16-17'!$A4,'2015-16 12 Mnths'!K:K)-SUMIF('Budget 12 Mnths'!$A:$A,'Variance16-17'!$A4,'Budget 12 Mnths'!L:L)</f>
        <v>0</v>
      </c>
      <c r="M4" s="56"/>
      <c r="N4" s="56"/>
      <c r="O4" s="56"/>
      <c r="P4" s="56">
        <f t="shared" si="1"/>
        <v>0</v>
      </c>
      <c r="Q4" s="14" t="str">
        <f>+VLOOKUP(A4,Mapping!$A$1:$E$443,5,FALSE)</f>
        <v>Contributions</v>
      </c>
      <c r="R4" s="26">
        <f>+SUMIF('Budget 12 Mnths'!$A:$A,'Variance16-17'!$A4,'Budget 12 Mnths'!$P:$P)</f>
        <v>0</v>
      </c>
      <c r="S4" s="26">
        <f>+SUMIF('2015-16 12 Mnths'!$A:$A,'Variance16-17'!$A4,'2015-16 12 Mnths'!$O:$O)</f>
        <v>0</v>
      </c>
      <c r="T4" s="57">
        <f t="shared" si="2"/>
        <v>0</v>
      </c>
      <c r="U4" s="57">
        <f t="shared" si="3"/>
        <v>0</v>
      </c>
      <c r="W4" s="27"/>
      <c r="X4" s="27" t="str">
        <f t="shared" si="4"/>
        <v/>
      </c>
      <c r="Z4" s="57">
        <f t="shared" si="5"/>
        <v>0</v>
      </c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>
        <f t="shared" si="7"/>
        <v>0</v>
      </c>
    </row>
    <row r="5">
      <c r="A5" s="15" t="s">
        <v>51</v>
      </c>
      <c r="B5" s="15" t="s">
        <v>52</v>
      </c>
      <c r="C5" s="15" t="s">
        <v>41</v>
      </c>
      <c r="D5" s="56">
        <f>SUMIF('2015-16 12 Mnths'!$A:$A,'Variance16-17'!$A5,'2015-16 12 Mnths'!C:C)-SUMIF('Budget 12 Mnths'!$A:$A,'Variance16-17'!$A5,'Budget 12 Mnths'!D:D)</f>
        <v>0</v>
      </c>
      <c r="E5" s="56">
        <f>SUMIF('2015-16 12 Mnths'!$A:$A,'Variance16-17'!$A5,'2015-16 12 Mnths'!D:D)-SUMIF('Budget 12 Mnths'!$A:$A,'Variance16-17'!$A5,'Budget 12 Mnths'!E:E)</f>
        <v>0</v>
      </c>
      <c r="F5" s="56">
        <f>SUMIF('2015-16 12 Mnths'!$A:$A,'Variance16-17'!$A5,'2015-16 12 Mnths'!E:E)-SUMIF('Budget 12 Mnths'!$A:$A,'Variance16-17'!$A5,'Budget 12 Mnths'!F:F)</f>
        <v>0</v>
      </c>
      <c r="G5" s="56">
        <f>SUMIF('2015-16 12 Mnths'!$A:$A,'Variance16-17'!$A5,'2015-16 12 Mnths'!F:F)-SUMIF('Budget 12 Mnths'!$A:$A,'Variance16-17'!$A5,'Budget 12 Mnths'!G:G)</f>
        <v>0</v>
      </c>
      <c r="H5" s="56">
        <f>SUMIF('2015-16 12 Mnths'!$A:$A,'Variance16-17'!$A5,'2015-16 12 Mnths'!G:G)-SUMIF('Budget 12 Mnths'!$A:$A,'Variance16-17'!$A5,'Budget 12 Mnths'!H:H)</f>
        <v>0</v>
      </c>
      <c r="I5" s="56">
        <f>SUMIF('2015-16 12 Mnths'!$A:$A,'Variance16-17'!$A5,'2015-16 12 Mnths'!H:H)-SUMIF('Budget 12 Mnths'!$A:$A,'Variance16-17'!$A5,'Budget 12 Mnths'!I:I)</f>
        <v>0</v>
      </c>
      <c r="J5" s="56">
        <f>SUMIF('2015-16 12 Mnths'!$A:$A,'Variance16-17'!$A5,'2015-16 12 Mnths'!I:I)-SUMIF('Budget 12 Mnths'!$A:$A,'Variance16-17'!$A5,'Budget 12 Mnths'!J:J)</f>
        <v>0</v>
      </c>
      <c r="K5" s="56">
        <f>SUMIF('2015-16 12 Mnths'!$A:$A,'Variance16-17'!$A5,'2015-16 12 Mnths'!J:J)-SUMIF('Budget 12 Mnths'!$A:$A,'Variance16-17'!$A5,'Budget 12 Mnths'!K:K)</f>
        <v>0</v>
      </c>
      <c r="L5" s="56">
        <f>SUMIF('2015-16 12 Mnths'!$A:$A,'Variance16-17'!$A5,'2015-16 12 Mnths'!K:K)-SUMIF('Budget 12 Mnths'!$A:$A,'Variance16-17'!$A5,'Budget 12 Mnths'!L:L)</f>
        <v>0</v>
      </c>
      <c r="M5" s="56"/>
      <c r="N5" s="56"/>
      <c r="O5" s="56"/>
      <c r="P5" s="56">
        <f t="shared" si="1"/>
        <v>0</v>
      </c>
      <c r="Q5" s="14" t="str">
        <f>+VLOOKUP(A5,Mapping!$A$1:$E$443,5,FALSE)</f>
        <v>Contributions</v>
      </c>
      <c r="R5" s="26">
        <f>+SUMIF('Budget 12 Mnths'!$A:$A,'Variance16-17'!$A5,'Budget 12 Mnths'!$P:$P)</f>
        <v>0</v>
      </c>
      <c r="S5" s="26">
        <f>+SUMIF('2015-16 12 Mnths'!$A:$A,'Variance16-17'!$A5,'2015-16 12 Mnths'!$O:$O)</f>
        <v>0</v>
      </c>
      <c r="T5" s="57">
        <f t="shared" si="2"/>
        <v>0</v>
      </c>
      <c r="U5" s="57">
        <f t="shared" si="3"/>
        <v>0</v>
      </c>
      <c r="W5" s="27"/>
      <c r="X5" s="27" t="str">
        <f t="shared" si="4"/>
        <v/>
      </c>
      <c r="Z5" s="57">
        <f t="shared" si="5"/>
        <v>0</v>
      </c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>
        <f t="shared" si="7"/>
        <v>0</v>
      </c>
    </row>
    <row r="6">
      <c r="A6" s="15" t="s">
        <v>53</v>
      </c>
      <c r="B6" s="15" t="s">
        <v>54</v>
      </c>
      <c r="C6" s="15" t="s">
        <v>41</v>
      </c>
      <c r="D6" s="56">
        <f>SUMIF('2015-16 12 Mnths'!$A:$A,'Variance16-17'!$A6,'2015-16 12 Mnths'!C:C)-SUMIF('Budget 12 Mnths'!$A:$A,'Variance16-17'!$A6,'Budget 12 Mnths'!D:D)</f>
        <v>0</v>
      </c>
      <c r="E6" s="56">
        <f>SUMIF('2015-16 12 Mnths'!$A:$A,'Variance16-17'!$A6,'2015-16 12 Mnths'!D:D)-SUMIF('Budget 12 Mnths'!$A:$A,'Variance16-17'!$A6,'Budget 12 Mnths'!E:E)</f>
        <v>0</v>
      </c>
      <c r="F6" s="56">
        <f>SUMIF('2015-16 12 Mnths'!$A:$A,'Variance16-17'!$A6,'2015-16 12 Mnths'!E:E)-SUMIF('Budget 12 Mnths'!$A:$A,'Variance16-17'!$A6,'Budget 12 Mnths'!F:F)</f>
        <v>0</v>
      </c>
      <c r="G6" s="56">
        <f>SUMIF('2015-16 12 Mnths'!$A:$A,'Variance16-17'!$A6,'2015-16 12 Mnths'!F:F)-SUMIF('Budget 12 Mnths'!$A:$A,'Variance16-17'!$A6,'Budget 12 Mnths'!G:G)</f>
        <v>0</v>
      </c>
      <c r="H6" s="56">
        <f>SUMIF('2015-16 12 Mnths'!$A:$A,'Variance16-17'!$A6,'2015-16 12 Mnths'!G:G)-SUMIF('Budget 12 Mnths'!$A:$A,'Variance16-17'!$A6,'Budget 12 Mnths'!H:H)</f>
        <v>0</v>
      </c>
      <c r="I6" s="56">
        <f>SUMIF('2015-16 12 Mnths'!$A:$A,'Variance16-17'!$A6,'2015-16 12 Mnths'!H:H)-SUMIF('Budget 12 Mnths'!$A:$A,'Variance16-17'!$A6,'Budget 12 Mnths'!I:I)</f>
        <v>0</v>
      </c>
      <c r="J6" s="56">
        <f>SUMIF('2015-16 12 Mnths'!$A:$A,'Variance16-17'!$A6,'2015-16 12 Mnths'!I:I)-SUMIF('Budget 12 Mnths'!$A:$A,'Variance16-17'!$A6,'Budget 12 Mnths'!J:J)</f>
        <v>0</v>
      </c>
      <c r="K6" s="56">
        <f>SUMIF('2015-16 12 Mnths'!$A:$A,'Variance16-17'!$A6,'2015-16 12 Mnths'!J:J)-SUMIF('Budget 12 Mnths'!$A:$A,'Variance16-17'!$A6,'Budget 12 Mnths'!K:K)</f>
        <v>0</v>
      </c>
      <c r="L6" s="56">
        <f>SUMIF('2015-16 12 Mnths'!$A:$A,'Variance16-17'!$A6,'2015-16 12 Mnths'!K:K)-SUMIF('Budget 12 Mnths'!$A:$A,'Variance16-17'!$A6,'Budget 12 Mnths'!L:L)</f>
        <v>0</v>
      </c>
      <c r="M6" s="56"/>
      <c r="N6" s="56"/>
      <c r="O6" s="56"/>
      <c r="P6" s="56">
        <f t="shared" si="1"/>
        <v>0</v>
      </c>
      <c r="Q6" s="14" t="str">
        <f>+VLOOKUP(A6,Mapping!$A$1:$E$443,5,FALSE)</f>
        <v>Contributions In Kind</v>
      </c>
      <c r="R6" s="26">
        <f>+SUMIF('Budget 12 Mnths'!$A:$A,'Variance16-17'!$A6,'Budget 12 Mnths'!$P:$P)</f>
        <v>0</v>
      </c>
      <c r="S6" s="26">
        <f>+SUMIF('2015-16 12 Mnths'!$A:$A,'Variance16-17'!$A6,'2015-16 12 Mnths'!$O:$O)</f>
        <v>0</v>
      </c>
      <c r="T6" s="57">
        <f t="shared" si="2"/>
        <v>0</v>
      </c>
      <c r="U6" s="57">
        <f t="shared" si="3"/>
        <v>0</v>
      </c>
      <c r="W6" s="27"/>
      <c r="X6" s="27" t="str">
        <f t="shared" si="4"/>
        <v/>
      </c>
      <c r="Z6" s="57">
        <f t="shared" si="5"/>
        <v>0</v>
      </c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>
        <f t="shared" si="7"/>
        <v>0</v>
      </c>
    </row>
    <row r="7">
      <c r="A7" s="15" t="s">
        <v>57</v>
      </c>
      <c r="B7" s="15" t="s">
        <v>58</v>
      </c>
      <c r="C7" s="15" t="s">
        <v>41</v>
      </c>
      <c r="D7" s="56">
        <f>SUMIF('2015-16 12 Mnths'!$A:$A,'Variance16-17'!$A7,'2015-16 12 Mnths'!C:C)-SUMIF('Budget 12 Mnths'!$A:$A,'Variance16-17'!$A7,'Budget 12 Mnths'!D:D)</f>
        <v>0</v>
      </c>
      <c r="E7" s="56">
        <f>SUMIF('2015-16 12 Mnths'!$A:$A,'Variance16-17'!$A7,'2015-16 12 Mnths'!D:D)-SUMIF('Budget 12 Mnths'!$A:$A,'Variance16-17'!$A7,'Budget 12 Mnths'!E:E)</f>
        <v>0</v>
      </c>
      <c r="F7" s="56">
        <f>SUMIF('2015-16 12 Mnths'!$A:$A,'Variance16-17'!$A7,'2015-16 12 Mnths'!E:E)-SUMIF('Budget 12 Mnths'!$A:$A,'Variance16-17'!$A7,'Budget 12 Mnths'!F:F)</f>
        <v>0</v>
      </c>
      <c r="G7" s="56">
        <f>SUMIF('2015-16 12 Mnths'!$A:$A,'Variance16-17'!$A7,'2015-16 12 Mnths'!F:F)-SUMIF('Budget 12 Mnths'!$A:$A,'Variance16-17'!$A7,'Budget 12 Mnths'!G:G)</f>
        <v>0</v>
      </c>
      <c r="H7" s="56">
        <f>SUMIF('2015-16 12 Mnths'!$A:$A,'Variance16-17'!$A7,'2015-16 12 Mnths'!G:G)-SUMIF('Budget 12 Mnths'!$A:$A,'Variance16-17'!$A7,'Budget 12 Mnths'!H:H)</f>
        <v>0</v>
      </c>
      <c r="I7" s="56">
        <f>SUMIF('2015-16 12 Mnths'!$A:$A,'Variance16-17'!$A7,'2015-16 12 Mnths'!H:H)-SUMIF('Budget 12 Mnths'!$A:$A,'Variance16-17'!$A7,'Budget 12 Mnths'!I:I)</f>
        <v>0</v>
      </c>
      <c r="J7" s="56">
        <f>SUMIF('2015-16 12 Mnths'!$A:$A,'Variance16-17'!$A7,'2015-16 12 Mnths'!I:I)-SUMIF('Budget 12 Mnths'!$A:$A,'Variance16-17'!$A7,'Budget 12 Mnths'!J:J)</f>
        <v>0</v>
      </c>
      <c r="K7" s="56">
        <f>SUMIF('2015-16 12 Mnths'!$A:$A,'Variance16-17'!$A7,'2015-16 12 Mnths'!J:J)-SUMIF('Budget 12 Mnths'!$A:$A,'Variance16-17'!$A7,'Budget 12 Mnths'!K:K)</f>
        <v>0</v>
      </c>
      <c r="L7" s="56">
        <f>SUMIF('2015-16 12 Mnths'!$A:$A,'Variance16-17'!$A7,'2015-16 12 Mnths'!K:K)-SUMIF('Budget 12 Mnths'!$A:$A,'Variance16-17'!$A7,'Budget 12 Mnths'!L:L)</f>
        <v>0</v>
      </c>
      <c r="M7" s="56"/>
      <c r="N7" s="56"/>
      <c r="O7" s="56"/>
      <c r="P7" s="56">
        <f t="shared" si="1"/>
        <v>0</v>
      </c>
      <c r="Q7" s="14" t="str">
        <f>+VLOOKUP(A7,Mapping!$A$1:$E$443,5,FALSE)</f>
        <v>Contributions In Kind</v>
      </c>
      <c r="R7" s="26">
        <f>+SUMIF('Budget 12 Mnths'!$A:$A,'Variance16-17'!$A7,'Budget 12 Mnths'!$P:$P)</f>
        <v>0</v>
      </c>
      <c r="S7" s="26">
        <f>+SUMIF('2015-16 12 Mnths'!$A:$A,'Variance16-17'!$A7,'2015-16 12 Mnths'!$O:$O)</f>
        <v>0</v>
      </c>
      <c r="T7" s="57">
        <f t="shared" si="2"/>
        <v>0</v>
      </c>
      <c r="U7" s="57">
        <f t="shared" si="3"/>
        <v>0</v>
      </c>
      <c r="W7" s="27"/>
      <c r="X7" s="27" t="str">
        <f t="shared" si="4"/>
        <v/>
      </c>
      <c r="Z7" s="57">
        <f t="shared" si="5"/>
        <v>0</v>
      </c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>
        <f t="shared" si="7"/>
        <v>0</v>
      </c>
    </row>
    <row r="8">
      <c r="A8" s="15" t="s">
        <v>62</v>
      </c>
      <c r="B8" s="15" t="s">
        <v>63</v>
      </c>
      <c r="C8" s="15" t="s">
        <v>41</v>
      </c>
      <c r="D8" s="56">
        <f>SUMIF('2015-16 12 Mnths'!$A:$A,'Variance16-17'!$A8,'2015-16 12 Mnths'!C:C)-SUMIF('Budget 12 Mnths'!$A:$A,'Variance16-17'!$A8,'Budget 12 Mnths'!D:D)</f>
        <v>0</v>
      </c>
      <c r="E8" s="56">
        <f>SUMIF('2015-16 12 Mnths'!$A:$A,'Variance16-17'!$A8,'2015-16 12 Mnths'!D:D)-SUMIF('Budget 12 Mnths'!$A:$A,'Variance16-17'!$A8,'Budget 12 Mnths'!E:E)</f>
        <v>0</v>
      </c>
      <c r="F8" s="56">
        <f>SUMIF('2015-16 12 Mnths'!$A:$A,'Variance16-17'!$A8,'2015-16 12 Mnths'!E:E)-SUMIF('Budget 12 Mnths'!$A:$A,'Variance16-17'!$A8,'Budget 12 Mnths'!F:F)</f>
        <v>0</v>
      </c>
      <c r="G8" s="56">
        <f>SUMIF('2015-16 12 Mnths'!$A:$A,'Variance16-17'!$A8,'2015-16 12 Mnths'!F:F)-SUMIF('Budget 12 Mnths'!$A:$A,'Variance16-17'!$A8,'Budget 12 Mnths'!G:G)</f>
        <v>0</v>
      </c>
      <c r="H8" s="56">
        <f>SUMIF('2015-16 12 Mnths'!$A:$A,'Variance16-17'!$A8,'2015-16 12 Mnths'!G:G)-SUMIF('Budget 12 Mnths'!$A:$A,'Variance16-17'!$A8,'Budget 12 Mnths'!H:H)</f>
        <v>0</v>
      </c>
      <c r="I8" s="56">
        <f>SUMIF('2015-16 12 Mnths'!$A:$A,'Variance16-17'!$A8,'2015-16 12 Mnths'!H:H)-SUMIF('Budget 12 Mnths'!$A:$A,'Variance16-17'!$A8,'Budget 12 Mnths'!I:I)</f>
        <v>0</v>
      </c>
      <c r="J8" s="56">
        <f>SUMIF('2015-16 12 Mnths'!$A:$A,'Variance16-17'!$A8,'2015-16 12 Mnths'!I:I)-SUMIF('Budget 12 Mnths'!$A:$A,'Variance16-17'!$A8,'Budget 12 Mnths'!J:J)</f>
        <v>0</v>
      </c>
      <c r="K8" s="56">
        <f>SUMIF('2015-16 12 Mnths'!$A:$A,'Variance16-17'!$A8,'2015-16 12 Mnths'!J:J)-SUMIF('Budget 12 Mnths'!$A:$A,'Variance16-17'!$A8,'Budget 12 Mnths'!K:K)</f>
        <v>0</v>
      </c>
      <c r="L8" s="56">
        <f>SUMIF('2015-16 12 Mnths'!$A:$A,'Variance16-17'!$A8,'2015-16 12 Mnths'!K:K)-SUMIF('Budget 12 Mnths'!$A:$A,'Variance16-17'!$A8,'Budget 12 Mnths'!L:L)</f>
        <v>0</v>
      </c>
      <c r="M8" s="56"/>
      <c r="N8" s="56"/>
      <c r="O8" s="56"/>
      <c r="P8" s="56">
        <f t="shared" si="1"/>
        <v>0</v>
      </c>
      <c r="Q8" s="14" t="str">
        <f>+VLOOKUP(A8,Mapping!$A$1:$E$443,5,FALSE)</f>
        <v>Contributions</v>
      </c>
      <c r="R8" s="26">
        <f>+SUMIF('Budget 12 Mnths'!$A:$A,'Variance16-17'!$A8,'Budget 12 Mnths'!$P:$P)</f>
        <v>0</v>
      </c>
      <c r="S8" s="26">
        <f>+SUMIF('2015-16 12 Mnths'!$A:$A,'Variance16-17'!$A8,'2015-16 12 Mnths'!$O:$O)</f>
        <v>0</v>
      </c>
      <c r="T8" s="57">
        <f t="shared" si="2"/>
        <v>0</v>
      </c>
      <c r="U8" s="57">
        <f t="shared" si="3"/>
        <v>0</v>
      </c>
      <c r="W8" s="27"/>
      <c r="X8" s="27" t="str">
        <f t="shared" si="4"/>
        <v/>
      </c>
      <c r="Z8" s="57">
        <f t="shared" si="5"/>
        <v>0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>
        <f t="shared" si="7"/>
        <v>0</v>
      </c>
    </row>
    <row r="9">
      <c r="A9" s="15" t="s">
        <v>65</v>
      </c>
      <c r="B9" s="15" t="s">
        <v>66</v>
      </c>
      <c r="C9" s="15" t="s">
        <v>41</v>
      </c>
      <c r="D9" s="56">
        <f>SUMIF('2015-16 12 Mnths'!$A:$A,'Variance16-17'!$A9,'2015-16 12 Mnths'!C:C)-SUMIF('Budget 12 Mnths'!$A:$A,'Variance16-17'!$A9,'Budget 12 Mnths'!D:D)</f>
        <v>0</v>
      </c>
      <c r="E9" s="56">
        <f>SUMIF('2015-16 12 Mnths'!$A:$A,'Variance16-17'!$A9,'2015-16 12 Mnths'!D:D)-SUMIF('Budget 12 Mnths'!$A:$A,'Variance16-17'!$A9,'Budget 12 Mnths'!E:E)</f>
        <v>1268</v>
      </c>
      <c r="F9" s="56">
        <f>SUMIF('2015-16 12 Mnths'!$A:$A,'Variance16-17'!$A9,'2015-16 12 Mnths'!E:E)-SUMIF('Budget 12 Mnths'!$A:$A,'Variance16-17'!$A9,'Budget 12 Mnths'!F:F)</f>
        <v>15450</v>
      </c>
      <c r="G9" s="56">
        <f>SUMIF('2015-16 12 Mnths'!$A:$A,'Variance16-17'!$A9,'2015-16 12 Mnths'!F:F)-SUMIF('Budget 12 Mnths'!$A:$A,'Variance16-17'!$A9,'Budget 12 Mnths'!G:G)</f>
        <v>183</v>
      </c>
      <c r="H9" s="56">
        <f>SUMIF('2015-16 12 Mnths'!$A:$A,'Variance16-17'!$A9,'2015-16 12 Mnths'!G:G)-SUMIF('Budget 12 Mnths'!$A:$A,'Variance16-17'!$A9,'Budget 12 Mnths'!H:H)</f>
        <v>26</v>
      </c>
      <c r="I9" s="56">
        <f>SUMIF('2015-16 12 Mnths'!$A:$A,'Variance16-17'!$A9,'2015-16 12 Mnths'!H:H)-SUMIF('Budget 12 Mnths'!$A:$A,'Variance16-17'!$A9,'Budget 12 Mnths'!I:I)</f>
        <v>85</v>
      </c>
      <c r="J9" s="56">
        <f>SUMIF('2015-16 12 Mnths'!$A:$A,'Variance16-17'!$A9,'2015-16 12 Mnths'!I:I)-SUMIF('Budget 12 Mnths'!$A:$A,'Variance16-17'!$A9,'Budget 12 Mnths'!J:J)</f>
        <v>5125</v>
      </c>
      <c r="K9" s="56">
        <f>SUMIF('2015-16 12 Mnths'!$A:$A,'Variance16-17'!$A9,'2015-16 12 Mnths'!J:J)-SUMIF('Budget 12 Mnths'!$A:$A,'Variance16-17'!$A9,'Budget 12 Mnths'!K:K)</f>
        <v>200</v>
      </c>
      <c r="L9" s="56">
        <f>SUMIF('2015-16 12 Mnths'!$A:$A,'Variance16-17'!$A9,'2015-16 12 Mnths'!K:K)-SUMIF('Budget 12 Mnths'!$A:$A,'Variance16-17'!$A9,'Budget 12 Mnths'!L:L)</f>
        <v>443.5</v>
      </c>
      <c r="M9" s="56"/>
      <c r="N9" s="56"/>
      <c r="O9" s="56"/>
      <c r="P9" s="56">
        <f t="shared" si="1"/>
        <v>22780.5</v>
      </c>
      <c r="Q9" s="14" t="str">
        <f>+VLOOKUP(A9,Mapping!$A$1:$E$443,5,FALSE)</f>
        <v>Contributions</v>
      </c>
      <c r="R9" s="26">
        <f>+SUMIF('Budget 12 Mnths'!$A:$A,'Variance16-17'!$A9,'Budget 12 Mnths'!$P:$P)</f>
        <v>0</v>
      </c>
      <c r="S9" s="26">
        <f>+SUMIF('2015-16 12 Mnths'!$A:$A,'Variance16-17'!$A9,'2015-16 12 Mnths'!$O:$O)</f>
        <v>22780.5</v>
      </c>
      <c r="T9" s="57">
        <f t="shared" si="2"/>
        <v>0</v>
      </c>
      <c r="U9" s="57">
        <f t="shared" si="3"/>
        <v>1</v>
      </c>
      <c r="W9" s="27"/>
      <c r="X9" s="27" t="str">
        <f t="shared" si="4"/>
        <v/>
      </c>
      <c r="Z9" s="57">
        <f t="shared" si="5"/>
        <v>0</v>
      </c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>
        <f t="shared" si="7"/>
        <v>0</v>
      </c>
    </row>
    <row r="10">
      <c r="A10" s="15" t="s">
        <v>68</v>
      </c>
      <c r="B10" s="15" t="s">
        <v>69</v>
      </c>
      <c r="C10" s="15" t="s">
        <v>41</v>
      </c>
      <c r="D10" s="56">
        <f>SUMIF('2015-16 12 Mnths'!$A:$A,'Variance16-17'!$A10,'2015-16 12 Mnths'!C:C)-SUMIF('Budget 12 Mnths'!$A:$A,'Variance16-17'!$A10,'Budget 12 Mnths'!D:D)</f>
        <v>0</v>
      </c>
      <c r="E10" s="56">
        <f>SUMIF('2015-16 12 Mnths'!$A:$A,'Variance16-17'!$A10,'2015-16 12 Mnths'!D:D)-SUMIF('Budget 12 Mnths'!$A:$A,'Variance16-17'!$A10,'Budget 12 Mnths'!E:E)</f>
        <v>0</v>
      </c>
      <c r="F10" s="56">
        <f>SUMIF('2015-16 12 Mnths'!$A:$A,'Variance16-17'!$A10,'2015-16 12 Mnths'!E:E)-SUMIF('Budget 12 Mnths'!$A:$A,'Variance16-17'!$A10,'Budget 12 Mnths'!F:F)</f>
        <v>0</v>
      </c>
      <c r="G10" s="56">
        <f>SUMIF('2015-16 12 Mnths'!$A:$A,'Variance16-17'!$A10,'2015-16 12 Mnths'!F:F)-SUMIF('Budget 12 Mnths'!$A:$A,'Variance16-17'!$A10,'Budget 12 Mnths'!G:G)</f>
        <v>0</v>
      </c>
      <c r="H10" s="56">
        <f>SUMIF('2015-16 12 Mnths'!$A:$A,'Variance16-17'!$A10,'2015-16 12 Mnths'!G:G)-SUMIF('Budget 12 Mnths'!$A:$A,'Variance16-17'!$A10,'Budget 12 Mnths'!H:H)</f>
        <v>0</v>
      </c>
      <c r="I10" s="56">
        <f>SUMIF('2015-16 12 Mnths'!$A:$A,'Variance16-17'!$A10,'2015-16 12 Mnths'!H:H)-SUMIF('Budget 12 Mnths'!$A:$A,'Variance16-17'!$A10,'Budget 12 Mnths'!I:I)</f>
        <v>0</v>
      </c>
      <c r="J10" s="56">
        <f>SUMIF('2015-16 12 Mnths'!$A:$A,'Variance16-17'!$A10,'2015-16 12 Mnths'!I:I)-SUMIF('Budget 12 Mnths'!$A:$A,'Variance16-17'!$A10,'Budget 12 Mnths'!J:J)</f>
        <v>0</v>
      </c>
      <c r="K10" s="56">
        <f>SUMIF('2015-16 12 Mnths'!$A:$A,'Variance16-17'!$A10,'2015-16 12 Mnths'!J:J)-SUMIF('Budget 12 Mnths'!$A:$A,'Variance16-17'!$A10,'Budget 12 Mnths'!K:K)</f>
        <v>0</v>
      </c>
      <c r="L10" s="56">
        <f>SUMIF('2015-16 12 Mnths'!$A:$A,'Variance16-17'!$A10,'2015-16 12 Mnths'!K:K)-SUMIF('Budget 12 Mnths'!$A:$A,'Variance16-17'!$A10,'Budget 12 Mnths'!L:L)</f>
        <v>0</v>
      </c>
      <c r="M10" s="56"/>
      <c r="N10" s="56"/>
      <c r="O10" s="56"/>
      <c r="P10" s="56">
        <f t="shared" si="1"/>
        <v>0</v>
      </c>
      <c r="Q10" s="14" t="str">
        <f>+VLOOKUP(A10,Mapping!$A$1:$E$443,5,FALSE)</f>
        <v>Contributions</v>
      </c>
      <c r="R10" s="26">
        <f>+SUMIF('Budget 12 Mnths'!$A:$A,'Variance16-17'!$A10,'Budget 12 Mnths'!$P:$P)</f>
        <v>0</v>
      </c>
      <c r="S10" s="26">
        <f>+SUMIF('2015-16 12 Mnths'!$A:$A,'Variance16-17'!$A10,'2015-16 12 Mnths'!$O:$O)</f>
        <v>0</v>
      </c>
      <c r="T10" s="57">
        <f t="shared" si="2"/>
        <v>0</v>
      </c>
      <c r="U10" s="57">
        <f t="shared" si="3"/>
        <v>0</v>
      </c>
      <c r="W10" s="27"/>
      <c r="X10" s="27" t="str">
        <f t="shared" si="4"/>
        <v/>
      </c>
      <c r="Z10" s="57">
        <f t="shared" si="5"/>
        <v>0</v>
      </c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>
        <f t="shared" si="7"/>
        <v>0</v>
      </c>
    </row>
    <row r="11">
      <c r="A11" s="15" t="s">
        <v>70</v>
      </c>
      <c r="B11" s="15" t="s">
        <v>71</v>
      </c>
      <c r="C11" s="15" t="s">
        <v>41</v>
      </c>
      <c r="D11" s="56">
        <f>SUMIF('2015-16 12 Mnths'!$A:$A,'Variance16-17'!$A11,'2015-16 12 Mnths'!C:C)-SUMIF('Budget 12 Mnths'!$A:$A,'Variance16-17'!$A11,'Budget 12 Mnths'!D:D)</f>
        <v>0</v>
      </c>
      <c r="E11" s="56">
        <f>SUMIF('2015-16 12 Mnths'!$A:$A,'Variance16-17'!$A11,'2015-16 12 Mnths'!D:D)-SUMIF('Budget 12 Mnths'!$A:$A,'Variance16-17'!$A11,'Budget 12 Mnths'!E:E)</f>
        <v>-5105.63</v>
      </c>
      <c r="F11" s="56">
        <f>SUMIF('2015-16 12 Mnths'!$A:$A,'Variance16-17'!$A11,'2015-16 12 Mnths'!E:E)-SUMIF('Budget 12 Mnths'!$A:$A,'Variance16-17'!$A11,'Budget 12 Mnths'!F:F)</f>
        <v>-7421.06</v>
      </c>
      <c r="G11" s="56">
        <f>SUMIF('2015-16 12 Mnths'!$A:$A,'Variance16-17'!$A11,'2015-16 12 Mnths'!F:F)-SUMIF('Budget 12 Mnths'!$A:$A,'Variance16-17'!$A11,'Budget 12 Mnths'!G:G)</f>
        <v>-7421.06</v>
      </c>
      <c r="H11" s="56">
        <f>SUMIF('2015-16 12 Mnths'!$A:$A,'Variance16-17'!$A11,'2015-16 12 Mnths'!G:G)-SUMIF('Budget 12 Mnths'!$A:$A,'Variance16-17'!$A11,'Budget 12 Mnths'!H:H)</f>
        <v>-4431.56</v>
      </c>
      <c r="I11" s="56">
        <f>SUMIF('2015-16 12 Mnths'!$A:$A,'Variance16-17'!$A11,'2015-16 12 Mnths'!H:H)-SUMIF('Budget 12 Mnths'!$A:$A,'Variance16-17'!$A11,'Budget 12 Mnths'!I:I)</f>
        <v>-4431.56</v>
      </c>
      <c r="J11" s="56">
        <f>SUMIF('2015-16 12 Mnths'!$A:$A,'Variance16-17'!$A11,'2015-16 12 Mnths'!I:I)-SUMIF('Budget 12 Mnths'!$A:$A,'Variance16-17'!$A11,'Budget 12 Mnths'!J:J)</f>
        <v>1083.84</v>
      </c>
      <c r="K11" s="56">
        <f>SUMIF('2015-16 12 Mnths'!$A:$A,'Variance16-17'!$A11,'2015-16 12 Mnths'!J:J)-SUMIF('Budget 12 Mnths'!$A:$A,'Variance16-17'!$A11,'Budget 12 Mnths'!K:K)</f>
        <v>2247.67</v>
      </c>
      <c r="L11" s="56">
        <f>SUMIF('2015-16 12 Mnths'!$A:$A,'Variance16-17'!$A11,'2015-16 12 Mnths'!K:K)-SUMIF('Budget 12 Mnths'!$A:$A,'Variance16-17'!$A11,'Budget 12 Mnths'!L:L)</f>
        <v>2247.67</v>
      </c>
      <c r="M11" s="56"/>
      <c r="N11" s="56"/>
      <c r="O11" s="56"/>
      <c r="P11" s="56">
        <f t="shared" si="1"/>
        <v>-23231.69</v>
      </c>
      <c r="Q11" s="14" t="str">
        <f>+VLOOKUP(A11,Mapping!$A$1:$E$443,5,FALSE)</f>
        <v>Tuition</v>
      </c>
      <c r="R11" s="26">
        <f>+SUMIF('Budget 12 Mnths'!$A:$A,'Variance16-17'!$A11,'Budget 12 Mnths'!$P:$P)</f>
        <v>942168.01</v>
      </c>
      <c r="S11" s="26">
        <f>+SUMIF('2015-16 12 Mnths'!$A:$A,'Variance16-17'!$A11,'2015-16 12 Mnths'!$O:$O)</f>
        <v>720585.16</v>
      </c>
      <c r="T11" s="57">
        <f t="shared" si="2"/>
        <v>-0.02465769348</v>
      </c>
      <c r="U11" s="57">
        <f t="shared" si="3"/>
        <v>-0.03224003392</v>
      </c>
      <c r="V11" s="8" t="s">
        <v>594</v>
      </c>
      <c r="W11" s="51">
        <v>981882.0</v>
      </c>
      <c r="X11" s="58">
        <f>+'Tuition 16-17'!B31+'Tuition 16-17'!B32</f>
        <v>722072</v>
      </c>
      <c r="Y11" s="8" t="s">
        <v>601</v>
      </c>
      <c r="Z11" s="57">
        <f>+X11/9.5*4.5</f>
        <v>342034.1053</v>
      </c>
      <c r="AA11" s="27">
        <v>0.0</v>
      </c>
      <c r="AB11" s="57">
        <f>+$X11/9.5*0.5</f>
        <v>38003.78947</v>
      </c>
      <c r="AC11" s="57">
        <f t="shared" ref="AC11:AK11" si="8">+$X11/9.5</f>
        <v>76007.57895</v>
      </c>
      <c r="AD11" s="57">
        <f t="shared" si="8"/>
        <v>76007.57895</v>
      </c>
      <c r="AE11" s="57">
        <f t="shared" si="8"/>
        <v>76007.57895</v>
      </c>
      <c r="AF11" s="57">
        <f t="shared" si="8"/>
        <v>76007.57895</v>
      </c>
      <c r="AG11" s="57">
        <f t="shared" si="8"/>
        <v>76007.57895</v>
      </c>
      <c r="AH11" s="57">
        <f t="shared" si="8"/>
        <v>76007.57895</v>
      </c>
      <c r="AI11" s="57">
        <f t="shared" si="8"/>
        <v>76007.57895</v>
      </c>
      <c r="AJ11" s="57">
        <f t="shared" si="8"/>
        <v>76007.57895</v>
      </c>
      <c r="AK11" s="57">
        <f t="shared" si="8"/>
        <v>76007.57895</v>
      </c>
      <c r="AL11" s="27">
        <v>0.0</v>
      </c>
      <c r="AM11" s="27">
        <f t="shared" si="7"/>
        <v>0</v>
      </c>
    </row>
    <row r="12">
      <c r="A12" s="15" t="s">
        <v>73</v>
      </c>
      <c r="B12" s="15" t="s">
        <v>74</v>
      </c>
      <c r="C12" s="15" t="s">
        <v>41</v>
      </c>
      <c r="D12" s="56">
        <f>SUMIF('2015-16 12 Mnths'!$A:$A,'Variance16-17'!$A12,'2015-16 12 Mnths'!C:C)-SUMIF('Budget 12 Mnths'!$A:$A,'Variance16-17'!$A12,'Budget 12 Mnths'!D:D)</f>
        <v>0</v>
      </c>
      <c r="E12" s="56">
        <f>SUMIF('2015-16 12 Mnths'!$A:$A,'Variance16-17'!$A12,'2015-16 12 Mnths'!D:D)-SUMIF('Budget 12 Mnths'!$A:$A,'Variance16-17'!$A12,'Budget 12 Mnths'!E:E)</f>
        <v>1455</v>
      </c>
      <c r="F12" s="56">
        <f>SUMIF('2015-16 12 Mnths'!$A:$A,'Variance16-17'!$A12,'2015-16 12 Mnths'!E:E)-SUMIF('Budget 12 Mnths'!$A:$A,'Variance16-17'!$A12,'Budget 12 Mnths'!F:F)</f>
        <v>-680</v>
      </c>
      <c r="G12" s="56">
        <f>SUMIF('2015-16 12 Mnths'!$A:$A,'Variance16-17'!$A12,'2015-16 12 Mnths'!F:F)-SUMIF('Budget 12 Mnths'!$A:$A,'Variance16-17'!$A12,'Budget 12 Mnths'!G:G)</f>
        <v>-340</v>
      </c>
      <c r="H12" s="56">
        <f>SUMIF('2015-16 12 Mnths'!$A:$A,'Variance16-17'!$A12,'2015-16 12 Mnths'!G:G)-SUMIF('Budget 12 Mnths'!$A:$A,'Variance16-17'!$A12,'Budget 12 Mnths'!H:H)</f>
        <v>35</v>
      </c>
      <c r="I12" s="56">
        <f>SUMIF('2015-16 12 Mnths'!$A:$A,'Variance16-17'!$A12,'2015-16 12 Mnths'!H:H)-SUMIF('Budget 12 Mnths'!$A:$A,'Variance16-17'!$A12,'Budget 12 Mnths'!I:I)</f>
        <v>-340</v>
      </c>
      <c r="J12" s="56">
        <f>SUMIF('2015-16 12 Mnths'!$A:$A,'Variance16-17'!$A12,'2015-16 12 Mnths'!I:I)-SUMIF('Budget 12 Mnths'!$A:$A,'Variance16-17'!$A12,'Budget 12 Mnths'!J:J)</f>
        <v>820</v>
      </c>
      <c r="K12" s="56">
        <f>SUMIF('2015-16 12 Mnths'!$A:$A,'Variance16-17'!$A12,'2015-16 12 Mnths'!J:J)-SUMIF('Budget 12 Mnths'!$A:$A,'Variance16-17'!$A12,'Budget 12 Mnths'!K:K)</f>
        <v>-305</v>
      </c>
      <c r="L12" s="56">
        <f>SUMIF('2015-16 12 Mnths'!$A:$A,'Variance16-17'!$A12,'2015-16 12 Mnths'!K:K)-SUMIF('Budget 12 Mnths'!$A:$A,'Variance16-17'!$A12,'Budget 12 Mnths'!L:L)</f>
        <v>-680</v>
      </c>
      <c r="M12" s="56"/>
      <c r="N12" s="56"/>
      <c r="O12" s="56"/>
      <c r="P12" s="56">
        <f t="shared" si="1"/>
        <v>-35</v>
      </c>
      <c r="Q12" s="14" t="str">
        <f>+VLOOKUP(A12,Mapping!$A$1:$E$443,5,FALSE)</f>
        <v>Tuition</v>
      </c>
      <c r="R12" s="26">
        <f>+SUMIF('Budget 12 Mnths'!$A:$A,'Variance16-17'!$A12,'Budget 12 Mnths'!$P:$P)</f>
        <v>25500</v>
      </c>
      <c r="S12" s="26">
        <f>+SUMIF('2015-16 12 Mnths'!$A:$A,'Variance16-17'!$A12,'2015-16 12 Mnths'!$O:$O)</f>
        <v>25125</v>
      </c>
      <c r="T12" s="57">
        <f t="shared" si="2"/>
        <v>-0.00137254902</v>
      </c>
      <c r="U12" s="57">
        <f t="shared" si="3"/>
        <v>-0.001393034826</v>
      </c>
      <c r="V12" s="8" t="s">
        <v>594</v>
      </c>
      <c r="W12" s="51">
        <v>25500.0</v>
      </c>
      <c r="X12" s="58">
        <f>+'Tuition 16-17'!B30*'Tuition 16-17'!B21</f>
        <v>18750</v>
      </c>
      <c r="Y12" s="8" t="s">
        <v>601</v>
      </c>
      <c r="Z12" s="57">
        <f>+X12*0.95</f>
        <v>17812.5</v>
      </c>
      <c r="AA12" s="27">
        <v>0.0</v>
      </c>
      <c r="AB12" s="27">
        <f>+X12*0.85</f>
        <v>15937.5</v>
      </c>
      <c r="AC12" s="27">
        <f>+X12*0.1</f>
        <v>1875</v>
      </c>
      <c r="AD12" s="27">
        <v>0.0</v>
      </c>
      <c r="AE12" s="27">
        <v>0.0</v>
      </c>
      <c r="AF12" s="27">
        <v>0.0</v>
      </c>
      <c r="AG12" s="27">
        <f>+X12-AB12-AC12</f>
        <v>937.5</v>
      </c>
      <c r="AH12" s="27"/>
      <c r="AI12" s="27"/>
      <c r="AJ12" s="27"/>
      <c r="AK12" s="27"/>
      <c r="AL12" s="27"/>
      <c r="AM12" s="27">
        <f t="shared" si="7"/>
        <v>0</v>
      </c>
    </row>
    <row r="13">
      <c r="A13" s="15" t="s">
        <v>75</v>
      </c>
      <c r="B13" s="15" t="s">
        <v>76</v>
      </c>
      <c r="C13" s="15" t="s">
        <v>41</v>
      </c>
      <c r="D13" s="56">
        <f>SUMIF('2015-16 12 Mnths'!$A:$A,'Variance16-17'!$A13,'2015-16 12 Mnths'!C:C)-SUMIF('Budget 12 Mnths'!$A:$A,'Variance16-17'!$A13,'Budget 12 Mnths'!D:D)</f>
        <v>0</v>
      </c>
      <c r="E13" s="56">
        <f>SUMIF('2015-16 12 Mnths'!$A:$A,'Variance16-17'!$A13,'2015-16 12 Mnths'!D:D)-SUMIF('Budget 12 Mnths'!$A:$A,'Variance16-17'!$A13,'Budget 12 Mnths'!E:E)</f>
        <v>0</v>
      </c>
      <c r="F13" s="56">
        <f>SUMIF('2015-16 12 Mnths'!$A:$A,'Variance16-17'!$A13,'2015-16 12 Mnths'!E:E)-SUMIF('Budget 12 Mnths'!$A:$A,'Variance16-17'!$A13,'Budget 12 Mnths'!F:F)</f>
        <v>0</v>
      </c>
      <c r="G13" s="56">
        <f>SUMIF('2015-16 12 Mnths'!$A:$A,'Variance16-17'!$A13,'2015-16 12 Mnths'!F:F)-SUMIF('Budget 12 Mnths'!$A:$A,'Variance16-17'!$A13,'Budget 12 Mnths'!G:G)</f>
        <v>0</v>
      </c>
      <c r="H13" s="56">
        <f>SUMIF('2015-16 12 Mnths'!$A:$A,'Variance16-17'!$A13,'2015-16 12 Mnths'!G:G)-SUMIF('Budget 12 Mnths'!$A:$A,'Variance16-17'!$A13,'Budget 12 Mnths'!H:H)</f>
        <v>0</v>
      </c>
      <c r="I13" s="56">
        <f>SUMIF('2015-16 12 Mnths'!$A:$A,'Variance16-17'!$A13,'2015-16 12 Mnths'!H:H)-SUMIF('Budget 12 Mnths'!$A:$A,'Variance16-17'!$A13,'Budget 12 Mnths'!I:I)</f>
        <v>0</v>
      </c>
      <c r="J13" s="56">
        <f>SUMIF('2015-16 12 Mnths'!$A:$A,'Variance16-17'!$A13,'2015-16 12 Mnths'!I:I)-SUMIF('Budget 12 Mnths'!$A:$A,'Variance16-17'!$A13,'Budget 12 Mnths'!J:J)</f>
        <v>0</v>
      </c>
      <c r="K13" s="56">
        <f>SUMIF('2015-16 12 Mnths'!$A:$A,'Variance16-17'!$A13,'2015-16 12 Mnths'!J:J)-SUMIF('Budget 12 Mnths'!$A:$A,'Variance16-17'!$A13,'Budget 12 Mnths'!K:K)</f>
        <v>0</v>
      </c>
      <c r="L13" s="56">
        <f>SUMIF('2015-16 12 Mnths'!$A:$A,'Variance16-17'!$A13,'2015-16 12 Mnths'!K:K)-SUMIF('Budget 12 Mnths'!$A:$A,'Variance16-17'!$A13,'Budget 12 Mnths'!L:L)</f>
        <v>0</v>
      </c>
      <c r="M13" s="56"/>
      <c r="N13" s="56"/>
      <c r="O13" s="56"/>
      <c r="P13" s="56">
        <f t="shared" si="1"/>
        <v>0</v>
      </c>
      <c r="Q13" s="14" t="str">
        <f>+VLOOKUP(A13,Mapping!$A$1:$E$443,5,FALSE)</f>
        <v>Tuition</v>
      </c>
      <c r="R13" s="26">
        <f>+SUMIF('Budget 12 Mnths'!$A:$A,'Variance16-17'!$A13,'Budget 12 Mnths'!$P:$P)</f>
        <v>2000</v>
      </c>
      <c r="S13" s="26">
        <f>+SUMIF('2015-16 12 Mnths'!$A:$A,'Variance16-17'!$A13,'2015-16 12 Mnths'!$O:$O)</f>
        <v>0</v>
      </c>
      <c r="T13" s="57">
        <f t="shared" si="2"/>
        <v>0</v>
      </c>
      <c r="U13" s="57">
        <f t="shared" si="3"/>
        <v>0</v>
      </c>
      <c r="V13" s="8" t="s">
        <v>641</v>
      </c>
      <c r="W13" s="27">
        <f t="shared" ref="W13:W14" si="9">+R13</f>
        <v>2000</v>
      </c>
      <c r="X13" s="27">
        <f t="shared" ref="X13:X107" si="10">+W13</f>
        <v>2000</v>
      </c>
      <c r="Z13" s="57">
        <f t="shared" ref="Z13:Z17" si="11">+X13/2</f>
        <v>1000</v>
      </c>
      <c r="AA13" s="27">
        <v>1000.0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>
        <v>1000.0</v>
      </c>
      <c r="AM13" s="27">
        <f t="shared" si="7"/>
        <v>0</v>
      </c>
    </row>
    <row r="14">
      <c r="A14" s="15" t="s">
        <v>79</v>
      </c>
      <c r="B14" s="15" t="s">
        <v>80</v>
      </c>
      <c r="C14" s="15" t="s">
        <v>41</v>
      </c>
      <c r="D14" s="56">
        <f>SUMIF('2015-16 12 Mnths'!$A:$A,'Variance16-17'!$A14,'2015-16 12 Mnths'!C:C)-SUMIF('Budget 12 Mnths'!$A:$A,'Variance16-17'!$A14,'Budget 12 Mnths'!D:D)</f>
        <v>-116.67</v>
      </c>
      <c r="E14" s="56">
        <f>SUMIF('2015-16 12 Mnths'!$A:$A,'Variance16-17'!$A14,'2015-16 12 Mnths'!D:D)-SUMIF('Budget 12 Mnths'!$A:$A,'Variance16-17'!$A14,'Budget 12 Mnths'!E:E)</f>
        <v>-17.67</v>
      </c>
      <c r="F14" s="56">
        <f>SUMIF('2015-16 12 Mnths'!$A:$A,'Variance16-17'!$A14,'2015-16 12 Mnths'!E:E)-SUMIF('Budget 12 Mnths'!$A:$A,'Variance16-17'!$A14,'Budget 12 Mnths'!F:F)</f>
        <v>-66.67</v>
      </c>
      <c r="G14" s="56">
        <f>SUMIF('2015-16 12 Mnths'!$A:$A,'Variance16-17'!$A14,'2015-16 12 Mnths'!F:F)-SUMIF('Budget 12 Mnths'!$A:$A,'Variance16-17'!$A14,'Budget 12 Mnths'!G:G)</f>
        <v>150</v>
      </c>
      <c r="H14" s="56">
        <f>SUMIF('2015-16 12 Mnths'!$A:$A,'Variance16-17'!$A14,'2015-16 12 Mnths'!G:G)-SUMIF('Budget 12 Mnths'!$A:$A,'Variance16-17'!$A14,'Budget 12 Mnths'!H:H)</f>
        <v>50</v>
      </c>
      <c r="I14" s="56">
        <f>SUMIF('2015-16 12 Mnths'!$A:$A,'Variance16-17'!$A14,'2015-16 12 Mnths'!H:H)-SUMIF('Budget 12 Mnths'!$A:$A,'Variance16-17'!$A14,'Budget 12 Mnths'!I:I)</f>
        <v>150</v>
      </c>
      <c r="J14" s="56">
        <f>SUMIF('2015-16 12 Mnths'!$A:$A,'Variance16-17'!$A14,'2015-16 12 Mnths'!I:I)-SUMIF('Budget 12 Mnths'!$A:$A,'Variance16-17'!$A14,'Budget 12 Mnths'!J:J)</f>
        <v>100</v>
      </c>
      <c r="K14" s="56">
        <f>SUMIF('2015-16 12 Mnths'!$A:$A,'Variance16-17'!$A14,'2015-16 12 Mnths'!J:J)-SUMIF('Budget 12 Mnths'!$A:$A,'Variance16-17'!$A14,'Budget 12 Mnths'!K:K)</f>
        <v>50</v>
      </c>
      <c r="L14" s="56">
        <f>SUMIF('2015-16 12 Mnths'!$A:$A,'Variance16-17'!$A14,'2015-16 12 Mnths'!K:K)-SUMIF('Budget 12 Mnths'!$A:$A,'Variance16-17'!$A14,'Budget 12 Mnths'!L:L)</f>
        <v>100</v>
      </c>
      <c r="M14" s="56"/>
      <c r="N14" s="56"/>
      <c r="O14" s="56"/>
      <c r="P14" s="56">
        <f t="shared" si="1"/>
        <v>398.99</v>
      </c>
      <c r="Q14" s="14" t="str">
        <f>+VLOOKUP(A14,Mapping!$A$1:$E$443,5,FALSE)</f>
        <v>Tuition</v>
      </c>
      <c r="R14" s="26">
        <f>+SUMIF('Budget 12 Mnths'!$A:$A,'Variance16-17'!$A14,'Budget 12 Mnths'!$P:$P)</f>
        <v>1000.02</v>
      </c>
      <c r="S14" s="26">
        <f>+SUMIF('2015-16 12 Mnths'!$A:$A,'Variance16-17'!$A14,'2015-16 12 Mnths'!$O:$O)</f>
        <v>949</v>
      </c>
      <c r="T14" s="57">
        <f t="shared" si="2"/>
        <v>0.3989820204</v>
      </c>
      <c r="U14" s="57">
        <f t="shared" si="3"/>
        <v>0.4204320337</v>
      </c>
      <c r="V14" s="8" t="s">
        <v>641</v>
      </c>
      <c r="W14" s="27">
        <f t="shared" si="9"/>
        <v>1000.02</v>
      </c>
      <c r="X14" s="27">
        <f t="shared" si="10"/>
        <v>1000.02</v>
      </c>
      <c r="Z14" s="57">
        <f t="shared" si="11"/>
        <v>500.01</v>
      </c>
      <c r="AA14" s="27">
        <v>375.0</v>
      </c>
      <c r="AB14" s="27">
        <v>125.0</v>
      </c>
      <c r="AC14" s="27"/>
      <c r="AD14" s="27"/>
      <c r="AE14" s="27">
        <v>125.0</v>
      </c>
      <c r="AF14" s="27">
        <v>125.0</v>
      </c>
      <c r="AG14" s="27">
        <v>125.0</v>
      </c>
      <c r="AH14" s="27">
        <v>125.02</v>
      </c>
      <c r="AI14" s="27"/>
      <c r="AJ14" s="27"/>
      <c r="AK14" s="27"/>
      <c r="AL14" s="27"/>
      <c r="AM14" s="27">
        <f t="shared" si="7"/>
        <v>0</v>
      </c>
    </row>
    <row r="15">
      <c r="A15" s="15" t="s">
        <v>82</v>
      </c>
      <c r="B15" s="15" t="s">
        <v>83</v>
      </c>
      <c r="C15" s="15" t="s">
        <v>41</v>
      </c>
      <c r="D15" s="56">
        <f>SUMIF('2015-16 12 Mnths'!$A:$A,'Variance16-17'!$A15,'2015-16 12 Mnths'!C:C)-SUMIF('Budget 12 Mnths'!$A:$A,'Variance16-17'!$A15,'Budget 12 Mnths'!D:D)</f>
        <v>0</v>
      </c>
      <c r="E15" s="56">
        <f>SUMIF('2015-16 12 Mnths'!$A:$A,'Variance16-17'!$A15,'2015-16 12 Mnths'!D:D)-SUMIF('Budget 12 Mnths'!$A:$A,'Variance16-17'!$A15,'Budget 12 Mnths'!E:E)</f>
        <v>0</v>
      </c>
      <c r="F15" s="56">
        <f>SUMIF('2015-16 12 Mnths'!$A:$A,'Variance16-17'!$A15,'2015-16 12 Mnths'!E:E)-SUMIF('Budget 12 Mnths'!$A:$A,'Variance16-17'!$A15,'Budget 12 Mnths'!F:F)</f>
        <v>600</v>
      </c>
      <c r="G15" s="56">
        <f>SUMIF('2015-16 12 Mnths'!$A:$A,'Variance16-17'!$A15,'2015-16 12 Mnths'!F:F)-SUMIF('Budget 12 Mnths'!$A:$A,'Variance16-17'!$A15,'Budget 12 Mnths'!G:G)</f>
        <v>0</v>
      </c>
      <c r="H15" s="56">
        <f>SUMIF('2015-16 12 Mnths'!$A:$A,'Variance16-17'!$A15,'2015-16 12 Mnths'!G:G)-SUMIF('Budget 12 Mnths'!$A:$A,'Variance16-17'!$A15,'Budget 12 Mnths'!H:H)</f>
        <v>0</v>
      </c>
      <c r="I15" s="56">
        <f>SUMIF('2015-16 12 Mnths'!$A:$A,'Variance16-17'!$A15,'2015-16 12 Mnths'!H:H)-SUMIF('Budget 12 Mnths'!$A:$A,'Variance16-17'!$A15,'Budget 12 Mnths'!I:I)</f>
        <v>0</v>
      </c>
      <c r="J15" s="56">
        <f>SUMIF('2015-16 12 Mnths'!$A:$A,'Variance16-17'!$A15,'2015-16 12 Mnths'!I:I)-SUMIF('Budget 12 Mnths'!$A:$A,'Variance16-17'!$A15,'Budget 12 Mnths'!J:J)</f>
        <v>0</v>
      </c>
      <c r="K15" s="56">
        <f>SUMIF('2015-16 12 Mnths'!$A:$A,'Variance16-17'!$A15,'2015-16 12 Mnths'!J:J)-SUMIF('Budget 12 Mnths'!$A:$A,'Variance16-17'!$A15,'Budget 12 Mnths'!K:K)</f>
        <v>0</v>
      </c>
      <c r="L15" s="56">
        <f>SUMIF('2015-16 12 Mnths'!$A:$A,'Variance16-17'!$A15,'2015-16 12 Mnths'!K:K)-SUMIF('Budget 12 Mnths'!$A:$A,'Variance16-17'!$A15,'Budget 12 Mnths'!L:L)</f>
        <v>0</v>
      </c>
      <c r="M15" s="56"/>
      <c r="N15" s="56"/>
      <c r="O15" s="56"/>
      <c r="P15" s="56">
        <f t="shared" si="1"/>
        <v>600</v>
      </c>
      <c r="Q15" s="14" t="str">
        <f>+VLOOKUP(A15,Mapping!$A$1:$E$443,5,FALSE)</f>
        <v>Tuition</v>
      </c>
      <c r="R15" s="26">
        <f>+SUMIF('Budget 12 Mnths'!$A:$A,'Variance16-17'!$A15,'Budget 12 Mnths'!$P:$P)</f>
        <v>0</v>
      </c>
      <c r="S15" s="26">
        <f>+SUMIF('2015-16 12 Mnths'!$A:$A,'Variance16-17'!$A15,'2015-16 12 Mnths'!$O:$O)</f>
        <v>600</v>
      </c>
      <c r="T15" s="57">
        <f t="shared" si="2"/>
        <v>0</v>
      </c>
      <c r="U15" s="57">
        <f t="shared" si="3"/>
        <v>1</v>
      </c>
      <c r="W15" s="27"/>
      <c r="X15" s="27" t="str">
        <f t="shared" si="10"/>
        <v/>
      </c>
      <c r="Z15" s="57">
        <f t="shared" si="11"/>
        <v>0</v>
      </c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>
        <f t="shared" si="7"/>
        <v>0</v>
      </c>
    </row>
    <row r="16">
      <c r="A16" s="15" t="s">
        <v>85</v>
      </c>
      <c r="B16" s="15" t="s">
        <v>86</v>
      </c>
      <c r="C16" s="15" t="s">
        <v>41</v>
      </c>
      <c r="D16" s="56">
        <f>SUMIF('2015-16 12 Mnths'!$A:$A,'Variance16-17'!$A16,'2015-16 12 Mnths'!C:C)-SUMIF('Budget 12 Mnths'!$A:$A,'Variance16-17'!$A16,'Budget 12 Mnths'!D:D)</f>
        <v>0</v>
      </c>
      <c r="E16" s="56">
        <f>SUMIF('2015-16 12 Mnths'!$A:$A,'Variance16-17'!$A16,'2015-16 12 Mnths'!D:D)-SUMIF('Budget 12 Mnths'!$A:$A,'Variance16-17'!$A16,'Budget 12 Mnths'!E:E)</f>
        <v>-263.16</v>
      </c>
      <c r="F16" s="56">
        <f>SUMIF('2015-16 12 Mnths'!$A:$A,'Variance16-17'!$A16,'2015-16 12 Mnths'!E:E)-SUMIF('Budget 12 Mnths'!$A:$A,'Variance16-17'!$A16,'Budget 12 Mnths'!F:F)</f>
        <v>-526.32</v>
      </c>
      <c r="G16" s="56">
        <f>SUMIF('2015-16 12 Mnths'!$A:$A,'Variance16-17'!$A16,'2015-16 12 Mnths'!F:F)-SUMIF('Budget 12 Mnths'!$A:$A,'Variance16-17'!$A16,'Budget 12 Mnths'!G:G)</f>
        <v>-526.32</v>
      </c>
      <c r="H16" s="56">
        <f>SUMIF('2015-16 12 Mnths'!$A:$A,'Variance16-17'!$A16,'2015-16 12 Mnths'!G:G)-SUMIF('Budget 12 Mnths'!$A:$A,'Variance16-17'!$A16,'Budget 12 Mnths'!H:H)</f>
        <v>-526.32</v>
      </c>
      <c r="I16" s="56">
        <f>SUMIF('2015-16 12 Mnths'!$A:$A,'Variance16-17'!$A16,'2015-16 12 Mnths'!H:H)-SUMIF('Budget 12 Mnths'!$A:$A,'Variance16-17'!$A16,'Budget 12 Mnths'!I:I)</f>
        <v>-526.32</v>
      </c>
      <c r="J16" s="56">
        <f>SUMIF('2015-16 12 Mnths'!$A:$A,'Variance16-17'!$A16,'2015-16 12 Mnths'!I:I)-SUMIF('Budget 12 Mnths'!$A:$A,'Variance16-17'!$A16,'Budget 12 Mnths'!J:J)</f>
        <v>-526.32</v>
      </c>
      <c r="K16" s="56">
        <f>SUMIF('2015-16 12 Mnths'!$A:$A,'Variance16-17'!$A16,'2015-16 12 Mnths'!J:J)-SUMIF('Budget 12 Mnths'!$A:$A,'Variance16-17'!$A16,'Budget 12 Mnths'!K:K)</f>
        <v>-526.32</v>
      </c>
      <c r="L16" s="56">
        <f>SUMIF('2015-16 12 Mnths'!$A:$A,'Variance16-17'!$A16,'2015-16 12 Mnths'!K:K)-SUMIF('Budget 12 Mnths'!$A:$A,'Variance16-17'!$A16,'Budget 12 Mnths'!L:L)</f>
        <v>-526.32</v>
      </c>
      <c r="M16" s="56"/>
      <c r="N16" s="56"/>
      <c r="O16" s="56"/>
      <c r="P16" s="56">
        <f t="shared" si="1"/>
        <v>-3947.4</v>
      </c>
      <c r="Q16" s="14" t="str">
        <f>+VLOOKUP(A16,Mapping!$A$1:$E$443,5,FALSE)</f>
        <v>Counseling</v>
      </c>
      <c r="R16" s="26">
        <f>+SUMIF('Budget 12 Mnths'!$A:$A,'Variance16-17'!$A16,'Budget 12 Mnths'!$P:$P)</f>
        <v>5000</v>
      </c>
      <c r="S16" s="26">
        <f>+SUMIF('2015-16 12 Mnths'!$A:$A,'Variance16-17'!$A16,'2015-16 12 Mnths'!$O:$O)</f>
        <v>0</v>
      </c>
      <c r="T16" s="57">
        <f t="shared" si="2"/>
        <v>-0.78948</v>
      </c>
      <c r="U16" s="57">
        <f t="shared" si="3"/>
        <v>0</v>
      </c>
      <c r="V16" s="8" t="s">
        <v>451</v>
      </c>
      <c r="W16" s="27">
        <v>0.0</v>
      </c>
      <c r="X16" s="27">
        <f t="shared" si="10"/>
        <v>0</v>
      </c>
      <c r="Z16" s="57">
        <f t="shared" si="11"/>
        <v>0</v>
      </c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>
        <f t="shared" si="7"/>
        <v>0</v>
      </c>
    </row>
    <row r="17">
      <c r="A17" s="15" t="s">
        <v>88</v>
      </c>
      <c r="B17" s="15" t="s">
        <v>89</v>
      </c>
      <c r="C17" s="15" t="s">
        <v>41</v>
      </c>
      <c r="D17" s="56">
        <f>SUMIF('2015-16 12 Mnths'!$A:$A,'Variance16-17'!$A17,'2015-16 12 Mnths'!C:C)-SUMIF('Budget 12 Mnths'!$A:$A,'Variance16-17'!$A17,'Budget 12 Mnths'!D:D)</f>
        <v>0</v>
      </c>
      <c r="E17" s="56">
        <f>SUMIF('2015-16 12 Mnths'!$A:$A,'Variance16-17'!$A17,'2015-16 12 Mnths'!D:D)-SUMIF('Budget 12 Mnths'!$A:$A,'Variance16-17'!$A17,'Budget 12 Mnths'!E:E)</f>
        <v>0</v>
      </c>
      <c r="F17" s="56">
        <f>SUMIF('2015-16 12 Mnths'!$A:$A,'Variance16-17'!$A17,'2015-16 12 Mnths'!E:E)-SUMIF('Budget 12 Mnths'!$A:$A,'Variance16-17'!$A17,'Budget 12 Mnths'!F:F)</f>
        <v>0</v>
      </c>
      <c r="G17" s="56">
        <f>SUMIF('2015-16 12 Mnths'!$A:$A,'Variance16-17'!$A17,'2015-16 12 Mnths'!F:F)-SUMIF('Budget 12 Mnths'!$A:$A,'Variance16-17'!$A17,'Budget 12 Mnths'!G:G)</f>
        <v>0</v>
      </c>
      <c r="H17" s="56">
        <f>SUMIF('2015-16 12 Mnths'!$A:$A,'Variance16-17'!$A17,'2015-16 12 Mnths'!G:G)-SUMIF('Budget 12 Mnths'!$A:$A,'Variance16-17'!$A17,'Budget 12 Mnths'!H:H)</f>
        <v>0</v>
      </c>
      <c r="I17" s="56">
        <f>SUMIF('2015-16 12 Mnths'!$A:$A,'Variance16-17'!$A17,'2015-16 12 Mnths'!H:H)-SUMIF('Budget 12 Mnths'!$A:$A,'Variance16-17'!$A17,'Budget 12 Mnths'!I:I)</f>
        <v>0</v>
      </c>
      <c r="J17" s="56">
        <f>SUMIF('2015-16 12 Mnths'!$A:$A,'Variance16-17'!$A17,'2015-16 12 Mnths'!I:I)-SUMIF('Budget 12 Mnths'!$A:$A,'Variance16-17'!$A17,'Budget 12 Mnths'!J:J)</f>
        <v>0</v>
      </c>
      <c r="K17" s="56">
        <f>SUMIF('2015-16 12 Mnths'!$A:$A,'Variance16-17'!$A17,'2015-16 12 Mnths'!J:J)-SUMIF('Budget 12 Mnths'!$A:$A,'Variance16-17'!$A17,'Budget 12 Mnths'!K:K)</f>
        <v>0</v>
      </c>
      <c r="L17" s="56">
        <f>SUMIF('2015-16 12 Mnths'!$A:$A,'Variance16-17'!$A17,'2015-16 12 Mnths'!K:K)-SUMIF('Budget 12 Mnths'!$A:$A,'Variance16-17'!$A17,'Budget 12 Mnths'!L:L)</f>
        <v>0</v>
      </c>
      <c r="M17" s="56"/>
      <c r="N17" s="56"/>
      <c r="O17" s="56"/>
      <c r="P17" s="56">
        <f t="shared" si="1"/>
        <v>0</v>
      </c>
      <c r="Q17" s="14" t="str">
        <f>+VLOOKUP(A17,Mapping!$A$1:$E$443,5,FALSE)</f>
        <v>Counseling</v>
      </c>
      <c r="R17" s="26">
        <f>+SUMIF('Budget 12 Mnths'!$A:$A,'Variance16-17'!$A17,'Budget 12 Mnths'!$P:$P)</f>
        <v>0</v>
      </c>
      <c r="S17" s="26">
        <f>+SUMIF('2015-16 12 Mnths'!$A:$A,'Variance16-17'!$A17,'2015-16 12 Mnths'!$O:$O)</f>
        <v>0</v>
      </c>
      <c r="T17" s="57">
        <f t="shared" si="2"/>
        <v>0</v>
      </c>
      <c r="U17" s="57">
        <f t="shared" si="3"/>
        <v>0</v>
      </c>
      <c r="W17" s="27"/>
      <c r="X17" s="27" t="str">
        <f t="shared" si="10"/>
        <v/>
      </c>
      <c r="Z17" s="57">
        <f t="shared" si="11"/>
        <v>0</v>
      </c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>
        <f t="shared" si="7"/>
        <v>0</v>
      </c>
    </row>
    <row r="18">
      <c r="A18" s="15" t="s">
        <v>92</v>
      </c>
      <c r="B18" s="15" t="s">
        <v>93</v>
      </c>
      <c r="C18" s="15" t="s">
        <v>41</v>
      </c>
      <c r="D18" s="56">
        <f>SUMIF('2015-16 12 Mnths'!$A:$A,'Variance16-17'!$A18,'2015-16 12 Mnths'!C:C)-SUMIF('Budget 12 Mnths'!$A:$A,'Variance16-17'!$A18,'Budget 12 Mnths'!D:D)</f>
        <v>0</v>
      </c>
      <c r="E18" s="56">
        <f>SUMIF('2015-16 12 Mnths'!$A:$A,'Variance16-17'!$A18,'2015-16 12 Mnths'!D:D)-SUMIF('Budget 12 Mnths'!$A:$A,'Variance16-17'!$A18,'Budget 12 Mnths'!E:E)</f>
        <v>196.26</v>
      </c>
      <c r="F18" s="56">
        <f>SUMIF('2015-16 12 Mnths'!$A:$A,'Variance16-17'!$A18,'2015-16 12 Mnths'!E:E)-SUMIF('Budget 12 Mnths'!$A:$A,'Variance16-17'!$A18,'Budget 12 Mnths'!F:F)</f>
        <v>81.53</v>
      </c>
      <c r="G18" s="56">
        <f>SUMIF('2015-16 12 Mnths'!$A:$A,'Variance16-17'!$A18,'2015-16 12 Mnths'!F:F)-SUMIF('Budget 12 Mnths'!$A:$A,'Variance16-17'!$A18,'Budget 12 Mnths'!G:G)</f>
        <v>3.53</v>
      </c>
      <c r="H18" s="56">
        <f>SUMIF('2015-16 12 Mnths'!$A:$A,'Variance16-17'!$A18,'2015-16 12 Mnths'!G:G)-SUMIF('Budget 12 Mnths'!$A:$A,'Variance16-17'!$A18,'Budget 12 Mnths'!H:H)</f>
        <v>-178.47</v>
      </c>
      <c r="I18" s="56">
        <f>SUMIF('2015-16 12 Mnths'!$A:$A,'Variance16-17'!$A18,'2015-16 12 Mnths'!H:H)-SUMIF('Budget 12 Mnths'!$A:$A,'Variance16-17'!$A18,'Budget 12 Mnths'!I:I)</f>
        <v>-48.47</v>
      </c>
      <c r="J18" s="56">
        <f>SUMIF('2015-16 12 Mnths'!$A:$A,'Variance16-17'!$A18,'2015-16 12 Mnths'!I:I)-SUMIF('Budget 12 Mnths'!$A:$A,'Variance16-17'!$A18,'Budget 12 Mnths'!J:J)</f>
        <v>-35.47</v>
      </c>
      <c r="K18" s="56">
        <f>SUMIF('2015-16 12 Mnths'!$A:$A,'Variance16-17'!$A18,'2015-16 12 Mnths'!J:J)-SUMIF('Budget 12 Mnths'!$A:$A,'Variance16-17'!$A18,'Budget 12 Mnths'!K:K)</f>
        <v>-126.47</v>
      </c>
      <c r="L18" s="56">
        <f>SUMIF('2015-16 12 Mnths'!$A:$A,'Variance16-17'!$A18,'2015-16 12 Mnths'!K:K)-SUMIF('Budget 12 Mnths'!$A:$A,'Variance16-17'!$A18,'Budget 12 Mnths'!L:L)</f>
        <v>289.53</v>
      </c>
      <c r="M18" s="56"/>
      <c r="N18" s="56"/>
      <c r="O18" s="56"/>
      <c r="P18" s="56">
        <f t="shared" si="1"/>
        <v>181.97</v>
      </c>
      <c r="Q18" s="14" t="str">
        <f>+VLOOKUP(A18,Mapping!$A$1:$E$443,5,FALSE)</f>
        <v>Aftercare</v>
      </c>
      <c r="R18" s="26">
        <f>+SUMIF('Budget 12 Mnths'!$A:$A,'Variance16-17'!$A18,'Budget 12 Mnths'!$P:$P)</f>
        <v>7500</v>
      </c>
      <c r="S18" s="26">
        <f>+SUMIF('2015-16 12 Mnths'!$A:$A,'Variance16-17'!$A18,'2015-16 12 Mnths'!$O:$O)</f>
        <v>6103</v>
      </c>
      <c r="T18" s="57">
        <f t="shared" si="2"/>
        <v>0.02426266667</v>
      </c>
      <c r="U18" s="57">
        <f t="shared" si="3"/>
        <v>0.0298164837</v>
      </c>
      <c r="V18" s="8" t="s">
        <v>641</v>
      </c>
      <c r="W18" s="27">
        <f t="shared" ref="W18:W19" si="13">+R18</f>
        <v>7500</v>
      </c>
      <c r="X18" s="27">
        <f t="shared" si="10"/>
        <v>7500</v>
      </c>
      <c r="Z18" s="57">
        <v>3552.63</v>
      </c>
      <c r="AA18" s="27">
        <v>0.0</v>
      </c>
      <c r="AB18" s="57">
        <f>+$X18/9.5*0.5</f>
        <v>394.7368421</v>
      </c>
      <c r="AC18" s="57">
        <f t="shared" ref="AC18:AK18" si="12">+$X18/9.5</f>
        <v>789.4736842</v>
      </c>
      <c r="AD18" s="57">
        <f t="shared" si="12"/>
        <v>789.4736842</v>
      </c>
      <c r="AE18" s="57">
        <f t="shared" si="12"/>
        <v>789.4736842</v>
      </c>
      <c r="AF18" s="57">
        <f t="shared" si="12"/>
        <v>789.4736842</v>
      </c>
      <c r="AG18" s="57">
        <f t="shared" si="12"/>
        <v>789.4736842</v>
      </c>
      <c r="AH18" s="57">
        <f t="shared" si="12"/>
        <v>789.4736842</v>
      </c>
      <c r="AI18" s="57">
        <f t="shared" si="12"/>
        <v>789.4736842</v>
      </c>
      <c r="AJ18" s="57">
        <f t="shared" si="12"/>
        <v>789.4736842</v>
      </c>
      <c r="AK18" s="57">
        <f t="shared" si="12"/>
        <v>789.4736842</v>
      </c>
      <c r="AL18" s="27">
        <v>0.0</v>
      </c>
      <c r="AM18" s="27">
        <f t="shared" si="7"/>
        <v>0</v>
      </c>
    </row>
    <row r="19">
      <c r="A19" s="15" t="s">
        <v>95</v>
      </c>
      <c r="B19" s="15" t="s">
        <v>96</v>
      </c>
      <c r="C19" s="15" t="s">
        <v>41</v>
      </c>
      <c r="D19" s="56">
        <f>SUMIF('2015-16 12 Mnths'!$A:$A,'Variance16-17'!$A19,'2015-16 12 Mnths'!C:C)-SUMIF('Budget 12 Mnths'!$A:$A,'Variance16-17'!$A19,'Budget 12 Mnths'!D:D)</f>
        <v>29</v>
      </c>
      <c r="E19" s="56">
        <f>SUMIF('2015-16 12 Mnths'!$A:$A,'Variance16-17'!$A19,'2015-16 12 Mnths'!D:D)-SUMIF('Budget 12 Mnths'!$A:$A,'Variance16-17'!$A19,'Budget 12 Mnths'!E:E)</f>
        <v>-50</v>
      </c>
      <c r="F19" s="56">
        <f>SUMIF('2015-16 12 Mnths'!$A:$A,'Variance16-17'!$A19,'2015-16 12 Mnths'!E:E)-SUMIF('Budget 12 Mnths'!$A:$A,'Variance16-17'!$A19,'Budget 12 Mnths'!F:F)</f>
        <v>240</v>
      </c>
      <c r="G19" s="56">
        <f>SUMIF('2015-16 12 Mnths'!$A:$A,'Variance16-17'!$A19,'2015-16 12 Mnths'!F:F)-SUMIF('Budget 12 Mnths'!$A:$A,'Variance16-17'!$A19,'Budget 12 Mnths'!G:G)</f>
        <v>0</v>
      </c>
      <c r="H19" s="56">
        <f>SUMIF('2015-16 12 Mnths'!$A:$A,'Variance16-17'!$A19,'2015-16 12 Mnths'!G:G)-SUMIF('Budget 12 Mnths'!$A:$A,'Variance16-17'!$A19,'Budget 12 Mnths'!H:H)</f>
        <v>0</v>
      </c>
      <c r="I19" s="56">
        <f>SUMIF('2015-16 12 Mnths'!$A:$A,'Variance16-17'!$A19,'2015-16 12 Mnths'!H:H)-SUMIF('Budget 12 Mnths'!$A:$A,'Variance16-17'!$A19,'Budget 12 Mnths'!I:I)</f>
        <v>0</v>
      </c>
      <c r="J19" s="56">
        <f>SUMIF('2015-16 12 Mnths'!$A:$A,'Variance16-17'!$A19,'2015-16 12 Mnths'!I:I)-SUMIF('Budget 12 Mnths'!$A:$A,'Variance16-17'!$A19,'Budget 12 Mnths'!J:J)</f>
        <v>0</v>
      </c>
      <c r="K19" s="56">
        <f>SUMIF('2015-16 12 Mnths'!$A:$A,'Variance16-17'!$A19,'2015-16 12 Mnths'!J:J)-SUMIF('Budget 12 Mnths'!$A:$A,'Variance16-17'!$A19,'Budget 12 Mnths'!K:K)</f>
        <v>0</v>
      </c>
      <c r="L19" s="56">
        <f>SUMIF('2015-16 12 Mnths'!$A:$A,'Variance16-17'!$A19,'2015-16 12 Mnths'!K:K)-SUMIF('Budget 12 Mnths'!$A:$A,'Variance16-17'!$A19,'Budget 12 Mnths'!L:L)</f>
        <v>0</v>
      </c>
      <c r="M19" s="56"/>
      <c r="N19" s="56"/>
      <c r="O19" s="56"/>
      <c r="P19" s="56">
        <f t="shared" si="1"/>
        <v>219</v>
      </c>
      <c r="Q19" s="14" t="str">
        <f>+VLOOKUP(A19,Mapping!$A$1:$E$443,5,FALSE)</f>
        <v>Aftercare</v>
      </c>
      <c r="R19" s="26">
        <f>+SUMIF('Budget 12 Mnths'!$A:$A,'Variance16-17'!$A19,'Budget 12 Mnths'!$P:$P)</f>
        <v>100</v>
      </c>
      <c r="S19" s="26">
        <f>+SUMIF('2015-16 12 Mnths'!$A:$A,'Variance16-17'!$A19,'2015-16 12 Mnths'!$O:$O)</f>
        <v>319</v>
      </c>
      <c r="T19" s="57">
        <f t="shared" si="2"/>
        <v>2.19</v>
      </c>
      <c r="U19" s="57">
        <f t="shared" si="3"/>
        <v>0.6865203762</v>
      </c>
      <c r="V19" s="8" t="s">
        <v>641</v>
      </c>
      <c r="W19" s="27">
        <f t="shared" si="13"/>
        <v>100</v>
      </c>
      <c r="X19" s="27">
        <f t="shared" si="10"/>
        <v>100</v>
      </c>
      <c r="Z19" s="57">
        <f>+X19/2</f>
        <v>50</v>
      </c>
      <c r="AA19" s="27"/>
      <c r="AB19" s="27">
        <v>50.0</v>
      </c>
      <c r="AC19" s="27"/>
      <c r="AD19" s="27"/>
      <c r="AE19" s="27"/>
      <c r="AF19" s="27"/>
      <c r="AG19" s="27">
        <v>50.0</v>
      </c>
      <c r="AH19" s="27"/>
      <c r="AI19" s="27"/>
      <c r="AJ19" s="27"/>
      <c r="AK19" s="27"/>
      <c r="AL19" s="27"/>
      <c r="AM19" s="27">
        <f t="shared" si="7"/>
        <v>0</v>
      </c>
    </row>
    <row r="20">
      <c r="A20" s="15" t="s">
        <v>100</v>
      </c>
      <c r="B20" s="15" t="s">
        <v>101</v>
      </c>
      <c r="C20" s="15" t="s">
        <v>41</v>
      </c>
      <c r="D20" s="56">
        <f>SUMIF('2015-16 12 Mnths'!$A:$A,'Variance16-17'!$A20,'2015-16 12 Mnths'!C:C)-SUMIF('Budget 12 Mnths'!$A:$A,'Variance16-17'!$A20,'Budget 12 Mnths'!D:D)</f>
        <v>0</v>
      </c>
      <c r="E20" s="56">
        <f>SUMIF('2015-16 12 Mnths'!$A:$A,'Variance16-17'!$A20,'2015-16 12 Mnths'!D:D)-SUMIF('Budget 12 Mnths'!$A:$A,'Variance16-17'!$A20,'Budget 12 Mnths'!E:E)</f>
        <v>-122.55</v>
      </c>
      <c r="F20" s="56">
        <f>SUMIF('2015-16 12 Mnths'!$A:$A,'Variance16-17'!$A20,'2015-16 12 Mnths'!E:E)-SUMIF('Budget 12 Mnths'!$A:$A,'Variance16-17'!$A20,'Budget 12 Mnths'!F:F)</f>
        <v>-617.1</v>
      </c>
      <c r="G20" s="56">
        <f>SUMIF('2015-16 12 Mnths'!$A:$A,'Variance16-17'!$A20,'2015-16 12 Mnths'!F:F)-SUMIF('Budget 12 Mnths'!$A:$A,'Variance16-17'!$A20,'Budget 12 Mnths'!G:G)</f>
        <v>-725.1</v>
      </c>
      <c r="H20" s="56">
        <f>SUMIF('2015-16 12 Mnths'!$A:$A,'Variance16-17'!$A20,'2015-16 12 Mnths'!G:G)-SUMIF('Budget 12 Mnths'!$A:$A,'Variance16-17'!$A20,'Budget 12 Mnths'!H:H)</f>
        <v>-885.1</v>
      </c>
      <c r="I20" s="56">
        <f>SUMIF('2015-16 12 Mnths'!$A:$A,'Variance16-17'!$A20,'2015-16 12 Mnths'!H:H)-SUMIF('Budget 12 Mnths'!$A:$A,'Variance16-17'!$A20,'Budget 12 Mnths'!I:I)</f>
        <v>-829.1</v>
      </c>
      <c r="J20" s="56">
        <f>SUMIF('2015-16 12 Mnths'!$A:$A,'Variance16-17'!$A20,'2015-16 12 Mnths'!I:I)-SUMIF('Budget 12 Mnths'!$A:$A,'Variance16-17'!$A20,'Budget 12 Mnths'!J:J)</f>
        <v>-797.1</v>
      </c>
      <c r="K20" s="56">
        <f>SUMIF('2015-16 12 Mnths'!$A:$A,'Variance16-17'!$A20,'2015-16 12 Mnths'!J:J)-SUMIF('Budget 12 Mnths'!$A:$A,'Variance16-17'!$A20,'Budget 12 Mnths'!K:K)</f>
        <v>-689.1</v>
      </c>
      <c r="L20" s="56">
        <f>SUMIF('2015-16 12 Mnths'!$A:$A,'Variance16-17'!$A20,'2015-16 12 Mnths'!K:K)-SUMIF('Budget 12 Mnths'!$A:$A,'Variance16-17'!$A20,'Budget 12 Mnths'!L:L)</f>
        <v>-657.1</v>
      </c>
      <c r="M20" s="56"/>
      <c r="N20" s="56"/>
      <c r="O20" s="56"/>
      <c r="P20" s="56">
        <f t="shared" si="1"/>
        <v>-5322.25</v>
      </c>
      <c r="Q20" s="14" t="str">
        <f>+VLOOKUP(A20,Mapping!$A$1:$E$443,5,FALSE)</f>
        <v>Transportation</v>
      </c>
      <c r="R20" s="26">
        <f>+SUMIF('Budget 12 Mnths'!$A:$A,'Variance16-17'!$A20,'Budget 12 Mnths'!$P:$P)</f>
        <v>13500.01</v>
      </c>
      <c r="S20" s="26">
        <f>+SUMIF('2015-16 12 Mnths'!$A:$A,'Variance16-17'!$A20,'2015-16 12 Mnths'!$O:$O)</f>
        <v>5336</v>
      </c>
      <c r="T20" s="57">
        <f t="shared" si="2"/>
        <v>-0.3942404487</v>
      </c>
      <c r="U20" s="57">
        <f t="shared" si="3"/>
        <v>-0.9974231634</v>
      </c>
      <c r="V20" s="8" t="s">
        <v>451</v>
      </c>
      <c r="W20" s="27">
        <f>+S20/8*10</f>
        <v>6670</v>
      </c>
      <c r="X20" s="27">
        <f t="shared" si="10"/>
        <v>6670</v>
      </c>
      <c r="Z20" s="57">
        <f>+X20/9.5*4.5</f>
        <v>3159.473684</v>
      </c>
      <c r="AA20" s="27">
        <v>0.0</v>
      </c>
      <c r="AB20" s="57">
        <f>+$X20/9.5*0.5</f>
        <v>351.0526316</v>
      </c>
      <c r="AC20" s="57">
        <f t="shared" ref="AC20:AK20" si="14">+$X20/9.5</f>
        <v>702.1052632</v>
      </c>
      <c r="AD20" s="57">
        <f t="shared" si="14"/>
        <v>702.1052632</v>
      </c>
      <c r="AE20" s="57">
        <f t="shared" si="14"/>
        <v>702.1052632</v>
      </c>
      <c r="AF20" s="57">
        <f t="shared" si="14"/>
        <v>702.1052632</v>
      </c>
      <c r="AG20" s="57">
        <f t="shared" si="14"/>
        <v>702.1052632</v>
      </c>
      <c r="AH20" s="57">
        <f t="shared" si="14"/>
        <v>702.1052632</v>
      </c>
      <c r="AI20" s="57">
        <f t="shared" si="14"/>
        <v>702.1052632</v>
      </c>
      <c r="AJ20" s="57">
        <f t="shared" si="14"/>
        <v>702.1052632</v>
      </c>
      <c r="AK20" s="57">
        <f t="shared" si="14"/>
        <v>702.1052632</v>
      </c>
      <c r="AL20" s="27">
        <v>0.0</v>
      </c>
      <c r="AM20" s="27">
        <f t="shared" si="7"/>
        <v>0</v>
      </c>
    </row>
    <row r="21" ht="15.75" customHeight="1">
      <c r="A21" s="15" t="s">
        <v>105</v>
      </c>
      <c r="B21" s="15" t="s">
        <v>106</v>
      </c>
      <c r="C21" s="15" t="s">
        <v>41</v>
      </c>
      <c r="D21" s="56">
        <f>SUMIF('2015-16 12 Mnths'!$A:$A,'Variance16-17'!$A21,'2015-16 12 Mnths'!C:C)-SUMIF('Budget 12 Mnths'!$A:$A,'Variance16-17'!$A21,'Budget 12 Mnths'!D:D)</f>
        <v>0</v>
      </c>
      <c r="E21" s="56">
        <f>SUMIF('2015-16 12 Mnths'!$A:$A,'Variance16-17'!$A21,'2015-16 12 Mnths'!D:D)-SUMIF('Budget 12 Mnths'!$A:$A,'Variance16-17'!$A21,'Budget 12 Mnths'!E:E)</f>
        <v>-125</v>
      </c>
      <c r="F21" s="56">
        <f>SUMIF('2015-16 12 Mnths'!$A:$A,'Variance16-17'!$A21,'2015-16 12 Mnths'!E:E)-SUMIF('Budget 12 Mnths'!$A:$A,'Variance16-17'!$A21,'Budget 12 Mnths'!F:F)</f>
        <v>0</v>
      </c>
      <c r="G21" s="56">
        <f>SUMIF('2015-16 12 Mnths'!$A:$A,'Variance16-17'!$A21,'2015-16 12 Mnths'!F:F)-SUMIF('Budget 12 Mnths'!$A:$A,'Variance16-17'!$A21,'Budget 12 Mnths'!G:G)</f>
        <v>0</v>
      </c>
      <c r="H21" s="56">
        <f>SUMIF('2015-16 12 Mnths'!$A:$A,'Variance16-17'!$A21,'2015-16 12 Mnths'!G:G)-SUMIF('Budget 12 Mnths'!$A:$A,'Variance16-17'!$A21,'Budget 12 Mnths'!H:H)</f>
        <v>0</v>
      </c>
      <c r="I21" s="56">
        <f>SUMIF('2015-16 12 Mnths'!$A:$A,'Variance16-17'!$A21,'2015-16 12 Mnths'!H:H)-SUMIF('Budget 12 Mnths'!$A:$A,'Variance16-17'!$A21,'Budget 12 Mnths'!I:I)</f>
        <v>0</v>
      </c>
      <c r="J21" s="56">
        <f>SUMIF('2015-16 12 Mnths'!$A:$A,'Variance16-17'!$A21,'2015-16 12 Mnths'!I:I)-SUMIF('Budget 12 Mnths'!$A:$A,'Variance16-17'!$A21,'Budget 12 Mnths'!J:J)</f>
        <v>-125</v>
      </c>
      <c r="K21" s="56">
        <f>SUMIF('2015-16 12 Mnths'!$A:$A,'Variance16-17'!$A21,'2015-16 12 Mnths'!J:J)-SUMIF('Budget 12 Mnths'!$A:$A,'Variance16-17'!$A21,'Budget 12 Mnths'!K:K)</f>
        <v>0</v>
      </c>
      <c r="L21" s="56">
        <f>SUMIF('2015-16 12 Mnths'!$A:$A,'Variance16-17'!$A21,'2015-16 12 Mnths'!K:K)-SUMIF('Budget 12 Mnths'!$A:$A,'Variance16-17'!$A21,'Budget 12 Mnths'!L:L)</f>
        <v>0</v>
      </c>
      <c r="M21" s="56"/>
      <c r="N21" s="56"/>
      <c r="O21" s="56"/>
      <c r="P21" s="56">
        <f t="shared" si="1"/>
        <v>-250</v>
      </c>
      <c r="Q21" s="14" t="str">
        <f>+VLOOKUP(A21,Mapping!$A$1:$E$443,5,FALSE)</f>
        <v>Merchandise</v>
      </c>
      <c r="R21" s="26">
        <f>+SUMIF('Budget 12 Mnths'!$A:$A,'Variance16-17'!$A21,'Budget 12 Mnths'!$P:$P)</f>
        <v>250</v>
      </c>
      <c r="S21" s="26">
        <f>+SUMIF('2015-16 12 Mnths'!$A:$A,'Variance16-17'!$A21,'2015-16 12 Mnths'!$O:$O)</f>
        <v>0</v>
      </c>
      <c r="T21" s="57">
        <f t="shared" si="2"/>
        <v>-1</v>
      </c>
      <c r="U21" s="57">
        <f t="shared" si="3"/>
        <v>0</v>
      </c>
      <c r="W21" s="27"/>
      <c r="X21" s="27" t="str">
        <f t="shared" si="10"/>
        <v/>
      </c>
      <c r="Z21" s="57">
        <f t="shared" ref="Z21:Z31" si="15">+X21/2</f>
        <v>0</v>
      </c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>
        <f t="shared" si="7"/>
        <v>0</v>
      </c>
    </row>
    <row r="22" ht="15.75" customHeight="1">
      <c r="A22" s="15" t="s">
        <v>109</v>
      </c>
      <c r="B22" s="15" t="s">
        <v>110</v>
      </c>
      <c r="C22" s="15" t="s">
        <v>41</v>
      </c>
      <c r="D22" s="56">
        <f>SUMIF('2015-16 12 Mnths'!$A:$A,'Variance16-17'!$A22,'2015-16 12 Mnths'!C:C)-SUMIF('Budget 12 Mnths'!$A:$A,'Variance16-17'!$A22,'Budget 12 Mnths'!D:D)</f>
        <v>0</v>
      </c>
      <c r="E22" s="56">
        <f>SUMIF('2015-16 12 Mnths'!$A:$A,'Variance16-17'!$A22,'2015-16 12 Mnths'!D:D)-SUMIF('Budget 12 Mnths'!$A:$A,'Variance16-17'!$A22,'Budget 12 Mnths'!E:E)</f>
        <v>0</v>
      </c>
      <c r="F22" s="56">
        <f>SUMIF('2015-16 12 Mnths'!$A:$A,'Variance16-17'!$A22,'2015-16 12 Mnths'!E:E)-SUMIF('Budget 12 Mnths'!$A:$A,'Variance16-17'!$A22,'Budget 12 Mnths'!F:F)</f>
        <v>0</v>
      </c>
      <c r="G22" s="56">
        <f>SUMIF('2015-16 12 Mnths'!$A:$A,'Variance16-17'!$A22,'2015-16 12 Mnths'!F:F)-SUMIF('Budget 12 Mnths'!$A:$A,'Variance16-17'!$A22,'Budget 12 Mnths'!G:G)</f>
        <v>0</v>
      </c>
      <c r="H22" s="56">
        <f>SUMIF('2015-16 12 Mnths'!$A:$A,'Variance16-17'!$A22,'2015-16 12 Mnths'!G:G)-SUMIF('Budget 12 Mnths'!$A:$A,'Variance16-17'!$A22,'Budget 12 Mnths'!H:H)</f>
        <v>0</v>
      </c>
      <c r="I22" s="56">
        <f>SUMIF('2015-16 12 Mnths'!$A:$A,'Variance16-17'!$A22,'2015-16 12 Mnths'!H:H)-SUMIF('Budget 12 Mnths'!$A:$A,'Variance16-17'!$A22,'Budget 12 Mnths'!I:I)</f>
        <v>0</v>
      </c>
      <c r="J22" s="56">
        <f>SUMIF('2015-16 12 Mnths'!$A:$A,'Variance16-17'!$A22,'2015-16 12 Mnths'!I:I)-SUMIF('Budget 12 Mnths'!$A:$A,'Variance16-17'!$A22,'Budget 12 Mnths'!J:J)</f>
        <v>0</v>
      </c>
      <c r="K22" s="56">
        <f>SUMIF('2015-16 12 Mnths'!$A:$A,'Variance16-17'!$A22,'2015-16 12 Mnths'!J:J)-SUMIF('Budget 12 Mnths'!$A:$A,'Variance16-17'!$A22,'Budget 12 Mnths'!K:K)</f>
        <v>0</v>
      </c>
      <c r="L22" s="56">
        <f>SUMIF('2015-16 12 Mnths'!$A:$A,'Variance16-17'!$A22,'2015-16 12 Mnths'!K:K)-SUMIF('Budget 12 Mnths'!$A:$A,'Variance16-17'!$A22,'Budget 12 Mnths'!L:L)</f>
        <v>0</v>
      </c>
      <c r="M22" s="56"/>
      <c r="N22" s="56"/>
      <c r="O22" s="56"/>
      <c r="P22" s="56">
        <f t="shared" si="1"/>
        <v>0</v>
      </c>
      <c r="Q22" s="14" t="str">
        <f>+VLOOKUP(A22,Mapping!$A$1:$E$443,5,FALSE)</f>
        <v>Merchandise</v>
      </c>
      <c r="R22" s="26">
        <f>+SUMIF('Budget 12 Mnths'!$A:$A,'Variance16-17'!$A22,'Budget 12 Mnths'!$P:$P)</f>
        <v>0</v>
      </c>
      <c r="S22" s="26">
        <f>+SUMIF('2015-16 12 Mnths'!$A:$A,'Variance16-17'!$A22,'2015-16 12 Mnths'!$O:$O)</f>
        <v>0</v>
      </c>
      <c r="T22" s="57">
        <f t="shared" si="2"/>
        <v>0</v>
      </c>
      <c r="U22" s="57">
        <f t="shared" si="3"/>
        <v>0</v>
      </c>
      <c r="W22" s="27"/>
      <c r="X22" s="27" t="str">
        <f t="shared" si="10"/>
        <v/>
      </c>
      <c r="Z22" s="57">
        <f t="shared" si="15"/>
        <v>0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>
        <f t="shared" si="7"/>
        <v>0</v>
      </c>
    </row>
    <row r="23" ht="15.75" customHeight="1">
      <c r="A23" s="15" t="s">
        <v>111</v>
      </c>
      <c r="B23" s="15" t="s">
        <v>112</v>
      </c>
      <c r="C23" s="15" t="s">
        <v>41</v>
      </c>
      <c r="D23" s="56">
        <f>SUMIF('2015-16 12 Mnths'!$A:$A,'Variance16-17'!$A23,'2015-16 12 Mnths'!C:C)-SUMIF('Budget 12 Mnths'!$A:$A,'Variance16-17'!$A23,'Budget 12 Mnths'!D:D)</f>
        <v>0</v>
      </c>
      <c r="E23" s="56">
        <f>SUMIF('2015-16 12 Mnths'!$A:$A,'Variance16-17'!$A23,'2015-16 12 Mnths'!D:D)-SUMIF('Budget 12 Mnths'!$A:$A,'Variance16-17'!$A23,'Budget 12 Mnths'!E:E)</f>
        <v>0</v>
      </c>
      <c r="F23" s="56">
        <f>SUMIF('2015-16 12 Mnths'!$A:$A,'Variance16-17'!$A23,'2015-16 12 Mnths'!E:E)-SUMIF('Budget 12 Mnths'!$A:$A,'Variance16-17'!$A23,'Budget 12 Mnths'!F:F)</f>
        <v>0</v>
      </c>
      <c r="G23" s="56">
        <f>SUMIF('2015-16 12 Mnths'!$A:$A,'Variance16-17'!$A23,'2015-16 12 Mnths'!F:F)-SUMIF('Budget 12 Mnths'!$A:$A,'Variance16-17'!$A23,'Budget 12 Mnths'!G:G)</f>
        <v>0</v>
      </c>
      <c r="H23" s="56">
        <f>SUMIF('2015-16 12 Mnths'!$A:$A,'Variance16-17'!$A23,'2015-16 12 Mnths'!G:G)-SUMIF('Budget 12 Mnths'!$A:$A,'Variance16-17'!$A23,'Budget 12 Mnths'!H:H)</f>
        <v>0</v>
      </c>
      <c r="I23" s="56">
        <f>SUMIF('2015-16 12 Mnths'!$A:$A,'Variance16-17'!$A23,'2015-16 12 Mnths'!H:H)-SUMIF('Budget 12 Mnths'!$A:$A,'Variance16-17'!$A23,'Budget 12 Mnths'!I:I)</f>
        <v>0</v>
      </c>
      <c r="J23" s="56">
        <f>SUMIF('2015-16 12 Mnths'!$A:$A,'Variance16-17'!$A23,'2015-16 12 Mnths'!I:I)-SUMIF('Budget 12 Mnths'!$A:$A,'Variance16-17'!$A23,'Budget 12 Mnths'!J:J)</f>
        <v>0</v>
      </c>
      <c r="K23" s="56">
        <f>SUMIF('2015-16 12 Mnths'!$A:$A,'Variance16-17'!$A23,'2015-16 12 Mnths'!J:J)-SUMIF('Budget 12 Mnths'!$A:$A,'Variance16-17'!$A23,'Budget 12 Mnths'!K:K)</f>
        <v>0</v>
      </c>
      <c r="L23" s="56">
        <f>SUMIF('2015-16 12 Mnths'!$A:$A,'Variance16-17'!$A23,'2015-16 12 Mnths'!K:K)-SUMIF('Budget 12 Mnths'!$A:$A,'Variance16-17'!$A23,'Budget 12 Mnths'!L:L)</f>
        <v>0</v>
      </c>
      <c r="M23" s="56"/>
      <c r="N23" s="56"/>
      <c r="O23" s="56"/>
      <c r="P23" s="56">
        <f t="shared" si="1"/>
        <v>0</v>
      </c>
      <c r="Q23" s="14" t="str">
        <f>+VLOOKUP(A23,Mapping!$A$1:$E$443,5,FALSE)</f>
        <v>Merchandise</v>
      </c>
      <c r="R23" s="26">
        <f>+SUMIF('Budget 12 Mnths'!$A:$A,'Variance16-17'!$A23,'Budget 12 Mnths'!$P:$P)</f>
        <v>0</v>
      </c>
      <c r="S23" s="26">
        <f>+SUMIF('2015-16 12 Mnths'!$A:$A,'Variance16-17'!$A23,'2015-16 12 Mnths'!$O:$O)</f>
        <v>0</v>
      </c>
      <c r="T23" s="57">
        <f t="shared" si="2"/>
        <v>0</v>
      </c>
      <c r="U23" s="57">
        <f t="shared" si="3"/>
        <v>0</v>
      </c>
      <c r="W23" s="27"/>
      <c r="X23" s="27" t="str">
        <f t="shared" si="10"/>
        <v/>
      </c>
      <c r="Z23" s="57">
        <f t="shared" si="15"/>
        <v>0</v>
      </c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>
        <f t="shared" si="7"/>
        <v>0</v>
      </c>
    </row>
    <row r="24" ht="15.75" customHeight="1">
      <c r="A24" s="15" t="s">
        <v>114</v>
      </c>
      <c r="B24" s="15" t="s">
        <v>116</v>
      </c>
      <c r="C24" s="15" t="s">
        <v>41</v>
      </c>
      <c r="D24" s="56">
        <f>SUMIF('2015-16 12 Mnths'!$A:$A,'Variance16-17'!$A24,'2015-16 12 Mnths'!C:C)-SUMIF('Budget 12 Mnths'!$A:$A,'Variance16-17'!$A24,'Budget 12 Mnths'!D:D)</f>
        <v>0</v>
      </c>
      <c r="E24" s="56">
        <f>SUMIF('2015-16 12 Mnths'!$A:$A,'Variance16-17'!$A24,'2015-16 12 Mnths'!D:D)-SUMIF('Budget 12 Mnths'!$A:$A,'Variance16-17'!$A24,'Budget 12 Mnths'!E:E)</f>
        <v>0</v>
      </c>
      <c r="F24" s="56">
        <f>SUMIF('2015-16 12 Mnths'!$A:$A,'Variance16-17'!$A24,'2015-16 12 Mnths'!E:E)-SUMIF('Budget 12 Mnths'!$A:$A,'Variance16-17'!$A24,'Budget 12 Mnths'!F:F)</f>
        <v>0</v>
      </c>
      <c r="G24" s="56">
        <f>SUMIF('2015-16 12 Mnths'!$A:$A,'Variance16-17'!$A24,'2015-16 12 Mnths'!F:F)-SUMIF('Budget 12 Mnths'!$A:$A,'Variance16-17'!$A24,'Budget 12 Mnths'!G:G)</f>
        <v>0</v>
      </c>
      <c r="H24" s="56">
        <f>SUMIF('2015-16 12 Mnths'!$A:$A,'Variance16-17'!$A24,'2015-16 12 Mnths'!G:G)-SUMIF('Budget 12 Mnths'!$A:$A,'Variance16-17'!$A24,'Budget 12 Mnths'!H:H)</f>
        <v>0</v>
      </c>
      <c r="I24" s="56">
        <f>SUMIF('2015-16 12 Mnths'!$A:$A,'Variance16-17'!$A24,'2015-16 12 Mnths'!H:H)-SUMIF('Budget 12 Mnths'!$A:$A,'Variance16-17'!$A24,'Budget 12 Mnths'!I:I)</f>
        <v>0</v>
      </c>
      <c r="J24" s="56">
        <f>SUMIF('2015-16 12 Mnths'!$A:$A,'Variance16-17'!$A24,'2015-16 12 Mnths'!I:I)-SUMIF('Budget 12 Mnths'!$A:$A,'Variance16-17'!$A24,'Budget 12 Mnths'!J:J)</f>
        <v>0</v>
      </c>
      <c r="K24" s="56">
        <f>SUMIF('2015-16 12 Mnths'!$A:$A,'Variance16-17'!$A24,'2015-16 12 Mnths'!J:J)-SUMIF('Budget 12 Mnths'!$A:$A,'Variance16-17'!$A24,'Budget 12 Mnths'!K:K)</f>
        <v>0</v>
      </c>
      <c r="L24" s="56">
        <f>SUMIF('2015-16 12 Mnths'!$A:$A,'Variance16-17'!$A24,'2015-16 12 Mnths'!K:K)-SUMIF('Budget 12 Mnths'!$A:$A,'Variance16-17'!$A24,'Budget 12 Mnths'!L:L)</f>
        <v>0</v>
      </c>
      <c r="M24" s="56"/>
      <c r="N24" s="56"/>
      <c r="O24" s="56"/>
      <c r="P24" s="56">
        <f t="shared" si="1"/>
        <v>0</v>
      </c>
      <c r="Q24" s="14" t="str">
        <f>+VLOOKUP(A24,Mapping!$A$1:$E$443,5,FALSE)</f>
        <v>Merchandise</v>
      </c>
      <c r="R24" s="26">
        <f>+SUMIF('Budget 12 Mnths'!$A:$A,'Variance16-17'!$A24,'Budget 12 Mnths'!$P:$P)</f>
        <v>0</v>
      </c>
      <c r="S24" s="26">
        <f>+SUMIF('2015-16 12 Mnths'!$A:$A,'Variance16-17'!$A24,'2015-16 12 Mnths'!$O:$O)</f>
        <v>0</v>
      </c>
      <c r="T24" s="57">
        <f t="shared" si="2"/>
        <v>0</v>
      </c>
      <c r="U24" s="57">
        <f t="shared" si="3"/>
        <v>0</v>
      </c>
      <c r="W24" s="27"/>
      <c r="X24" s="27" t="str">
        <f t="shared" si="10"/>
        <v/>
      </c>
      <c r="Z24" s="57">
        <f t="shared" si="15"/>
        <v>0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>
        <f t="shared" si="7"/>
        <v>0</v>
      </c>
    </row>
    <row r="25" ht="15.75" customHeight="1">
      <c r="A25" s="15" t="s">
        <v>117</v>
      </c>
      <c r="B25" s="15" t="s">
        <v>118</v>
      </c>
      <c r="C25" s="15" t="s">
        <v>41</v>
      </c>
      <c r="D25" s="56">
        <f>SUMIF('2015-16 12 Mnths'!$A:$A,'Variance16-17'!$A25,'2015-16 12 Mnths'!C:C)-SUMIF('Budget 12 Mnths'!$A:$A,'Variance16-17'!$A25,'Budget 12 Mnths'!D:D)</f>
        <v>0</v>
      </c>
      <c r="E25" s="56">
        <f>SUMIF('2015-16 12 Mnths'!$A:$A,'Variance16-17'!$A25,'2015-16 12 Mnths'!D:D)-SUMIF('Budget 12 Mnths'!$A:$A,'Variance16-17'!$A25,'Budget 12 Mnths'!E:E)</f>
        <v>0</v>
      </c>
      <c r="F25" s="56">
        <f>SUMIF('2015-16 12 Mnths'!$A:$A,'Variance16-17'!$A25,'2015-16 12 Mnths'!E:E)-SUMIF('Budget 12 Mnths'!$A:$A,'Variance16-17'!$A25,'Budget 12 Mnths'!F:F)</f>
        <v>0</v>
      </c>
      <c r="G25" s="56">
        <f>SUMIF('2015-16 12 Mnths'!$A:$A,'Variance16-17'!$A25,'2015-16 12 Mnths'!F:F)-SUMIF('Budget 12 Mnths'!$A:$A,'Variance16-17'!$A25,'Budget 12 Mnths'!G:G)</f>
        <v>0</v>
      </c>
      <c r="H25" s="56">
        <f>SUMIF('2015-16 12 Mnths'!$A:$A,'Variance16-17'!$A25,'2015-16 12 Mnths'!G:G)-SUMIF('Budget 12 Mnths'!$A:$A,'Variance16-17'!$A25,'Budget 12 Mnths'!H:H)</f>
        <v>0</v>
      </c>
      <c r="I25" s="56">
        <f>SUMIF('2015-16 12 Mnths'!$A:$A,'Variance16-17'!$A25,'2015-16 12 Mnths'!H:H)-SUMIF('Budget 12 Mnths'!$A:$A,'Variance16-17'!$A25,'Budget 12 Mnths'!I:I)</f>
        <v>0</v>
      </c>
      <c r="J25" s="56">
        <f>SUMIF('2015-16 12 Mnths'!$A:$A,'Variance16-17'!$A25,'2015-16 12 Mnths'!I:I)-SUMIF('Budget 12 Mnths'!$A:$A,'Variance16-17'!$A25,'Budget 12 Mnths'!J:J)</f>
        <v>0</v>
      </c>
      <c r="K25" s="56">
        <f>SUMIF('2015-16 12 Mnths'!$A:$A,'Variance16-17'!$A25,'2015-16 12 Mnths'!J:J)-SUMIF('Budget 12 Mnths'!$A:$A,'Variance16-17'!$A25,'Budget 12 Mnths'!K:K)</f>
        <v>0</v>
      </c>
      <c r="L25" s="56">
        <f>SUMIF('2015-16 12 Mnths'!$A:$A,'Variance16-17'!$A25,'2015-16 12 Mnths'!K:K)-SUMIF('Budget 12 Mnths'!$A:$A,'Variance16-17'!$A25,'Budget 12 Mnths'!L:L)</f>
        <v>0</v>
      </c>
      <c r="M25" s="56"/>
      <c r="N25" s="56"/>
      <c r="O25" s="56"/>
      <c r="P25" s="56">
        <f t="shared" si="1"/>
        <v>0</v>
      </c>
      <c r="Q25" s="14" t="str">
        <f>+VLOOKUP(A25,Mapping!$A$1:$E$443,5,FALSE)</f>
        <v>Merchandise</v>
      </c>
      <c r="R25" s="26">
        <f>+SUMIF('Budget 12 Mnths'!$A:$A,'Variance16-17'!$A25,'Budget 12 Mnths'!$P:$P)</f>
        <v>0</v>
      </c>
      <c r="S25" s="26">
        <f>+SUMIF('2015-16 12 Mnths'!$A:$A,'Variance16-17'!$A25,'2015-16 12 Mnths'!$O:$O)</f>
        <v>0</v>
      </c>
      <c r="T25" s="57">
        <f t="shared" si="2"/>
        <v>0</v>
      </c>
      <c r="U25" s="57">
        <f t="shared" si="3"/>
        <v>0</v>
      </c>
      <c r="W25" s="27"/>
      <c r="X25" s="27" t="str">
        <f t="shared" si="10"/>
        <v/>
      </c>
      <c r="Z25" s="57">
        <f t="shared" si="15"/>
        <v>0</v>
      </c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>
        <f t="shared" si="7"/>
        <v>0</v>
      </c>
    </row>
    <row r="26" ht="15.75" customHeight="1">
      <c r="A26" s="15" t="s">
        <v>123</v>
      </c>
      <c r="B26" s="15" t="s">
        <v>124</v>
      </c>
      <c r="C26" s="15" t="s">
        <v>41</v>
      </c>
      <c r="D26" s="56">
        <f>SUMIF('2015-16 12 Mnths'!$A:$A,'Variance16-17'!$A26,'2015-16 12 Mnths'!C:C)-SUMIF('Budget 12 Mnths'!$A:$A,'Variance16-17'!$A26,'Budget 12 Mnths'!D:D)</f>
        <v>0</v>
      </c>
      <c r="E26" s="56">
        <f>SUMIF('2015-16 12 Mnths'!$A:$A,'Variance16-17'!$A26,'2015-16 12 Mnths'!D:D)-SUMIF('Budget 12 Mnths'!$A:$A,'Variance16-17'!$A26,'Budget 12 Mnths'!E:E)</f>
        <v>0</v>
      </c>
      <c r="F26" s="56">
        <f>SUMIF('2015-16 12 Mnths'!$A:$A,'Variance16-17'!$A26,'2015-16 12 Mnths'!E:E)-SUMIF('Budget 12 Mnths'!$A:$A,'Variance16-17'!$A26,'Budget 12 Mnths'!F:F)</f>
        <v>0</v>
      </c>
      <c r="G26" s="56">
        <f>SUMIF('2015-16 12 Mnths'!$A:$A,'Variance16-17'!$A26,'2015-16 12 Mnths'!F:F)-SUMIF('Budget 12 Mnths'!$A:$A,'Variance16-17'!$A26,'Budget 12 Mnths'!G:G)</f>
        <v>0</v>
      </c>
      <c r="H26" s="56">
        <f>SUMIF('2015-16 12 Mnths'!$A:$A,'Variance16-17'!$A26,'2015-16 12 Mnths'!G:G)-SUMIF('Budget 12 Mnths'!$A:$A,'Variance16-17'!$A26,'Budget 12 Mnths'!H:H)</f>
        <v>0</v>
      </c>
      <c r="I26" s="56">
        <f>SUMIF('2015-16 12 Mnths'!$A:$A,'Variance16-17'!$A26,'2015-16 12 Mnths'!H:H)-SUMIF('Budget 12 Mnths'!$A:$A,'Variance16-17'!$A26,'Budget 12 Mnths'!I:I)</f>
        <v>0</v>
      </c>
      <c r="J26" s="56">
        <f>SUMIF('2015-16 12 Mnths'!$A:$A,'Variance16-17'!$A26,'2015-16 12 Mnths'!I:I)-SUMIF('Budget 12 Mnths'!$A:$A,'Variance16-17'!$A26,'Budget 12 Mnths'!J:J)</f>
        <v>0</v>
      </c>
      <c r="K26" s="56">
        <f>SUMIF('2015-16 12 Mnths'!$A:$A,'Variance16-17'!$A26,'2015-16 12 Mnths'!J:J)-SUMIF('Budget 12 Mnths'!$A:$A,'Variance16-17'!$A26,'Budget 12 Mnths'!K:K)</f>
        <v>0</v>
      </c>
      <c r="L26" s="56">
        <f>SUMIF('2015-16 12 Mnths'!$A:$A,'Variance16-17'!$A26,'2015-16 12 Mnths'!K:K)-SUMIF('Budget 12 Mnths'!$A:$A,'Variance16-17'!$A26,'Budget 12 Mnths'!L:L)</f>
        <v>0</v>
      </c>
      <c r="M26" s="56"/>
      <c r="N26" s="56"/>
      <c r="O26" s="56"/>
      <c r="P26" s="56">
        <f t="shared" si="1"/>
        <v>0</v>
      </c>
      <c r="Q26" s="14" t="str">
        <f>+VLOOKUP(A26,Mapping!$A$1:$E$443,5,FALSE)</f>
        <v>Merchandise</v>
      </c>
      <c r="R26" s="26">
        <f>+SUMIF('Budget 12 Mnths'!$A:$A,'Variance16-17'!$A26,'Budget 12 Mnths'!$P:$P)</f>
        <v>0</v>
      </c>
      <c r="S26" s="26">
        <f>+SUMIF('2015-16 12 Mnths'!$A:$A,'Variance16-17'!$A26,'2015-16 12 Mnths'!$O:$O)</f>
        <v>0</v>
      </c>
      <c r="T26" s="57">
        <f t="shared" si="2"/>
        <v>0</v>
      </c>
      <c r="U26" s="57">
        <f t="shared" si="3"/>
        <v>0</v>
      </c>
      <c r="W26" s="27"/>
      <c r="X26" s="27" t="str">
        <f t="shared" si="10"/>
        <v/>
      </c>
      <c r="Z26" s="57">
        <f t="shared" si="15"/>
        <v>0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>
        <f t="shared" si="7"/>
        <v>0</v>
      </c>
    </row>
    <row r="27" ht="15.75" customHeight="1">
      <c r="A27" s="15" t="s">
        <v>127</v>
      </c>
      <c r="B27" s="15" t="s">
        <v>128</v>
      </c>
      <c r="C27" s="15" t="s">
        <v>41</v>
      </c>
      <c r="D27" s="56">
        <f>SUMIF('2015-16 12 Mnths'!$A:$A,'Variance16-17'!$A27,'2015-16 12 Mnths'!C:C)-SUMIF('Budget 12 Mnths'!$A:$A,'Variance16-17'!$A27,'Budget 12 Mnths'!D:D)</f>
        <v>0</v>
      </c>
      <c r="E27" s="56">
        <f>SUMIF('2015-16 12 Mnths'!$A:$A,'Variance16-17'!$A27,'2015-16 12 Mnths'!D:D)-SUMIF('Budget 12 Mnths'!$A:$A,'Variance16-17'!$A27,'Budget 12 Mnths'!E:E)</f>
        <v>0</v>
      </c>
      <c r="F27" s="56">
        <f>SUMIF('2015-16 12 Mnths'!$A:$A,'Variance16-17'!$A27,'2015-16 12 Mnths'!E:E)-SUMIF('Budget 12 Mnths'!$A:$A,'Variance16-17'!$A27,'Budget 12 Mnths'!F:F)</f>
        <v>0</v>
      </c>
      <c r="G27" s="56">
        <f>SUMIF('2015-16 12 Mnths'!$A:$A,'Variance16-17'!$A27,'2015-16 12 Mnths'!F:F)-SUMIF('Budget 12 Mnths'!$A:$A,'Variance16-17'!$A27,'Budget 12 Mnths'!G:G)</f>
        <v>0</v>
      </c>
      <c r="H27" s="56">
        <f>SUMIF('2015-16 12 Mnths'!$A:$A,'Variance16-17'!$A27,'2015-16 12 Mnths'!G:G)-SUMIF('Budget 12 Mnths'!$A:$A,'Variance16-17'!$A27,'Budget 12 Mnths'!H:H)</f>
        <v>0</v>
      </c>
      <c r="I27" s="56">
        <f>SUMIF('2015-16 12 Mnths'!$A:$A,'Variance16-17'!$A27,'2015-16 12 Mnths'!H:H)-SUMIF('Budget 12 Mnths'!$A:$A,'Variance16-17'!$A27,'Budget 12 Mnths'!I:I)</f>
        <v>0</v>
      </c>
      <c r="J27" s="56">
        <f>SUMIF('2015-16 12 Mnths'!$A:$A,'Variance16-17'!$A27,'2015-16 12 Mnths'!I:I)-SUMIF('Budget 12 Mnths'!$A:$A,'Variance16-17'!$A27,'Budget 12 Mnths'!J:J)</f>
        <v>0</v>
      </c>
      <c r="K27" s="56">
        <f>SUMIF('2015-16 12 Mnths'!$A:$A,'Variance16-17'!$A27,'2015-16 12 Mnths'!J:J)-SUMIF('Budget 12 Mnths'!$A:$A,'Variance16-17'!$A27,'Budget 12 Mnths'!K:K)</f>
        <v>0</v>
      </c>
      <c r="L27" s="56">
        <f>SUMIF('2015-16 12 Mnths'!$A:$A,'Variance16-17'!$A27,'2015-16 12 Mnths'!K:K)-SUMIF('Budget 12 Mnths'!$A:$A,'Variance16-17'!$A27,'Budget 12 Mnths'!L:L)</f>
        <v>0</v>
      </c>
      <c r="M27" s="56"/>
      <c r="N27" s="56"/>
      <c r="O27" s="56"/>
      <c r="P27" s="56">
        <f t="shared" si="1"/>
        <v>0</v>
      </c>
      <c r="Q27" s="14" t="str">
        <f>+VLOOKUP(A27,Mapping!$A$1:$E$443,5,FALSE)</f>
        <v>Merchandise</v>
      </c>
      <c r="R27" s="26">
        <f>+SUMIF('Budget 12 Mnths'!$A:$A,'Variance16-17'!$A27,'Budget 12 Mnths'!$P:$P)</f>
        <v>0</v>
      </c>
      <c r="S27" s="26">
        <f>+SUMIF('2015-16 12 Mnths'!$A:$A,'Variance16-17'!$A27,'2015-16 12 Mnths'!$O:$O)</f>
        <v>0</v>
      </c>
      <c r="T27" s="57">
        <f t="shared" si="2"/>
        <v>0</v>
      </c>
      <c r="U27" s="57">
        <f t="shared" si="3"/>
        <v>0</v>
      </c>
      <c r="W27" s="27"/>
      <c r="X27" s="27" t="str">
        <f t="shared" si="10"/>
        <v/>
      </c>
      <c r="Z27" s="57">
        <f t="shared" si="15"/>
        <v>0</v>
      </c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>
        <f t="shared" si="7"/>
        <v>0</v>
      </c>
    </row>
    <row r="28" ht="15.75" customHeight="1">
      <c r="A28" s="15" t="s">
        <v>129</v>
      </c>
      <c r="B28" s="15" t="s">
        <v>130</v>
      </c>
      <c r="C28" s="15" t="s">
        <v>41</v>
      </c>
      <c r="D28" s="56">
        <f>SUMIF('2015-16 12 Mnths'!$A:$A,'Variance16-17'!$A28,'2015-16 12 Mnths'!C:C)-SUMIF('Budget 12 Mnths'!$A:$A,'Variance16-17'!$A28,'Budget 12 Mnths'!D:D)</f>
        <v>0</v>
      </c>
      <c r="E28" s="56">
        <f>SUMIF('2015-16 12 Mnths'!$A:$A,'Variance16-17'!$A28,'2015-16 12 Mnths'!D:D)-SUMIF('Budget 12 Mnths'!$A:$A,'Variance16-17'!$A28,'Budget 12 Mnths'!E:E)</f>
        <v>0</v>
      </c>
      <c r="F28" s="56">
        <f>SUMIF('2015-16 12 Mnths'!$A:$A,'Variance16-17'!$A28,'2015-16 12 Mnths'!E:E)-SUMIF('Budget 12 Mnths'!$A:$A,'Variance16-17'!$A28,'Budget 12 Mnths'!F:F)</f>
        <v>0</v>
      </c>
      <c r="G28" s="56">
        <f>SUMIF('2015-16 12 Mnths'!$A:$A,'Variance16-17'!$A28,'2015-16 12 Mnths'!F:F)-SUMIF('Budget 12 Mnths'!$A:$A,'Variance16-17'!$A28,'Budget 12 Mnths'!G:G)</f>
        <v>0</v>
      </c>
      <c r="H28" s="56">
        <f>SUMIF('2015-16 12 Mnths'!$A:$A,'Variance16-17'!$A28,'2015-16 12 Mnths'!G:G)-SUMIF('Budget 12 Mnths'!$A:$A,'Variance16-17'!$A28,'Budget 12 Mnths'!H:H)</f>
        <v>0</v>
      </c>
      <c r="I28" s="56">
        <f>SUMIF('2015-16 12 Mnths'!$A:$A,'Variance16-17'!$A28,'2015-16 12 Mnths'!H:H)-SUMIF('Budget 12 Mnths'!$A:$A,'Variance16-17'!$A28,'Budget 12 Mnths'!I:I)</f>
        <v>0</v>
      </c>
      <c r="J28" s="56">
        <f>SUMIF('2015-16 12 Mnths'!$A:$A,'Variance16-17'!$A28,'2015-16 12 Mnths'!I:I)-SUMIF('Budget 12 Mnths'!$A:$A,'Variance16-17'!$A28,'Budget 12 Mnths'!J:J)</f>
        <v>0</v>
      </c>
      <c r="K28" s="56">
        <f>SUMIF('2015-16 12 Mnths'!$A:$A,'Variance16-17'!$A28,'2015-16 12 Mnths'!J:J)-SUMIF('Budget 12 Mnths'!$A:$A,'Variance16-17'!$A28,'Budget 12 Mnths'!K:K)</f>
        <v>0</v>
      </c>
      <c r="L28" s="56">
        <f>SUMIF('2015-16 12 Mnths'!$A:$A,'Variance16-17'!$A28,'2015-16 12 Mnths'!K:K)-SUMIF('Budget 12 Mnths'!$A:$A,'Variance16-17'!$A28,'Budget 12 Mnths'!L:L)</f>
        <v>0</v>
      </c>
      <c r="M28" s="56"/>
      <c r="N28" s="56"/>
      <c r="O28" s="56"/>
      <c r="P28" s="56">
        <f t="shared" si="1"/>
        <v>0</v>
      </c>
      <c r="Q28" s="14" t="str">
        <f>+VLOOKUP(A28,Mapping!$A$1:$E$443,5,FALSE)</f>
        <v>Merchandise</v>
      </c>
      <c r="R28" s="26">
        <f>+SUMIF('Budget 12 Mnths'!$A:$A,'Variance16-17'!$A28,'Budget 12 Mnths'!$P:$P)</f>
        <v>0</v>
      </c>
      <c r="S28" s="26">
        <f>+SUMIF('2015-16 12 Mnths'!$A:$A,'Variance16-17'!$A28,'2015-16 12 Mnths'!$O:$O)</f>
        <v>0</v>
      </c>
      <c r="T28" s="57">
        <f t="shared" si="2"/>
        <v>0</v>
      </c>
      <c r="U28" s="57">
        <f t="shared" si="3"/>
        <v>0</v>
      </c>
      <c r="W28" s="27"/>
      <c r="X28" s="27" t="str">
        <f t="shared" si="10"/>
        <v/>
      </c>
      <c r="Z28" s="57">
        <f t="shared" si="15"/>
        <v>0</v>
      </c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>
        <f t="shared" si="7"/>
        <v>0</v>
      </c>
    </row>
    <row r="29" ht="15.75" customHeight="1">
      <c r="A29" s="15" t="s">
        <v>134</v>
      </c>
      <c r="B29" s="15" t="s">
        <v>135</v>
      </c>
      <c r="C29" s="15" t="s">
        <v>41</v>
      </c>
      <c r="D29" s="56">
        <f>SUMIF('2015-16 12 Mnths'!$A:$A,'Variance16-17'!$A29,'2015-16 12 Mnths'!C:C)-SUMIF('Budget 12 Mnths'!$A:$A,'Variance16-17'!$A29,'Budget 12 Mnths'!D:D)</f>
        <v>0</v>
      </c>
      <c r="E29" s="56">
        <f>SUMIF('2015-16 12 Mnths'!$A:$A,'Variance16-17'!$A29,'2015-16 12 Mnths'!D:D)-SUMIF('Budget 12 Mnths'!$A:$A,'Variance16-17'!$A29,'Budget 12 Mnths'!E:E)</f>
        <v>-26.32</v>
      </c>
      <c r="F29" s="56">
        <f>SUMIF('2015-16 12 Mnths'!$A:$A,'Variance16-17'!$A29,'2015-16 12 Mnths'!E:E)-SUMIF('Budget 12 Mnths'!$A:$A,'Variance16-17'!$A29,'Budget 12 Mnths'!F:F)</f>
        <v>81.89</v>
      </c>
      <c r="G29" s="56">
        <f>SUMIF('2015-16 12 Mnths'!$A:$A,'Variance16-17'!$A29,'2015-16 12 Mnths'!F:F)-SUMIF('Budget 12 Mnths'!$A:$A,'Variance16-17'!$A29,'Budget 12 Mnths'!G:G)</f>
        <v>-52.63</v>
      </c>
      <c r="H29" s="56">
        <f>SUMIF('2015-16 12 Mnths'!$A:$A,'Variance16-17'!$A29,'2015-16 12 Mnths'!G:G)-SUMIF('Budget 12 Mnths'!$A:$A,'Variance16-17'!$A29,'Budget 12 Mnths'!H:H)</f>
        <v>-52.63</v>
      </c>
      <c r="I29" s="56">
        <f>SUMIF('2015-16 12 Mnths'!$A:$A,'Variance16-17'!$A29,'2015-16 12 Mnths'!H:H)-SUMIF('Budget 12 Mnths'!$A:$A,'Variance16-17'!$A29,'Budget 12 Mnths'!I:I)</f>
        <v>-52.63</v>
      </c>
      <c r="J29" s="56">
        <f>SUMIF('2015-16 12 Mnths'!$A:$A,'Variance16-17'!$A29,'2015-16 12 Mnths'!I:I)-SUMIF('Budget 12 Mnths'!$A:$A,'Variance16-17'!$A29,'Budget 12 Mnths'!J:J)</f>
        <v>-52.63</v>
      </c>
      <c r="K29" s="56">
        <f>SUMIF('2015-16 12 Mnths'!$A:$A,'Variance16-17'!$A29,'2015-16 12 Mnths'!J:J)-SUMIF('Budget 12 Mnths'!$A:$A,'Variance16-17'!$A29,'Budget 12 Mnths'!K:K)</f>
        <v>-52.63</v>
      </c>
      <c r="L29" s="56">
        <f>SUMIF('2015-16 12 Mnths'!$A:$A,'Variance16-17'!$A29,'2015-16 12 Mnths'!K:K)-SUMIF('Budget 12 Mnths'!$A:$A,'Variance16-17'!$A29,'Budget 12 Mnths'!L:L)</f>
        <v>-52.63</v>
      </c>
      <c r="M29" s="56"/>
      <c r="N29" s="56"/>
      <c r="O29" s="56"/>
      <c r="P29" s="56">
        <f t="shared" si="1"/>
        <v>-260.21</v>
      </c>
      <c r="Q29" s="14" t="str">
        <f>+VLOOKUP(A29,Mapping!$A$1:$E$443,5,FALSE)</f>
        <v>Merchandise</v>
      </c>
      <c r="R29" s="26">
        <f>+SUMIF('Budget 12 Mnths'!$A:$A,'Variance16-17'!$A29,'Budget 12 Mnths'!$P:$P)</f>
        <v>499.99</v>
      </c>
      <c r="S29" s="26">
        <f>+SUMIF('2015-16 12 Mnths'!$A:$A,'Variance16-17'!$A29,'2015-16 12 Mnths'!$O:$O)</f>
        <v>134.52</v>
      </c>
      <c r="T29" s="57">
        <f t="shared" si="2"/>
        <v>-0.5204304086</v>
      </c>
      <c r="U29" s="57">
        <f t="shared" si="3"/>
        <v>-1.934359203</v>
      </c>
      <c r="V29" s="8" t="s">
        <v>641</v>
      </c>
      <c r="W29" s="27">
        <f t="shared" ref="W29:W31" si="16">+R29</f>
        <v>499.99</v>
      </c>
      <c r="X29" s="27">
        <f t="shared" si="10"/>
        <v>499.99</v>
      </c>
      <c r="Z29" s="57">
        <f t="shared" si="15"/>
        <v>249.995</v>
      </c>
      <c r="AA29" s="27"/>
      <c r="AB29" s="27">
        <v>125.0</v>
      </c>
      <c r="AC29" s="27">
        <v>125.0</v>
      </c>
      <c r="AD29" s="27"/>
      <c r="AE29" s="27"/>
      <c r="AF29" s="27"/>
      <c r="AG29" s="27">
        <v>125.0</v>
      </c>
      <c r="AH29" s="27">
        <v>124.99</v>
      </c>
      <c r="AI29" s="27"/>
      <c r="AJ29" s="27"/>
      <c r="AK29" s="27"/>
      <c r="AL29" s="27"/>
      <c r="AM29" s="27">
        <f t="shared" si="7"/>
        <v>0</v>
      </c>
    </row>
    <row r="30" ht="15.75" customHeight="1">
      <c r="A30" s="15" t="s">
        <v>137</v>
      </c>
      <c r="B30" s="15" t="s">
        <v>138</v>
      </c>
      <c r="C30" s="15" t="s">
        <v>41</v>
      </c>
      <c r="D30" s="56">
        <f>SUMIF('2015-16 12 Mnths'!$A:$A,'Variance16-17'!$A30,'2015-16 12 Mnths'!C:C)-SUMIF('Budget 12 Mnths'!$A:$A,'Variance16-17'!$A30,'Budget 12 Mnths'!D:D)</f>
        <v>628</v>
      </c>
      <c r="E30" s="56">
        <f>SUMIF('2015-16 12 Mnths'!$A:$A,'Variance16-17'!$A30,'2015-16 12 Mnths'!D:D)-SUMIF('Budget 12 Mnths'!$A:$A,'Variance16-17'!$A30,'Budget 12 Mnths'!E:E)</f>
        <v>-149</v>
      </c>
      <c r="F30" s="56">
        <f>SUMIF('2015-16 12 Mnths'!$A:$A,'Variance16-17'!$A30,'2015-16 12 Mnths'!E:E)-SUMIF('Budget 12 Mnths'!$A:$A,'Variance16-17'!$A30,'Budget 12 Mnths'!F:F)</f>
        <v>113</v>
      </c>
      <c r="G30" s="56">
        <f>SUMIF('2015-16 12 Mnths'!$A:$A,'Variance16-17'!$A30,'2015-16 12 Mnths'!F:F)-SUMIF('Budget 12 Mnths'!$A:$A,'Variance16-17'!$A30,'Budget 12 Mnths'!G:G)</f>
        <v>26.5</v>
      </c>
      <c r="H30" s="56">
        <f>SUMIF('2015-16 12 Mnths'!$A:$A,'Variance16-17'!$A30,'2015-16 12 Mnths'!G:G)-SUMIF('Budget 12 Mnths'!$A:$A,'Variance16-17'!$A30,'Budget 12 Mnths'!H:H)</f>
        <v>88</v>
      </c>
      <c r="I30" s="56">
        <f>SUMIF('2015-16 12 Mnths'!$A:$A,'Variance16-17'!$A30,'2015-16 12 Mnths'!H:H)-SUMIF('Budget 12 Mnths'!$A:$A,'Variance16-17'!$A30,'Budget 12 Mnths'!I:I)</f>
        <v>80</v>
      </c>
      <c r="J30" s="56">
        <f>SUMIF('2015-16 12 Mnths'!$A:$A,'Variance16-17'!$A30,'2015-16 12 Mnths'!I:I)-SUMIF('Budget 12 Mnths'!$A:$A,'Variance16-17'!$A30,'Budget 12 Mnths'!J:J)</f>
        <v>-145</v>
      </c>
      <c r="K30" s="56">
        <f>SUMIF('2015-16 12 Mnths'!$A:$A,'Variance16-17'!$A30,'2015-16 12 Mnths'!J:J)-SUMIF('Budget 12 Mnths'!$A:$A,'Variance16-17'!$A30,'Budget 12 Mnths'!K:K)</f>
        <v>10</v>
      </c>
      <c r="L30" s="56">
        <f>SUMIF('2015-16 12 Mnths'!$A:$A,'Variance16-17'!$A30,'2015-16 12 Mnths'!K:K)-SUMIF('Budget 12 Mnths'!$A:$A,'Variance16-17'!$A30,'Budget 12 Mnths'!L:L)</f>
        <v>0</v>
      </c>
      <c r="M30" s="56"/>
      <c r="N30" s="56"/>
      <c r="O30" s="56"/>
      <c r="P30" s="56">
        <f t="shared" si="1"/>
        <v>651.5</v>
      </c>
      <c r="Q30" s="14" t="str">
        <f>+VLOOKUP(A30,Mapping!$A$1:$E$443,5,FALSE)</f>
        <v>Merchandise</v>
      </c>
      <c r="R30" s="26">
        <f>+SUMIF('Budget 12 Mnths'!$A:$A,'Variance16-17'!$A30,'Budget 12 Mnths'!$P:$P)</f>
        <v>500</v>
      </c>
      <c r="S30" s="26">
        <f>+SUMIF('2015-16 12 Mnths'!$A:$A,'Variance16-17'!$A30,'2015-16 12 Mnths'!$O:$O)</f>
        <v>1151.5</v>
      </c>
      <c r="T30" s="57">
        <f t="shared" si="2"/>
        <v>1.303</v>
      </c>
      <c r="U30" s="57">
        <f t="shared" si="3"/>
        <v>0.5657837603</v>
      </c>
      <c r="V30" s="8" t="s">
        <v>641</v>
      </c>
      <c r="W30" s="27">
        <f t="shared" si="16"/>
        <v>500</v>
      </c>
      <c r="X30" s="27">
        <f t="shared" si="10"/>
        <v>500</v>
      </c>
      <c r="Z30" s="57">
        <f t="shared" si="15"/>
        <v>250</v>
      </c>
      <c r="AA30" s="27"/>
      <c r="AB30" s="27">
        <v>250.0</v>
      </c>
      <c r="AC30" s="27"/>
      <c r="AD30" s="27"/>
      <c r="AE30" s="27"/>
      <c r="AF30" s="27"/>
      <c r="AG30" s="27">
        <v>125.0</v>
      </c>
      <c r="AH30" s="27">
        <v>125.0</v>
      </c>
      <c r="AI30" s="27"/>
      <c r="AJ30" s="27"/>
      <c r="AK30" s="27"/>
      <c r="AL30" s="27"/>
      <c r="AM30" s="27">
        <f t="shared" si="7"/>
        <v>0</v>
      </c>
    </row>
    <row r="31" ht="15.75" customHeight="1">
      <c r="A31" s="15" t="s">
        <v>140</v>
      </c>
      <c r="B31" s="15" t="s">
        <v>141</v>
      </c>
      <c r="C31" s="15" t="s">
        <v>41</v>
      </c>
      <c r="D31" s="56">
        <f>SUMIF('2015-16 12 Mnths'!$A:$A,'Variance16-17'!$A31,'2015-16 12 Mnths'!C:C)-SUMIF('Budget 12 Mnths'!$A:$A,'Variance16-17'!$A31,'Budget 12 Mnths'!D:D)</f>
        <v>0</v>
      </c>
      <c r="E31" s="56">
        <f>SUMIF('2015-16 12 Mnths'!$A:$A,'Variance16-17'!$A31,'2015-16 12 Mnths'!D:D)-SUMIF('Budget 12 Mnths'!$A:$A,'Variance16-17'!$A31,'Budget 12 Mnths'!E:E)</f>
        <v>27.37</v>
      </c>
      <c r="F31" s="56">
        <f>SUMIF('2015-16 12 Mnths'!$A:$A,'Variance16-17'!$A31,'2015-16 12 Mnths'!E:E)-SUMIF('Budget 12 Mnths'!$A:$A,'Variance16-17'!$A31,'Budget 12 Mnths'!F:F)</f>
        <v>-105.27</v>
      </c>
      <c r="G31" s="56">
        <f>SUMIF('2015-16 12 Mnths'!$A:$A,'Variance16-17'!$A31,'2015-16 12 Mnths'!F:F)-SUMIF('Budget 12 Mnths'!$A:$A,'Variance16-17'!$A31,'Budget 12 Mnths'!G:G)</f>
        <v>22.73</v>
      </c>
      <c r="H31" s="56">
        <f>SUMIF('2015-16 12 Mnths'!$A:$A,'Variance16-17'!$A31,'2015-16 12 Mnths'!G:G)-SUMIF('Budget 12 Mnths'!$A:$A,'Variance16-17'!$A31,'Budget 12 Mnths'!H:H)</f>
        <v>-25.27</v>
      </c>
      <c r="I31" s="56">
        <f>SUMIF('2015-16 12 Mnths'!$A:$A,'Variance16-17'!$A31,'2015-16 12 Mnths'!H:H)-SUMIF('Budget 12 Mnths'!$A:$A,'Variance16-17'!$A31,'Budget 12 Mnths'!I:I)</f>
        <v>-105.27</v>
      </c>
      <c r="J31" s="56">
        <f>SUMIF('2015-16 12 Mnths'!$A:$A,'Variance16-17'!$A31,'2015-16 12 Mnths'!I:I)-SUMIF('Budget 12 Mnths'!$A:$A,'Variance16-17'!$A31,'Budget 12 Mnths'!J:J)</f>
        <v>-105.27</v>
      </c>
      <c r="K31" s="56">
        <f>SUMIF('2015-16 12 Mnths'!$A:$A,'Variance16-17'!$A31,'2015-16 12 Mnths'!J:J)-SUMIF('Budget 12 Mnths'!$A:$A,'Variance16-17'!$A31,'Budget 12 Mnths'!K:K)</f>
        <v>-105.27</v>
      </c>
      <c r="L31" s="56">
        <f>SUMIF('2015-16 12 Mnths'!$A:$A,'Variance16-17'!$A31,'2015-16 12 Mnths'!K:K)-SUMIF('Budget 12 Mnths'!$A:$A,'Variance16-17'!$A31,'Budget 12 Mnths'!L:L)</f>
        <v>-105.27</v>
      </c>
      <c r="M31" s="56"/>
      <c r="N31" s="56"/>
      <c r="O31" s="56"/>
      <c r="P31" s="56">
        <f t="shared" si="1"/>
        <v>-501.52</v>
      </c>
      <c r="Q31" s="14" t="str">
        <f>+VLOOKUP(A31,Mapping!$A$1:$E$443,5,FALSE)</f>
        <v>Merchandise</v>
      </c>
      <c r="R31" s="26">
        <f>+SUMIF('Budget 12 Mnths'!$A:$A,'Variance16-17'!$A31,'Budget 12 Mnths'!$P:$P)</f>
        <v>1000.02</v>
      </c>
      <c r="S31" s="26">
        <f>+SUMIF('2015-16 12 Mnths'!$A:$A,'Variance16-17'!$A31,'2015-16 12 Mnths'!$O:$O)</f>
        <v>308</v>
      </c>
      <c r="T31" s="57">
        <f t="shared" si="2"/>
        <v>-0.5015099698</v>
      </c>
      <c r="U31" s="57">
        <f t="shared" si="3"/>
        <v>-1.628311688</v>
      </c>
      <c r="V31" s="8" t="s">
        <v>641</v>
      </c>
      <c r="W31" s="27">
        <f t="shared" si="16"/>
        <v>1000.02</v>
      </c>
      <c r="X31" s="27">
        <f t="shared" si="10"/>
        <v>1000.02</v>
      </c>
      <c r="Z31" s="57">
        <f t="shared" si="15"/>
        <v>500.01</v>
      </c>
      <c r="AA31" s="27"/>
      <c r="AB31" s="27">
        <v>125.0</v>
      </c>
      <c r="AC31" s="27">
        <v>125.0</v>
      </c>
      <c r="AD31" s="27">
        <v>125.0</v>
      </c>
      <c r="AE31" s="27">
        <v>125.0</v>
      </c>
      <c r="AF31" s="27"/>
      <c r="AG31" s="27">
        <v>250.0</v>
      </c>
      <c r="AH31" s="27">
        <v>250.02</v>
      </c>
      <c r="AI31" s="27"/>
      <c r="AJ31" s="27"/>
      <c r="AK31" s="27"/>
      <c r="AL31" s="27"/>
      <c r="AM31" s="27">
        <f t="shared" si="7"/>
        <v>0</v>
      </c>
    </row>
    <row r="32" ht="15.75" customHeight="1">
      <c r="A32" s="15" t="s">
        <v>144</v>
      </c>
      <c r="B32" s="15" t="s">
        <v>145</v>
      </c>
      <c r="C32" s="15" t="s">
        <v>41</v>
      </c>
      <c r="D32" s="56">
        <f>SUMIF('2015-16 12 Mnths'!$A:$A,'Variance16-17'!$A32,'2015-16 12 Mnths'!C:C)-SUMIF('Budget 12 Mnths'!$A:$A,'Variance16-17'!$A32,'Budget 12 Mnths'!D:D)</f>
        <v>0</v>
      </c>
      <c r="E32" s="56">
        <f>SUMIF('2015-16 12 Mnths'!$A:$A,'Variance16-17'!$A32,'2015-16 12 Mnths'!D:D)-SUMIF('Budget 12 Mnths'!$A:$A,'Variance16-17'!$A32,'Budget 12 Mnths'!E:E)</f>
        <v>4480.75</v>
      </c>
      <c r="F32" s="56">
        <f>SUMIF('2015-16 12 Mnths'!$A:$A,'Variance16-17'!$A32,'2015-16 12 Mnths'!E:E)-SUMIF('Budget 12 Mnths'!$A:$A,'Variance16-17'!$A32,'Budget 12 Mnths'!F:F)</f>
        <v>3759</v>
      </c>
      <c r="G32" s="56">
        <f>SUMIF('2015-16 12 Mnths'!$A:$A,'Variance16-17'!$A32,'2015-16 12 Mnths'!F:F)-SUMIF('Budget 12 Mnths'!$A:$A,'Variance16-17'!$A32,'Budget 12 Mnths'!G:G)</f>
        <v>4800</v>
      </c>
      <c r="H32" s="56">
        <f>SUMIF('2015-16 12 Mnths'!$A:$A,'Variance16-17'!$A32,'2015-16 12 Mnths'!G:G)-SUMIF('Budget 12 Mnths'!$A:$A,'Variance16-17'!$A32,'Budget 12 Mnths'!H:H)</f>
        <v>2325</v>
      </c>
      <c r="I32" s="56">
        <f>SUMIF('2015-16 12 Mnths'!$A:$A,'Variance16-17'!$A32,'2015-16 12 Mnths'!H:H)-SUMIF('Budget 12 Mnths'!$A:$A,'Variance16-17'!$A32,'Budget 12 Mnths'!I:I)</f>
        <v>2925</v>
      </c>
      <c r="J32" s="56">
        <f>SUMIF('2015-16 12 Mnths'!$A:$A,'Variance16-17'!$A32,'2015-16 12 Mnths'!I:I)-SUMIF('Budget 12 Mnths'!$A:$A,'Variance16-17'!$A32,'Budget 12 Mnths'!J:J)</f>
        <v>2609</v>
      </c>
      <c r="K32" s="56">
        <f>SUMIF('2015-16 12 Mnths'!$A:$A,'Variance16-17'!$A32,'2015-16 12 Mnths'!J:J)-SUMIF('Budget 12 Mnths'!$A:$A,'Variance16-17'!$A32,'Budget 12 Mnths'!K:K)</f>
        <v>3525</v>
      </c>
      <c r="L32" s="56">
        <f>SUMIF('2015-16 12 Mnths'!$A:$A,'Variance16-17'!$A32,'2015-16 12 Mnths'!K:K)-SUMIF('Budget 12 Mnths'!$A:$A,'Variance16-17'!$A32,'Budget 12 Mnths'!L:L)</f>
        <v>4350</v>
      </c>
      <c r="M32" s="56"/>
      <c r="N32" s="56"/>
      <c r="O32" s="56"/>
      <c r="P32" s="56">
        <f t="shared" si="1"/>
        <v>28773.75</v>
      </c>
      <c r="Q32" s="14" t="str">
        <f>+VLOOKUP(A32,Mapping!$A$1:$E$443,5,FALSE)</f>
        <v>Merchandise</v>
      </c>
      <c r="R32" s="26">
        <f>+SUMIF('Budget 12 Mnths'!$A:$A,'Variance16-17'!$A32,'Budget 12 Mnths'!$P:$P)</f>
        <v>0</v>
      </c>
      <c r="S32" s="26">
        <f>+SUMIF('2015-16 12 Mnths'!$A:$A,'Variance16-17'!$A32,'2015-16 12 Mnths'!$O:$O)</f>
        <v>29773.75</v>
      </c>
      <c r="T32" s="57">
        <f t="shared" si="2"/>
        <v>0</v>
      </c>
      <c r="U32" s="57">
        <f t="shared" si="3"/>
        <v>0.9664133675</v>
      </c>
      <c r="V32" s="8" t="s">
        <v>451</v>
      </c>
      <c r="W32" s="27">
        <f>+S32/8*10</f>
        <v>37217.1875</v>
      </c>
      <c r="X32" s="27">
        <f t="shared" si="10"/>
        <v>37217.1875</v>
      </c>
      <c r="Z32" s="57">
        <f>+X32/9.5*4.5</f>
        <v>17629.19408</v>
      </c>
      <c r="AA32" s="27">
        <v>0.0</v>
      </c>
      <c r="AB32" s="57">
        <f>+$X32/9.5*0.5</f>
        <v>1958.799342</v>
      </c>
      <c r="AC32" s="57">
        <f t="shared" ref="AC32:AK32" si="17">+$X32/9.5</f>
        <v>3917.598684</v>
      </c>
      <c r="AD32" s="57">
        <f t="shared" si="17"/>
        <v>3917.598684</v>
      </c>
      <c r="AE32" s="57">
        <f t="shared" si="17"/>
        <v>3917.598684</v>
      </c>
      <c r="AF32" s="57">
        <f t="shared" si="17"/>
        <v>3917.598684</v>
      </c>
      <c r="AG32" s="57">
        <f t="shared" si="17"/>
        <v>3917.598684</v>
      </c>
      <c r="AH32" s="57">
        <f t="shared" si="17"/>
        <v>3917.598684</v>
      </c>
      <c r="AI32" s="57">
        <f t="shared" si="17"/>
        <v>3917.598684</v>
      </c>
      <c r="AJ32" s="57">
        <f t="shared" si="17"/>
        <v>3917.598684</v>
      </c>
      <c r="AK32" s="57">
        <f t="shared" si="17"/>
        <v>3917.598684</v>
      </c>
      <c r="AL32" s="27">
        <v>0.0</v>
      </c>
      <c r="AM32" s="27">
        <f t="shared" si="7"/>
        <v>0</v>
      </c>
    </row>
    <row r="33" ht="15.75" customHeight="1">
      <c r="A33" s="15" t="s">
        <v>147</v>
      </c>
      <c r="B33" s="15" t="s">
        <v>148</v>
      </c>
      <c r="C33" s="15" t="s">
        <v>41</v>
      </c>
      <c r="D33" s="56">
        <f>SUMIF('2015-16 12 Mnths'!$A:$A,'Variance16-17'!$A33,'2015-16 12 Mnths'!C:C)-SUMIF('Budget 12 Mnths'!$A:$A,'Variance16-17'!$A33,'Budget 12 Mnths'!D:D)</f>
        <v>0</v>
      </c>
      <c r="E33" s="56">
        <f>SUMIF('2015-16 12 Mnths'!$A:$A,'Variance16-17'!$A33,'2015-16 12 Mnths'!D:D)-SUMIF('Budget 12 Mnths'!$A:$A,'Variance16-17'!$A33,'Budget 12 Mnths'!E:E)</f>
        <v>0</v>
      </c>
      <c r="F33" s="56">
        <f>SUMIF('2015-16 12 Mnths'!$A:$A,'Variance16-17'!$A33,'2015-16 12 Mnths'!E:E)-SUMIF('Budget 12 Mnths'!$A:$A,'Variance16-17'!$A33,'Budget 12 Mnths'!F:F)</f>
        <v>0</v>
      </c>
      <c r="G33" s="56">
        <f>SUMIF('2015-16 12 Mnths'!$A:$A,'Variance16-17'!$A33,'2015-16 12 Mnths'!F:F)-SUMIF('Budget 12 Mnths'!$A:$A,'Variance16-17'!$A33,'Budget 12 Mnths'!G:G)</f>
        <v>0</v>
      </c>
      <c r="H33" s="56">
        <f>SUMIF('2015-16 12 Mnths'!$A:$A,'Variance16-17'!$A33,'2015-16 12 Mnths'!G:G)-SUMIF('Budget 12 Mnths'!$A:$A,'Variance16-17'!$A33,'Budget 12 Mnths'!H:H)</f>
        <v>0</v>
      </c>
      <c r="I33" s="56">
        <f>SUMIF('2015-16 12 Mnths'!$A:$A,'Variance16-17'!$A33,'2015-16 12 Mnths'!H:H)-SUMIF('Budget 12 Mnths'!$A:$A,'Variance16-17'!$A33,'Budget 12 Mnths'!I:I)</f>
        <v>0</v>
      </c>
      <c r="J33" s="56">
        <f>SUMIF('2015-16 12 Mnths'!$A:$A,'Variance16-17'!$A33,'2015-16 12 Mnths'!I:I)-SUMIF('Budget 12 Mnths'!$A:$A,'Variance16-17'!$A33,'Budget 12 Mnths'!J:J)</f>
        <v>0</v>
      </c>
      <c r="K33" s="56">
        <f>SUMIF('2015-16 12 Mnths'!$A:$A,'Variance16-17'!$A33,'2015-16 12 Mnths'!J:J)-SUMIF('Budget 12 Mnths'!$A:$A,'Variance16-17'!$A33,'Budget 12 Mnths'!K:K)</f>
        <v>0</v>
      </c>
      <c r="L33" s="56">
        <f>SUMIF('2015-16 12 Mnths'!$A:$A,'Variance16-17'!$A33,'2015-16 12 Mnths'!K:K)-SUMIF('Budget 12 Mnths'!$A:$A,'Variance16-17'!$A33,'Budget 12 Mnths'!L:L)</f>
        <v>0</v>
      </c>
      <c r="M33" s="56"/>
      <c r="N33" s="56"/>
      <c r="O33" s="56"/>
      <c r="P33" s="56">
        <f t="shared" si="1"/>
        <v>0</v>
      </c>
      <c r="Q33" s="14" t="str">
        <f>+VLOOKUP(A33,Mapping!$A$1:$E$443,5,FALSE)</f>
        <v>Merchandise</v>
      </c>
      <c r="R33" s="26">
        <f>+SUMIF('Budget 12 Mnths'!$A:$A,'Variance16-17'!$A33,'Budget 12 Mnths'!$P:$P)</f>
        <v>0</v>
      </c>
      <c r="S33" s="26">
        <f>+SUMIF('2015-16 12 Mnths'!$A:$A,'Variance16-17'!$A33,'2015-16 12 Mnths'!$O:$O)</f>
        <v>0</v>
      </c>
      <c r="T33" s="57">
        <f t="shared" si="2"/>
        <v>0</v>
      </c>
      <c r="U33" s="57">
        <f t="shared" si="3"/>
        <v>0</v>
      </c>
      <c r="W33" s="27"/>
      <c r="X33" s="27" t="str">
        <f t="shared" si="10"/>
        <v/>
      </c>
      <c r="Z33" s="57">
        <f t="shared" ref="Z33:Z34" si="18">+X33/2</f>
        <v>0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>
        <f t="shared" si="7"/>
        <v>0</v>
      </c>
    </row>
    <row r="34" ht="15.75" customHeight="1">
      <c r="A34" s="15" t="s">
        <v>149</v>
      </c>
      <c r="B34" s="15" t="s">
        <v>150</v>
      </c>
      <c r="C34" s="15" t="s">
        <v>41</v>
      </c>
      <c r="D34" s="56">
        <f>SUMIF('2015-16 12 Mnths'!$A:$A,'Variance16-17'!$A34,'2015-16 12 Mnths'!C:C)-SUMIF('Budget 12 Mnths'!$A:$A,'Variance16-17'!$A34,'Budget 12 Mnths'!D:D)</f>
        <v>0</v>
      </c>
      <c r="E34" s="56">
        <f>SUMIF('2015-16 12 Mnths'!$A:$A,'Variance16-17'!$A34,'2015-16 12 Mnths'!D:D)-SUMIF('Budget 12 Mnths'!$A:$A,'Variance16-17'!$A34,'Budget 12 Mnths'!E:E)</f>
        <v>0</v>
      </c>
      <c r="F34" s="56">
        <f>SUMIF('2015-16 12 Mnths'!$A:$A,'Variance16-17'!$A34,'2015-16 12 Mnths'!E:E)-SUMIF('Budget 12 Mnths'!$A:$A,'Variance16-17'!$A34,'Budget 12 Mnths'!F:F)</f>
        <v>0</v>
      </c>
      <c r="G34" s="56">
        <f>SUMIF('2015-16 12 Mnths'!$A:$A,'Variance16-17'!$A34,'2015-16 12 Mnths'!F:F)-SUMIF('Budget 12 Mnths'!$A:$A,'Variance16-17'!$A34,'Budget 12 Mnths'!G:G)</f>
        <v>0</v>
      </c>
      <c r="H34" s="56">
        <f>SUMIF('2015-16 12 Mnths'!$A:$A,'Variance16-17'!$A34,'2015-16 12 Mnths'!G:G)-SUMIF('Budget 12 Mnths'!$A:$A,'Variance16-17'!$A34,'Budget 12 Mnths'!H:H)</f>
        <v>0</v>
      </c>
      <c r="I34" s="56">
        <f>SUMIF('2015-16 12 Mnths'!$A:$A,'Variance16-17'!$A34,'2015-16 12 Mnths'!H:H)-SUMIF('Budget 12 Mnths'!$A:$A,'Variance16-17'!$A34,'Budget 12 Mnths'!I:I)</f>
        <v>0</v>
      </c>
      <c r="J34" s="56">
        <f>SUMIF('2015-16 12 Mnths'!$A:$A,'Variance16-17'!$A34,'2015-16 12 Mnths'!I:I)-SUMIF('Budget 12 Mnths'!$A:$A,'Variance16-17'!$A34,'Budget 12 Mnths'!J:J)</f>
        <v>0</v>
      </c>
      <c r="K34" s="56">
        <f>SUMIF('2015-16 12 Mnths'!$A:$A,'Variance16-17'!$A34,'2015-16 12 Mnths'!J:J)-SUMIF('Budget 12 Mnths'!$A:$A,'Variance16-17'!$A34,'Budget 12 Mnths'!K:K)</f>
        <v>0</v>
      </c>
      <c r="L34" s="56">
        <f>SUMIF('2015-16 12 Mnths'!$A:$A,'Variance16-17'!$A34,'2015-16 12 Mnths'!K:K)-SUMIF('Budget 12 Mnths'!$A:$A,'Variance16-17'!$A34,'Budget 12 Mnths'!L:L)</f>
        <v>0</v>
      </c>
      <c r="M34" s="56"/>
      <c r="N34" s="56"/>
      <c r="O34" s="56"/>
      <c r="P34" s="56">
        <f t="shared" si="1"/>
        <v>0</v>
      </c>
      <c r="Q34" s="14" t="str">
        <f>+VLOOKUP(A34,Mapping!$A$1:$E$443,5,FALSE)</f>
        <v>Student Activities</v>
      </c>
      <c r="R34" s="26">
        <f>+SUMIF('Budget 12 Mnths'!$A:$A,'Variance16-17'!$A34,'Budget 12 Mnths'!$P:$P)</f>
        <v>0</v>
      </c>
      <c r="S34" s="26">
        <f>+SUMIF('2015-16 12 Mnths'!$A:$A,'Variance16-17'!$A34,'2015-16 12 Mnths'!$O:$O)</f>
        <v>0</v>
      </c>
      <c r="T34" s="57">
        <f t="shared" si="2"/>
        <v>0</v>
      </c>
      <c r="U34" s="57">
        <f t="shared" si="3"/>
        <v>0</v>
      </c>
      <c r="W34" s="27"/>
      <c r="X34" s="27" t="str">
        <f t="shared" si="10"/>
        <v/>
      </c>
      <c r="Z34" s="57">
        <f t="shared" si="18"/>
        <v>0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>
        <f t="shared" si="7"/>
        <v>0</v>
      </c>
    </row>
    <row r="35" ht="15.75" customHeight="1">
      <c r="A35" s="15" t="s">
        <v>152</v>
      </c>
      <c r="B35" s="15" t="s">
        <v>153</v>
      </c>
      <c r="C35" s="15" t="s">
        <v>41</v>
      </c>
      <c r="D35" s="56">
        <f>SUMIF('2015-16 12 Mnths'!$A:$A,'Variance16-17'!$A35,'2015-16 12 Mnths'!C:C)-SUMIF('Budget 12 Mnths'!$A:$A,'Variance16-17'!$A35,'Budget 12 Mnths'!D:D)</f>
        <v>395</v>
      </c>
      <c r="E35" s="56">
        <f>SUMIF('2015-16 12 Mnths'!$A:$A,'Variance16-17'!$A35,'2015-16 12 Mnths'!D:D)-SUMIF('Budget 12 Mnths'!$A:$A,'Variance16-17'!$A35,'Budget 12 Mnths'!E:E)</f>
        <v>-5</v>
      </c>
      <c r="F35" s="56">
        <f>SUMIF('2015-16 12 Mnths'!$A:$A,'Variance16-17'!$A35,'2015-16 12 Mnths'!E:E)-SUMIF('Budget 12 Mnths'!$A:$A,'Variance16-17'!$A35,'Budget 12 Mnths'!F:F)</f>
        <v>-5</v>
      </c>
      <c r="G35" s="56">
        <f>SUMIF('2015-16 12 Mnths'!$A:$A,'Variance16-17'!$A35,'2015-16 12 Mnths'!F:F)-SUMIF('Budget 12 Mnths'!$A:$A,'Variance16-17'!$A35,'Budget 12 Mnths'!G:G)</f>
        <v>-10.52</v>
      </c>
      <c r="H35" s="56">
        <f>SUMIF('2015-16 12 Mnths'!$A:$A,'Variance16-17'!$A35,'2015-16 12 Mnths'!G:G)-SUMIF('Budget 12 Mnths'!$A:$A,'Variance16-17'!$A35,'Budget 12 Mnths'!H:H)</f>
        <v>29.48</v>
      </c>
      <c r="I35" s="56">
        <f>SUMIF('2015-16 12 Mnths'!$A:$A,'Variance16-17'!$A35,'2015-16 12 Mnths'!H:H)-SUMIF('Budget 12 Mnths'!$A:$A,'Variance16-17'!$A35,'Budget 12 Mnths'!I:I)</f>
        <v>-10.52</v>
      </c>
      <c r="J35" s="56">
        <f>SUMIF('2015-16 12 Mnths'!$A:$A,'Variance16-17'!$A35,'2015-16 12 Mnths'!I:I)-SUMIF('Budget 12 Mnths'!$A:$A,'Variance16-17'!$A35,'Budget 12 Mnths'!J:J)</f>
        <v>-10.52</v>
      </c>
      <c r="K35" s="56">
        <f>SUMIF('2015-16 12 Mnths'!$A:$A,'Variance16-17'!$A35,'2015-16 12 Mnths'!J:J)-SUMIF('Budget 12 Mnths'!$A:$A,'Variance16-17'!$A35,'Budget 12 Mnths'!K:K)</f>
        <v>-10.52</v>
      </c>
      <c r="L35" s="56">
        <f>SUMIF('2015-16 12 Mnths'!$A:$A,'Variance16-17'!$A35,'2015-16 12 Mnths'!K:K)-SUMIF('Budget 12 Mnths'!$A:$A,'Variance16-17'!$A35,'Budget 12 Mnths'!L:L)</f>
        <v>28.98</v>
      </c>
      <c r="M35" s="56"/>
      <c r="N35" s="56"/>
      <c r="O35" s="56"/>
      <c r="P35" s="56">
        <f t="shared" si="1"/>
        <v>401.38</v>
      </c>
      <c r="Q35" s="14" t="str">
        <f>+VLOOKUP(A35,Mapping!$A$1:$E$443,5,FALSE)</f>
        <v>Student Activities</v>
      </c>
      <c r="R35" s="26">
        <f>+SUMIF('Budget 12 Mnths'!$A:$A,'Variance16-17'!$A35,'Budget 12 Mnths'!$P:$P)</f>
        <v>99.99</v>
      </c>
      <c r="S35" s="26">
        <f>+SUMIF('2015-16 12 Mnths'!$A:$A,'Variance16-17'!$A35,'2015-16 12 Mnths'!$O:$O)</f>
        <v>479.5</v>
      </c>
      <c r="T35" s="57">
        <f t="shared" si="2"/>
        <v>4.01420142</v>
      </c>
      <c r="U35" s="57">
        <f t="shared" si="3"/>
        <v>0.837080292</v>
      </c>
      <c r="V35" s="8" t="s">
        <v>451</v>
      </c>
      <c r="W35" s="27">
        <v>500.0</v>
      </c>
      <c r="X35" s="27">
        <f t="shared" si="10"/>
        <v>500</v>
      </c>
      <c r="Z35" s="57">
        <v>0.0</v>
      </c>
      <c r="AA35" s="27"/>
      <c r="AB35" s="27"/>
      <c r="AC35" s="27"/>
      <c r="AD35" s="27"/>
      <c r="AE35" s="27"/>
      <c r="AF35" s="27"/>
      <c r="AG35" s="27">
        <v>125.0</v>
      </c>
      <c r="AH35" s="27">
        <v>125.0</v>
      </c>
      <c r="AI35" s="27">
        <v>125.0</v>
      </c>
      <c r="AJ35" s="27">
        <v>125.0</v>
      </c>
      <c r="AK35" s="27"/>
      <c r="AL35" s="27"/>
      <c r="AM35" s="27">
        <f t="shared" si="7"/>
        <v>0</v>
      </c>
    </row>
    <row r="36" ht="15.75" customHeight="1">
      <c r="A36" s="15" t="s">
        <v>155</v>
      </c>
      <c r="B36" s="15" t="s">
        <v>156</v>
      </c>
      <c r="C36" s="15" t="s">
        <v>41</v>
      </c>
      <c r="D36" s="56">
        <f>SUMIF('2015-16 12 Mnths'!$A:$A,'Variance16-17'!$A36,'2015-16 12 Mnths'!C:C)-SUMIF('Budget 12 Mnths'!$A:$A,'Variance16-17'!$A36,'Budget 12 Mnths'!D:D)</f>
        <v>0</v>
      </c>
      <c r="E36" s="56">
        <f>SUMIF('2015-16 12 Mnths'!$A:$A,'Variance16-17'!$A36,'2015-16 12 Mnths'!D:D)-SUMIF('Budget 12 Mnths'!$A:$A,'Variance16-17'!$A36,'Budget 12 Mnths'!E:E)</f>
        <v>0</v>
      </c>
      <c r="F36" s="56">
        <f>SUMIF('2015-16 12 Mnths'!$A:$A,'Variance16-17'!$A36,'2015-16 12 Mnths'!E:E)-SUMIF('Budget 12 Mnths'!$A:$A,'Variance16-17'!$A36,'Budget 12 Mnths'!F:F)</f>
        <v>0</v>
      </c>
      <c r="G36" s="56">
        <f>SUMIF('2015-16 12 Mnths'!$A:$A,'Variance16-17'!$A36,'2015-16 12 Mnths'!F:F)-SUMIF('Budget 12 Mnths'!$A:$A,'Variance16-17'!$A36,'Budget 12 Mnths'!G:G)</f>
        <v>0</v>
      </c>
      <c r="H36" s="56">
        <f>SUMIF('2015-16 12 Mnths'!$A:$A,'Variance16-17'!$A36,'2015-16 12 Mnths'!G:G)-SUMIF('Budget 12 Mnths'!$A:$A,'Variance16-17'!$A36,'Budget 12 Mnths'!H:H)</f>
        <v>0</v>
      </c>
      <c r="I36" s="56">
        <f>SUMIF('2015-16 12 Mnths'!$A:$A,'Variance16-17'!$A36,'2015-16 12 Mnths'!H:H)-SUMIF('Budget 12 Mnths'!$A:$A,'Variance16-17'!$A36,'Budget 12 Mnths'!I:I)</f>
        <v>0</v>
      </c>
      <c r="J36" s="56">
        <f>SUMIF('2015-16 12 Mnths'!$A:$A,'Variance16-17'!$A36,'2015-16 12 Mnths'!I:I)-SUMIF('Budget 12 Mnths'!$A:$A,'Variance16-17'!$A36,'Budget 12 Mnths'!J:J)</f>
        <v>0</v>
      </c>
      <c r="K36" s="56">
        <f>SUMIF('2015-16 12 Mnths'!$A:$A,'Variance16-17'!$A36,'2015-16 12 Mnths'!J:J)-SUMIF('Budget 12 Mnths'!$A:$A,'Variance16-17'!$A36,'Budget 12 Mnths'!K:K)</f>
        <v>0</v>
      </c>
      <c r="L36" s="56">
        <f>SUMIF('2015-16 12 Mnths'!$A:$A,'Variance16-17'!$A36,'2015-16 12 Mnths'!K:K)-SUMIF('Budget 12 Mnths'!$A:$A,'Variance16-17'!$A36,'Budget 12 Mnths'!L:L)</f>
        <v>0</v>
      </c>
      <c r="M36" s="56"/>
      <c r="N36" s="56"/>
      <c r="O36" s="56"/>
      <c r="P36" s="56">
        <f t="shared" si="1"/>
        <v>0</v>
      </c>
      <c r="Q36" s="14" t="str">
        <f>+VLOOKUP(A36,Mapping!$A$1:$E$443,5,FALSE)</f>
        <v>Student Activities</v>
      </c>
      <c r="R36" s="26">
        <f>+SUMIF('Budget 12 Mnths'!$A:$A,'Variance16-17'!$A36,'Budget 12 Mnths'!$P:$P)</f>
        <v>0</v>
      </c>
      <c r="S36" s="26">
        <f>+SUMIF('2015-16 12 Mnths'!$A:$A,'Variance16-17'!$A36,'2015-16 12 Mnths'!$O:$O)</f>
        <v>0</v>
      </c>
      <c r="T36" s="57">
        <f t="shared" si="2"/>
        <v>0</v>
      </c>
      <c r="U36" s="57">
        <f t="shared" si="3"/>
        <v>0</v>
      </c>
      <c r="W36" s="27"/>
      <c r="X36" s="27" t="str">
        <f t="shared" si="10"/>
        <v/>
      </c>
      <c r="Z36" s="57">
        <f t="shared" ref="Z36:Z37" si="19">+X36/2</f>
        <v>0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>
        <f t="shared" si="7"/>
        <v>0</v>
      </c>
    </row>
    <row r="37" ht="15.75" customHeight="1">
      <c r="A37" s="15" t="s">
        <v>159</v>
      </c>
      <c r="B37" s="15" t="s">
        <v>160</v>
      </c>
      <c r="C37" s="15" t="s">
        <v>41</v>
      </c>
      <c r="D37" s="56">
        <f>SUMIF('2015-16 12 Mnths'!$A:$A,'Variance16-17'!$A37,'2015-16 12 Mnths'!C:C)-SUMIF('Budget 12 Mnths'!$A:$A,'Variance16-17'!$A37,'Budget 12 Mnths'!D:D)</f>
        <v>0</v>
      </c>
      <c r="E37" s="56">
        <f>SUMIF('2015-16 12 Mnths'!$A:$A,'Variance16-17'!$A37,'2015-16 12 Mnths'!D:D)-SUMIF('Budget 12 Mnths'!$A:$A,'Variance16-17'!$A37,'Budget 12 Mnths'!E:E)</f>
        <v>0</v>
      </c>
      <c r="F37" s="56">
        <f>SUMIF('2015-16 12 Mnths'!$A:$A,'Variance16-17'!$A37,'2015-16 12 Mnths'!E:E)-SUMIF('Budget 12 Mnths'!$A:$A,'Variance16-17'!$A37,'Budget 12 Mnths'!F:F)</f>
        <v>0</v>
      </c>
      <c r="G37" s="56">
        <f>SUMIF('2015-16 12 Mnths'!$A:$A,'Variance16-17'!$A37,'2015-16 12 Mnths'!F:F)-SUMIF('Budget 12 Mnths'!$A:$A,'Variance16-17'!$A37,'Budget 12 Mnths'!G:G)</f>
        <v>0</v>
      </c>
      <c r="H37" s="56">
        <f>SUMIF('2015-16 12 Mnths'!$A:$A,'Variance16-17'!$A37,'2015-16 12 Mnths'!G:G)-SUMIF('Budget 12 Mnths'!$A:$A,'Variance16-17'!$A37,'Budget 12 Mnths'!H:H)</f>
        <v>0</v>
      </c>
      <c r="I37" s="56">
        <f>SUMIF('2015-16 12 Mnths'!$A:$A,'Variance16-17'!$A37,'2015-16 12 Mnths'!H:H)-SUMIF('Budget 12 Mnths'!$A:$A,'Variance16-17'!$A37,'Budget 12 Mnths'!I:I)</f>
        <v>0</v>
      </c>
      <c r="J37" s="56">
        <f>SUMIF('2015-16 12 Mnths'!$A:$A,'Variance16-17'!$A37,'2015-16 12 Mnths'!I:I)-SUMIF('Budget 12 Mnths'!$A:$A,'Variance16-17'!$A37,'Budget 12 Mnths'!J:J)</f>
        <v>0</v>
      </c>
      <c r="K37" s="56">
        <f>SUMIF('2015-16 12 Mnths'!$A:$A,'Variance16-17'!$A37,'2015-16 12 Mnths'!J:J)-SUMIF('Budget 12 Mnths'!$A:$A,'Variance16-17'!$A37,'Budget 12 Mnths'!K:K)</f>
        <v>0</v>
      </c>
      <c r="L37" s="56">
        <f>SUMIF('2015-16 12 Mnths'!$A:$A,'Variance16-17'!$A37,'2015-16 12 Mnths'!K:K)-SUMIF('Budget 12 Mnths'!$A:$A,'Variance16-17'!$A37,'Budget 12 Mnths'!L:L)</f>
        <v>0</v>
      </c>
      <c r="M37" s="56"/>
      <c r="N37" s="56"/>
      <c r="O37" s="56"/>
      <c r="P37" s="56">
        <f t="shared" si="1"/>
        <v>0</v>
      </c>
      <c r="Q37" s="14" t="str">
        <f>+VLOOKUP(A37,Mapping!$A$1:$E$443,5,FALSE)</f>
        <v>Student Activities</v>
      </c>
      <c r="R37" s="26">
        <f>+SUMIF('Budget 12 Mnths'!$A:$A,'Variance16-17'!$A37,'Budget 12 Mnths'!$P:$P)</f>
        <v>0</v>
      </c>
      <c r="S37" s="26">
        <f>+SUMIF('2015-16 12 Mnths'!$A:$A,'Variance16-17'!$A37,'2015-16 12 Mnths'!$O:$O)</f>
        <v>0</v>
      </c>
      <c r="T37" s="57">
        <f t="shared" si="2"/>
        <v>0</v>
      </c>
      <c r="U37" s="57">
        <f t="shared" si="3"/>
        <v>0</v>
      </c>
      <c r="W37" s="27"/>
      <c r="X37" s="27" t="str">
        <f t="shared" si="10"/>
        <v/>
      </c>
      <c r="Z37" s="57">
        <f t="shared" si="19"/>
        <v>0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>
        <f t="shared" si="7"/>
        <v>0</v>
      </c>
    </row>
    <row r="38" ht="15.75" customHeight="1">
      <c r="A38" s="15" t="s">
        <v>163</v>
      </c>
      <c r="B38" s="15" t="s">
        <v>164</v>
      </c>
      <c r="C38" s="15" t="s">
        <v>41</v>
      </c>
      <c r="D38" s="56">
        <f>SUMIF('2015-16 12 Mnths'!$A:$A,'Variance16-17'!$A38,'2015-16 12 Mnths'!C:C)-SUMIF('Budget 12 Mnths'!$A:$A,'Variance16-17'!$A38,'Budget 12 Mnths'!D:D)</f>
        <v>0</v>
      </c>
      <c r="E38" s="56">
        <f>SUMIF('2015-16 12 Mnths'!$A:$A,'Variance16-17'!$A38,'2015-16 12 Mnths'!D:D)-SUMIF('Budget 12 Mnths'!$A:$A,'Variance16-17'!$A38,'Budget 12 Mnths'!E:E)</f>
        <v>0</v>
      </c>
      <c r="F38" s="56">
        <f>SUMIF('2015-16 12 Mnths'!$A:$A,'Variance16-17'!$A38,'2015-16 12 Mnths'!E:E)-SUMIF('Budget 12 Mnths'!$A:$A,'Variance16-17'!$A38,'Budget 12 Mnths'!F:F)</f>
        <v>0</v>
      </c>
      <c r="G38" s="56">
        <f>SUMIF('2015-16 12 Mnths'!$A:$A,'Variance16-17'!$A38,'2015-16 12 Mnths'!F:F)-SUMIF('Budget 12 Mnths'!$A:$A,'Variance16-17'!$A38,'Budget 12 Mnths'!G:G)</f>
        <v>0</v>
      </c>
      <c r="H38" s="56">
        <f>SUMIF('2015-16 12 Mnths'!$A:$A,'Variance16-17'!$A38,'2015-16 12 Mnths'!G:G)-SUMIF('Budget 12 Mnths'!$A:$A,'Variance16-17'!$A38,'Budget 12 Mnths'!H:H)</f>
        <v>90</v>
      </c>
      <c r="I38" s="56">
        <f>SUMIF('2015-16 12 Mnths'!$A:$A,'Variance16-17'!$A38,'2015-16 12 Mnths'!H:H)-SUMIF('Budget 12 Mnths'!$A:$A,'Variance16-17'!$A38,'Budget 12 Mnths'!I:I)</f>
        <v>0</v>
      </c>
      <c r="J38" s="56">
        <f>SUMIF('2015-16 12 Mnths'!$A:$A,'Variance16-17'!$A38,'2015-16 12 Mnths'!I:I)-SUMIF('Budget 12 Mnths'!$A:$A,'Variance16-17'!$A38,'Budget 12 Mnths'!J:J)</f>
        <v>176</v>
      </c>
      <c r="K38" s="56">
        <f>SUMIF('2015-16 12 Mnths'!$A:$A,'Variance16-17'!$A38,'2015-16 12 Mnths'!J:J)-SUMIF('Budget 12 Mnths'!$A:$A,'Variance16-17'!$A38,'Budget 12 Mnths'!K:K)</f>
        <v>-174</v>
      </c>
      <c r="L38" s="56">
        <f>SUMIF('2015-16 12 Mnths'!$A:$A,'Variance16-17'!$A38,'2015-16 12 Mnths'!K:K)-SUMIF('Budget 12 Mnths'!$A:$A,'Variance16-17'!$A38,'Budget 12 Mnths'!L:L)</f>
        <v>-400</v>
      </c>
      <c r="M38" s="56"/>
      <c r="N38" s="56"/>
      <c r="O38" s="56"/>
      <c r="P38" s="56">
        <f t="shared" si="1"/>
        <v>-308</v>
      </c>
      <c r="Q38" s="14" t="str">
        <f>+VLOOKUP(A38,Mapping!$A$1:$E$443,5,FALSE)</f>
        <v>Student Activities</v>
      </c>
      <c r="R38" s="26">
        <f>+SUMIF('Budget 12 Mnths'!$A:$A,'Variance16-17'!$A38,'Budget 12 Mnths'!$P:$P)</f>
        <v>2000</v>
      </c>
      <c r="S38" s="26">
        <f>+SUMIF('2015-16 12 Mnths'!$A:$A,'Variance16-17'!$A38,'2015-16 12 Mnths'!$O:$O)</f>
        <v>692</v>
      </c>
      <c r="T38" s="57">
        <f t="shared" si="2"/>
        <v>-0.154</v>
      </c>
      <c r="U38" s="57">
        <f t="shared" si="3"/>
        <v>-0.4450867052</v>
      </c>
      <c r="V38" s="8" t="s">
        <v>641</v>
      </c>
      <c r="W38" s="27">
        <v>2000.0</v>
      </c>
      <c r="X38" s="27">
        <f t="shared" si="10"/>
        <v>2000</v>
      </c>
      <c r="Z38" s="57">
        <v>0.0</v>
      </c>
      <c r="AA38" s="27"/>
      <c r="AB38" s="27"/>
      <c r="AC38" s="27"/>
      <c r="AD38" s="27"/>
      <c r="AE38" s="27"/>
      <c r="AF38" s="27"/>
      <c r="AG38" s="27"/>
      <c r="AH38" s="27">
        <v>500.0</v>
      </c>
      <c r="AI38" s="27">
        <v>1000.0</v>
      </c>
      <c r="AJ38" s="27">
        <v>500.0</v>
      </c>
      <c r="AK38" s="27"/>
      <c r="AL38" s="27"/>
      <c r="AM38" s="27">
        <f t="shared" si="7"/>
        <v>0</v>
      </c>
    </row>
    <row r="39" ht="15.75" customHeight="1">
      <c r="A39" s="15" t="s">
        <v>167</v>
      </c>
      <c r="B39" s="15" t="s">
        <v>168</v>
      </c>
      <c r="C39" s="15" t="s">
        <v>41</v>
      </c>
      <c r="D39" s="56">
        <f>SUMIF('2015-16 12 Mnths'!$A:$A,'Variance16-17'!$A39,'2015-16 12 Mnths'!C:C)-SUMIF('Budget 12 Mnths'!$A:$A,'Variance16-17'!$A39,'Budget 12 Mnths'!D:D)</f>
        <v>0</v>
      </c>
      <c r="E39" s="56">
        <f>SUMIF('2015-16 12 Mnths'!$A:$A,'Variance16-17'!$A39,'2015-16 12 Mnths'!D:D)-SUMIF('Budget 12 Mnths'!$A:$A,'Variance16-17'!$A39,'Budget 12 Mnths'!E:E)</f>
        <v>0</v>
      </c>
      <c r="F39" s="56">
        <f>SUMIF('2015-16 12 Mnths'!$A:$A,'Variance16-17'!$A39,'2015-16 12 Mnths'!E:E)-SUMIF('Budget 12 Mnths'!$A:$A,'Variance16-17'!$A39,'Budget 12 Mnths'!F:F)</f>
        <v>0</v>
      </c>
      <c r="G39" s="56">
        <f>SUMIF('2015-16 12 Mnths'!$A:$A,'Variance16-17'!$A39,'2015-16 12 Mnths'!F:F)-SUMIF('Budget 12 Mnths'!$A:$A,'Variance16-17'!$A39,'Budget 12 Mnths'!G:G)</f>
        <v>0</v>
      </c>
      <c r="H39" s="56">
        <f>SUMIF('2015-16 12 Mnths'!$A:$A,'Variance16-17'!$A39,'2015-16 12 Mnths'!G:G)-SUMIF('Budget 12 Mnths'!$A:$A,'Variance16-17'!$A39,'Budget 12 Mnths'!H:H)</f>
        <v>0</v>
      </c>
      <c r="I39" s="56">
        <f>SUMIF('2015-16 12 Mnths'!$A:$A,'Variance16-17'!$A39,'2015-16 12 Mnths'!H:H)-SUMIF('Budget 12 Mnths'!$A:$A,'Variance16-17'!$A39,'Budget 12 Mnths'!I:I)</f>
        <v>0</v>
      </c>
      <c r="J39" s="56">
        <f>SUMIF('2015-16 12 Mnths'!$A:$A,'Variance16-17'!$A39,'2015-16 12 Mnths'!I:I)-SUMIF('Budget 12 Mnths'!$A:$A,'Variance16-17'!$A39,'Budget 12 Mnths'!J:J)</f>
        <v>75</v>
      </c>
      <c r="K39" s="56">
        <f>SUMIF('2015-16 12 Mnths'!$A:$A,'Variance16-17'!$A39,'2015-16 12 Mnths'!J:J)-SUMIF('Budget 12 Mnths'!$A:$A,'Variance16-17'!$A39,'Budget 12 Mnths'!K:K)</f>
        <v>0</v>
      </c>
      <c r="L39" s="56">
        <f>SUMIF('2015-16 12 Mnths'!$A:$A,'Variance16-17'!$A39,'2015-16 12 Mnths'!K:K)-SUMIF('Budget 12 Mnths'!$A:$A,'Variance16-17'!$A39,'Budget 12 Mnths'!L:L)</f>
        <v>-250</v>
      </c>
      <c r="M39" s="56"/>
      <c r="N39" s="56"/>
      <c r="O39" s="56"/>
      <c r="P39" s="56">
        <f t="shared" si="1"/>
        <v>-175</v>
      </c>
      <c r="Q39" s="14" t="str">
        <f>+VLOOKUP(A39,Mapping!$A$1:$E$443,5,FALSE)</f>
        <v>Student Activities</v>
      </c>
      <c r="R39" s="26">
        <f>+SUMIF('Budget 12 Mnths'!$A:$A,'Variance16-17'!$A39,'Budget 12 Mnths'!$P:$P)</f>
        <v>750</v>
      </c>
      <c r="S39" s="26">
        <f>+SUMIF('2015-16 12 Mnths'!$A:$A,'Variance16-17'!$A39,'2015-16 12 Mnths'!$O:$O)</f>
        <v>75</v>
      </c>
      <c r="T39" s="57">
        <f t="shared" si="2"/>
        <v>-0.2333333333</v>
      </c>
      <c r="U39" s="57">
        <f t="shared" si="3"/>
        <v>-2.333333333</v>
      </c>
      <c r="V39" s="8" t="s">
        <v>641</v>
      </c>
      <c r="W39" s="27">
        <v>750.0</v>
      </c>
      <c r="X39" s="27">
        <f t="shared" si="10"/>
        <v>750</v>
      </c>
      <c r="Z39" s="57">
        <v>0.0</v>
      </c>
      <c r="AA39" s="27"/>
      <c r="AB39" s="27"/>
      <c r="AC39" s="27"/>
      <c r="AD39" s="27"/>
      <c r="AE39" s="27"/>
      <c r="AF39" s="27"/>
      <c r="AG39" s="27"/>
      <c r="AH39" s="27">
        <v>250.0</v>
      </c>
      <c r="AI39" s="27">
        <v>250.0</v>
      </c>
      <c r="AJ39" s="27">
        <v>250.0</v>
      </c>
      <c r="AK39" s="27"/>
      <c r="AL39" s="27"/>
      <c r="AM39" s="27">
        <f t="shared" si="7"/>
        <v>0</v>
      </c>
    </row>
    <row r="40" ht="15.75" customHeight="1">
      <c r="A40" s="15" t="s">
        <v>171</v>
      </c>
      <c r="B40" s="15" t="s">
        <v>172</v>
      </c>
      <c r="C40" s="15" t="s">
        <v>41</v>
      </c>
      <c r="D40" s="56">
        <f>SUMIF('2015-16 12 Mnths'!$A:$A,'Variance16-17'!$A40,'2015-16 12 Mnths'!C:C)-SUMIF('Budget 12 Mnths'!$A:$A,'Variance16-17'!$A40,'Budget 12 Mnths'!D:D)</f>
        <v>-100</v>
      </c>
      <c r="E40" s="56">
        <f>SUMIF('2015-16 12 Mnths'!$A:$A,'Variance16-17'!$A40,'2015-16 12 Mnths'!D:D)-SUMIF('Budget 12 Mnths'!$A:$A,'Variance16-17'!$A40,'Budget 12 Mnths'!E:E)</f>
        <v>0</v>
      </c>
      <c r="F40" s="56">
        <f>SUMIF('2015-16 12 Mnths'!$A:$A,'Variance16-17'!$A40,'2015-16 12 Mnths'!E:E)-SUMIF('Budget 12 Mnths'!$A:$A,'Variance16-17'!$A40,'Budget 12 Mnths'!F:F)</f>
        <v>-100</v>
      </c>
      <c r="G40" s="56">
        <f>SUMIF('2015-16 12 Mnths'!$A:$A,'Variance16-17'!$A40,'2015-16 12 Mnths'!F:F)-SUMIF('Budget 12 Mnths'!$A:$A,'Variance16-17'!$A40,'Budget 12 Mnths'!G:G)</f>
        <v>-100</v>
      </c>
      <c r="H40" s="56">
        <f>SUMIF('2015-16 12 Mnths'!$A:$A,'Variance16-17'!$A40,'2015-16 12 Mnths'!G:G)-SUMIF('Budget 12 Mnths'!$A:$A,'Variance16-17'!$A40,'Budget 12 Mnths'!H:H)</f>
        <v>-100</v>
      </c>
      <c r="I40" s="56">
        <f>SUMIF('2015-16 12 Mnths'!$A:$A,'Variance16-17'!$A40,'2015-16 12 Mnths'!H:H)-SUMIF('Budget 12 Mnths'!$A:$A,'Variance16-17'!$A40,'Budget 12 Mnths'!I:I)</f>
        <v>-100</v>
      </c>
      <c r="J40" s="56">
        <f>SUMIF('2015-16 12 Mnths'!$A:$A,'Variance16-17'!$A40,'2015-16 12 Mnths'!I:I)-SUMIF('Budget 12 Mnths'!$A:$A,'Variance16-17'!$A40,'Budget 12 Mnths'!J:J)</f>
        <v>516</v>
      </c>
      <c r="K40" s="56">
        <f>SUMIF('2015-16 12 Mnths'!$A:$A,'Variance16-17'!$A40,'2015-16 12 Mnths'!J:J)-SUMIF('Budget 12 Mnths'!$A:$A,'Variance16-17'!$A40,'Budget 12 Mnths'!K:K)</f>
        <v>2</v>
      </c>
      <c r="L40" s="56">
        <f>SUMIF('2015-16 12 Mnths'!$A:$A,'Variance16-17'!$A40,'2015-16 12 Mnths'!K:K)-SUMIF('Budget 12 Mnths'!$A:$A,'Variance16-17'!$A40,'Budget 12 Mnths'!L:L)</f>
        <v>190</v>
      </c>
      <c r="M40" s="56"/>
      <c r="N40" s="56"/>
      <c r="O40" s="56"/>
      <c r="P40" s="56">
        <f t="shared" si="1"/>
        <v>208</v>
      </c>
      <c r="Q40" s="14" t="str">
        <f>+VLOOKUP(A40,Mapping!$A$1:$E$443,5,FALSE)</f>
        <v>Student Activities</v>
      </c>
      <c r="R40" s="26">
        <f>+SUMIF('Budget 12 Mnths'!$A:$A,'Variance16-17'!$A40,'Budget 12 Mnths'!$P:$P)</f>
        <v>1000</v>
      </c>
      <c r="S40" s="26">
        <f>+SUMIF('2015-16 12 Mnths'!$A:$A,'Variance16-17'!$A40,'2015-16 12 Mnths'!$O:$O)</f>
        <v>1314</v>
      </c>
      <c r="T40" s="57">
        <f t="shared" si="2"/>
        <v>0.208</v>
      </c>
      <c r="U40" s="57">
        <f t="shared" si="3"/>
        <v>0.1582952816</v>
      </c>
      <c r="V40" s="8" t="s">
        <v>641</v>
      </c>
      <c r="W40" s="27">
        <v>1000.0</v>
      </c>
      <c r="X40" s="27">
        <f t="shared" si="10"/>
        <v>1000</v>
      </c>
      <c r="Z40" s="57">
        <f t="shared" ref="Z40:Z41" si="20">+X40/2</f>
        <v>500</v>
      </c>
      <c r="AA40" s="27"/>
      <c r="AB40" s="27">
        <v>125.0</v>
      </c>
      <c r="AC40" s="27">
        <v>125.0</v>
      </c>
      <c r="AD40" s="27">
        <v>125.0</v>
      </c>
      <c r="AE40" s="27">
        <v>125.0</v>
      </c>
      <c r="AF40" s="27"/>
      <c r="AG40" s="27">
        <v>125.0</v>
      </c>
      <c r="AH40" s="27">
        <v>125.0</v>
      </c>
      <c r="AI40" s="27">
        <v>125.0</v>
      </c>
      <c r="AJ40" s="27">
        <v>125.0</v>
      </c>
      <c r="AK40" s="27"/>
      <c r="AL40" s="27"/>
      <c r="AM40" s="27">
        <f t="shared" si="7"/>
        <v>0</v>
      </c>
    </row>
    <row r="41" ht="15.75" customHeight="1">
      <c r="A41" s="15" t="s">
        <v>175</v>
      </c>
      <c r="B41" s="15" t="s">
        <v>176</v>
      </c>
      <c r="C41" s="15" t="s">
        <v>41</v>
      </c>
      <c r="D41" s="56">
        <f>SUMIF('2015-16 12 Mnths'!$A:$A,'Variance16-17'!$A41,'2015-16 12 Mnths'!C:C)-SUMIF('Budget 12 Mnths'!$A:$A,'Variance16-17'!$A41,'Budget 12 Mnths'!D:D)</f>
        <v>-3000</v>
      </c>
      <c r="E41" s="56">
        <f>SUMIF('2015-16 12 Mnths'!$A:$A,'Variance16-17'!$A41,'2015-16 12 Mnths'!D:D)-SUMIF('Budget 12 Mnths'!$A:$A,'Variance16-17'!$A41,'Budget 12 Mnths'!E:E)</f>
        <v>0</v>
      </c>
      <c r="F41" s="56">
        <f>SUMIF('2015-16 12 Mnths'!$A:$A,'Variance16-17'!$A41,'2015-16 12 Mnths'!E:E)-SUMIF('Budget 12 Mnths'!$A:$A,'Variance16-17'!$A41,'Budget 12 Mnths'!F:F)</f>
        <v>0</v>
      </c>
      <c r="G41" s="56">
        <f>SUMIF('2015-16 12 Mnths'!$A:$A,'Variance16-17'!$A41,'2015-16 12 Mnths'!F:F)-SUMIF('Budget 12 Mnths'!$A:$A,'Variance16-17'!$A41,'Budget 12 Mnths'!G:G)</f>
        <v>0</v>
      </c>
      <c r="H41" s="56">
        <f>SUMIF('2015-16 12 Mnths'!$A:$A,'Variance16-17'!$A41,'2015-16 12 Mnths'!G:G)-SUMIF('Budget 12 Mnths'!$A:$A,'Variance16-17'!$A41,'Budget 12 Mnths'!H:H)</f>
        <v>0</v>
      </c>
      <c r="I41" s="56">
        <f>SUMIF('2015-16 12 Mnths'!$A:$A,'Variance16-17'!$A41,'2015-16 12 Mnths'!H:H)-SUMIF('Budget 12 Mnths'!$A:$A,'Variance16-17'!$A41,'Budget 12 Mnths'!I:I)</f>
        <v>0</v>
      </c>
      <c r="J41" s="56">
        <f>SUMIF('2015-16 12 Mnths'!$A:$A,'Variance16-17'!$A41,'2015-16 12 Mnths'!I:I)-SUMIF('Budget 12 Mnths'!$A:$A,'Variance16-17'!$A41,'Budget 12 Mnths'!J:J)</f>
        <v>0</v>
      </c>
      <c r="K41" s="56">
        <f>SUMIF('2015-16 12 Mnths'!$A:$A,'Variance16-17'!$A41,'2015-16 12 Mnths'!J:J)-SUMIF('Budget 12 Mnths'!$A:$A,'Variance16-17'!$A41,'Budget 12 Mnths'!K:K)</f>
        <v>0</v>
      </c>
      <c r="L41" s="56">
        <f>SUMIF('2015-16 12 Mnths'!$A:$A,'Variance16-17'!$A41,'2015-16 12 Mnths'!K:K)-SUMIF('Budget 12 Mnths'!$A:$A,'Variance16-17'!$A41,'Budget 12 Mnths'!L:L)</f>
        <v>0</v>
      </c>
      <c r="M41" s="56"/>
      <c r="N41" s="56"/>
      <c r="O41" s="56"/>
      <c r="P41" s="56">
        <f t="shared" si="1"/>
        <v>-3000</v>
      </c>
      <c r="Q41" s="14" t="str">
        <f>+VLOOKUP(A41,Mapping!$A$1:$E$443,5,FALSE)</f>
        <v>Student Activities</v>
      </c>
      <c r="R41" s="26">
        <f>+SUMIF('Budget 12 Mnths'!$A:$A,'Variance16-17'!$A41,'Budget 12 Mnths'!$P:$P)</f>
        <v>8000</v>
      </c>
      <c r="S41" s="26">
        <f>+SUMIF('2015-16 12 Mnths'!$A:$A,'Variance16-17'!$A41,'2015-16 12 Mnths'!$O:$O)</f>
        <v>0</v>
      </c>
      <c r="T41" s="57">
        <f t="shared" si="2"/>
        <v>-0.375</v>
      </c>
      <c r="U41" s="57">
        <f t="shared" si="3"/>
        <v>0</v>
      </c>
      <c r="V41" s="8" t="s">
        <v>641</v>
      </c>
      <c r="W41" s="27">
        <v>0.0</v>
      </c>
      <c r="X41" s="27">
        <f t="shared" si="10"/>
        <v>0</v>
      </c>
      <c r="Z41" s="57">
        <f t="shared" si="20"/>
        <v>0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>
        <f t="shared" si="7"/>
        <v>0</v>
      </c>
    </row>
    <row r="42" ht="15.75" customHeight="1">
      <c r="A42" s="15" t="s">
        <v>178</v>
      </c>
      <c r="B42" s="15" t="s">
        <v>179</v>
      </c>
      <c r="C42" s="15" t="s">
        <v>41</v>
      </c>
      <c r="D42" s="56">
        <f>SUMIF('2015-16 12 Mnths'!$A:$A,'Variance16-17'!$A42,'2015-16 12 Mnths'!C:C)-SUMIF('Budget 12 Mnths'!$A:$A,'Variance16-17'!$A42,'Budget 12 Mnths'!D:D)</f>
        <v>0</v>
      </c>
      <c r="E42" s="56">
        <f>SUMIF('2015-16 12 Mnths'!$A:$A,'Variance16-17'!$A42,'2015-16 12 Mnths'!D:D)-SUMIF('Budget 12 Mnths'!$A:$A,'Variance16-17'!$A42,'Budget 12 Mnths'!E:E)</f>
        <v>0</v>
      </c>
      <c r="F42" s="56">
        <f>SUMIF('2015-16 12 Mnths'!$A:$A,'Variance16-17'!$A42,'2015-16 12 Mnths'!E:E)-SUMIF('Budget 12 Mnths'!$A:$A,'Variance16-17'!$A42,'Budget 12 Mnths'!F:F)</f>
        <v>30</v>
      </c>
      <c r="G42" s="56">
        <f>SUMIF('2015-16 12 Mnths'!$A:$A,'Variance16-17'!$A42,'2015-16 12 Mnths'!F:F)-SUMIF('Budget 12 Mnths'!$A:$A,'Variance16-17'!$A42,'Budget 12 Mnths'!G:G)</f>
        <v>0</v>
      </c>
      <c r="H42" s="56">
        <f>SUMIF('2015-16 12 Mnths'!$A:$A,'Variance16-17'!$A42,'2015-16 12 Mnths'!G:G)-SUMIF('Budget 12 Mnths'!$A:$A,'Variance16-17'!$A42,'Budget 12 Mnths'!H:H)</f>
        <v>30</v>
      </c>
      <c r="I42" s="56">
        <f>SUMIF('2015-16 12 Mnths'!$A:$A,'Variance16-17'!$A42,'2015-16 12 Mnths'!H:H)-SUMIF('Budget 12 Mnths'!$A:$A,'Variance16-17'!$A42,'Budget 12 Mnths'!I:I)</f>
        <v>0</v>
      </c>
      <c r="J42" s="56">
        <f>SUMIF('2015-16 12 Mnths'!$A:$A,'Variance16-17'!$A42,'2015-16 12 Mnths'!I:I)-SUMIF('Budget 12 Mnths'!$A:$A,'Variance16-17'!$A42,'Budget 12 Mnths'!J:J)</f>
        <v>0</v>
      </c>
      <c r="K42" s="56">
        <f>SUMIF('2015-16 12 Mnths'!$A:$A,'Variance16-17'!$A42,'2015-16 12 Mnths'!J:J)-SUMIF('Budget 12 Mnths'!$A:$A,'Variance16-17'!$A42,'Budget 12 Mnths'!K:K)</f>
        <v>0</v>
      </c>
      <c r="L42" s="56">
        <f>SUMIF('2015-16 12 Mnths'!$A:$A,'Variance16-17'!$A42,'2015-16 12 Mnths'!K:K)-SUMIF('Budget 12 Mnths'!$A:$A,'Variance16-17'!$A42,'Budget 12 Mnths'!L:L)</f>
        <v>0</v>
      </c>
      <c r="M42" s="56"/>
      <c r="N42" s="56"/>
      <c r="O42" s="56"/>
      <c r="P42" s="56">
        <f t="shared" si="1"/>
        <v>60</v>
      </c>
      <c r="Q42" s="14" t="str">
        <f>+VLOOKUP(A42,Mapping!$A$1:$E$443,5,FALSE)</f>
        <v>Student Activities</v>
      </c>
      <c r="R42" s="26">
        <f>+SUMIF('Budget 12 Mnths'!$A:$A,'Variance16-17'!$A42,'Budget 12 Mnths'!$P:$P)</f>
        <v>800</v>
      </c>
      <c r="S42" s="26">
        <f>+SUMIF('2015-16 12 Mnths'!$A:$A,'Variance16-17'!$A42,'2015-16 12 Mnths'!$O:$O)</f>
        <v>757</v>
      </c>
      <c r="T42" s="57">
        <f t="shared" si="2"/>
        <v>0.075</v>
      </c>
      <c r="U42" s="57">
        <f t="shared" si="3"/>
        <v>0.07926023778</v>
      </c>
      <c r="V42" s="8" t="s">
        <v>641</v>
      </c>
      <c r="W42" s="27">
        <v>800.0</v>
      </c>
      <c r="X42" s="27">
        <f t="shared" si="10"/>
        <v>800</v>
      </c>
      <c r="Z42" s="57">
        <v>0.0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>
        <v>800.0</v>
      </c>
      <c r="AK42" s="27"/>
      <c r="AL42" s="27"/>
      <c r="AM42" s="27">
        <f t="shared" si="7"/>
        <v>0</v>
      </c>
    </row>
    <row r="43" ht="15.75" customHeight="1">
      <c r="A43" s="15" t="s">
        <v>181</v>
      </c>
      <c r="B43" s="15" t="s">
        <v>182</v>
      </c>
      <c r="C43" s="15" t="s">
        <v>41</v>
      </c>
      <c r="D43" s="56">
        <f>SUMIF('2015-16 12 Mnths'!$A:$A,'Variance16-17'!$A43,'2015-16 12 Mnths'!C:C)-SUMIF('Budget 12 Mnths'!$A:$A,'Variance16-17'!$A43,'Budget 12 Mnths'!D:D)</f>
        <v>0</v>
      </c>
      <c r="E43" s="56">
        <f>SUMIF('2015-16 12 Mnths'!$A:$A,'Variance16-17'!$A43,'2015-16 12 Mnths'!D:D)-SUMIF('Budget 12 Mnths'!$A:$A,'Variance16-17'!$A43,'Budget 12 Mnths'!E:E)</f>
        <v>0</v>
      </c>
      <c r="F43" s="56">
        <f>SUMIF('2015-16 12 Mnths'!$A:$A,'Variance16-17'!$A43,'2015-16 12 Mnths'!E:E)-SUMIF('Budget 12 Mnths'!$A:$A,'Variance16-17'!$A43,'Budget 12 Mnths'!F:F)</f>
        <v>0</v>
      </c>
      <c r="G43" s="56">
        <f>SUMIF('2015-16 12 Mnths'!$A:$A,'Variance16-17'!$A43,'2015-16 12 Mnths'!F:F)-SUMIF('Budget 12 Mnths'!$A:$A,'Variance16-17'!$A43,'Budget 12 Mnths'!G:G)</f>
        <v>0</v>
      </c>
      <c r="H43" s="56">
        <f>SUMIF('2015-16 12 Mnths'!$A:$A,'Variance16-17'!$A43,'2015-16 12 Mnths'!G:G)-SUMIF('Budget 12 Mnths'!$A:$A,'Variance16-17'!$A43,'Budget 12 Mnths'!H:H)</f>
        <v>0</v>
      </c>
      <c r="I43" s="56">
        <f>SUMIF('2015-16 12 Mnths'!$A:$A,'Variance16-17'!$A43,'2015-16 12 Mnths'!H:H)-SUMIF('Budget 12 Mnths'!$A:$A,'Variance16-17'!$A43,'Budget 12 Mnths'!I:I)</f>
        <v>0</v>
      </c>
      <c r="J43" s="56">
        <f>SUMIF('2015-16 12 Mnths'!$A:$A,'Variance16-17'!$A43,'2015-16 12 Mnths'!I:I)-SUMIF('Budget 12 Mnths'!$A:$A,'Variance16-17'!$A43,'Budget 12 Mnths'!J:J)</f>
        <v>0</v>
      </c>
      <c r="K43" s="56">
        <f>SUMIF('2015-16 12 Mnths'!$A:$A,'Variance16-17'!$A43,'2015-16 12 Mnths'!J:J)-SUMIF('Budget 12 Mnths'!$A:$A,'Variance16-17'!$A43,'Budget 12 Mnths'!K:K)</f>
        <v>0</v>
      </c>
      <c r="L43" s="56">
        <f>SUMIF('2015-16 12 Mnths'!$A:$A,'Variance16-17'!$A43,'2015-16 12 Mnths'!K:K)-SUMIF('Budget 12 Mnths'!$A:$A,'Variance16-17'!$A43,'Budget 12 Mnths'!L:L)</f>
        <v>0</v>
      </c>
      <c r="M43" s="56"/>
      <c r="N43" s="56"/>
      <c r="O43" s="56"/>
      <c r="P43" s="56">
        <f t="shared" si="1"/>
        <v>0</v>
      </c>
      <c r="Q43" s="14" t="str">
        <f>+VLOOKUP(A43,Mapping!$A$1:$E$443,5,FALSE)</f>
        <v>Student Activities</v>
      </c>
      <c r="R43" s="26">
        <f>+SUMIF('Budget 12 Mnths'!$A:$A,'Variance16-17'!$A43,'Budget 12 Mnths'!$P:$P)</f>
        <v>0</v>
      </c>
      <c r="S43" s="26">
        <f>+SUMIF('2015-16 12 Mnths'!$A:$A,'Variance16-17'!$A43,'2015-16 12 Mnths'!$O:$O)</f>
        <v>0</v>
      </c>
      <c r="T43" s="57">
        <f t="shared" si="2"/>
        <v>0</v>
      </c>
      <c r="U43" s="57">
        <f t="shared" si="3"/>
        <v>0</v>
      </c>
      <c r="W43" s="27">
        <v>8000.0</v>
      </c>
      <c r="X43" s="27">
        <f t="shared" si="10"/>
        <v>8000</v>
      </c>
      <c r="Z43" s="57">
        <f t="shared" ref="Z43:Z58" si="22">+X43/2</f>
        <v>4000</v>
      </c>
      <c r="AA43" s="57">
        <f t="shared" ref="AA43:AL43" si="21">+$X43/12</f>
        <v>666.6666667</v>
      </c>
      <c r="AB43" s="57">
        <f t="shared" si="21"/>
        <v>666.6666667</v>
      </c>
      <c r="AC43" s="57">
        <f t="shared" si="21"/>
        <v>666.6666667</v>
      </c>
      <c r="AD43" s="57">
        <f t="shared" si="21"/>
        <v>666.6666667</v>
      </c>
      <c r="AE43" s="57">
        <f t="shared" si="21"/>
        <v>666.6666667</v>
      </c>
      <c r="AF43" s="57">
        <f t="shared" si="21"/>
        <v>666.6666667</v>
      </c>
      <c r="AG43" s="57">
        <f t="shared" si="21"/>
        <v>666.6666667</v>
      </c>
      <c r="AH43" s="57">
        <f t="shared" si="21"/>
        <v>666.6666667</v>
      </c>
      <c r="AI43" s="57">
        <f t="shared" si="21"/>
        <v>666.6666667</v>
      </c>
      <c r="AJ43" s="57">
        <f t="shared" si="21"/>
        <v>666.6666667</v>
      </c>
      <c r="AK43" s="57">
        <f t="shared" si="21"/>
        <v>666.6666667</v>
      </c>
      <c r="AL43" s="57">
        <f t="shared" si="21"/>
        <v>666.6666667</v>
      </c>
      <c r="AM43" s="27">
        <f t="shared" si="7"/>
        <v>0</v>
      </c>
    </row>
    <row r="44" ht="15.75" customHeight="1">
      <c r="A44" s="15" t="s">
        <v>184</v>
      </c>
      <c r="B44" s="15" t="s">
        <v>185</v>
      </c>
      <c r="C44" s="15" t="s">
        <v>41</v>
      </c>
      <c r="D44" s="56">
        <f>SUMIF('2015-16 12 Mnths'!$A:$A,'Variance16-17'!$A44,'2015-16 12 Mnths'!C:C)-SUMIF('Budget 12 Mnths'!$A:$A,'Variance16-17'!$A44,'Budget 12 Mnths'!D:D)</f>
        <v>0</v>
      </c>
      <c r="E44" s="56">
        <f>SUMIF('2015-16 12 Mnths'!$A:$A,'Variance16-17'!$A44,'2015-16 12 Mnths'!D:D)-SUMIF('Budget 12 Mnths'!$A:$A,'Variance16-17'!$A44,'Budget 12 Mnths'!E:E)</f>
        <v>0</v>
      </c>
      <c r="F44" s="56">
        <f>SUMIF('2015-16 12 Mnths'!$A:$A,'Variance16-17'!$A44,'2015-16 12 Mnths'!E:E)-SUMIF('Budget 12 Mnths'!$A:$A,'Variance16-17'!$A44,'Budget 12 Mnths'!F:F)</f>
        <v>0</v>
      </c>
      <c r="G44" s="56">
        <f>SUMIF('2015-16 12 Mnths'!$A:$A,'Variance16-17'!$A44,'2015-16 12 Mnths'!F:F)-SUMIF('Budget 12 Mnths'!$A:$A,'Variance16-17'!$A44,'Budget 12 Mnths'!G:G)</f>
        <v>0</v>
      </c>
      <c r="H44" s="56">
        <f>SUMIF('2015-16 12 Mnths'!$A:$A,'Variance16-17'!$A44,'2015-16 12 Mnths'!G:G)-SUMIF('Budget 12 Mnths'!$A:$A,'Variance16-17'!$A44,'Budget 12 Mnths'!H:H)</f>
        <v>0</v>
      </c>
      <c r="I44" s="56">
        <f>SUMIF('2015-16 12 Mnths'!$A:$A,'Variance16-17'!$A44,'2015-16 12 Mnths'!H:H)-SUMIF('Budget 12 Mnths'!$A:$A,'Variance16-17'!$A44,'Budget 12 Mnths'!I:I)</f>
        <v>0</v>
      </c>
      <c r="J44" s="56">
        <f>SUMIF('2015-16 12 Mnths'!$A:$A,'Variance16-17'!$A44,'2015-16 12 Mnths'!I:I)-SUMIF('Budget 12 Mnths'!$A:$A,'Variance16-17'!$A44,'Budget 12 Mnths'!J:J)</f>
        <v>0</v>
      </c>
      <c r="K44" s="56">
        <f>SUMIF('2015-16 12 Mnths'!$A:$A,'Variance16-17'!$A44,'2015-16 12 Mnths'!J:J)-SUMIF('Budget 12 Mnths'!$A:$A,'Variance16-17'!$A44,'Budget 12 Mnths'!K:K)</f>
        <v>0</v>
      </c>
      <c r="L44" s="56">
        <f>SUMIF('2015-16 12 Mnths'!$A:$A,'Variance16-17'!$A44,'2015-16 12 Mnths'!K:K)-SUMIF('Budget 12 Mnths'!$A:$A,'Variance16-17'!$A44,'Budget 12 Mnths'!L:L)</f>
        <v>0</v>
      </c>
      <c r="M44" s="56"/>
      <c r="N44" s="56"/>
      <c r="O44" s="56"/>
      <c r="P44" s="56">
        <f t="shared" si="1"/>
        <v>0</v>
      </c>
      <c r="Q44" s="14" t="str">
        <f>+VLOOKUP(A44,Mapping!$A$1:$E$443,5,FALSE)</f>
        <v>Student Activities</v>
      </c>
      <c r="R44" s="26">
        <f>+SUMIF('Budget 12 Mnths'!$A:$A,'Variance16-17'!$A44,'Budget 12 Mnths'!$P:$P)</f>
        <v>0</v>
      </c>
      <c r="S44" s="26">
        <f>+SUMIF('2015-16 12 Mnths'!$A:$A,'Variance16-17'!$A44,'2015-16 12 Mnths'!$O:$O)</f>
        <v>0</v>
      </c>
      <c r="T44" s="57">
        <f t="shared" si="2"/>
        <v>0</v>
      </c>
      <c r="U44" s="57">
        <f t="shared" si="3"/>
        <v>0</v>
      </c>
      <c r="W44" s="27"/>
      <c r="X44" s="27" t="str">
        <f t="shared" si="10"/>
        <v/>
      </c>
      <c r="Z44" s="57">
        <f t="shared" si="22"/>
        <v>0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>
        <f t="shared" si="7"/>
        <v>0</v>
      </c>
    </row>
    <row r="45" ht="15.75" customHeight="1">
      <c r="A45" s="15" t="s">
        <v>188</v>
      </c>
      <c r="B45" s="15" t="s">
        <v>189</v>
      </c>
      <c r="C45" s="15" t="s">
        <v>41</v>
      </c>
      <c r="D45" s="56">
        <f>SUMIF('2015-16 12 Mnths'!$A:$A,'Variance16-17'!$A45,'2015-16 12 Mnths'!C:C)-SUMIF('Budget 12 Mnths'!$A:$A,'Variance16-17'!$A45,'Budget 12 Mnths'!D:D)</f>
        <v>0</v>
      </c>
      <c r="E45" s="56">
        <f>SUMIF('2015-16 12 Mnths'!$A:$A,'Variance16-17'!$A45,'2015-16 12 Mnths'!D:D)-SUMIF('Budget 12 Mnths'!$A:$A,'Variance16-17'!$A45,'Budget 12 Mnths'!E:E)</f>
        <v>0</v>
      </c>
      <c r="F45" s="56">
        <f>SUMIF('2015-16 12 Mnths'!$A:$A,'Variance16-17'!$A45,'2015-16 12 Mnths'!E:E)-SUMIF('Budget 12 Mnths'!$A:$A,'Variance16-17'!$A45,'Budget 12 Mnths'!F:F)</f>
        <v>0</v>
      </c>
      <c r="G45" s="56">
        <f>SUMIF('2015-16 12 Mnths'!$A:$A,'Variance16-17'!$A45,'2015-16 12 Mnths'!F:F)-SUMIF('Budget 12 Mnths'!$A:$A,'Variance16-17'!$A45,'Budget 12 Mnths'!G:G)</f>
        <v>0</v>
      </c>
      <c r="H45" s="56">
        <f>SUMIF('2015-16 12 Mnths'!$A:$A,'Variance16-17'!$A45,'2015-16 12 Mnths'!G:G)-SUMIF('Budget 12 Mnths'!$A:$A,'Variance16-17'!$A45,'Budget 12 Mnths'!H:H)</f>
        <v>100</v>
      </c>
      <c r="I45" s="56">
        <f>SUMIF('2015-16 12 Mnths'!$A:$A,'Variance16-17'!$A45,'2015-16 12 Mnths'!H:H)-SUMIF('Budget 12 Mnths'!$A:$A,'Variance16-17'!$A45,'Budget 12 Mnths'!I:I)</f>
        <v>0</v>
      </c>
      <c r="J45" s="56">
        <f>SUMIF('2015-16 12 Mnths'!$A:$A,'Variance16-17'!$A45,'2015-16 12 Mnths'!I:I)-SUMIF('Budget 12 Mnths'!$A:$A,'Variance16-17'!$A45,'Budget 12 Mnths'!J:J)</f>
        <v>250</v>
      </c>
      <c r="K45" s="56">
        <f>SUMIF('2015-16 12 Mnths'!$A:$A,'Variance16-17'!$A45,'2015-16 12 Mnths'!J:J)-SUMIF('Budget 12 Mnths'!$A:$A,'Variance16-17'!$A45,'Budget 12 Mnths'!K:K)</f>
        <v>2030</v>
      </c>
      <c r="L45" s="56">
        <f>SUMIF('2015-16 12 Mnths'!$A:$A,'Variance16-17'!$A45,'2015-16 12 Mnths'!K:K)-SUMIF('Budget 12 Mnths'!$A:$A,'Variance16-17'!$A45,'Budget 12 Mnths'!L:L)</f>
        <v>600</v>
      </c>
      <c r="M45" s="56"/>
      <c r="N45" s="56"/>
      <c r="O45" s="56"/>
      <c r="P45" s="56">
        <f t="shared" si="1"/>
        <v>2980</v>
      </c>
      <c r="Q45" s="14" t="str">
        <f>+VLOOKUP(A45,Mapping!$A$1:$E$443,5,FALSE)</f>
        <v>PTO</v>
      </c>
      <c r="R45" s="26">
        <f>+SUMIF('Budget 12 Mnths'!$A:$A,'Variance16-17'!$A45,'Budget 12 Mnths'!$P:$P)</f>
        <v>0</v>
      </c>
      <c r="S45" s="26">
        <f>+SUMIF('2015-16 12 Mnths'!$A:$A,'Variance16-17'!$A45,'2015-16 12 Mnths'!$O:$O)</f>
        <v>2980</v>
      </c>
      <c r="T45" s="57">
        <f t="shared" si="2"/>
        <v>0</v>
      </c>
      <c r="U45" s="57">
        <f t="shared" si="3"/>
        <v>1</v>
      </c>
      <c r="V45" s="8" t="s">
        <v>641</v>
      </c>
      <c r="W45" s="27">
        <v>0.0</v>
      </c>
      <c r="X45" s="27">
        <f t="shared" si="10"/>
        <v>0</v>
      </c>
      <c r="Z45" s="57">
        <f t="shared" si="22"/>
        <v>0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>
        <f t="shared" si="7"/>
        <v>0</v>
      </c>
    </row>
    <row r="46" ht="15.75" customHeight="1">
      <c r="A46" s="15" t="s">
        <v>190</v>
      </c>
      <c r="B46" s="15" t="s">
        <v>192</v>
      </c>
      <c r="C46" s="15" t="s">
        <v>41</v>
      </c>
      <c r="D46" s="56">
        <f>SUMIF('2015-16 12 Mnths'!$A:$A,'Variance16-17'!$A46,'2015-16 12 Mnths'!C:C)-SUMIF('Budget 12 Mnths'!$A:$A,'Variance16-17'!$A46,'Budget 12 Mnths'!D:D)</f>
        <v>0</v>
      </c>
      <c r="E46" s="56">
        <f>SUMIF('2015-16 12 Mnths'!$A:$A,'Variance16-17'!$A46,'2015-16 12 Mnths'!D:D)-SUMIF('Budget 12 Mnths'!$A:$A,'Variance16-17'!$A46,'Budget 12 Mnths'!E:E)</f>
        <v>270</v>
      </c>
      <c r="F46" s="56">
        <f>SUMIF('2015-16 12 Mnths'!$A:$A,'Variance16-17'!$A46,'2015-16 12 Mnths'!E:E)-SUMIF('Budget 12 Mnths'!$A:$A,'Variance16-17'!$A46,'Budget 12 Mnths'!F:F)</f>
        <v>60</v>
      </c>
      <c r="G46" s="56">
        <f>SUMIF('2015-16 12 Mnths'!$A:$A,'Variance16-17'!$A46,'2015-16 12 Mnths'!F:F)-SUMIF('Budget 12 Mnths'!$A:$A,'Variance16-17'!$A46,'Budget 12 Mnths'!G:G)</f>
        <v>20</v>
      </c>
      <c r="H46" s="56">
        <f>SUMIF('2015-16 12 Mnths'!$A:$A,'Variance16-17'!$A46,'2015-16 12 Mnths'!G:G)-SUMIF('Budget 12 Mnths'!$A:$A,'Variance16-17'!$A46,'Budget 12 Mnths'!H:H)</f>
        <v>0</v>
      </c>
      <c r="I46" s="56">
        <f>SUMIF('2015-16 12 Mnths'!$A:$A,'Variance16-17'!$A46,'2015-16 12 Mnths'!H:H)-SUMIF('Budget 12 Mnths'!$A:$A,'Variance16-17'!$A46,'Budget 12 Mnths'!I:I)</f>
        <v>0</v>
      </c>
      <c r="J46" s="56">
        <f>SUMIF('2015-16 12 Mnths'!$A:$A,'Variance16-17'!$A46,'2015-16 12 Mnths'!I:I)-SUMIF('Budget 12 Mnths'!$A:$A,'Variance16-17'!$A46,'Budget 12 Mnths'!J:J)</f>
        <v>0</v>
      </c>
      <c r="K46" s="56">
        <f>SUMIF('2015-16 12 Mnths'!$A:$A,'Variance16-17'!$A46,'2015-16 12 Mnths'!J:J)-SUMIF('Budget 12 Mnths'!$A:$A,'Variance16-17'!$A46,'Budget 12 Mnths'!K:K)</f>
        <v>0</v>
      </c>
      <c r="L46" s="56">
        <f>SUMIF('2015-16 12 Mnths'!$A:$A,'Variance16-17'!$A46,'2015-16 12 Mnths'!K:K)-SUMIF('Budget 12 Mnths'!$A:$A,'Variance16-17'!$A46,'Budget 12 Mnths'!L:L)</f>
        <v>0</v>
      </c>
      <c r="M46" s="56"/>
      <c r="N46" s="56"/>
      <c r="O46" s="56"/>
      <c r="P46" s="56">
        <f t="shared" si="1"/>
        <v>350</v>
      </c>
      <c r="Q46" s="14" t="str">
        <f>+VLOOKUP(A46,Mapping!$A$1:$E$443,5,FALSE)</f>
        <v>PTO</v>
      </c>
      <c r="R46" s="26">
        <f>+SUMIF('Budget 12 Mnths'!$A:$A,'Variance16-17'!$A46,'Budget 12 Mnths'!$P:$P)</f>
        <v>0</v>
      </c>
      <c r="S46" s="26">
        <f>+SUMIF('2015-16 12 Mnths'!$A:$A,'Variance16-17'!$A46,'2015-16 12 Mnths'!$O:$O)</f>
        <v>350</v>
      </c>
      <c r="T46" s="57">
        <f t="shared" si="2"/>
        <v>0</v>
      </c>
      <c r="U46" s="57">
        <f t="shared" si="3"/>
        <v>1</v>
      </c>
      <c r="V46" s="8" t="s">
        <v>641</v>
      </c>
      <c r="W46" s="27">
        <v>0.0</v>
      </c>
      <c r="X46" s="27">
        <f t="shared" si="10"/>
        <v>0</v>
      </c>
      <c r="Z46" s="57">
        <f t="shared" si="22"/>
        <v>0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>
        <f t="shared" si="7"/>
        <v>0</v>
      </c>
    </row>
    <row r="47" ht="15.75" customHeight="1">
      <c r="A47" s="15" t="s">
        <v>197</v>
      </c>
      <c r="B47" s="15" t="s">
        <v>198</v>
      </c>
      <c r="C47" s="15" t="s">
        <v>41</v>
      </c>
      <c r="D47" s="56">
        <f>SUMIF('2015-16 12 Mnths'!$A:$A,'Variance16-17'!$A47,'2015-16 12 Mnths'!C:C)-SUMIF('Budget 12 Mnths'!$A:$A,'Variance16-17'!$A47,'Budget 12 Mnths'!D:D)</f>
        <v>0</v>
      </c>
      <c r="E47" s="56">
        <f>SUMIF('2015-16 12 Mnths'!$A:$A,'Variance16-17'!$A47,'2015-16 12 Mnths'!D:D)-SUMIF('Budget 12 Mnths'!$A:$A,'Variance16-17'!$A47,'Budget 12 Mnths'!E:E)</f>
        <v>0</v>
      </c>
      <c r="F47" s="56">
        <f>SUMIF('2015-16 12 Mnths'!$A:$A,'Variance16-17'!$A47,'2015-16 12 Mnths'!E:E)-SUMIF('Budget 12 Mnths'!$A:$A,'Variance16-17'!$A47,'Budget 12 Mnths'!F:F)</f>
        <v>0</v>
      </c>
      <c r="G47" s="56">
        <f>SUMIF('2015-16 12 Mnths'!$A:$A,'Variance16-17'!$A47,'2015-16 12 Mnths'!F:F)-SUMIF('Budget 12 Mnths'!$A:$A,'Variance16-17'!$A47,'Budget 12 Mnths'!G:G)</f>
        <v>0</v>
      </c>
      <c r="H47" s="56">
        <f>SUMIF('2015-16 12 Mnths'!$A:$A,'Variance16-17'!$A47,'2015-16 12 Mnths'!G:G)-SUMIF('Budget 12 Mnths'!$A:$A,'Variance16-17'!$A47,'Budget 12 Mnths'!H:H)</f>
        <v>0</v>
      </c>
      <c r="I47" s="56">
        <f>SUMIF('2015-16 12 Mnths'!$A:$A,'Variance16-17'!$A47,'2015-16 12 Mnths'!H:H)-SUMIF('Budget 12 Mnths'!$A:$A,'Variance16-17'!$A47,'Budget 12 Mnths'!I:I)</f>
        <v>0</v>
      </c>
      <c r="J47" s="56">
        <f>SUMIF('2015-16 12 Mnths'!$A:$A,'Variance16-17'!$A47,'2015-16 12 Mnths'!I:I)-SUMIF('Budget 12 Mnths'!$A:$A,'Variance16-17'!$A47,'Budget 12 Mnths'!J:J)</f>
        <v>0</v>
      </c>
      <c r="K47" s="56">
        <f>SUMIF('2015-16 12 Mnths'!$A:$A,'Variance16-17'!$A47,'2015-16 12 Mnths'!J:J)-SUMIF('Budget 12 Mnths'!$A:$A,'Variance16-17'!$A47,'Budget 12 Mnths'!K:K)</f>
        <v>0</v>
      </c>
      <c r="L47" s="56">
        <f>SUMIF('2015-16 12 Mnths'!$A:$A,'Variance16-17'!$A47,'2015-16 12 Mnths'!K:K)-SUMIF('Budget 12 Mnths'!$A:$A,'Variance16-17'!$A47,'Budget 12 Mnths'!L:L)</f>
        <v>0</v>
      </c>
      <c r="M47" s="56"/>
      <c r="N47" s="56"/>
      <c r="O47" s="56"/>
      <c r="P47" s="56">
        <f t="shared" si="1"/>
        <v>0</v>
      </c>
      <c r="Q47" s="14" t="str">
        <f>+VLOOKUP(A47,Mapping!$A$1:$E$443,5,FALSE)</f>
        <v>Misc</v>
      </c>
      <c r="R47" s="26">
        <f>+SUMIF('Budget 12 Mnths'!$A:$A,'Variance16-17'!$A47,'Budget 12 Mnths'!$P:$P)</f>
        <v>0</v>
      </c>
      <c r="S47" s="26">
        <f>+SUMIF('2015-16 12 Mnths'!$A:$A,'Variance16-17'!$A47,'2015-16 12 Mnths'!$O:$O)</f>
        <v>0</v>
      </c>
      <c r="T47" s="57">
        <f t="shared" si="2"/>
        <v>0</v>
      </c>
      <c r="U47" s="57">
        <f t="shared" si="3"/>
        <v>0</v>
      </c>
      <c r="W47" s="27"/>
      <c r="X47" s="27" t="str">
        <f t="shared" si="10"/>
        <v/>
      </c>
      <c r="Z47" s="57">
        <f t="shared" si="22"/>
        <v>0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>
        <f t="shared" si="7"/>
        <v>0</v>
      </c>
    </row>
    <row r="48" ht="15.75" customHeight="1">
      <c r="A48" s="15" t="s">
        <v>200</v>
      </c>
      <c r="B48" s="15" t="s">
        <v>201</v>
      </c>
      <c r="C48" s="15" t="s">
        <v>41</v>
      </c>
      <c r="D48" s="56">
        <f>SUMIF('2015-16 12 Mnths'!$A:$A,'Variance16-17'!$A48,'2015-16 12 Mnths'!C:C)-SUMIF('Budget 12 Mnths'!$A:$A,'Variance16-17'!$A48,'Budget 12 Mnths'!D:D)</f>
        <v>0</v>
      </c>
      <c r="E48" s="56">
        <f>SUMIF('2015-16 12 Mnths'!$A:$A,'Variance16-17'!$A48,'2015-16 12 Mnths'!D:D)-SUMIF('Budget 12 Mnths'!$A:$A,'Variance16-17'!$A48,'Budget 12 Mnths'!E:E)</f>
        <v>0</v>
      </c>
      <c r="F48" s="56">
        <f>SUMIF('2015-16 12 Mnths'!$A:$A,'Variance16-17'!$A48,'2015-16 12 Mnths'!E:E)-SUMIF('Budget 12 Mnths'!$A:$A,'Variance16-17'!$A48,'Budget 12 Mnths'!F:F)</f>
        <v>0</v>
      </c>
      <c r="G48" s="56">
        <f>SUMIF('2015-16 12 Mnths'!$A:$A,'Variance16-17'!$A48,'2015-16 12 Mnths'!F:F)-SUMIF('Budget 12 Mnths'!$A:$A,'Variance16-17'!$A48,'Budget 12 Mnths'!G:G)</f>
        <v>0</v>
      </c>
      <c r="H48" s="56">
        <f>SUMIF('2015-16 12 Mnths'!$A:$A,'Variance16-17'!$A48,'2015-16 12 Mnths'!G:G)-SUMIF('Budget 12 Mnths'!$A:$A,'Variance16-17'!$A48,'Budget 12 Mnths'!H:H)</f>
        <v>0</v>
      </c>
      <c r="I48" s="56">
        <f>SUMIF('2015-16 12 Mnths'!$A:$A,'Variance16-17'!$A48,'2015-16 12 Mnths'!H:H)-SUMIF('Budget 12 Mnths'!$A:$A,'Variance16-17'!$A48,'Budget 12 Mnths'!I:I)</f>
        <v>0</v>
      </c>
      <c r="J48" s="56">
        <f>SUMIF('2015-16 12 Mnths'!$A:$A,'Variance16-17'!$A48,'2015-16 12 Mnths'!I:I)-SUMIF('Budget 12 Mnths'!$A:$A,'Variance16-17'!$A48,'Budget 12 Mnths'!J:J)</f>
        <v>0</v>
      </c>
      <c r="K48" s="56">
        <f>SUMIF('2015-16 12 Mnths'!$A:$A,'Variance16-17'!$A48,'2015-16 12 Mnths'!J:J)-SUMIF('Budget 12 Mnths'!$A:$A,'Variance16-17'!$A48,'Budget 12 Mnths'!K:K)</f>
        <v>0</v>
      </c>
      <c r="L48" s="56">
        <f>SUMIF('2015-16 12 Mnths'!$A:$A,'Variance16-17'!$A48,'2015-16 12 Mnths'!K:K)-SUMIF('Budget 12 Mnths'!$A:$A,'Variance16-17'!$A48,'Budget 12 Mnths'!L:L)</f>
        <v>0</v>
      </c>
      <c r="M48" s="56"/>
      <c r="N48" s="56"/>
      <c r="O48" s="56"/>
      <c r="P48" s="56">
        <f t="shared" si="1"/>
        <v>0</v>
      </c>
      <c r="Q48" s="14" t="str">
        <f>+VLOOKUP(A48,Mapping!$A$1:$E$443,5,FALSE)</f>
        <v>Misc</v>
      </c>
      <c r="R48" s="26">
        <f>+SUMIF('Budget 12 Mnths'!$A:$A,'Variance16-17'!$A48,'Budget 12 Mnths'!$P:$P)</f>
        <v>0</v>
      </c>
      <c r="S48" s="26">
        <f>+SUMIF('2015-16 12 Mnths'!$A:$A,'Variance16-17'!$A48,'2015-16 12 Mnths'!$O:$O)</f>
        <v>0</v>
      </c>
      <c r="T48" s="57">
        <f t="shared" si="2"/>
        <v>0</v>
      </c>
      <c r="U48" s="57">
        <f t="shared" si="3"/>
        <v>0</v>
      </c>
      <c r="W48" s="27"/>
      <c r="X48" s="27" t="str">
        <f t="shared" si="10"/>
        <v/>
      </c>
      <c r="Z48" s="57">
        <f t="shared" si="22"/>
        <v>0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>
        <f t="shared" si="7"/>
        <v>0</v>
      </c>
    </row>
    <row r="49" ht="15.75" customHeight="1">
      <c r="A49" s="15" t="s">
        <v>206</v>
      </c>
      <c r="B49" s="15" t="s">
        <v>207</v>
      </c>
      <c r="C49" s="15" t="s">
        <v>41</v>
      </c>
      <c r="D49" s="56">
        <f>SUMIF('2015-16 12 Mnths'!$A:$A,'Variance16-17'!$A49,'2015-16 12 Mnths'!C:C)-SUMIF('Budget 12 Mnths'!$A:$A,'Variance16-17'!$A49,'Budget 12 Mnths'!D:D)</f>
        <v>0</v>
      </c>
      <c r="E49" s="56">
        <f>SUMIF('2015-16 12 Mnths'!$A:$A,'Variance16-17'!$A49,'2015-16 12 Mnths'!D:D)-SUMIF('Budget 12 Mnths'!$A:$A,'Variance16-17'!$A49,'Budget 12 Mnths'!E:E)</f>
        <v>0</v>
      </c>
      <c r="F49" s="56">
        <f>SUMIF('2015-16 12 Mnths'!$A:$A,'Variance16-17'!$A49,'2015-16 12 Mnths'!E:E)-SUMIF('Budget 12 Mnths'!$A:$A,'Variance16-17'!$A49,'Budget 12 Mnths'!F:F)</f>
        <v>0</v>
      </c>
      <c r="G49" s="56">
        <f>SUMIF('2015-16 12 Mnths'!$A:$A,'Variance16-17'!$A49,'2015-16 12 Mnths'!F:F)-SUMIF('Budget 12 Mnths'!$A:$A,'Variance16-17'!$A49,'Budget 12 Mnths'!G:G)</f>
        <v>0</v>
      </c>
      <c r="H49" s="56">
        <f>SUMIF('2015-16 12 Mnths'!$A:$A,'Variance16-17'!$A49,'2015-16 12 Mnths'!G:G)-SUMIF('Budget 12 Mnths'!$A:$A,'Variance16-17'!$A49,'Budget 12 Mnths'!H:H)</f>
        <v>0</v>
      </c>
      <c r="I49" s="56">
        <f>SUMIF('2015-16 12 Mnths'!$A:$A,'Variance16-17'!$A49,'2015-16 12 Mnths'!H:H)-SUMIF('Budget 12 Mnths'!$A:$A,'Variance16-17'!$A49,'Budget 12 Mnths'!I:I)</f>
        <v>0</v>
      </c>
      <c r="J49" s="56">
        <f>SUMIF('2015-16 12 Mnths'!$A:$A,'Variance16-17'!$A49,'2015-16 12 Mnths'!I:I)-SUMIF('Budget 12 Mnths'!$A:$A,'Variance16-17'!$A49,'Budget 12 Mnths'!J:J)</f>
        <v>0</v>
      </c>
      <c r="K49" s="56">
        <f>SUMIF('2015-16 12 Mnths'!$A:$A,'Variance16-17'!$A49,'2015-16 12 Mnths'!J:J)-SUMIF('Budget 12 Mnths'!$A:$A,'Variance16-17'!$A49,'Budget 12 Mnths'!K:K)</f>
        <v>0</v>
      </c>
      <c r="L49" s="56">
        <f>SUMIF('2015-16 12 Mnths'!$A:$A,'Variance16-17'!$A49,'2015-16 12 Mnths'!K:K)-SUMIF('Budget 12 Mnths'!$A:$A,'Variance16-17'!$A49,'Budget 12 Mnths'!L:L)</f>
        <v>0</v>
      </c>
      <c r="M49" s="56"/>
      <c r="N49" s="56"/>
      <c r="O49" s="56"/>
      <c r="P49" s="56">
        <f t="shared" si="1"/>
        <v>0</v>
      </c>
      <c r="Q49" s="14" t="str">
        <f>+VLOOKUP(A49,Mapping!$A$1:$E$443,5,FALSE)</f>
        <v>Misc</v>
      </c>
      <c r="R49" s="26">
        <f>+SUMIF('Budget 12 Mnths'!$A:$A,'Variance16-17'!$A49,'Budget 12 Mnths'!$P:$P)</f>
        <v>0</v>
      </c>
      <c r="S49" s="26">
        <f>+SUMIF('2015-16 12 Mnths'!$A:$A,'Variance16-17'!$A49,'2015-16 12 Mnths'!$O:$O)</f>
        <v>0</v>
      </c>
      <c r="T49" s="57">
        <f t="shared" si="2"/>
        <v>0</v>
      </c>
      <c r="U49" s="57">
        <f t="shared" si="3"/>
        <v>0</v>
      </c>
      <c r="W49" s="27"/>
      <c r="X49" s="27" t="str">
        <f t="shared" si="10"/>
        <v/>
      </c>
      <c r="Z49" s="57">
        <f t="shared" si="22"/>
        <v>0</v>
      </c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>
        <f t="shared" si="7"/>
        <v>0</v>
      </c>
    </row>
    <row r="50" ht="15.75" customHeight="1">
      <c r="A50" s="15" t="s">
        <v>210</v>
      </c>
      <c r="B50" s="15" t="s">
        <v>211</v>
      </c>
      <c r="C50" s="15" t="s">
        <v>41</v>
      </c>
      <c r="D50" s="56">
        <f>SUMIF('2015-16 12 Mnths'!$A:$A,'Variance16-17'!$A50,'2015-16 12 Mnths'!C:C)-SUMIF('Budget 12 Mnths'!$A:$A,'Variance16-17'!$A50,'Budget 12 Mnths'!D:D)</f>
        <v>0</v>
      </c>
      <c r="E50" s="56">
        <f>SUMIF('2015-16 12 Mnths'!$A:$A,'Variance16-17'!$A50,'2015-16 12 Mnths'!D:D)-SUMIF('Budget 12 Mnths'!$A:$A,'Variance16-17'!$A50,'Budget 12 Mnths'!E:E)</f>
        <v>0</v>
      </c>
      <c r="F50" s="56">
        <f>SUMIF('2015-16 12 Mnths'!$A:$A,'Variance16-17'!$A50,'2015-16 12 Mnths'!E:E)-SUMIF('Budget 12 Mnths'!$A:$A,'Variance16-17'!$A50,'Budget 12 Mnths'!F:F)</f>
        <v>0</v>
      </c>
      <c r="G50" s="56">
        <f>SUMIF('2015-16 12 Mnths'!$A:$A,'Variance16-17'!$A50,'2015-16 12 Mnths'!F:F)-SUMIF('Budget 12 Mnths'!$A:$A,'Variance16-17'!$A50,'Budget 12 Mnths'!G:G)</f>
        <v>0</v>
      </c>
      <c r="H50" s="56">
        <f>SUMIF('2015-16 12 Mnths'!$A:$A,'Variance16-17'!$A50,'2015-16 12 Mnths'!G:G)-SUMIF('Budget 12 Mnths'!$A:$A,'Variance16-17'!$A50,'Budget 12 Mnths'!H:H)</f>
        <v>0</v>
      </c>
      <c r="I50" s="56">
        <f>SUMIF('2015-16 12 Mnths'!$A:$A,'Variance16-17'!$A50,'2015-16 12 Mnths'!H:H)-SUMIF('Budget 12 Mnths'!$A:$A,'Variance16-17'!$A50,'Budget 12 Mnths'!I:I)</f>
        <v>0</v>
      </c>
      <c r="J50" s="56">
        <f>SUMIF('2015-16 12 Mnths'!$A:$A,'Variance16-17'!$A50,'2015-16 12 Mnths'!I:I)-SUMIF('Budget 12 Mnths'!$A:$A,'Variance16-17'!$A50,'Budget 12 Mnths'!J:J)</f>
        <v>0</v>
      </c>
      <c r="K50" s="56">
        <f>SUMIF('2015-16 12 Mnths'!$A:$A,'Variance16-17'!$A50,'2015-16 12 Mnths'!J:J)-SUMIF('Budget 12 Mnths'!$A:$A,'Variance16-17'!$A50,'Budget 12 Mnths'!K:K)</f>
        <v>0</v>
      </c>
      <c r="L50" s="56">
        <f>SUMIF('2015-16 12 Mnths'!$A:$A,'Variance16-17'!$A50,'2015-16 12 Mnths'!K:K)-SUMIF('Budget 12 Mnths'!$A:$A,'Variance16-17'!$A50,'Budget 12 Mnths'!L:L)</f>
        <v>0</v>
      </c>
      <c r="M50" s="56"/>
      <c r="N50" s="56"/>
      <c r="O50" s="56"/>
      <c r="P50" s="56">
        <f t="shared" si="1"/>
        <v>0</v>
      </c>
      <c r="Q50" s="14" t="str">
        <f>+VLOOKUP(A50,Mapping!$A$1:$E$443,5,FALSE)</f>
        <v>Misc</v>
      </c>
      <c r="R50" s="26">
        <f>+SUMIF('Budget 12 Mnths'!$A:$A,'Variance16-17'!$A50,'Budget 12 Mnths'!$P:$P)</f>
        <v>0</v>
      </c>
      <c r="S50" s="26">
        <f>+SUMIF('2015-16 12 Mnths'!$A:$A,'Variance16-17'!$A50,'2015-16 12 Mnths'!$O:$O)</f>
        <v>0</v>
      </c>
      <c r="T50" s="57">
        <f t="shared" si="2"/>
        <v>0</v>
      </c>
      <c r="U50" s="57">
        <f t="shared" si="3"/>
        <v>0</v>
      </c>
      <c r="W50" s="27"/>
      <c r="X50" s="27" t="str">
        <f t="shared" si="10"/>
        <v/>
      </c>
      <c r="Z50" s="57">
        <f t="shared" si="22"/>
        <v>0</v>
      </c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>
        <f t="shared" si="7"/>
        <v>0</v>
      </c>
    </row>
    <row r="51" ht="15.75" customHeight="1">
      <c r="A51" s="15" t="s">
        <v>213</v>
      </c>
      <c r="B51" s="15" t="s">
        <v>214</v>
      </c>
      <c r="C51" s="15" t="s">
        <v>41</v>
      </c>
      <c r="D51" s="56">
        <f>SUMIF('2015-16 12 Mnths'!$A:$A,'Variance16-17'!$A51,'2015-16 12 Mnths'!C:C)-SUMIF('Budget 12 Mnths'!$A:$A,'Variance16-17'!$A51,'Budget 12 Mnths'!D:D)</f>
        <v>0</v>
      </c>
      <c r="E51" s="56">
        <f>SUMIF('2015-16 12 Mnths'!$A:$A,'Variance16-17'!$A51,'2015-16 12 Mnths'!D:D)-SUMIF('Budget 12 Mnths'!$A:$A,'Variance16-17'!$A51,'Budget 12 Mnths'!E:E)</f>
        <v>0</v>
      </c>
      <c r="F51" s="56">
        <f>SUMIF('2015-16 12 Mnths'!$A:$A,'Variance16-17'!$A51,'2015-16 12 Mnths'!E:E)-SUMIF('Budget 12 Mnths'!$A:$A,'Variance16-17'!$A51,'Budget 12 Mnths'!F:F)</f>
        <v>0</v>
      </c>
      <c r="G51" s="56">
        <f>SUMIF('2015-16 12 Mnths'!$A:$A,'Variance16-17'!$A51,'2015-16 12 Mnths'!F:F)-SUMIF('Budget 12 Mnths'!$A:$A,'Variance16-17'!$A51,'Budget 12 Mnths'!G:G)</f>
        <v>0</v>
      </c>
      <c r="H51" s="56">
        <f>SUMIF('2015-16 12 Mnths'!$A:$A,'Variance16-17'!$A51,'2015-16 12 Mnths'!G:G)-SUMIF('Budget 12 Mnths'!$A:$A,'Variance16-17'!$A51,'Budget 12 Mnths'!H:H)</f>
        <v>0</v>
      </c>
      <c r="I51" s="56">
        <f>SUMIF('2015-16 12 Mnths'!$A:$A,'Variance16-17'!$A51,'2015-16 12 Mnths'!H:H)-SUMIF('Budget 12 Mnths'!$A:$A,'Variance16-17'!$A51,'Budget 12 Mnths'!I:I)</f>
        <v>0</v>
      </c>
      <c r="J51" s="56">
        <f>SUMIF('2015-16 12 Mnths'!$A:$A,'Variance16-17'!$A51,'2015-16 12 Mnths'!I:I)-SUMIF('Budget 12 Mnths'!$A:$A,'Variance16-17'!$A51,'Budget 12 Mnths'!J:J)</f>
        <v>0</v>
      </c>
      <c r="K51" s="56">
        <f>SUMIF('2015-16 12 Mnths'!$A:$A,'Variance16-17'!$A51,'2015-16 12 Mnths'!J:J)-SUMIF('Budget 12 Mnths'!$A:$A,'Variance16-17'!$A51,'Budget 12 Mnths'!K:K)</f>
        <v>0</v>
      </c>
      <c r="L51" s="56">
        <f>SUMIF('2015-16 12 Mnths'!$A:$A,'Variance16-17'!$A51,'2015-16 12 Mnths'!K:K)-SUMIF('Budget 12 Mnths'!$A:$A,'Variance16-17'!$A51,'Budget 12 Mnths'!L:L)</f>
        <v>0</v>
      </c>
      <c r="M51" s="56"/>
      <c r="N51" s="56"/>
      <c r="O51" s="56"/>
      <c r="P51" s="56">
        <f t="shared" si="1"/>
        <v>0</v>
      </c>
      <c r="Q51" s="14" t="str">
        <f>+VLOOKUP(A51,Mapping!$A$1:$E$443,5,FALSE)</f>
        <v>Misc</v>
      </c>
      <c r="R51" s="26">
        <f>+SUMIF('Budget 12 Mnths'!$A:$A,'Variance16-17'!$A51,'Budget 12 Mnths'!$P:$P)</f>
        <v>0</v>
      </c>
      <c r="S51" s="26">
        <f>+SUMIF('2015-16 12 Mnths'!$A:$A,'Variance16-17'!$A51,'2015-16 12 Mnths'!$O:$O)</f>
        <v>0</v>
      </c>
      <c r="T51" s="57">
        <f t="shared" si="2"/>
        <v>0</v>
      </c>
      <c r="U51" s="57">
        <f t="shared" si="3"/>
        <v>0</v>
      </c>
      <c r="W51" s="27"/>
      <c r="X51" s="27" t="str">
        <f t="shared" si="10"/>
        <v/>
      </c>
      <c r="Z51" s="57">
        <f t="shared" si="22"/>
        <v>0</v>
      </c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>
        <f t="shared" si="7"/>
        <v>0</v>
      </c>
    </row>
    <row r="52" ht="15.75" customHeight="1">
      <c r="A52" s="15" t="s">
        <v>215</v>
      </c>
      <c r="B52" s="15" t="s">
        <v>216</v>
      </c>
      <c r="C52" s="15" t="s">
        <v>41</v>
      </c>
      <c r="D52" s="56">
        <f>SUMIF('2015-16 12 Mnths'!$A:$A,'Variance16-17'!$A52,'2015-16 12 Mnths'!C:C)-SUMIF('Budget 12 Mnths'!$A:$A,'Variance16-17'!$A52,'Budget 12 Mnths'!D:D)</f>
        <v>-5.94</v>
      </c>
      <c r="E52" s="56">
        <f>SUMIF('2015-16 12 Mnths'!$A:$A,'Variance16-17'!$A52,'2015-16 12 Mnths'!D:D)-SUMIF('Budget 12 Mnths'!$A:$A,'Variance16-17'!$A52,'Budget 12 Mnths'!E:E)</f>
        <v>-4.36</v>
      </c>
      <c r="F52" s="56">
        <f>SUMIF('2015-16 12 Mnths'!$A:$A,'Variance16-17'!$A52,'2015-16 12 Mnths'!E:E)-SUMIF('Budget 12 Mnths'!$A:$A,'Variance16-17'!$A52,'Budget 12 Mnths'!F:F)</f>
        <v>-5.47</v>
      </c>
      <c r="G52" s="56">
        <f>SUMIF('2015-16 12 Mnths'!$A:$A,'Variance16-17'!$A52,'2015-16 12 Mnths'!F:F)-SUMIF('Budget 12 Mnths'!$A:$A,'Variance16-17'!$A52,'Budget 12 Mnths'!G:G)</f>
        <v>-6.3</v>
      </c>
      <c r="H52" s="56">
        <f>SUMIF('2015-16 12 Mnths'!$A:$A,'Variance16-17'!$A52,'2015-16 12 Mnths'!G:G)-SUMIF('Budget 12 Mnths'!$A:$A,'Variance16-17'!$A52,'Budget 12 Mnths'!H:H)</f>
        <v>-5.2</v>
      </c>
      <c r="I52" s="56">
        <f>SUMIF('2015-16 12 Mnths'!$A:$A,'Variance16-17'!$A52,'2015-16 12 Mnths'!H:H)-SUMIF('Budget 12 Mnths'!$A:$A,'Variance16-17'!$A52,'Budget 12 Mnths'!I:I)</f>
        <v>-5.42</v>
      </c>
      <c r="J52" s="56">
        <f>SUMIF('2015-16 12 Mnths'!$A:$A,'Variance16-17'!$A52,'2015-16 12 Mnths'!I:I)-SUMIF('Budget 12 Mnths'!$A:$A,'Variance16-17'!$A52,'Budget 12 Mnths'!J:J)</f>
        <v>-5</v>
      </c>
      <c r="K52" s="56">
        <f>SUMIF('2015-16 12 Mnths'!$A:$A,'Variance16-17'!$A52,'2015-16 12 Mnths'!J:J)-SUMIF('Budget 12 Mnths'!$A:$A,'Variance16-17'!$A52,'Budget 12 Mnths'!K:K)</f>
        <v>-3.51</v>
      </c>
      <c r="L52" s="56">
        <f>SUMIF('2015-16 12 Mnths'!$A:$A,'Variance16-17'!$A52,'2015-16 12 Mnths'!K:K)-SUMIF('Budget 12 Mnths'!$A:$A,'Variance16-17'!$A52,'Budget 12 Mnths'!L:L)</f>
        <v>-3.27</v>
      </c>
      <c r="M52" s="56"/>
      <c r="N52" s="56"/>
      <c r="O52" s="56"/>
      <c r="P52" s="56">
        <f t="shared" si="1"/>
        <v>-44.47</v>
      </c>
      <c r="Q52" s="14" t="str">
        <f>+VLOOKUP(A52,Mapping!$A$1:$E$443,5,FALSE)</f>
        <v>Investment</v>
      </c>
      <c r="R52" s="26">
        <f>+SUMIF('Budget 12 Mnths'!$A:$A,'Variance16-17'!$A52,'Budget 12 Mnths'!$P:$P)</f>
        <v>249.96</v>
      </c>
      <c r="S52" s="26">
        <f>+SUMIF('2015-16 12 Mnths'!$A:$A,'Variance16-17'!$A52,'2015-16 12 Mnths'!$O:$O)</f>
        <v>143</v>
      </c>
      <c r="T52" s="57">
        <f t="shared" si="2"/>
        <v>-0.1779084654</v>
      </c>
      <c r="U52" s="57">
        <f t="shared" si="3"/>
        <v>-0.310979021</v>
      </c>
      <c r="V52" s="8" t="s">
        <v>451</v>
      </c>
      <c r="W52" s="27">
        <f>+S52/9*12</f>
        <v>190.6666667</v>
      </c>
      <c r="X52" s="27">
        <f t="shared" si="10"/>
        <v>190.6666667</v>
      </c>
      <c r="Z52" s="57">
        <f t="shared" si="22"/>
        <v>95.33333333</v>
      </c>
      <c r="AA52" s="57">
        <f t="shared" ref="AA52:AL52" si="23">+$X52/12</f>
        <v>15.88888889</v>
      </c>
      <c r="AB52" s="57">
        <f t="shared" si="23"/>
        <v>15.88888889</v>
      </c>
      <c r="AC52" s="57">
        <f t="shared" si="23"/>
        <v>15.88888889</v>
      </c>
      <c r="AD52" s="57">
        <f t="shared" si="23"/>
        <v>15.88888889</v>
      </c>
      <c r="AE52" s="57">
        <f t="shared" si="23"/>
        <v>15.88888889</v>
      </c>
      <c r="AF52" s="57">
        <f t="shared" si="23"/>
        <v>15.88888889</v>
      </c>
      <c r="AG52" s="57">
        <f t="shared" si="23"/>
        <v>15.88888889</v>
      </c>
      <c r="AH52" s="57">
        <f t="shared" si="23"/>
        <v>15.88888889</v>
      </c>
      <c r="AI52" s="57">
        <f t="shared" si="23"/>
        <v>15.88888889</v>
      </c>
      <c r="AJ52" s="57">
        <f t="shared" si="23"/>
        <v>15.88888889</v>
      </c>
      <c r="AK52" s="57">
        <f t="shared" si="23"/>
        <v>15.88888889</v>
      </c>
      <c r="AL52" s="57">
        <f t="shared" si="23"/>
        <v>15.88888889</v>
      </c>
      <c r="AM52" s="27">
        <f t="shared" si="7"/>
        <v>0</v>
      </c>
    </row>
    <row r="53" ht="15.75" customHeight="1">
      <c r="A53" s="15" t="s">
        <v>219</v>
      </c>
      <c r="B53" s="15" t="s">
        <v>220</v>
      </c>
      <c r="C53" s="15" t="s">
        <v>41</v>
      </c>
      <c r="D53" s="56">
        <f>SUMIF('2015-16 12 Mnths'!$A:$A,'Variance16-17'!$A53,'2015-16 12 Mnths'!C:C)-SUMIF('Budget 12 Mnths'!$A:$A,'Variance16-17'!$A53,'Budget 12 Mnths'!D:D)</f>
        <v>0</v>
      </c>
      <c r="E53" s="56">
        <f>SUMIF('2015-16 12 Mnths'!$A:$A,'Variance16-17'!$A53,'2015-16 12 Mnths'!D:D)-SUMIF('Budget 12 Mnths'!$A:$A,'Variance16-17'!$A53,'Budget 12 Mnths'!E:E)</f>
        <v>0</v>
      </c>
      <c r="F53" s="56">
        <f>SUMIF('2015-16 12 Mnths'!$A:$A,'Variance16-17'!$A53,'2015-16 12 Mnths'!E:E)-SUMIF('Budget 12 Mnths'!$A:$A,'Variance16-17'!$A53,'Budget 12 Mnths'!F:F)</f>
        <v>0</v>
      </c>
      <c r="G53" s="56">
        <f>SUMIF('2015-16 12 Mnths'!$A:$A,'Variance16-17'!$A53,'2015-16 12 Mnths'!F:F)-SUMIF('Budget 12 Mnths'!$A:$A,'Variance16-17'!$A53,'Budget 12 Mnths'!G:G)</f>
        <v>0</v>
      </c>
      <c r="H53" s="56">
        <f>SUMIF('2015-16 12 Mnths'!$A:$A,'Variance16-17'!$A53,'2015-16 12 Mnths'!G:G)-SUMIF('Budget 12 Mnths'!$A:$A,'Variance16-17'!$A53,'Budget 12 Mnths'!H:H)</f>
        <v>0</v>
      </c>
      <c r="I53" s="56">
        <f>SUMIF('2015-16 12 Mnths'!$A:$A,'Variance16-17'!$A53,'2015-16 12 Mnths'!H:H)-SUMIF('Budget 12 Mnths'!$A:$A,'Variance16-17'!$A53,'Budget 12 Mnths'!I:I)</f>
        <v>0</v>
      </c>
      <c r="J53" s="56">
        <f>SUMIF('2015-16 12 Mnths'!$A:$A,'Variance16-17'!$A53,'2015-16 12 Mnths'!I:I)-SUMIF('Budget 12 Mnths'!$A:$A,'Variance16-17'!$A53,'Budget 12 Mnths'!J:J)</f>
        <v>0</v>
      </c>
      <c r="K53" s="56">
        <f>SUMIF('2015-16 12 Mnths'!$A:$A,'Variance16-17'!$A53,'2015-16 12 Mnths'!J:J)-SUMIF('Budget 12 Mnths'!$A:$A,'Variance16-17'!$A53,'Budget 12 Mnths'!K:K)</f>
        <v>0</v>
      </c>
      <c r="L53" s="56">
        <f>SUMIF('2015-16 12 Mnths'!$A:$A,'Variance16-17'!$A53,'2015-16 12 Mnths'!K:K)-SUMIF('Budget 12 Mnths'!$A:$A,'Variance16-17'!$A53,'Budget 12 Mnths'!L:L)</f>
        <v>0</v>
      </c>
      <c r="M53" s="56"/>
      <c r="N53" s="56"/>
      <c r="O53" s="56"/>
      <c r="P53" s="56">
        <f t="shared" si="1"/>
        <v>0</v>
      </c>
      <c r="Q53" s="14" t="str">
        <f>+VLOOKUP(A53,Mapping!$A$1:$E$443,5,FALSE)</f>
        <v>Investment</v>
      </c>
      <c r="R53" s="26">
        <f>+SUMIF('Budget 12 Mnths'!$A:$A,'Variance16-17'!$A53,'Budget 12 Mnths'!$P:$P)</f>
        <v>0</v>
      </c>
      <c r="S53" s="26">
        <f>+SUMIF('2015-16 12 Mnths'!$A:$A,'Variance16-17'!$A53,'2015-16 12 Mnths'!$O:$O)</f>
        <v>0</v>
      </c>
      <c r="T53" s="57">
        <f t="shared" si="2"/>
        <v>0</v>
      </c>
      <c r="U53" s="57">
        <f t="shared" si="3"/>
        <v>0</v>
      </c>
      <c r="W53" s="27"/>
      <c r="X53" s="27" t="str">
        <f t="shared" si="10"/>
        <v/>
      </c>
      <c r="Z53" s="57">
        <f t="shared" si="22"/>
        <v>0</v>
      </c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>
        <f t="shared" si="7"/>
        <v>0</v>
      </c>
    </row>
    <row r="54" ht="15.75" customHeight="1">
      <c r="A54" s="15" t="s">
        <v>221</v>
      </c>
      <c r="B54" s="15" t="s">
        <v>222</v>
      </c>
      <c r="C54" s="15" t="s">
        <v>41</v>
      </c>
      <c r="D54" s="56">
        <f>SUMIF('2015-16 12 Mnths'!$A:$A,'Variance16-17'!$A54,'2015-16 12 Mnths'!C:C)-SUMIF('Budget 12 Mnths'!$A:$A,'Variance16-17'!$A54,'Budget 12 Mnths'!D:D)</f>
        <v>0</v>
      </c>
      <c r="E54" s="56">
        <f>SUMIF('2015-16 12 Mnths'!$A:$A,'Variance16-17'!$A54,'2015-16 12 Mnths'!D:D)-SUMIF('Budget 12 Mnths'!$A:$A,'Variance16-17'!$A54,'Budget 12 Mnths'!E:E)</f>
        <v>0</v>
      </c>
      <c r="F54" s="56">
        <f>SUMIF('2015-16 12 Mnths'!$A:$A,'Variance16-17'!$A54,'2015-16 12 Mnths'!E:E)-SUMIF('Budget 12 Mnths'!$A:$A,'Variance16-17'!$A54,'Budget 12 Mnths'!F:F)</f>
        <v>0</v>
      </c>
      <c r="G54" s="56">
        <f>SUMIF('2015-16 12 Mnths'!$A:$A,'Variance16-17'!$A54,'2015-16 12 Mnths'!F:F)-SUMIF('Budget 12 Mnths'!$A:$A,'Variance16-17'!$A54,'Budget 12 Mnths'!G:G)</f>
        <v>0</v>
      </c>
      <c r="H54" s="56">
        <f>SUMIF('2015-16 12 Mnths'!$A:$A,'Variance16-17'!$A54,'2015-16 12 Mnths'!G:G)-SUMIF('Budget 12 Mnths'!$A:$A,'Variance16-17'!$A54,'Budget 12 Mnths'!H:H)</f>
        <v>0</v>
      </c>
      <c r="I54" s="56">
        <f>SUMIF('2015-16 12 Mnths'!$A:$A,'Variance16-17'!$A54,'2015-16 12 Mnths'!H:H)-SUMIF('Budget 12 Mnths'!$A:$A,'Variance16-17'!$A54,'Budget 12 Mnths'!I:I)</f>
        <v>0</v>
      </c>
      <c r="J54" s="56">
        <f>SUMIF('2015-16 12 Mnths'!$A:$A,'Variance16-17'!$A54,'2015-16 12 Mnths'!I:I)-SUMIF('Budget 12 Mnths'!$A:$A,'Variance16-17'!$A54,'Budget 12 Mnths'!J:J)</f>
        <v>0</v>
      </c>
      <c r="K54" s="56">
        <f>SUMIF('2015-16 12 Mnths'!$A:$A,'Variance16-17'!$A54,'2015-16 12 Mnths'!J:J)-SUMIF('Budget 12 Mnths'!$A:$A,'Variance16-17'!$A54,'Budget 12 Mnths'!K:K)</f>
        <v>0</v>
      </c>
      <c r="L54" s="56">
        <f>SUMIF('2015-16 12 Mnths'!$A:$A,'Variance16-17'!$A54,'2015-16 12 Mnths'!K:K)-SUMIF('Budget 12 Mnths'!$A:$A,'Variance16-17'!$A54,'Budget 12 Mnths'!L:L)</f>
        <v>0</v>
      </c>
      <c r="M54" s="56"/>
      <c r="N54" s="56"/>
      <c r="O54" s="56"/>
      <c r="P54" s="56">
        <f t="shared" si="1"/>
        <v>0</v>
      </c>
      <c r="Q54" s="14" t="str">
        <f>+VLOOKUP(A54,Mapping!$A$1:$E$443,5,FALSE)</f>
        <v>Investment</v>
      </c>
      <c r="R54" s="26">
        <f>+SUMIF('Budget 12 Mnths'!$A:$A,'Variance16-17'!$A54,'Budget 12 Mnths'!$P:$P)</f>
        <v>0</v>
      </c>
      <c r="S54" s="26">
        <f>+SUMIF('2015-16 12 Mnths'!$A:$A,'Variance16-17'!$A54,'2015-16 12 Mnths'!$O:$O)</f>
        <v>0</v>
      </c>
      <c r="T54" s="57">
        <f t="shared" si="2"/>
        <v>0</v>
      </c>
      <c r="U54" s="57">
        <f t="shared" si="3"/>
        <v>0</v>
      </c>
      <c r="W54" s="27"/>
      <c r="X54" s="27" t="str">
        <f t="shared" si="10"/>
        <v/>
      </c>
      <c r="Z54" s="57">
        <f t="shared" si="22"/>
        <v>0</v>
      </c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>
        <f t="shared" si="7"/>
        <v>0</v>
      </c>
    </row>
    <row r="55" ht="15.75" customHeight="1">
      <c r="A55" s="15" t="s">
        <v>224</v>
      </c>
      <c r="B55" s="15" t="s">
        <v>225</v>
      </c>
      <c r="C55" s="15" t="s">
        <v>41</v>
      </c>
      <c r="D55" s="56">
        <f>SUMIF('2015-16 12 Mnths'!$A:$A,'Variance16-17'!$A55,'2015-16 12 Mnths'!C:C)-SUMIF('Budget 12 Mnths'!$A:$A,'Variance16-17'!$A55,'Budget 12 Mnths'!D:D)</f>
        <v>0</v>
      </c>
      <c r="E55" s="56">
        <f>SUMIF('2015-16 12 Mnths'!$A:$A,'Variance16-17'!$A55,'2015-16 12 Mnths'!D:D)-SUMIF('Budget 12 Mnths'!$A:$A,'Variance16-17'!$A55,'Budget 12 Mnths'!E:E)</f>
        <v>0</v>
      </c>
      <c r="F55" s="56">
        <f>SUMIF('2015-16 12 Mnths'!$A:$A,'Variance16-17'!$A55,'2015-16 12 Mnths'!E:E)-SUMIF('Budget 12 Mnths'!$A:$A,'Variance16-17'!$A55,'Budget 12 Mnths'!F:F)</f>
        <v>0</v>
      </c>
      <c r="G55" s="56">
        <f>SUMIF('2015-16 12 Mnths'!$A:$A,'Variance16-17'!$A55,'2015-16 12 Mnths'!F:F)-SUMIF('Budget 12 Mnths'!$A:$A,'Variance16-17'!$A55,'Budget 12 Mnths'!G:G)</f>
        <v>0</v>
      </c>
      <c r="H55" s="56">
        <f>SUMIF('2015-16 12 Mnths'!$A:$A,'Variance16-17'!$A55,'2015-16 12 Mnths'!G:G)-SUMIF('Budget 12 Mnths'!$A:$A,'Variance16-17'!$A55,'Budget 12 Mnths'!H:H)</f>
        <v>0</v>
      </c>
      <c r="I55" s="56">
        <f>SUMIF('2015-16 12 Mnths'!$A:$A,'Variance16-17'!$A55,'2015-16 12 Mnths'!H:H)-SUMIF('Budget 12 Mnths'!$A:$A,'Variance16-17'!$A55,'Budget 12 Mnths'!I:I)</f>
        <v>0</v>
      </c>
      <c r="J55" s="56">
        <f>SUMIF('2015-16 12 Mnths'!$A:$A,'Variance16-17'!$A55,'2015-16 12 Mnths'!I:I)-SUMIF('Budget 12 Mnths'!$A:$A,'Variance16-17'!$A55,'Budget 12 Mnths'!J:J)</f>
        <v>0</v>
      </c>
      <c r="K55" s="56">
        <f>SUMIF('2015-16 12 Mnths'!$A:$A,'Variance16-17'!$A55,'2015-16 12 Mnths'!J:J)-SUMIF('Budget 12 Mnths'!$A:$A,'Variance16-17'!$A55,'Budget 12 Mnths'!K:K)</f>
        <v>0</v>
      </c>
      <c r="L55" s="56">
        <f>SUMIF('2015-16 12 Mnths'!$A:$A,'Variance16-17'!$A55,'2015-16 12 Mnths'!K:K)-SUMIF('Budget 12 Mnths'!$A:$A,'Variance16-17'!$A55,'Budget 12 Mnths'!L:L)</f>
        <v>0</v>
      </c>
      <c r="M55" s="56"/>
      <c r="N55" s="56"/>
      <c r="O55" s="56"/>
      <c r="P55" s="56">
        <f t="shared" si="1"/>
        <v>0</v>
      </c>
      <c r="Q55" s="14" t="str">
        <f>+VLOOKUP(A55,Mapping!$A$1:$E$443,5,FALSE)</f>
        <v>Investment</v>
      </c>
      <c r="R55" s="26">
        <f>+SUMIF('Budget 12 Mnths'!$A:$A,'Variance16-17'!$A55,'Budget 12 Mnths'!$P:$P)</f>
        <v>0</v>
      </c>
      <c r="S55" s="26">
        <f>+SUMIF('2015-16 12 Mnths'!$A:$A,'Variance16-17'!$A55,'2015-16 12 Mnths'!$O:$O)</f>
        <v>0</v>
      </c>
      <c r="T55" s="57">
        <f t="shared" si="2"/>
        <v>0</v>
      </c>
      <c r="U55" s="57">
        <f t="shared" si="3"/>
        <v>0</v>
      </c>
      <c r="W55" s="27"/>
      <c r="X55" s="27" t="str">
        <f t="shared" si="10"/>
        <v/>
      </c>
      <c r="Z55" s="57">
        <f t="shared" si="22"/>
        <v>0</v>
      </c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>
        <f t="shared" si="7"/>
        <v>0</v>
      </c>
    </row>
    <row r="56" ht="15.75" customHeight="1">
      <c r="A56" s="15" t="s">
        <v>229</v>
      </c>
      <c r="B56" s="15" t="s">
        <v>230</v>
      </c>
      <c r="C56" s="15" t="s">
        <v>41</v>
      </c>
      <c r="D56" s="56">
        <f>SUMIF('2015-16 12 Mnths'!$A:$A,'Variance16-17'!$A56,'2015-16 12 Mnths'!C:C)-SUMIF('Budget 12 Mnths'!$A:$A,'Variance16-17'!$A56,'Budget 12 Mnths'!D:D)</f>
        <v>0</v>
      </c>
      <c r="E56" s="56">
        <f>SUMIF('2015-16 12 Mnths'!$A:$A,'Variance16-17'!$A56,'2015-16 12 Mnths'!D:D)-SUMIF('Budget 12 Mnths'!$A:$A,'Variance16-17'!$A56,'Budget 12 Mnths'!E:E)</f>
        <v>0</v>
      </c>
      <c r="F56" s="56">
        <f>SUMIF('2015-16 12 Mnths'!$A:$A,'Variance16-17'!$A56,'2015-16 12 Mnths'!E:E)-SUMIF('Budget 12 Mnths'!$A:$A,'Variance16-17'!$A56,'Budget 12 Mnths'!F:F)</f>
        <v>0</v>
      </c>
      <c r="G56" s="56">
        <f>SUMIF('2015-16 12 Mnths'!$A:$A,'Variance16-17'!$A56,'2015-16 12 Mnths'!F:F)-SUMIF('Budget 12 Mnths'!$A:$A,'Variance16-17'!$A56,'Budget 12 Mnths'!G:G)</f>
        <v>0</v>
      </c>
      <c r="H56" s="56">
        <f>SUMIF('2015-16 12 Mnths'!$A:$A,'Variance16-17'!$A56,'2015-16 12 Mnths'!G:G)-SUMIF('Budget 12 Mnths'!$A:$A,'Variance16-17'!$A56,'Budget 12 Mnths'!H:H)</f>
        <v>0</v>
      </c>
      <c r="I56" s="56">
        <f>SUMIF('2015-16 12 Mnths'!$A:$A,'Variance16-17'!$A56,'2015-16 12 Mnths'!H:H)-SUMIF('Budget 12 Mnths'!$A:$A,'Variance16-17'!$A56,'Budget 12 Mnths'!I:I)</f>
        <v>0</v>
      </c>
      <c r="J56" s="56">
        <f>SUMIF('2015-16 12 Mnths'!$A:$A,'Variance16-17'!$A56,'2015-16 12 Mnths'!I:I)-SUMIF('Budget 12 Mnths'!$A:$A,'Variance16-17'!$A56,'Budget 12 Mnths'!J:J)</f>
        <v>0</v>
      </c>
      <c r="K56" s="56">
        <f>SUMIF('2015-16 12 Mnths'!$A:$A,'Variance16-17'!$A56,'2015-16 12 Mnths'!J:J)-SUMIF('Budget 12 Mnths'!$A:$A,'Variance16-17'!$A56,'Budget 12 Mnths'!K:K)</f>
        <v>0</v>
      </c>
      <c r="L56" s="56">
        <f>SUMIF('2015-16 12 Mnths'!$A:$A,'Variance16-17'!$A56,'2015-16 12 Mnths'!K:K)-SUMIF('Budget 12 Mnths'!$A:$A,'Variance16-17'!$A56,'Budget 12 Mnths'!L:L)</f>
        <v>0</v>
      </c>
      <c r="M56" s="56"/>
      <c r="N56" s="56"/>
      <c r="O56" s="56"/>
      <c r="P56" s="56">
        <f t="shared" si="1"/>
        <v>0</v>
      </c>
      <c r="Q56" s="14" t="str">
        <f>+VLOOKUP(A56,Mapping!$A$1:$E$443,5,FALSE)</f>
        <v>Investment</v>
      </c>
      <c r="R56" s="26">
        <f>+SUMIF('Budget 12 Mnths'!$A:$A,'Variance16-17'!$A56,'Budget 12 Mnths'!$P:$P)</f>
        <v>0</v>
      </c>
      <c r="S56" s="26">
        <f>+SUMIF('2015-16 12 Mnths'!$A:$A,'Variance16-17'!$A56,'2015-16 12 Mnths'!$O:$O)</f>
        <v>0</v>
      </c>
      <c r="T56" s="57">
        <f t="shared" si="2"/>
        <v>0</v>
      </c>
      <c r="U56" s="57">
        <f t="shared" si="3"/>
        <v>0</v>
      </c>
      <c r="W56" s="27"/>
      <c r="X56" s="27" t="str">
        <f t="shared" si="10"/>
        <v/>
      </c>
      <c r="Z56" s="57">
        <f t="shared" si="22"/>
        <v>0</v>
      </c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>
        <f t="shared" si="7"/>
        <v>0</v>
      </c>
    </row>
    <row r="57" ht="15.75" customHeight="1">
      <c r="A57" s="15" t="s">
        <v>231</v>
      </c>
      <c r="B57" s="15" t="s">
        <v>233</v>
      </c>
      <c r="C57" s="15" t="s">
        <v>41</v>
      </c>
      <c r="D57" s="56">
        <f>SUMIF('2015-16 12 Mnths'!$A:$A,'Variance16-17'!$A57,'2015-16 12 Mnths'!C:C)-SUMIF('Budget 12 Mnths'!$A:$A,'Variance16-17'!$A57,'Budget 12 Mnths'!D:D)</f>
        <v>0</v>
      </c>
      <c r="E57" s="56">
        <f>SUMIF('2015-16 12 Mnths'!$A:$A,'Variance16-17'!$A57,'2015-16 12 Mnths'!D:D)-SUMIF('Budget 12 Mnths'!$A:$A,'Variance16-17'!$A57,'Budget 12 Mnths'!E:E)</f>
        <v>0</v>
      </c>
      <c r="F57" s="56">
        <f>SUMIF('2015-16 12 Mnths'!$A:$A,'Variance16-17'!$A57,'2015-16 12 Mnths'!E:E)-SUMIF('Budget 12 Mnths'!$A:$A,'Variance16-17'!$A57,'Budget 12 Mnths'!F:F)</f>
        <v>0</v>
      </c>
      <c r="G57" s="56">
        <f>SUMIF('2015-16 12 Mnths'!$A:$A,'Variance16-17'!$A57,'2015-16 12 Mnths'!F:F)-SUMIF('Budget 12 Mnths'!$A:$A,'Variance16-17'!$A57,'Budget 12 Mnths'!G:G)</f>
        <v>0</v>
      </c>
      <c r="H57" s="56">
        <f>SUMIF('2015-16 12 Mnths'!$A:$A,'Variance16-17'!$A57,'2015-16 12 Mnths'!G:G)-SUMIF('Budget 12 Mnths'!$A:$A,'Variance16-17'!$A57,'Budget 12 Mnths'!H:H)</f>
        <v>0</v>
      </c>
      <c r="I57" s="56">
        <f>SUMIF('2015-16 12 Mnths'!$A:$A,'Variance16-17'!$A57,'2015-16 12 Mnths'!H:H)-SUMIF('Budget 12 Mnths'!$A:$A,'Variance16-17'!$A57,'Budget 12 Mnths'!I:I)</f>
        <v>0</v>
      </c>
      <c r="J57" s="56">
        <f>SUMIF('2015-16 12 Mnths'!$A:$A,'Variance16-17'!$A57,'2015-16 12 Mnths'!I:I)-SUMIF('Budget 12 Mnths'!$A:$A,'Variance16-17'!$A57,'Budget 12 Mnths'!J:J)</f>
        <v>0</v>
      </c>
      <c r="K57" s="56">
        <f>SUMIF('2015-16 12 Mnths'!$A:$A,'Variance16-17'!$A57,'2015-16 12 Mnths'!J:J)-SUMIF('Budget 12 Mnths'!$A:$A,'Variance16-17'!$A57,'Budget 12 Mnths'!K:K)</f>
        <v>0</v>
      </c>
      <c r="L57" s="56">
        <f>SUMIF('2015-16 12 Mnths'!$A:$A,'Variance16-17'!$A57,'2015-16 12 Mnths'!K:K)-SUMIF('Budget 12 Mnths'!$A:$A,'Variance16-17'!$A57,'Budget 12 Mnths'!L:L)</f>
        <v>0</v>
      </c>
      <c r="M57" s="56"/>
      <c r="N57" s="56"/>
      <c r="O57" s="56"/>
      <c r="P57" s="56">
        <f t="shared" si="1"/>
        <v>0</v>
      </c>
      <c r="Q57" s="14" t="str">
        <f>+VLOOKUP(A57,Mapping!$A$1:$E$443,5,FALSE)</f>
        <v>Investment</v>
      </c>
      <c r="R57" s="26">
        <f>+SUMIF('Budget 12 Mnths'!$A:$A,'Variance16-17'!$A57,'Budget 12 Mnths'!$P:$P)</f>
        <v>0</v>
      </c>
      <c r="S57" s="26">
        <f>+SUMIF('2015-16 12 Mnths'!$A:$A,'Variance16-17'!$A57,'2015-16 12 Mnths'!$O:$O)</f>
        <v>0</v>
      </c>
      <c r="T57" s="57">
        <f t="shared" si="2"/>
        <v>0</v>
      </c>
      <c r="U57" s="57">
        <f t="shared" si="3"/>
        <v>0</v>
      </c>
      <c r="W57" s="27"/>
      <c r="X57" s="27" t="str">
        <f t="shared" si="10"/>
        <v/>
      </c>
      <c r="Z57" s="57">
        <f t="shared" si="22"/>
        <v>0</v>
      </c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>
        <f t="shared" si="7"/>
        <v>0</v>
      </c>
    </row>
    <row r="58" ht="15.75" customHeight="1">
      <c r="A58" s="15" t="s">
        <v>235</v>
      </c>
      <c r="B58" s="15" t="s">
        <v>236</v>
      </c>
      <c r="C58" s="15" t="s">
        <v>41</v>
      </c>
      <c r="D58" s="56">
        <f>SUMIF('2015-16 12 Mnths'!$A:$A,'Variance16-17'!$A58,'2015-16 12 Mnths'!C:C)-SUMIF('Budget 12 Mnths'!$A:$A,'Variance16-17'!$A58,'Budget 12 Mnths'!D:D)</f>
        <v>0</v>
      </c>
      <c r="E58" s="56">
        <f>SUMIF('2015-16 12 Mnths'!$A:$A,'Variance16-17'!$A58,'2015-16 12 Mnths'!D:D)-SUMIF('Budget 12 Mnths'!$A:$A,'Variance16-17'!$A58,'Budget 12 Mnths'!E:E)</f>
        <v>0</v>
      </c>
      <c r="F58" s="56">
        <f>SUMIF('2015-16 12 Mnths'!$A:$A,'Variance16-17'!$A58,'2015-16 12 Mnths'!E:E)-SUMIF('Budget 12 Mnths'!$A:$A,'Variance16-17'!$A58,'Budget 12 Mnths'!F:F)</f>
        <v>0</v>
      </c>
      <c r="G58" s="56">
        <f>SUMIF('2015-16 12 Mnths'!$A:$A,'Variance16-17'!$A58,'2015-16 12 Mnths'!F:F)-SUMIF('Budget 12 Mnths'!$A:$A,'Variance16-17'!$A58,'Budget 12 Mnths'!G:G)</f>
        <v>0</v>
      </c>
      <c r="H58" s="56">
        <f>SUMIF('2015-16 12 Mnths'!$A:$A,'Variance16-17'!$A58,'2015-16 12 Mnths'!G:G)-SUMIF('Budget 12 Mnths'!$A:$A,'Variance16-17'!$A58,'Budget 12 Mnths'!H:H)</f>
        <v>0</v>
      </c>
      <c r="I58" s="56">
        <f>SUMIF('2015-16 12 Mnths'!$A:$A,'Variance16-17'!$A58,'2015-16 12 Mnths'!H:H)-SUMIF('Budget 12 Mnths'!$A:$A,'Variance16-17'!$A58,'Budget 12 Mnths'!I:I)</f>
        <v>0</v>
      </c>
      <c r="J58" s="56">
        <f>SUMIF('2015-16 12 Mnths'!$A:$A,'Variance16-17'!$A58,'2015-16 12 Mnths'!I:I)-SUMIF('Budget 12 Mnths'!$A:$A,'Variance16-17'!$A58,'Budget 12 Mnths'!J:J)</f>
        <v>0</v>
      </c>
      <c r="K58" s="56">
        <f>SUMIF('2015-16 12 Mnths'!$A:$A,'Variance16-17'!$A58,'2015-16 12 Mnths'!J:J)-SUMIF('Budget 12 Mnths'!$A:$A,'Variance16-17'!$A58,'Budget 12 Mnths'!K:K)</f>
        <v>0</v>
      </c>
      <c r="L58" s="56">
        <f>SUMIF('2015-16 12 Mnths'!$A:$A,'Variance16-17'!$A58,'2015-16 12 Mnths'!K:K)-SUMIF('Budget 12 Mnths'!$A:$A,'Variance16-17'!$A58,'Budget 12 Mnths'!L:L)</f>
        <v>0</v>
      </c>
      <c r="M58" s="56"/>
      <c r="N58" s="56"/>
      <c r="O58" s="56"/>
      <c r="P58" s="56">
        <f t="shared" si="1"/>
        <v>0</v>
      </c>
      <c r="Q58" s="14" t="str">
        <f>+VLOOKUP(A58,Mapping!$A$1:$E$443,5,FALSE)</f>
        <v>Investment</v>
      </c>
      <c r="R58" s="26">
        <f>+SUMIF('Budget 12 Mnths'!$A:$A,'Variance16-17'!$A58,'Budget 12 Mnths'!$P:$P)</f>
        <v>0</v>
      </c>
      <c r="S58" s="26">
        <f>+SUMIF('2015-16 12 Mnths'!$A:$A,'Variance16-17'!$A58,'2015-16 12 Mnths'!$O:$O)</f>
        <v>0</v>
      </c>
      <c r="T58" s="57">
        <f t="shared" si="2"/>
        <v>0</v>
      </c>
      <c r="U58" s="57">
        <f t="shared" si="3"/>
        <v>0</v>
      </c>
      <c r="W58" s="27"/>
      <c r="X58" s="27" t="str">
        <f t="shared" si="10"/>
        <v/>
      </c>
      <c r="Z58" s="57">
        <f t="shared" si="22"/>
        <v>0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>
        <f t="shared" si="7"/>
        <v>0</v>
      </c>
    </row>
    <row r="59" ht="15.75" customHeight="1">
      <c r="A59" s="15" t="s">
        <v>238</v>
      </c>
      <c r="B59" s="15" t="s">
        <v>239</v>
      </c>
      <c r="C59" s="15" t="s">
        <v>41</v>
      </c>
      <c r="D59" s="56">
        <f>SUMIF('2015-16 12 Mnths'!$A:$A,'Variance16-17'!$A59,'2015-16 12 Mnths'!C:C)-SUMIF('Budget 12 Mnths'!$A:$A,'Variance16-17'!$A59,'Budget 12 Mnths'!D:D)</f>
        <v>0</v>
      </c>
      <c r="E59" s="56">
        <f>SUMIF('2015-16 12 Mnths'!$A:$A,'Variance16-17'!$A59,'2015-16 12 Mnths'!D:D)-SUMIF('Budget 12 Mnths'!$A:$A,'Variance16-17'!$A59,'Budget 12 Mnths'!E:E)</f>
        <v>0</v>
      </c>
      <c r="F59" s="56">
        <f>SUMIF('2015-16 12 Mnths'!$A:$A,'Variance16-17'!$A59,'2015-16 12 Mnths'!E:E)-SUMIF('Budget 12 Mnths'!$A:$A,'Variance16-17'!$A59,'Budget 12 Mnths'!F:F)</f>
        <v>0</v>
      </c>
      <c r="G59" s="56">
        <f>SUMIF('2015-16 12 Mnths'!$A:$A,'Variance16-17'!$A59,'2015-16 12 Mnths'!F:F)-SUMIF('Budget 12 Mnths'!$A:$A,'Variance16-17'!$A59,'Budget 12 Mnths'!G:G)</f>
        <v>0</v>
      </c>
      <c r="H59" s="56">
        <f>SUMIF('2015-16 12 Mnths'!$A:$A,'Variance16-17'!$A59,'2015-16 12 Mnths'!G:G)-SUMIF('Budget 12 Mnths'!$A:$A,'Variance16-17'!$A59,'Budget 12 Mnths'!H:H)</f>
        <v>0</v>
      </c>
      <c r="I59" s="56">
        <f>SUMIF('2015-16 12 Mnths'!$A:$A,'Variance16-17'!$A59,'2015-16 12 Mnths'!H:H)-SUMIF('Budget 12 Mnths'!$A:$A,'Variance16-17'!$A59,'Budget 12 Mnths'!I:I)</f>
        <v>0</v>
      </c>
      <c r="J59" s="56">
        <f>SUMIF('2015-16 12 Mnths'!$A:$A,'Variance16-17'!$A59,'2015-16 12 Mnths'!I:I)-SUMIF('Budget 12 Mnths'!$A:$A,'Variance16-17'!$A59,'Budget 12 Mnths'!J:J)</f>
        <v>720</v>
      </c>
      <c r="K59" s="56">
        <f>SUMIF('2015-16 12 Mnths'!$A:$A,'Variance16-17'!$A59,'2015-16 12 Mnths'!J:J)-SUMIF('Budget 12 Mnths'!$A:$A,'Variance16-17'!$A59,'Budget 12 Mnths'!K:K)</f>
        <v>-5000</v>
      </c>
      <c r="L59" s="56">
        <f>SUMIF('2015-16 12 Mnths'!$A:$A,'Variance16-17'!$A59,'2015-16 12 Mnths'!K:K)-SUMIF('Budget 12 Mnths'!$A:$A,'Variance16-17'!$A59,'Budget 12 Mnths'!L:L)</f>
        <v>2440</v>
      </c>
      <c r="M59" s="56"/>
      <c r="N59" s="56"/>
      <c r="O59" s="56"/>
      <c r="P59" s="56">
        <f t="shared" si="1"/>
        <v>-1840</v>
      </c>
      <c r="Q59" s="14" t="str">
        <f>+VLOOKUP(A59,Mapping!$A$1:$E$443,5,FALSE)</f>
        <v>Fundraising</v>
      </c>
      <c r="R59" s="26">
        <f>+SUMIF('Budget 12 Mnths'!$A:$A,'Variance16-17'!$A59,'Budget 12 Mnths'!$P:$P)</f>
        <v>15000</v>
      </c>
      <c r="S59" s="26">
        <f>+SUMIF('2015-16 12 Mnths'!$A:$A,'Variance16-17'!$A59,'2015-16 12 Mnths'!$O:$O)</f>
        <v>13160</v>
      </c>
      <c r="T59" s="57">
        <f t="shared" si="2"/>
        <v>-0.1226666667</v>
      </c>
      <c r="U59" s="57">
        <f t="shared" si="3"/>
        <v>-0.1398176292</v>
      </c>
      <c r="V59" s="8" t="s">
        <v>451</v>
      </c>
      <c r="W59" s="27">
        <v>13500.0</v>
      </c>
      <c r="X59" s="27">
        <f t="shared" si="10"/>
        <v>13500</v>
      </c>
      <c r="Z59" s="57">
        <v>0.0</v>
      </c>
      <c r="AA59" s="27"/>
      <c r="AB59" s="27"/>
      <c r="AC59" s="27"/>
      <c r="AD59" s="27"/>
      <c r="AE59" s="27"/>
      <c r="AF59" s="27"/>
      <c r="AG59" s="27"/>
      <c r="AH59" s="27">
        <v>12000.0</v>
      </c>
      <c r="AI59" s="27">
        <v>1500.0</v>
      </c>
      <c r="AJ59" s="27"/>
      <c r="AK59" s="27"/>
      <c r="AL59" s="27"/>
      <c r="AM59" s="27">
        <f t="shared" si="7"/>
        <v>0</v>
      </c>
    </row>
    <row r="60" ht="15.75" customHeight="1">
      <c r="A60" s="15" t="s">
        <v>240</v>
      </c>
      <c r="B60" s="15" t="s">
        <v>241</v>
      </c>
      <c r="C60" s="15" t="s">
        <v>41</v>
      </c>
      <c r="D60" s="56">
        <f>SUMIF('2015-16 12 Mnths'!$A:$A,'Variance16-17'!$A60,'2015-16 12 Mnths'!C:C)-SUMIF('Budget 12 Mnths'!$A:$A,'Variance16-17'!$A60,'Budget 12 Mnths'!D:D)</f>
        <v>0</v>
      </c>
      <c r="E60" s="56">
        <f>SUMIF('2015-16 12 Mnths'!$A:$A,'Variance16-17'!$A60,'2015-16 12 Mnths'!D:D)-SUMIF('Budget 12 Mnths'!$A:$A,'Variance16-17'!$A60,'Budget 12 Mnths'!E:E)</f>
        <v>0</v>
      </c>
      <c r="F60" s="56">
        <f>SUMIF('2015-16 12 Mnths'!$A:$A,'Variance16-17'!$A60,'2015-16 12 Mnths'!E:E)-SUMIF('Budget 12 Mnths'!$A:$A,'Variance16-17'!$A60,'Budget 12 Mnths'!F:F)</f>
        <v>0</v>
      </c>
      <c r="G60" s="56">
        <f>SUMIF('2015-16 12 Mnths'!$A:$A,'Variance16-17'!$A60,'2015-16 12 Mnths'!F:F)-SUMIF('Budget 12 Mnths'!$A:$A,'Variance16-17'!$A60,'Budget 12 Mnths'!G:G)</f>
        <v>835</v>
      </c>
      <c r="H60" s="56">
        <f>SUMIF('2015-16 12 Mnths'!$A:$A,'Variance16-17'!$A60,'2015-16 12 Mnths'!G:G)-SUMIF('Budget 12 Mnths'!$A:$A,'Variance16-17'!$A60,'Budget 12 Mnths'!H:H)</f>
        <v>5760</v>
      </c>
      <c r="I60" s="56">
        <f>SUMIF('2015-16 12 Mnths'!$A:$A,'Variance16-17'!$A60,'2015-16 12 Mnths'!H:H)-SUMIF('Budget 12 Mnths'!$A:$A,'Variance16-17'!$A60,'Budget 12 Mnths'!I:I)</f>
        <v>98</v>
      </c>
      <c r="J60" s="56">
        <f>SUMIF('2015-16 12 Mnths'!$A:$A,'Variance16-17'!$A60,'2015-16 12 Mnths'!I:I)-SUMIF('Budget 12 Mnths'!$A:$A,'Variance16-17'!$A60,'Budget 12 Mnths'!J:J)</f>
        <v>0</v>
      </c>
      <c r="K60" s="56">
        <f>SUMIF('2015-16 12 Mnths'!$A:$A,'Variance16-17'!$A60,'2015-16 12 Mnths'!J:J)-SUMIF('Budget 12 Mnths'!$A:$A,'Variance16-17'!$A60,'Budget 12 Mnths'!K:K)</f>
        <v>0</v>
      </c>
      <c r="L60" s="56">
        <f>SUMIF('2015-16 12 Mnths'!$A:$A,'Variance16-17'!$A60,'2015-16 12 Mnths'!K:K)-SUMIF('Budget 12 Mnths'!$A:$A,'Variance16-17'!$A60,'Budget 12 Mnths'!L:L)</f>
        <v>0</v>
      </c>
      <c r="M60" s="56"/>
      <c r="N60" s="56"/>
      <c r="O60" s="56"/>
      <c r="P60" s="56">
        <f t="shared" si="1"/>
        <v>6693</v>
      </c>
      <c r="Q60" s="14" t="str">
        <f>+VLOOKUP(A60,Mapping!$A$1:$E$443,5,FALSE)</f>
        <v>Fundraising</v>
      </c>
      <c r="R60" s="26">
        <f>+SUMIF('Budget 12 Mnths'!$A:$A,'Variance16-17'!$A60,'Budget 12 Mnths'!$P:$P)</f>
        <v>0</v>
      </c>
      <c r="S60" s="26">
        <f>+SUMIF('2015-16 12 Mnths'!$A:$A,'Variance16-17'!$A60,'2015-16 12 Mnths'!$O:$O)</f>
        <v>6693</v>
      </c>
      <c r="T60" s="57">
        <f t="shared" si="2"/>
        <v>0</v>
      </c>
      <c r="U60" s="57">
        <f t="shared" si="3"/>
        <v>1</v>
      </c>
      <c r="V60" s="8" t="s">
        <v>451</v>
      </c>
      <c r="W60" s="27">
        <v>6700.0</v>
      </c>
      <c r="X60" s="27">
        <f t="shared" si="10"/>
        <v>6700</v>
      </c>
      <c r="Z60" s="57">
        <v>6700.0</v>
      </c>
      <c r="AA60" s="27"/>
      <c r="AB60" s="27"/>
      <c r="AC60" s="27"/>
      <c r="AD60" s="27"/>
      <c r="AE60" s="27">
        <v>4000.0</v>
      </c>
      <c r="AF60" s="27">
        <v>2700.0</v>
      </c>
      <c r="AG60" s="27"/>
      <c r="AH60" s="27"/>
      <c r="AI60" s="27"/>
      <c r="AJ60" s="27"/>
      <c r="AK60" s="27"/>
      <c r="AL60" s="27"/>
      <c r="AM60" s="27">
        <f t="shared" si="7"/>
        <v>0</v>
      </c>
    </row>
    <row r="61" ht="15.75" customHeight="1">
      <c r="A61" s="15" t="s">
        <v>243</v>
      </c>
      <c r="B61" s="15" t="s">
        <v>244</v>
      </c>
      <c r="C61" s="15" t="s">
        <v>41</v>
      </c>
      <c r="D61" s="56">
        <f>SUMIF('2015-16 12 Mnths'!$A:$A,'Variance16-17'!$A61,'2015-16 12 Mnths'!C:C)-SUMIF('Budget 12 Mnths'!$A:$A,'Variance16-17'!$A61,'Budget 12 Mnths'!D:D)</f>
        <v>0</v>
      </c>
      <c r="E61" s="56">
        <f>SUMIF('2015-16 12 Mnths'!$A:$A,'Variance16-17'!$A61,'2015-16 12 Mnths'!D:D)-SUMIF('Budget 12 Mnths'!$A:$A,'Variance16-17'!$A61,'Budget 12 Mnths'!E:E)</f>
        <v>0</v>
      </c>
      <c r="F61" s="56">
        <f>SUMIF('2015-16 12 Mnths'!$A:$A,'Variance16-17'!$A61,'2015-16 12 Mnths'!E:E)-SUMIF('Budget 12 Mnths'!$A:$A,'Variance16-17'!$A61,'Budget 12 Mnths'!F:F)</f>
        <v>0</v>
      </c>
      <c r="G61" s="56">
        <f>SUMIF('2015-16 12 Mnths'!$A:$A,'Variance16-17'!$A61,'2015-16 12 Mnths'!F:F)-SUMIF('Budget 12 Mnths'!$A:$A,'Variance16-17'!$A61,'Budget 12 Mnths'!G:G)</f>
        <v>0</v>
      </c>
      <c r="H61" s="56">
        <f>SUMIF('2015-16 12 Mnths'!$A:$A,'Variance16-17'!$A61,'2015-16 12 Mnths'!G:G)-SUMIF('Budget 12 Mnths'!$A:$A,'Variance16-17'!$A61,'Budget 12 Mnths'!H:H)</f>
        <v>0</v>
      </c>
      <c r="I61" s="56">
        <f>SUMIF('2015-16 12 Mnths'!$A:$A,'Variance16-17'!$A61,'2015-16 12 Mnths'!H:H)-SUMIF('Budget 12 Mnths'!$A:$A,'Variance16-17'!$A61,'Budget 12 Mnths'!I:I)</f>
        <v>0</v>
      </c>
      <c r="J61" s="56">
        <f>SUMIF('2015-16 12 Mnths'!$A:$A,'Variance16-17'!$A61,'2015-16 12 Mnths'!I:I)-SUMIF('Budget 12 Mnths'!$A:$A,'Variance16-17'!$A61,'Budget 12 Mnths'!J:J)</f>
        <v>0</v>
      </c>
      <c r="K61" s="56">
        <f>SUMIF('2015-16 12 Mnths'!$A:$A,'Variance16-17'!$A61,'2015-16 12 Mnths'!J:J)-SUMIF('Budget 12 Mnths'!$A:$A,'Variance16-17'!$A61,'Budget 12 Mnths'!K:K)</f>
        <v>0</v>
      </c>
      <c r="L61" s="56">
        <f>SUMIF('2015-16 12 Mnths'!$A:$A,'Variance16-17'!$A61,'2015-16 12 Mnths'!K:K)-SUMIF('Budget 12 Mnths'!$A:$A,'Variance16-17'!$A61,'Budget 12 Mnths'!L:L)</f>
        <v>6875.02</v>
      </c>
      <c r="M61" s="56"/>
      <c r="N61" s="56"/>
      <c r="O61" s="56"/>
      <c r="P61" s="56">
        <f t="shared" si="1"/>
        <v>6875.02</v>
      </c>
      <c r="Q61" s="14" t="str">
        <f>+VLOOKUP(A61,Mapping!$A$1:$E$443,5,FALSE)</f>
        <v>Fundraising</v>
      </c>
      <c r="R61" s="26">
        <f>+SUMIF('Budget 12 Mnths'!$A:$A,'Variance16-17'!$A61,'Budget 12 Mnths'!$P:$P)</f>
        <v>0</v>
      </c>
      <c r="S61" s="26">
        <f>+SUMIF('2015-16 12 Mnths'!$A:$A,'Variance16-17'!$A61,'2015-16 12 Mnths'!$O:$O)</f>
        <v>6875.02</v>
      </c>
      <c r="T61" s="57">
        <f t="shared" si="2"/>
        <v>0</v>
      </c>
      <c r="U61" s="57">
        <f t="shared" si="3"/>
        <v>1</v>
      </c>
      <c r="V61" s="8" t="s">
        <v>451</v>
      </c>
      <c r="W61" s="27">
        <v>7000.0</v>
      </c>
      <c r="X61" s="27">
        <f t="shared" si="10"/>
        <v>7000</v>
      </c>
      <c r="Z61" s="57">
        <v>0.0</v>
      </c>
      <c r="AA61" s="27"/>
      <c r="AB61" s="27"/>
      <c r="AC61" s="27"/>
      <c r="AD61" s="27"/>
      <c r="AE61" s="27"/>
      <c r="AF61" s="27"/>
      <c r="AG61" s="27"/>
      <c r="AH61" s="27"/>
      <c r="AI61" s="27">
        <v>7000.0</v>
      </c>
      <c r="AJ61" s="27"/>
      <c r="AK61" s="27"/>
      <c r="AL61" s="27"/>
      <c r="AM61" s="27">
        <f t="shared" si="7"/>
        <v>0</v>
      </c>
    </row>
    <row r="62" ht="15.75" customHeight="1">
      <c r="A62" s="15" t="s">
        <v>247</v>
      </c>
      <c r="B62" s="15" t="s">
        <v>248</v>
      </c>
      <c r="C62" s="15" t="s">
        <v>41</v>
      </c>
      <c r="D62" s="56">
        <f>SUMIF('2015-16 12 Mnths'!$A:$A,'Variance16-17'!$A62,'2015-16 12 Mnths'!C:C)-SUMIF('Budget 12 Mnths'!$A:$A,'Variance16-17'!$A62,'Budget 12 Mnths'!D:D)</f>
        <v>0</v>
      </c>
      <c r="E62" s="56">
        <f>SUMIF('2015-16 12 Mnths'!$A:$A,'Variance16-17'!$A62,'2015-16 12 Mnths'!D:D)-SUMIF('Budget 12 Mnths'!$A:$A,'Variance16-17'!$A62,'Budget 12 Mnths'!E:E)</f>
        <v>0</v>
      </c>
      <c r="F62" s="56">
        <f>SUMIF('2015-16 12 Mnths'!$A:$A,'Variance16-17'!$A62,'2015-16 12 Mnths'!E:E)-SUMIF('Budget 12 Mnths'!$A:$A,'Variance16-17'!$A62,'Budget 12 Mnths'!F:F)</f>
        <v>0</v>
      </c>
      <c r="G62" s="56">
        <f>SUMIF('2015-16 12 Mnths'!$A:$A,'Variance16-17'!$A62,'2015-16 12 Mnths'!F:F)-SUMIF('Budget 12 Mnths'!$A:$A,'Variance16-17'!$A62,'Budget 12 Mnths'!G:G)</f>
        <v>0</v>
      </c>
      <c r="H62" s="56">
        <f>SUMIF('2015-16 12 Mnths'!$A:$A,'Variance16-17'!$A62,'2015-16 12 Mnths'!G:G)-SUMIF('Budget 12 Mnths'!$A:$A,'Variance16-17'!$A62,'Budget 12 Mnths'!H:H)</f>
        <v>0</v>
      </c>
      <c r="I62" s="56">
        <f>SUMIF('2015-16 12 Mnths'!$A:$A,'Variance16-17'!$A62,'2015-16 12 Mnths'!H:H)-SUMIF('Budget 12 Mnths'!$A:$A,'Variance16-17'!$A62,'Budget 12 Mnths'!I:I)</f>
        <v>0</v>
      </c>
      <c r="J62" s="56">
        <f>SUMIF('2015-16 12 Mnths'!$A:$A,'Variance16-17'!$A62,'2015-16 12 Mnths'!I:I)-SUMIF('Budget 12 Mnths'!$A:$A,'Variance16-17'!$A62,'Budget 12 Mnths'!J:J)</f>
        <v>0</v>
      </c>
      <c r="K62" s="56">
        <f>SUMIF('2015-16 12 Mnths'!$A:$A,'Variance16-17'!$A62,'2015-16 12 Mnths'!J:J)-SUMIF('Budget 12 Mnths'!$A:$A,'Variance16-17'!$A62,'Budget 12 Mnths'!K:K)</f>
        <v>500</v>
      </c>
      <c r="L62" s="56">
        <f>SUMIF('2015-16 12 Mnths'!$A:$A,'Variance16-17'!$A62,'2015-16 12 Mnths'!K:K)-SUMIF('Budget 12 Mnths'!$A:$A,'Variance16-17'!$A62,'Budget 12 Mnths'!L:L)</f>
        <v>-8000</v>
      </c>
      <c r="M62" s="56"/>
      <c r="N62" s="56"/>
      <c r="O62" s="56"/>
      <c r="P62" s="56">
        <f t="shared" si="1"/>
        <v>-7500</v>
      </c>
      <c r="Q62" s="14" t="str">
        <f>+VLOOKUP(A62,Mapping!$A$1:$E$443,5,FALSE)</f>
        <v>Fundraising</v>
      </c>
      <c r="R62" s="26">
        <f>+SUMIF('Budget 12 Mnths'!$A:$A,'Variance16-17'!$A62,'Budget 12 Mnths'!$P:$P)</f>
        <v>10000</v>
      </c>
      <c r="S62" s="26">
        <f>+SUMIF('2015-16 12 Mnths'!$A:$A,'Variance16-17'!$A62,'2015-16 12 Mnths'!$O:$O)</f>
        <v>2500</v>
      </c>
      <c r="T62" s="57">
        <f t="shared" si="2"/>
        <v>-0.75</v>
      </c>
      <c r="U62" s="57">
        <f t="shared" si="3"/>
        <v>-3</v>
      </c>
      <c r="V62" s="8" t="s">
        <v>451</v>
      </c>
      <c r="W62" s="27">
        <v>2500.0</v>
      </c>
      <c r="X62" s="27">
        <f t="shared" si="10"/>
        <v>2500</v>
      </c>
      <c r="Z62" s="57">
        <v>0.0</v>
      </c>
      <c r="AA62" s="27"/>
      <c r="AB62" s="27"/>
      <c r="AC62" s="27"/>
      <c r="AD62" s="27"/>
      <c r="AE62" s="27"/>
      <c r="AF62" s="27"/>
      <c r="AG62" s="27"/>
      <c r="AH62" s="27">
        <v>1000.0</v>
      </c>
      <c r="AI62" s="27">
        <v>1500.0</v>
      </c>
      <c r="AJ62" s="27"/>
      <c r="AK62" s="27"/>
      <c r="AL62" s="27"/>
      <c r="AM62" s="27">
        <f t="shared" si="7"/>
        <v>0</v>
      </c>
    </row>
    <row r="63" ht="15.75" customHeight="1">
      <c r="A63" s="15" t="s">
        <v>251</v>
      </c>
      <c r="B63" s="15" t="s">
        <v>252</v>
      </c>
      <c r="C63" s="15" t="s">
        <v>41</v>
      </c>
      <c r="D63" s="56">
        <f>SUMIF('2015-16 12 Mnths'!$A:$A,'Variance16-17'!$A63,'2015-16 12 Mnths'!C:C)-SUMIF('Budget 12 Mnths'!$A:$A,'Variance16-17'!$A63,'Budget 12 Mnths'!D:D)</f>
        <v>0</v>
      </c>
      <c r="E63" s="56">
        <f>SUMIF('2015-16 12 Mnths'!$A:$A,'Variance16-17'!$A63,'2015-16 12 Mnths'!D:D)-SUMIF('Budget 12 Mnths'!$A:$A,'Variance16-17'!$A63,'Budget 12 Mnths'!E:E)</f>
        <v>0</v>
      </c>
      <c r="F63" s="56">
        <f>SUMIF('2015-16 12 Mnths'!$A:$A,'Variance16-17'!$A63,'2015-16 12 Mnths'!E:E)-SUMIF('Budget 12 Mnths'!$A:$A,'Variance16-17'!$A63,'Budget 12 Mnths'!F:F)</f>
        <v>0</v>
      </c>
      <c r="G63" s="56">
        <f>SUMIF('2015-16 12 Mnths'!$A:$A,'Variance16-17'!$A63,'2015-16 12 Mnths'!F:F)-SUMIF('Budget 12 Mnths'!$A:$A,'Variance16-17'!$A63,'Budget 12 Mnths'!G:G)</f>
        <v>0</v>
      </c>
      <c r="H63" s="56">
        <f>SUMIF('2015-16 12 Mnths'!$A:$A,'Variance16-17'!$A63,'2015-16 12 Mnths'!G:G)-SUMIF('Budget 12 Mnths'!$A:$A,'Variance16-17'!$A63,'Budget 12 Mnths'!H:H)</f>
        <v>0</v>
      </c>
      <c r="I63" s="56">
        <f>SUMIF('2015-16 12 Mnths'!$A:$A,'Variance16-17'!$A63,'2015-16 12 Mnths'!H:H)-SUMIF('Budget 12 Mnths'!$A:$A,'Variance16-17'!$A63,'Budget 12 Mnths'!I:I)</f>
        <v>0</v>
      </c>
      <c r="J63" s="56">
        <f>SUMIF('2015-16 12 Mnths'!$A:$A,'Variance16-17'!$A63,'2015-16 12 Mnths'!I:I)-SUMIF('Budget 12 Mnths'!$A:$A,'Variance16-17'!$A63,'Budget 12 Mnths'!J:J)</f>
        <v>0</v>
      </c>
      <c r="K63" s="56">
        <f>SUMIF('2015-16 12 Mnths'!$A:$A,'Variance16-17'!$A63,'2015-16 12 Mnths'!J:J)-SUMIF('Budget 12 Mnths'!$A:$A,'Variance16-17'!$A63,'Budget 12 Mnths'!K:K)</f>
        <v>50</v>
      </c>
      <c r="L63" s="56">
        <f>SUMIF('2015-16 12 Mnths'!$A:$A,'Variance16-17'!$A63,'2015-16 12 Mnths'!K:K)-SUMIF('Budget 12 Mnths'!$A:$A,'Variance16-17'!$A63,'Budget 12 Mnths'!L:L)</f>
        <v>-8594.7</v>
      </c>
      <c r="M63" s="56"/>
      <c r="N63" s="56"/>
      <c r="O63" s="56"/>
      <c r="P63" s="56">
        <f t="shared" si="1"/>
        <v>-8544.7</v>
      </c>
      <c r="Q63" s="14" t="str">
        <f>+VLOOKUP(A63,Mapping!$A$1:$E$443,5,FALSE)</f>
        <v>Fundraising</v>
      </c>
      <c r="R63" s="26">
        <f>+SUMIF('Budget 12 Mnths'!$A:$A,'Variance16-17'!$A63,'Budget 12 Mnths'!$P:$P)</f>
        <v>10000</v>
      </c>
      <c r="S63" s="26">
        <f>+SUMIF('2015-16 12 Mnths'!$A:$A,'Variance16-17'!$A63,'2015-16 12 Mnths'!$O:$O)</f>
        <v>1455.3</v>
      </c>
      <c r="T63" s="57">
        <f t="shared" si="2"/>
        <v>-0.85447</v>
      </c>
      <c r="U63" s="57">
        <f t="shared" si="3"/>
        <v>-5.871435443</v>
      </c>
      <c r="V63" s="8" t="s">
        <v>451</v>
      </c>
      <c r="W63" s="27">
        <v>1500.0</v>
      </c>
      <c r="X63" s="27">
        <f t="shared" si="10"/>
        <v>1500</v>
      </c>
      <c r="Z63" s="57">
        <v>0.0</v>
      </c>
      <c r="AA63" s="27"/>
      <c r="AB63" s="27"/>
      <c r="AC63" s="27"/>
      <c r="AD63" s="27"/>
      <c r="AE63" s="27"/>
      <c r="AF63" s="27"/>
      <c r="AG63" s="27"/>
      <c r="AH63" s="27"/>
      <c r="AI63" s="27">
        <v>1500.0</v>
      </c>
      <c r="AJ63" s="27"/>
      <c r="AK63" s="27"/>
      <c r="AL63" s="27"/>
      <c r="AM63" s="27">
        <f t="shared" si="7"/>
        <v>0</v>
      </c>
    </row>
    <row r="64" ht="15.75" customHeight="1">
      <c r="A64" s="15" t="s">
        <v>253</v>
      </c>
      <c r="B64" s="15" t="s">
        <v>254</v>
      </c>
      <c r="C64" s="15" t="s">
        <v>41</v>
      </c>
      <c r="D64" s="56">
        <f>SUMIF('2015-16 12 Mnths'!$A:$A,'Variance16-17'!$A64,'2015-16 12 Mnths'!C:C)-SUMIF('Budget 12 Mnths'!$A:$A,'Variance16-17'!$A64,'Budget 12 Mnths'!D:D)</f>
        <v>0</v>
      </c>
      <c r="E64" s="56">
        <f>SUMIF('2015-16 12 Mnths'!$A:$A,'Variance16-17'!$A64,'2015-16 12 Mnths'!D:D)-SUMIF('Budget 12 Mnths'!$A:$A,'Variance16-17'!$A64,'Budget 12 Mnths'!E:E)</f>
        <v>0</v>
      </c>
      <c r="F64" s="56">
        <f>SUMIF('2015-16 12 Mnths'!$A:$A,'Variance16-17'!$A64,'2015-16 12 Mnths'!E:E)-SUMIF('Budget 12 Mnths'!$A:$A,'Variance16-17'!$A64,'Budget 12 Mnths'!F:F)</f>
        <v>0</v>
      </c>
      <c r="G64" s="56">
        <f>SUMIF('2015-16 12 Mnths'!$A:$A,'Variance16-17'!$A64,'2015-16 12 Mnths'!F:F)-SUMIF('Budget 12 Mnths'!$A:$A,'Variance16-17'!$A64,'Budget 12 Mnths'!G:G)</f>
        <v>0</v>
      </c>
      <c r="H64" s="56">
        <f>SUMIF('2015-16 12 Mnths'!$A:$A,'Variance16-17'!$A64,'2015-16 12 Mnths'!G:G)-SUMIF('Budget 12 Mnths'!$A:$A,'Variance16-17'!$A64,'Budget 12 Mnths'!H:H)</f>
        <v>0</v>
      </c>
      <c r="I64" s="56">
        <f>SUMIF('2015-16 12 Mnths'!$A:$A,'Variance16-17'!$A64,'2015-16 12 Mnths'!H:H)-SUMIF('Budget 12 Mnths'!$A:$A,'Variance16-17'!$A64,'Budget 12 Mnths'!I:I)</f>
        <v>0</v>
      </c>
      <c r="J64" s="56">
        <f>SUMIF('2015-16 12 Mnths'!$A:$A,'Variance16-17'!$A64,'2015-16 12 Mnths'!I:I)-SUMIF('Budget 12 Mnths'!$A:$A,'Variance16-17'!$A64,'Budget 12 Mnths'!J:J)</f>
        <v>0</v>
      </c>
      <c r="K64" s="56">
        <f>SUMIF('2015-16 12 Mnths'!$A:$A,'Variance16-17'!$A64,'2015-16 12 Mnths'!J:J)-SUMIF('Budget 12 Mnths'!$A:$A,'Variance16-17'!$A64,'Budget 12 Mnths'!K:K)</f>
        <v>0</v>
      </c>
      <c r="L64" s="56">
        <f>SUMIF('2015-16 12 Mnths'!$A:$A,'Variance16-17'!$A64,'2015-16 12 Mnths'!K:K)-SUMIF('Budget 12 Mnths'!$A:$A,'Variance16-17'!$A64,'Budget 12 Mnths'!L:L)</f>
        <v>2480</v>
      </c>
      <c r="M64" s="56"/>
      <c r="N64" s="56"/>
      <c r="O64" s="56"/>
      <c r="P64" s="56">
        <f t="shared" si="1"/>
        <v>2480</v>
      </c>
      <c r="Q64" s="14" t="str">
        <f>+VLOOKUP(A64,Mapping!$A$1:$E$443,5,FALSE)</f>
        <v>Fundraising</v>
      </c>
      <c r="R64" s="26">
        <f>+SUMIF('Budget 12 Mnths'!$A:$A,'Variance16-17'!$A64,'Budget 12 Mnths'!$P:$P)</f>
        <v>0</v>
      </c>
      <c r="S64" s="26">
        <f>+SUMIF('2015-16 12 Mnths'!$A:$A,'Variance16-17'!$A64,'2015-16 12 Mnths'!$O:$O)</f>
        <v>2489</v>
      </c>
      <c r="T64" s="57">
        <f t="shared" si="2"/>
        <v>0</v>
      </c>
      <c r="U64" s="57">
        <f t="shared" si="3"/>
        <v>0.99638409</v>
      </c>
      <c r="V64" s="8" t="s">
        <v>451</v>
      </c>
      <c r="W64" s="27">
        <v>2500.0</v>
      </c>
      <c r="X64" s="27">
        <f t="shared" si="10"/>
        <v>2500</v>
      </c>
      <c r="Z64" s="57">
        <v>0.0</v>
      </c>
      <c r="AA64" s="27"/>
      <c r="AB64" s="27"/>
      <c r="AC64" s="27"/>
      <c r="AD64" s="27"/>
      <c r="AE64" s="27"/>
      <c r="AF64" s="27"/>
      <c r="AG64" s="27"/>
      <c r="AH64" s="27"/>
      <c r="AI64" s="27">
        <v>2500.0</v>
      </c>
      <c r="AJ64" s="27"/>
      <c r="AK64" s="27"/>
      <c r="AL64" s="27"/>
      <c r="AM64" s="27">
        <f t="shared" si="7"/>
        <v>0</v>
      </c>
    </row>
    <row r="65" ht="15.75" customHeight="1">
      <c r="A65" s="15" t="s">
        <v>257</v>
      </c>
      <c r="B65" s="15" t="s">
        <v>258</v>
      </c>
      <c r="C65" s="15" t="s">
        <v>41</v>
      </c>
      <c r="D65" s="56">
        <f>SUMIF('2015-16 12 Mnths'!$A:$A,'Variance16-17'!$A65,'2015-16 12 Mnths'!C:C)-SUMIF('Budget 12 Mnths'!$A:$A,'Variance16-17'!$A65,'Budget 12 Mnths'!D:D)</f>
        <v>0</v>
      </c>
      <c r="E65" s="56">
        <f>SUMIF('2015-16 12 Mnths'!$A:$A,'Variance16-17'!$A65,'2015-16 12 Mnths'!D:D)-SUMIF('Budget 12 Mnths'!$A:$A,'Variance16-17'!$A65,'Budget 12 Mnths'!E:E)</f>
        <v>0</v>
      </c>
      <c r="F65" s="56">
        <f>SUMIF('2015-16 12 Mnths'!$A:$A,'Variance16-17'!$A65,'2015-16 12 Mnths'!E:E)-SUMIF('Budget 12 Mnths'!$A:$A,'Variance16-17'!$A65,'Budget 12 Mnths'!F:F)</f>
        <v>0</v>
      </c>
      <c r="G65" s="56">
        <f>SUMIF('2015-16 12 Mnths'!$A:$A,'Variance16-17'!$A65,'2015-16 12 Mnths'!F:F)-SUMIF('Budget 12 Mnths'!$A:$A,'Variance16-17'!$A65,'Budget 12 Mnths'!G:G)</f>
        <v>0</v>
      </c>
      <c r="H65" s="56">
        <f>SUMIF('2015-16 12 Mnths'!$A:$A,'Variance16-17'!$A65,'2015-16 12 Mnths'!G:G)-SUMIF('Budget 12 Mnths'!$A:$A,'Variance16-17'!$A65,'Budget 12 Mnths'!H:H)</f>
        <v>0</v>
      </c>
      <c r="I65" s="56">
        <f>SUMIF('2015-16 12 Mnths'!$A:$A,'Variance16-17'!$A65,'2015-16 12 Mnths'!H:H)-SUMIF('Budget 12 Mnths'!$A:$A,'Variance16-17'!$A65,'Budget 12 Mnths'!I:I)</f>
        <v>0</v>
      </c>
      <c r="J65" s="56">
        <f>SUMIF('2015-16 12 Mnths'!$A:$A,'Variance16-17'!$A65,'2015-16 12 Mnths'!I:I)-SUMIF('Budget 12 Mnths'!$A:$A,'Variance16-17'!$A65,'Budget 12 Mnths'!J:J)</f>
        <v>0</v>
      </c>
      <c r="K65" s="56">
        <f>SUMIF('2015-16 12 Mnths'!$A:$A,'Variance16-17'!$A65,'2015-16 12 Mnths'!J:J)-SUMIF('Budget 12 Mnths'!$A:$A,'Variance16-17'!$A65,'Budget 12 Mnths'!K:K)</f>
        <v>0</v>
      </c>
      <c r="L65" s="56">
        <f>SUMIF('2015-16 12 Mnths'!$A:$A,'Variance16-17'!$A65,'2015-16 12 Mnths'!K:K)-SUMIF('Budget 12 Mnths'!$A:$A,'Variance16-17'!$A65,'Budget 12 Mnths'!L:L)</f>
        <v>0</v>
      </c>
      <c r="M65" s="56"/>
      <c r="N65" s="56"/>
      <c r="O65" s="56"/>
      <c r="P65" s="56">
        <f t="shared" si="1"/>
        <v>0</v>
      </c>
      <c r="Q65" s="14" t="str">
        <f>+VLOOKUP(A65,Mapping!$A$1:$E$443,5,FALSE)</f>
        <v>Fundraising</v>
      </c>
      <c r="R65" s="26">
        <f>+SUMIF('Budget 12 Mnths'!$A:$A,'Variance16-17'!$A65,'Budget 12 Mnths'!$P:$P)</f>
        <v>0</v>
      </c>
      <c r="S65" s="26">
        <f>+SUMIF('2015-16 12 Mnths'!$A:$A,'Variance16-17'!$A65,'2015-16 12 Mnths'!$O:$O)</f>
        <v>0</v>
      </c>
      <c r="T65" s="57">
        <f t="shared" si="2"/>
        <v>0</v>
      </c>
      <c r="U65" s="57">
        <f t="shared" si="3"/>
        <v>0</v>
      </c>
      <c r="W65" s="27"/>
      <c r="X65" s="27" t="str">
        <f t="shared" si="10"/>
        <v/>
      </c>
      <c r="Z65" s="57">
        <f t="shared" ref="Z65:Z72" si="24">+X65/2</f>
        <v>0</v>
      </c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>
        <f t="shared" si="7"/>
        <v>0</v>
      </c>
    </row>
    <row r="66" ht="15.75" customHeight="1">
      <c r="A66" s="15" t="s">
        <v>260</v>
      </c>
      <c r="B66" s="15" t="s">
        <v>261</v>
      </c>
      <c r="C66" s="15" t="s">
        <v>41</v>
      </c>
      <c r="D66" s="56">
        <f>SUMIF('2015-16 12 Mnths'!$A:$A,'Variance16-17'!$A66,'2015-16 12 Mnths'!C:C)-SUMIF('Budget 12 Mnths'!$A:$A,'Variance16-17'!$A66,'Budget 12 Mnths'!D:D)</f>
        <v>0</v>
      </c>
      <c r="E66" s="56">
        <f>SUMIF('2015-16 12 Mnths'!$A:$A,'Variance16-17'!$A66,'2015-16 12 Mnths'!D:D)-SUMIF('Budget 12 Mnths'!$A:$A,'Variance16-17'!$A66,'Budget 12 Mnths'!E:E)</f>
        <v>0</v>
      </c>
      <c r="F66" s="56">
        <f>SUMIF('2015-16 12 Mnths'!$A:$A,'Variance16-17'!$A66,'2015-16 12 Mnths'!E:E)-SUMIF('Budget 12 Mnths'!$A:$A,'Variance16-17'!$A66,'Budget 12 Mnths'!F:F)</f>
        <v>0</v>
      </c>
      <c r="G66" s="56">
        <f>SUMIF('2015-16 12 Mnths'!$A:$A,'Variance16-17'!$A66,'2015-16 12 Mnths'!F:F)-SUMIF('Budget 12 Mnths'!$A:$A,'Variance16-17'!$A66,'Budget 12 Mnths'!G:G)</f>
        <v>0</v>
      </c>
      <c r="H66" s="56">
        <f>SUMIF('2015-16 12 Mnths'!$A:$A,'Variance16-17'!$A66,'2015-16 12 Mnths'!G:G)-SUMIF('Budget 12 Mnths'!$A:$A,'Variance16-17'!$A66,'Budget 12 Mnths'!H:H)</f>
        <v>0</v>
      </c>
      <c r="I66" s="56">
        <f>SUMIF('2015-16 12 Mnths'!$A:$A,'Variance16-17'!$A66,'2015-16 12 Mnths'!H:H)-SUMIF('Budget 12 Mnths'!$A:$A,'Variance16-17'!$A66,'Budget 12 Mnths'!I:I)</f>
        <v>0</v>
      </c>
      <c r="J66" s="56">
        <f>SUMIF('2015-16 12 Mnths'!$A:$A,'Variance16-17'!$A66,'2015-16 12 Mnths'!I:I)-SUMIF('Budget 12 Mnths'!$A:$A,'Variance16-17'!$A66,'Budget 12 Mnths'!J:J)</f>
        <v>0</v>
      </c>
      <c r="K66" s="56">
        <f>SUMIF('2015-16 12 Mnths'!$A:$A,'Variance16-17'!$A66,'2015-16 12 Mnths'!J:J)-SUMIF('Budget 12 Mnths'!$A:$A,'Variance16-17'!$A66,'Budget 12 Mnths'!K:K)</f>
        <v>0</v>
      </c>
      <c r="L66" s="56">
        <f>SUMIF('2015-16 12 Mnths'!$A:$A,'Variance16-17'!$A66,'2015-16 12 Mnths'!K:K)-SUMIF('Budget 12 Mnths'!$A:$A,'Variance16-17'!$A66,'Budget 12 Mnths'!L:L)</f>
        <v>0</v>
      </c>
      <c r="M66" s="56"/>
      <c r="N66" s="56"/>
      <c r="O66" s="56"/>
      <c r="P66" s="56">
        <f t="shared" si="1"/>
        <v>0</v>
      </c>
      <c r="Q66" s="14" t="str">
        <f>+VLOOKUP(A66,Mapping!$A$1:$E$443,5,FALSE)</f>
        <v>Fundraising</v>
      </c>
      <c r="R66" s="26">
        <f>+SUMIF('Budget 12 Mnths'!$A:$A,'Variance16-17'!$A66,'Budget 12 Mnths'!$P:$P)</f>
        <v>0</v>
      </c>
      <c r="S66" s="26">
        <f>+SUMIF('2015-16 12 Mnths'!$A:$A,'Variance16-17'!$A66,'2015-16 12 Mnths'!$O:$O)</f>
        <v>0</v>
      </c>
      <c r="T66" s="57">
        <f t="shared" si="2"/>
        <v>0</v>
      </c>
      <c r="U66" s="57">
        <f t="shared" si="3"/>
        <v>0</v>
      </c>
      <c r="W66" s="27"/>
      <c r="X66" s="27" t="str">
        <f t="shared" si="10"/>
        <v/>
      </c>
      <c r="Z66" s="57">
        <f t="shared" si="24"/>
        <v>0</v>
      </c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>
        <f t="shared" si="7"/>
        <v>0</v>
      </c>
    </row>
    <row r="67" ht="15.75" customHeight="1">
      <c r="A67" s="15" t="s">
        <v>262</v>
      </c>
      <c r="B67" s="15" t="s">
        <v>264</v>
      </c>
      <c r="C67" s="15" t="s">
        <v>41</v>
      </c>
      <c r="D67" s="56">
        <f>SUMIF('2015-16 12 Mnths'!$A:$A,'Variance16-17'!$A67,'2015-16 12 Mnths'!C:C)-SUMIF('Budget 12 Mnths'!$A:$A,'Variance16-17'!$A67,'Budget 12 Mnths'!D:D)</f>
        <v>0</v>
      </c>
      <c r="E67" s="56">
        <f>SUMIF('2015-16 12 Mnths'!$A:$A,'Variance16-17'!$A67,'2015-16 12 Mnths'!D:D)-SUMIF('Budget 12 Mnths'!$A:$A,'Variance16-17'!$A67,'Budget 12 Mnths'!E:E)</f>
        <v>0</v>
      </c>
      <c r="F67" s="56">
        <f>SUMIF('2015-16 12 Mnths'!$A:$A,'Variance16-17'!$A67,'2015-16 12 Mnths'!E:E)-SUMIF('Budget 12 Mnths'!$A:$A,'Variance16-17'!$A67,'Budget 12 Mnths'!F:F)</f>
        <v>0</v>
      </c>
      <c r="G67" s="56">
        <f>SUMIF('2015-16 12 Mnths'!$A:$A,'Variance16-17'!$A67,'2015-16 12 Mnths'!F:F)-SUMIF('Budget 12 Mnths'!$A:$A,'Variance16-17'!$A67,'Budget 12 Mnths'!G:G)</f>
        <v>0</v>
      </c>
      <c r="H67" s="56">
        <f>SUMIF('2015-16 12 Mnths'!$A:$A,'Variance16-17'!$A67,'2015-16 12 Mnths'!G:G)-SUMIF('Budget 12 Mnths'!$A:$A,'Variance16-17'!$A67,'Budget 12 Mnths'!H:H)</f>
        <v>0</v>
      </c>
      <c r="I67" s="56">
        <f>SUMIF('2015-16 12 Mnths'!$A:$A,'Variance16-17'!$A67,'2015-16 12 Mnths'!H:H)-SUMIF('Budget 12 Mnths'!$A:$A,'Variance16-17'!$A67,'Budget 12 Mnths'!I:I)</f>
        <v>0</v>
      </c>
      <c r="J67" s="56">
        <f>SUMIF('2015-16 12 Mnths'!$A:$A,'Variance16-17'!$A67,'2015-16 12 Mnths'!I:I)-SUMIF('Budget 12 Mnths'!$A:$A,'Variance16-17'!$A67,'Budget 12 Mnths'!J:J)</f>
        <v>0</v>
      </c>
      <c r="K67" s="56">
        <f>SUMIF('2015-16 12 Mnths'!$A:$A,'Variance16-17'!$A67,'2015-16 12 Mnths'!J:J)-SUMIF('Budget 12 Mnths'!$A:$A,'Variance16-17'!$A67,'Budget 12 Mnths'!K:K)</f>
        <v>0</v>
      </c>
      <c r="L67" s="56">
        <f>SUMIF('2015-16 12 Mnths'!$A:$A,'Variance16-17'!$A67,'2015-16 12 Mnths'!K:K)-SUMIF('Budget 12 Mnths'!$A:$A,'Variance16-17'!$A67,'Budget 12 Mnths'!L:L)</f>
        <v>0</v>
      </c>
      <c r="M67" s="56"/>
      <c r="N67" s="56"/>
      <c r="O67" s="56"/>
      <c r="P67" s="56">
        <f t="shared" si="1"/>
        <v>0</v>
      </c>
      <c r="Q67" s="14" t="str">
        <f>+VLOOKUP(A67,Mapping!$A$1:$E$443,5,FALSE)</f>
        <v>Fundraising</v>
      </c>
      <c r="R67" s="26">
        <f>+SUMIF('Budget 12 Mnths'!$A:$A,'Variance16-17'!$A67,'Budget 12 Mnths'!$P:$P)</f>
        <v>0</v>
      </c>
      <c r="S67" s="26">
        <f>+SUMIF('2015-16 12 Mnths'!$A:$A,'Variance16-17'!$A67,'2015-16 12 Mnths'!$O:$O)</f>
        <v>0</v>
      </c>
      <c r="T67" s="57">
        <f t="shared" si="2"/>
        <v>0</v>
      </c>
      <c r="U67" s="57">
        <f t="shared" si="3"/>
        <v>0</v>
      </c>
      <c r="W67" s="27"/>
      <c r="X67" s="27" t="str">
        <f t="shared" si="10"/>
        <v/>
      </c>
      <c r="Z67" s="57">
        <f t="shared" si="24"/>
        <v>0</v>
      </c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>
        <f t="shared" si="7"/>
        <v>0</v>
      </c>
    </row>
    <row r="68" ht="15.75" customHeight="1">
      <c r="A68" s="15" t="s">
        <v>265</v>
      </c>
      <c r="B68" s="15" t="s">
        <v>266</v>
      </c>
      <c r="C68" s="15" t="s">
        <v>41</v>
      </c>
      <c r="D68" s="56">
        <f>SUMIF('2015-16 12 Mnths'!$A:$A,'Variance16-17'!$A68,'2015-16 12 Mnths'!C:C)-SUMIF('Budget 12 Mnths'!$A:$A,'Variance16-17'!$A68,'Budget 12 Mnths'!D:D)</f>
        <v>0</v>
      </c>
      <c r="E68" s="56">
        <f>SUMIF('2015-16 12 Mnths'!$A:$A,'Variance16-17'!$A68,'2015-16 12 Mnths'!D:D)-SUMIF('Budget 12 Mnths'!$A:$A,'Variance16-17'!$A68,'Budget 12 Mnths'!E:E)</f>
        <v>0</v>
      </c>
      <c r="F68" s="56">
        <f>SUMIF('2015-16 12 Mnths'!$A:$A,'Variance16-17'!$A68,'2015-16 12 Mnths'!E:E)-SUMIF('Budget 12 Mnths'!$A:$A,'Variance16-17'!$A68,'Budget 12 Mnths'!F:F)</f>
        <v>0</v>
      </c>
      <c r="G68" s="56">
        <f>SUMIF('2015-16 12 Mnths'!$A:$A,'Variance16-17'!$A68,'2015-16 12 Mnths'!F:F)-SUMIF('Budget 12 Mnths'!$A:$A,'Variance16-17'!$A68,'Budget 12 Mnths'!G:G)</f>
        <v>0</v>
      </c>
      <c r="H68" s="56">
        <f>SUMIF('2015-16 12 Mnths'!$A:$A,'Variance16-17'!$A68,'2015-16 12 Mnths'!G:G)-SUMIF('Budget 12 Mnths'!$A:$A,'Variance16-17'!$A68,'Budget 12 Mnths'!H:H)</f>
        <v>0</v>
      </c>
      <c r="I68" s="56">
        <f>SUMIF('2015-16 12 Mnths'!$A:$A,'Variance16-17'!$A68,'2015-16 12 Mnths'!H:H)-SUMIF('Budget 12 Mnths'!$A:$A,'Variance16-17'!$A68,'Budget 12 Mnths'!I:I)</f>
        <v>0</v>
      </c>
      <c r="J68" s="56">
        <f>SUMIF('2015-16 12 Mnths'!$A:$A,'Variance16-17'!$A68,'2015-16 12 Mnths'!I:I)-SUMIF('Budget 12 Mnths'!$A:$A,'Variance16-17'!$A68,'Budget 12 Mnths'!J:J)</f>
        <v>0</v>
      </c>
      <c r="K68" s="56">
        <f>SUMIF('2015-16 12 Mnths'!$A:$A,'Variance16-17'!$A68,'2015-16 12 Mnths'!J:J)-SUMIF('Budget 12 Mnths'!$A:$A,'Variance16-17'!$A68,'Budget 12 Mnths'!K:K)</f>
        <v>0</v>
      </c>
      <c r="L68" s="56">
        <f>SUMIF('2015-16 12 Mnths'!$A:$A,'Variance16-17'!$A68,'2015-16 12 Mnths'!K:K)-SUMIF('Budget 12 Mnths'!$A:$A,'Variance16-17'!$A68,'Budget 12 Mnths'!L:L)</f>
        <v>0</v>
      </c>
      <c r="M68" s="56"/>
      <c r="N68" s="56"/>
      <c r="O68" s="56"/>
      <c r="P68" s="56">
        <f t="shared" si="1"/>
        <v>0</v>
      </c>
      <c r="Q68" s="14" t="str">
        <f>+VLOOKUP(A68,Mapping!$A$1:$E$443,5,FALSE)</f>
        <v>Fundraising</v>
      </c>
      <c r="R68" s="26">
        <f>+SUMIF('Budget 12 Mnths'!$A:$A,'Variance16-17'!$A68,'Budget 12 Mnths'!$P:$P)</f>
        <v>0</v>
      </c>
      <c r="S68" s="26">
        <f>+SUMIF('2015-16 12 Mnths'!$A:$A,'Variance16-17'!$A68,'2015-16 12 Mnths'!$O:$O)</f>
        <v>0</v>
      </c>
      <c r="T68" s="57">
        <f t="shared" si="2"/>
        <v>0</v>
      </c>
      <c r="U68" s="57">
        <f t="shared" si="3"/>
        <v>0</v>
      </c>
      <c r="W68" s="27"/>
      <c r="X68" s="27" t="str">
        <f t="shared" si="10"/>
        <v/>
      </c>
      <c r="Z68" s="57">
        <f t="shared" si="24"/>
        <v>0</v>
      </c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>
        <f t="shared" si="7"/>
        <v>0</v>
      </c>
    </row>
    <row r="69" ht="15.75" customHeight="1">
      <c r="A69" s="15" t="s">
        <v>268</v>
      </c>
      <c r="B69" s="15" t="s">
        <v>269</v>
      </c>
      <c r="C69" s="15" t="s">
        <v>41</v>
      </c>
      <c r="D69" s="56">
        <f>SUMIF('2015-16 12 Mnths'!$A:$A,'Variance16-17'!$A69,'2015-16 12 Mnths'!C:C)-SUMIF('Budget 12 Mnths'!$A:$A,'Variance16-17'!$A69,'Budget 12 Mnths'!D:D)</f>
        <v>0</v>
      </c>
      <c r="E69" s="56">
        <f>SUMIF('2015-16 12 Mnths'!$A:$A,'Variance16-17'!$A69,'2015-16 12 Mnths'!D:D)-SUMIF('Budget 12 Mnths'!$A:$A,'Variance16-17'!$A69,'Budget 12 Mnths'!E:E)</f>
        <v>0</v>
      </c>
      <c r="F69" s="56">
        <f>SUMIF('2015-16 12 Mnths'!$A:$A,'Variance16-17'!$A69,'2015-16 12 Mnths'!E:E)-SUMIF('Budget 12 Mnths'!$A:$A,'Variance16-17'!$A69,'Budget 12 Mnths'!F:F)</f>
        <v>0</v>
      </c>
      <c r="G69" s="56">
        <f>SUMIF('2015-16 12 Mnths'!$A:$A,'Variance16-17'!$A69,'2015-16 12 Mnths'!F:F)-SUMIF('Budget 12 Mnths'!$A:$A,'Variance16-17'!$A69,'Budget 12 Mnths'!G:G)</f>
        <v>0</v>
      </c>
      <c r="H69" s="56">
        <f>SUMIF('2015-16 12 Mnths'!$A:$A,'Variance16-17'!$A69,'2015-16 12 Mnths'!G:G)-SUMIF('Budget 12 Mnths'!$A:$A,'Variance16-17'!$A69,'Budget 12 Mnths'!H:H)</f>
        <v>0</v>
      </c>
      <c r="I69" s="56">
        <f>SUMIF('2015-16 12 Mnths'!$A:$A,'Variance16-17'!$A69,'2015-16 12 Mnths'!H:H)-SUMIF('Budget 12 Mnths'!$A:$A,'Variance16-17'!$A69,'Budget 12 Mnths'!I:I)</f>
        <v>0</v>
      </c>
      <c r="J69" s="56">
        <f>SUMIF('2015-16 12 Mnths'!$A:$A,'Variance16-17'!$A69,'2015-16 12 Mnths'!I:I)-SUMIF('Budget 12 Mnths'!$A:$A,'Variance16-17'!$A69,'Budget 12 Mnths'!J:J)</f>
        <v>0</v>
      </c>
      <c r="K69" s="56">
        <f>SUMIF('2015-16 12 Mnths'!$A:$A,'Variance16-17'!$A69,'2015-16 12 Mnths'!J:J)-SUMIF('Budget 12 Mnths'!$A:$A,'Variance16-17'!$A69,'Budget 12 Mnths'!K:K)</f>
        <v>0</v>
      </c>
      <c r="L69" s="56">
        <f>SUMIF('2015-16 12 Mnths'!$A:$A,'Variance16-17'!$A69,'2015-16 12 Mnths'!K:K)-SUMIF('Budget 12 Mnths'!$A:$A,'Variance16-17'!$A69,'Budget 12 Mnths'!L:L)</f>
        <v>0</v>
      </c>
      <c r="M69" s="56"/>
      <c r="N69" s="56"/>
      <c r="O69" s="56"/>
      <c r="P69" s="56">
        <f t="shared" si="1"/>
        <v>0</v>
      </c>
      <c r="Q69" s="14" t="str">
        <f>+VLOOKUP(A69,Mapping!$A$1:$E$443,5,FALSE)</f>
        <v>Fundraising</v>
      </c>
      <c r="R69" s="26">
        <f>+SUMIF('Budget 12 Mnths'!$A:$A,'Variance16-17'!$A69,'Budget 12 Mnths'!$P:$P)</f>
        <v>0</v>
      </c>
      <c r="S69" s="26">
        <f>+SUMIF('2015-16 12 Mnths'!$A:$A,'Variance16-17'!$A69,'2015-16 12 Mnths'!$O:$O)</f>
        <v>0</v>
      </c>
      <c r="T69" s="57">
        <f t="shared" si="2"/>
        <v>0</v>
      </c>
      <c r="U69" s="57">
        <f t="shared" si="3"/>
        <v>0</v>
      </c>
      <c r="W69" s="27"/>
      <c r="X69" s="27" t="str">
        <f t="shared" si="10"/>
        <v/>
      </c>
      <c r="Z69" s="57">
        <f t="shared" si="24"/>
        <v>0</v>
      </c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>
        <f t="shared" si="7"/>
        <v>0</v>
      </c>
    </row>
    <row r="70" ht="15.75" customHeight="1">
      <c r="A70" s="15" t="s">
        <v>270</v>
      </c>
      <c r="B70" s="15" t="s">
        <v>271</v>
      </c>
      <c r="C70" s="15" t="s">
        <v>41</v>
      </c>
      <c r="D70" s="56">
        <f>SUMIF('2015-16 12 Mnths'!$A:$A,'Variance16-17'!$A70,'2015-16 12 Mnths'!C:C)-SUMIF('Budget 12 Mnths'!$A:$A,'Variance16-17'!$A70,'Budget 12 Mnths'!D:D)</f>
        <v>0</v>
      </c>
      <c r="E70" s="56">
        <f>SUMIF('2015-16 12 Mnths'!$A:$A,'Variance16-17'!$A70,'2015-16 12 Mnths'!D:D)-SUMIF('Budget 12 Mnths'!$A:$A,'Variance16-17'!$A70,'Budget 12 Mnths'!E:E)</f>
        <v>0</v>
      </c>
      <c r="F70" s="56">
        <f>SUMIF('2015-16 12 Mnths'!$A:$A,'Variance16-17'!$A70,'2015-16 12 Mnths'!E:E)-SUMIF('Budget 12 Mnths'!$A:$A,'Variance16-17'!$A70,'Budget 12 Mnths'!F:F)</f>
        <v>0</v>
      </c>
      <c r="G70" s="56">
        <f>SUMIF('2015-16 12 Mnths'!$A:$A,'Variance16-17'!$A70,'2015-16 12 Mnths'!F:F)-SUMIF('Budget 12 Mnths'!$A:$A,'Variance16-17'!$A70,'Budget 12 Mnths'!G:G)</f>
        <v>0</v>
      </c>
      <c r="H70" s="56">
        <f>SUMIF('2015-16 12 Mnths'!$A:$A,'Variance16-17'!$A70,'2015-16 12 Mnths'!G:G)-SUMIF('Budget 12 Mnths'!$A:$A,'Variance16-17'!$A70,'Budget 12 Mnths'!H:H)</f>
        <v>0</v>
      </c>
      <c r="I70" s="56">
        <f>SUMIF('2015-16 12 Mnths'!$A:$A,'Variance16-17'!$A70,'2015-16 12 Mnths'!H:H)-SUMIF('Budget 12 Mnths'!$A:$A,'Variance16-17'!$A70,'Budget 12 Mnths'!I:I)</f>
        <v>0</v>
      </c>
      <c r="J70" s="56">
        <f>SUMIF('2015-16 12 Mnths'!$A:$A,'Variance16-17'!$A70,'2015-16 12 Mnths'!I:I)-SUMIF('Budget 12 Mnths'!$A:$A,'Variance16-17'!$A70,'Budget 12 Mnths'!J:J)</f>
        <v>0</v>
      </c>
      <c r="K70" s="56">
        <f>SUMIF('2015-16 12 Mnths'!$A:$A,'Variance16-17'!$A70,'2015-16 12 Mnths'!J:J)-SUMIF('Budget 12 Mnths'!$A:$A,'Variance16-17'!$A70,'Budget 12 Mnths'!K:K)</f>
        <v>0</v>
      </c>
      <c r="L70" s="56">
        <f>SUMIF('2015-16 12 Mnths'!$A:$A,'Variance16-17'!$A70,'2015-16 12 Mnths'!K:K)-SUMIF('Budget 12 Mnths'!$A:$A,'Variance16-17'!$A70,'Budget 12 Mnths'!L:L)</f>
        <v>0</v>
      </c>
      <c r="M70" s="56"/>
      <c r="N70" s="56"/>
      <c r="O70" s="56"/>
      <c r="P70" s="56">
        <f t="shared" si="1"/>
        <v>0</v>
      </c>
      <c r="Q70" s="14" t="str">
        <f>+VLOOKUP(A70,Mapping!$A$1:$E$443,5,FALSE)</f>
        <v>Fundraising</v>
      </c>
      <c r="R70" s="26">
        <f>+SUMIF('Budget 12 Mnths'!$A:$A,'Variance16-17'!$A70,'Budget 12 Mnths'!$P:$P)</f>
        <v>0</v>
      </c>
      <c r="S70" s="26">
        <f>+SUMIF('2015-16 12 Mnths'!$A:$A,'Variance16-17'!$A70,'2015-16 12 Mnths'!$O:$O)</f>
        <v>0</v>
      </c>
      <c r="T70" s="57">
        <f t="shared" si="2"/>
        <v>0</v>
      </c>
      <c r="U70" s="57">
        <f t="shared" si="3"/>
        <v>0</v>
      </c>
      <c r="W70" s="27"/>
      <c r="X70" s="27" t="str">
        <f t="shared" si="10"/>
        <v/>
      </c>
      <c r="Z70" s="57">
        <f t="shared" si="24"/>
        <v>0</v>
      </c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>
        <f t="shared" si="7"/>
        <v>0</v>
      </c>
    </row>
    <row r="71" ht="15.75" customHeight="1">
      <c r="A71" s="15" t="s">
        <v>272</v>
      </c>
      <c r="B71" s="15" t="s">
        <v>273</v>
      </c>
      <c r="C71" s="15" t="s">
        <v>41</v>
      </c>
      <c r="D71" s="56">
        <f>SUMIF('2015-16 12 Mnths'!$A:$A,'Variance16-17'!$A71,'2015-16 12 Mnths'!C:C)-SUMIF('Budget 12 Mnths'!$A:$A,'Variance16-17'!$A71,'Budget 12 Mnths'!D:D)</f>
        <v>0</v>
      </c>
      <c r="E71" s="56">
        <f>SUMIF('2015-16 12 Mnths'!$A:$A,'Variance16-17'!$A71,'2015-16 12 Mnths'!D:D)-SUMIF('Budget 12 Mnths'!$A:$A,'Variance16-17'!$A71,'Budget 12 Mnths'!E:E)</f>
        <v>0</v>
      </c>
      <c r="F71" s="56">
        <f>SUMIF('2015-16 12 Mnths'!$A:$A,'Variance16-17'!$A71,'2015-16 12 Mnths'!E:E)-SUMIF('Budget 12 Mnths'!$A:$A,'Variance16-17'!$A71,'Budget 12 Mnths'!F:F)</f>
        <v>0</v>
      </c>
      <c r="G71" s="56">
        <f>SUMIF('2015-16 12 Mnths'!$A:$A,'Variance16-17'!$A71,'2015-16 12 Mnths'!F:F)-SUMIF('Budget 12 Mnths'!$A:$A,'Variance16-17'!$A71,'Budget 12 Mnths'!G:G)</f>
        <v>0</v>
      </c>
      <c r="H71" s="56">
        <f>SUMIF('2015-16 12 Mnths'!$A:$A,'Variance16-17'!$A71,'2015-16 12 Mnths'!G:G)-SUMIF('Budget 12 Mnths'!$A:$A,'Variance16-17'!$A71,'Budget 12 Mnths'!H:H)</f>
        <v>0</v>
      </c>
      <c r="I71" s="56">
        <f>SUMIF('2015-16 12 Mnths'!$A:$A,'Variance16-17'!$A71,'2015-16 12 Mnths'!H:H)-SUMIF('Budget 12 Mnths'!$A:$A,'Variance16-17'!$A71,'Budget 12 Mnths'!I:I)</f>
        <v>0</v>
      </c>
      <c r="J71" s="56">
        <f>SUMIF('2015-16 12 Mnths'!$A:$A,'Variance16-17'!$A71,'2015-16 12 Mnths'!I:I)-SUMIF('Budget 12 Mnths'!$A:$A,'Variance16-17'!$A71,'Budget 12 Mnths'!J:J)</f>
        <v>0</v>
      </c>
      <c r="K71" s="56">
        <f>SUMIF('2015-16 12 Mnths'!$A:$A,'Variance16-17'!$A71,'2015-16 12 Mnths'!J:J)-SUMIF('Budget 12 Mnths'!$A:$A,'Variance16-17'!$A71,'Budget 12 Mnths'!K:K)</f>
        <v>0</v>
      </c>
      <c r="L71" s="56">
        <f>SUMIF('2015-16 12 Mnths'!$A:$A,'Variance16-17'!$A71,'2015-16 12 Mnths'!K:K)-SUMIF('Budget 12 Mnths'!$A:$A,'Variance16-17'!$A71,'Budget 12 Mnths'!L:L)</f>
        <v>0</v>
      </c>
      <c r="M71" s="56"/>
      <c r="N71" s="56"/>
      <c r="O71" s="56"/>
      <c r="P71" s="56">
        <f t="shared" si="1"/>
        <v>0</v>
      </c>
      <c r="Q71" s="14" t="str">
        <f>+VLOOKUP(A71,Mapping!$A$1:$E$443,5,FALSE)</f>
        <v>Fundraising</v>
      </c>
      <c r="R71" s="26">
        <f>+SUMIF('Budget 12 Mnths'!$A:$A,'Variance16-17'!$A71,'Budget 12 Mnths'!$P:$P)</f>
        <v>0</v>
      </c>
      <c r="S71" s="26">
        <f>+SUMIF('2015-16 12 Mnths'!$A:$A,'Variance16-17'!$A71,'2015-16 12 Mnths'!$O:$O)</f>
        <v>0</v>
      </c>
      <c r="T71" s="57">
        <f t="shared" si="2"/>
        <v>0</v>
      </c>
      <c r="U71" s="57">
        <f t="shared" si="3"/>
        <v>0</v>
      </c>
      <c r="W71" s="27"/>
      <c r="X71" s="27" t="str">
        <f t="shared" si="10"/>
        <v/>
      </c>
      <c r="Z71" s="57">
        <f t="shared" si="24"/>
        <v>0</v>
      </c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>
        <f t="shared" si="7"/>
        <v>0</v>
      </c>
    </row>
    <row r="72" ht="15.75" customHeight="1">
      <c r="A72" s="15" t="s">
        <v>274</v>
      </c>
      <c r="B72" s="15" t="s">
        <v>275</v>
      </c>
      <c r="C72" s="15" t="s">
        <v>41</v>
      </c>
      <c r="D72" s="56">
        <f>SUMIF('2015-16 12 Mnths'!$A:$A,'Variance16-17'!$A72,'2015-16 12 Mnths'!C:C)-SUMIF('Budget 12 Mnths'!$A:$A,'Variance16-17'!$A72,'Budget 12 Mnths'!D:D)</f>
        <v>0</v>
      </c>
      <c r="E72" s="56">
        <f>SUMIF('2015-16 12 Mnths'!$A:$A,'Variance16-17'!$A72,'2015-16 12 Mnths'!D:D)-SUMIF('Budget 12 Mnths'!$A:$A,'Variance16-17'!$A72,'Budget 12 Mnths'!E:E)</f>
        <v>0</v>
      </c>
      <c r="F72" s="56">
        <f>SUMIF('2015-16 12 Mnths'!$A:$A,'Variance16-17'!$A72,'2015-16 12 Mnths'!E:E)-SUMIF('Budget 12 Mnths'!$A:$A,'Variance16-17'!$A72,'Budget 12 Mnths'!F:F)</f>
        <v>0</v>
      </c>
      <c r="G72" s="56">
        <f>SUMIF('2015-16 12 Mnths'!$A:$A,'Variance16-17'!$A72,'2015-16 12 Mnths'!F:F)-SUMIF('Budget 12 Mnths'!$A:$A,'Variance16-17'!$A72,'Budget 12 Mnths'!G:G)</f>
        <v>0</v>
      </c>
      <c r="H72" s="56">
        <f>SUMIF('2015-16 12 Mnths'!$A:$A,'Variance16-17'!$A72,'2015-16 12 Mnths'!G:G)-SUMIF('Budget 12 Mnths'!$A:$A,'Variance16-17'!$A72,'Budget 12 Mnths'!H:H)</f>
        <v>0</v>
      </c>
      <c r="I72" s="56">
        <f>SUMIF('2015-16 12 Mnths'!$A:$A,'Variance16-17'!$A72,'2015-16 12 Mnths'!H:H)-SUMIF('Budget 12 Mnths'!$A:$A,'Variance16-17'!$A72,'Budget 12 Mnths'!I:I)</f>
        <v>0</v>
      </c>
      <c r="J72" s="56">
        <f>SUMIF('2015-16 12 Mnths'!$A:$A,'Variance16-17'!$A72,'2015-16 12 Mnths'!I:I)-SUMIF('Budget 12 Mnths'!$A:$A,'Variance16-17'!$A72,'Budget 12 Mnths'!J:J)</f>
        <v>0</v>
      </c>
      <c r="K72" s="56">
        <f>SUMIF('2015-16 12 Mnths'!$A:$A,'Variance16-17'!$A72,'2015-16 12 Mnths'!J:J)-SUMIF('Budget 12 Mnths'!$A:$A,'Variance16-17'!$A72,'Budget 12 Mnths'!K:K)</f>
        <v>0</v>
      </c>
      <c r="L72" s="56">
        <f>SUMIF('2015-16 12 Mnths'!$A:$A,'Variance16-17'!$A72,'2015-16 12 Mnths'!K:K)-SUMIF('Budget 12 Mnths'!$A:$A,'Variance16-17'!$A72,'Budget 12 Mnths'!L:L)</f>
        <v>0</v>
      </c>
      <c r="M72" s="56"/>
      <c r="N72" s="56"/>
      <c r="O72" s="56"/>
      <c r="P72" s="56">
        <f t="shared" si="1"/>
        <v>0</v>
      </c>
      <c r="Q72" s="14" t="str">
        <f>+VLOOKUP(A72,Mapping!$A$1:$E$443,5,FALSE)</f>
        <v>Fundraising</v>
      </c>
      <c r="R72" s="26">
        <f>+SUMIF('Budget 12 Mnths'!$A:$A,'Variance16-17'!$A72,'Budget 12 Mnths'!$P:$P)</f>
        <v>0</v>
      </c>
      <c r="S72" s="26">
        <f>+SUMIF('2015-16 12 Mnths'!$A:$A,'Variance16-17'!$A72,'2015-16 12 Mnths'!$O:$O)</f>
        <v>0</v>
      </c>
      <c r="T72" s="57">
        <f t="shared" si="2"/>
        <v>0</v>
      </c>
      <c r="U72" s="57">
        <f t="shared" si="3"/>
        <v>0</v>
      </c>
      <c r="W72" s="27"/>
      <c r="X72" s="27" t="str">
        <f t="shared" si="10"/>
        <v/>
      </c>
      <c r="Z72" s="57">
        <f t="shared" si="24"/>
        <v>0</v>
      </c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>
        <f t="shared" si="7"/>
        <v>0</v>
      </c>
    </row>
    <row r="73" ht="15.75" customHeight="1">
      <c r="A73" s="15" t="s">
        <v>276</v>
      </c>
      <c r="B73" s="15" t="s">
        <v>277</v>
      </c>
      <c r="C73" s="15" t="s">
        <v>41</v>
      </c>
      <c r="D73" s="56">
        <f>SUMIF('2015-16 12 Mnths'!$A:$A,'Variance16-17'!$A73,'2015-16 12 Mnths'!C:C)-SUMIF('Budget 12 Mnths'!$A:$A,'Variance16-17'!$A73,'Budget 12 Mnths'!D:D)</f>
        <v>28871.22</v>
      </c>
      <c r="E73" s="56">
        <f>SUMIF('2015-16 12 Mnths'!$A:$A,'Variance16-17'!$A73,'2015-16 12 Mnths'!D:D)-SUMIF('Budget 12 Mnths'!$A:$A,'Variance16-17'!$A73,'Budget 12 Mnths'!E:E)</f>
        <v>4602.74</v>
      </c>
      <c r="F73" s="56">
        <f>SUMIF('2015-16 12 Mnths'!$A:$A,'Variance16-17'!$A73,'2015-16 12 Mnths'!E:E)-SUMIF('Budget 12 Mnths'!$A:$A,'Variance16-17'!$A73,'Budget 12 Mnths'!F:F)</f>
        <v>6017.06</v>
      </c>
      <c r="G73" s="56">
        <f>SUMIF('2015-16 12 Mnths'!$A:$A,'Variance16-17'!$A73,'2015-16 12 Mnths'!F:F)-SUMIF('Budget 12 Mnths'!$A:$A,'Variance16-17'!$A73,'Budget 12 Mnths'!G:G)</f>
        <v>521.84</v>
      </c>
      <c r="H73" s="56">
        <f>SUMIF('2015-16 12 Mnths'!$A:$A,'Variance16-17'!$A73,'2015-16 12 Mnths'!G:G)-SUMIF('Budget 12 Mnths'!$A:$A,'Variance16-17'!$A73,'Budget 12 Mnths'!H:H)</f>
        <v>923.79</v>
      </c>
      <c r="I73" s="56">
        <f>SUMIF('2015-16 12 Mnths'!$A:$A,'Variance16-17'!$A73,'2015-16 12 Mnths'!H:H)-SUMIF('Budget 12 Mnths'!$A:$A,'Variance16-17'!$A73,'Budget 12 Mnths'!I:I)</f>
        <v>-833.33</v>
      </c>
      <c r="J73" s="56">
        <f>SUMIF('2015-16 12 Mnths'!$A:$A,'Variance16-17'!$A73,'2015-16 12 Mnths'!I:I)-SUMIF('Budget 12 Mnths'!$A:$A,'Variance16-17'!$A73,'Budget 12 Mnths'!J:J)</f>
        <v>-833.33</v>
      </c>
      <c r="K73" s="56">
        <f>SUMIF('2015-16 12 Mnths'!$A:$A,'Variance16-17'!$A73,'2015-16 12 Mnths'!J:J)-SUMIF('Budget 12 Mnths'!$A:$A,'Variance16-17'!$A73,'Budget 12 Mnths'!K:K)</f>
        <v>1229.47</v>
      </c>
      <c r="L73" s="56">
        <f>SUMIF('2015-16 12 Mnths'!$A:$A,'Variance16-17'!$A73,'2015-16 12 Mnths'!K:K)-SUMIF('Budget 12 Mnths'!$A:$A,'Variance16-17'!$A73,'Budget 12 Mnths'!L:L)</f>
        <v>-355.08</v>
      </c>
      <c r="M73" s="56"/>
      <c r="N73" s="56"/>
      <c r="O73" s="56"/>
      <c r="P73" s="56">
        <f t="shared" si="1"/>
        <v>40144.38</v>
      </c>
      <c r="Q73" s="14" t="str">
        <f>+VLOOKUP(A73,Mapping!$A$1:$E$443,5,FALSE)</f>
        <v>Restricted Released</v>
      </c>
      <c r="R73" s="26">
        <f>+SUMIF('Budget 12 Mnths'!$A:$A,'Variance16-17'!$A73,'Budget 12 Mnths'!$P:$P)</f>
        <v>10000</v>
      </c>
      <c r="S73" s="26">
        <f>+SUMIF('2015-16 12 Mnths'!$A:$A,'Variance16-17'!$A73,'2015-16 12 Mnths'!$O:$O)</f>
        <v>47644.35</v>
      </c>
      <c r="T73" s="57">
        <f t="shared" si="2"/>
        <v>4.014438</v>
      </c>
      <c r="U73" s="57">
        <f t="shared" si="3"/>
        <v>0.8425842728</v>
      </c>
      <c r="V73" s="8" t="s">
        <v>641</v>
      </c>
      <c r="W73" s="27">
        <v>10000.0</v>
      </c>
      <c r="X73" s="27">
        <f t="shared" si="10"/>
        <v>10000</v>
      </c>
      <c r="Z73" s="57">
        <v>8000.0</v>
      </c>
      <c r="AA73" s="27"/>
      <c r="AB73" s="27">
        <v>2500.0</v>
      </c>
      <c r="AC73" s="27">
        <v>2500.0</v>
      </c>
      <c r="AD73" s="27">
        <v>1000.0</v>
      </c>
      <c r="AE73" s="27">
        <v>1000.0</v>
      </c>
      <c r="AF73" s="27">
        <v>1000.0</v>
      </c>
      <c r="AG73" s="27">
        <v>250.0</v>
      </c>
      <c r="AH73" s="27">
        <v>250.0</v>
      </c>
      <c r="AI73" s="27">
        <v>250.0</v>
      </c>
      <c r="AJ73" s="27">
        <v>1000.0</v>
      </c>
      <c r="AK73" s="27">
        <v>250.0</v>
      </c>
      <c r="AL73" s="27"/>
      <c r="AM73" s="27">
        <f t="shared" si="7"/>
        <v>0</v>
      </c>
    </row>
    <row r="74" ht="15.75" customHeight="1">
      <c r="A74" s="15" t="s">
        <v>352</v>
      </c>
      <c r="B74" s="15" t="s">
        <v>353</v>
      </c>
      <c r="C74" s="15" t="s">
        <v>119</v>
      </c>
      <c r="D74" s="56">
        <f>SUMIF('2015-16 12 Mnths'!$A:$A,'Variance16-17'!$A74,'2015-16 12 Mnths'!C:C)-SUMIF('Budget 12 Mnths'!$A:$A,'Variance16-17'!$A74,'Budget 12 Mnths'!D:D)</f>
        <v>0</v>
      </c>
      <c r="E74" s="56">
        <f>SUMIF('2015-16 12 Mnths'!$A:$A,'Variance16-17'!$A74,'2015-16 12 Mnths'!D:D)-SUMIF('Budget 12 Mnths'!$A:$A,'Variance16-17'!$A74,'Budget 12 Mnths'!E:E)</f>
        <v>0</v>
      </c>
      <c r="F74" s="56">
        <f>SUMIF('2015-16 12 Mnths'!$A:$A,'Variance16-17'!$A74,'2015-16 12 Mnths'!E:E)-SUMIF('Budget 12 Mnths'!$A:$A,'Variance16-17'!$A74,'Budget 12 Mnths'!F:F)</f>
        <v>0</v>
      </c>
      <c r="G74" s="56">
        <f>SUMIF('2015-16 12 Mnths'!$A:$A,'Variance16-17'!$A74,'2015-16 12 Mnths'!F:F)-SUMIF('Budget 12 Mnths'!$A:$A,'Variance16-17'!$A74,'Budget 12 Mnths'!G:G)</f>
        <v>0</v>
      </c>
      <c r="H74" s="56">
        <f>SUMIF('2015-16 12 Mnths'!$A:$A,'Variance16-17'!$A74,'2015-16 12 Mnths'!G:G)-SUMIF('Budget 12 Mnths'!$A:$A,'Variance16-17'!$A74,'Budget 12 Mnths'!H:H)</f>
        <v>0</v>
      </c>
      <c r="I74" s="56">
        <f>SUMIF('2015-16 12 Mnths'!$A:$A,'Variance16-17'!$A74,'2015-16 12 Mnths'!H:H)-SUMIF('Budget 12 Mnths'!$A:$A,'Variance16-17'!$A74,'Budget 12 Mnths'!I:I)</f>
        <v>0</v>
      </c>
      <c r="J74" s="56">
        <f>SUMIF('2015-16 12 Mnths'!$A:$A,'Variance16-17'!$A74,'2015-16 12 Mnths'!I:I)-SUMIF('Budget 12 Mnths'!$A:$A,'Variance16-17'!$A74,'Budget 12 Mnths'!J:J)</f>
        <v>0</v>
      </c>
      <c r="K74" s="56">
        <f>SUMIF('2015-16 12 Mnths'!$A:$A,'Variance16-17'!$A74,'2015-16 12 Mnths'!J:J)-SUMIF('Budget 12 Mnths'!$A:$A,'Variance16-17'!$A74,'Budget 12 Mnths'!K:K)</f>
        <v>0</v>
      </c>
      <c r="L74" s="56">
        <f>SUMIF('2015-16 12 Mnths'!$A:$A,'Variance16-17'!$A74,'2015-16 12 Mnths'!K:K)-SUMIF('Budget 12 Mnths'!$A:$A,'Variance16-17'!$A74,'Budget 12 Mnths'!L:L)</f>
        <v>0</v>
      </c>
      <c r="M74" s="56"/>
      <c r="N74" s="56"/>
      <c r="O74" s="56"/>
      <c r="P74" s="56">
        <f t="shared" si="1"/>
        <v>0</v>
      </c>
      <c r="Q74" s="14" t="str">
        <f>+VLOOKUP(A74,Mapping!$A$1:$E$443,5,FALSE)</f>
        <v/>
      </c>
      <c r="R74" s="26">
        <f>+SUMIF('Budget 12 Mnths'!$A:$A,'Variance16-17'!$A74,'Budget 12 Mnths'!$P:$P)</f>
        <v>0</v>
      </c>
      <c r="S74" s="26">
        <f>+SUMIF('2015-16 12 Mnths'!$A:$A,'Variance16-17'!$A74,'2015-16 12 Mnths'!$O:$O)</f>
        <v>0</v>
      </c>
      <c r="T74" s="57">
        <f t="shared" si="2"/>
        <v>0</v>
      </c>
      <c r="U74" s="57">
        <f t="shared" si="3"/>
        <v>0</v>
      </c>
      <c r="W74" s="27"/>
      <c r="X74" s="27" t="str">
        <f t="shared" si="10"/>
        <v/>
      </c>
      <c r="Z74" s="57">
        <f t="shared" ref="Z74:Z78" si="25">+X74/2</f>
        <v>0</v>
      </c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>
        <f t="shared" si="7"/>
        <v>0</v>
      </c>
    </row>
    <row r="75" ht="15.75" customHeight="1">
      <c r="A75" s="15" t="s">
        <v>355</v>
      </c>
      <c r="B75" s="15" t="s">
        <v>356</v>
      </c>
      <c r="C75" s="15" t="s">
        <v>119</v>
      </c>
      <c r="D75" s="56">
        <f>SUMIF('2015-16 12 Mnths'!$A:$A,'Variance16-17'!$A75,'2015-16 12 Mnths'!C:C)-SUMIF('Budget 12 Mnths'!$A:$A,'Variance16-17'!$A75,'Budget 12 Mnths'!D:D)</f>
        <v>29704.55</v>
      </c>
      <c r="E75" s="56">
        <f>SUMIF('2015-16 12 Mnths'!$A:$A,'Variance16-17'!$A75,'2015-16 12 Mnths'!D:D)-SUMIF('Budget 12 Mnths'!$A:$A,'Variance16-17'!$A75,'Budget 12 Mnths'!E:E)</f>
        <v>5436.07</v>
      </c>
      <c r="F75" s="56">
        <f>SUMIF('2015-16 12 Mnths'!$A:$A,'Variance16-17'!$A75,'2015-16 12 Mnths'!E:E)-SUMIF('Budget 12 Mnths'!$A:$A,'Variance16-17'!$A75,'Budget 12 Mnths'!F:F)</f>
        <v>6850.39</v>
      </c>
      <c r="G75" s="56">
        <f>SUMIF('2015-16 12 Mnths'!$A:$A,'Variance16-17'!$A75,'2015-16 12 Mnths'!F:F)-SUMIF('Budget 12 Mnths'!$A:$A,'Variance16-17'!$A75,'Budget 12 Mnths'!G:G)</f>
        <v>1355.17</v>
      </c>
      <c r="H75" s="56">
        <f>SUMIF('2015-16 12 Mnths'!$A:$A,'Variance16-17'!$A75,'2015-16 12 Mnths'!G:G)-SUMIF('Budget 12 Mnths'!$A:$A,'Variance16-17'!$A75,'Budget 12 Mnths'!H:H)</f>
        <v>1757.12</v>
      </c>
      <c r="I75" s="56">
        <f>SUMIF('2015-16 12 Mnths'!$A:$A,'Variance16-17'!$A75,'2015-16 12 Mnths'!H:H)-SUMIF('Budget 12 Mnths'!$A:$A,'Variance16-17'!$A75,'Budget 12 Mnths'!I:I)</f>
        <v>0</v>
      </c>
      <c r="J75" s="56">
        <f>SUMIF('2015-16 12 Mnths'!$A:$A,'Variance16-17'!$A75,'2015-16 12 Mnths'!I:I)-SUMIF('Budget 12 Mnths'!$A:$A,'Variance16-17'!$A75,'Budget 12 Mnths'!J:J)</f>
        <v>0</v>
      </c>
      <c r="K75" s="56">
        <f>SUMIF('2015-16 12 Mnths'!$A:$A,'Variance16-17'!$A75,'2015-16 12 Mnths'!J:J)-SUMIF('Budget 12 Mnths'!$A:$A,'Variance16-17'!$A75,'Budget 12 Mnths'!K:K)</f>
        <v>2062.8</v>
      </c>
      <c r="L75" s="56">
        <f>SUMIF('2015-16 12 Mnths'!$A:$A,'Variance16-17'!$A75,'2015-16 12 Mnths'!K:K)-SUMIF('Budget 12 Mnths'!$A:$A,'Variance16-17'!$A75,'Budget 12 Mnths'!L:L)</f>
        <v>478.25</v>
      </c>
      <c r="M75" s="56"/>
      <c r="N75" s="56"/>
      <c r="O75" s="56"/>
      <c r="P75" s="56">
        <f t="shared" si="1"/>
        <v>47644.35</v>
      </c>
      <c r="Q75" s="14" t="str">
        <f>+VLOOKUP(A75,Mapping!$A$1:$E$443,5,FALSE)</f>
        <v/>
      </c>
      <c r="R75" s="26">
        <f>+SUMIF('Budget 12 Mnths'!$A:$A,'Variance16-17'!$A75,'Budget 12 Mnths'!$P:$P)</f>
        <v>0</v>
      </c>
      <c r="S75" s="26">
        <f>+SUMIF('2015-16 12 Mnths'!$A:$A,'Variance16-17'!$A75,'2015-16 12 Mnths'!$O:$O)</f>
        <v>47644.35</v>
      </c>
      <c r="T75" s="57">
        <f t="shared" si="2"/>
        <v>0</v>
      </c>
      <c r="U75" s="57">
        <f t="shared" si="3"/>
        <v>1</v>
      </c>
      <c r="W75" s="27"/>
      <c r="X75" s="27" t="str">
        <f t="shared" si="10"/>
        <v/>
      </c>
      <c r="Z75" s="57">
        <f t="shared" si="25"/>
        <v>0</v>
      </c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>
        <f t="shared" si="7"/>
        <v>0</v>
      </c>
    </row>
    <row r="76" ht="15.75" customHeight="1">
      <c r="A76" s="15" t="s">
        <v>286</v>
      </c>
      <c r="B76" s="15" t="s">
        <v>287</v>
      </c>
      <c r="C76" s="15" t="s">
        <v>283</v>
      </c>
      <c r="D76" s="56">
        <f>SUMIF('2015-16 12 Mnths'!$A:$A,'Variance16-17'!$A76,'2015-16 12 Mnths'!C:C)-SUMIF('Budget 12 Mnths'!$A:$A,'Variance16-17'!$A76,'Budget 12 Mnths'!D:D)</f>
        <v>0</v>
      </c>
      <c r="E76" s="56">
        <f>SUMIF('2015-16 12 Mnths'!$A:$A,'Variance16-17'!$A76,'2015-16 12 Mnths'!D:D)-SUMIF('Budget 12 Mnths'!$A:$A,'Variance16-17'!$A76,'Budget 12 Mnths'!E:E)</f>
        <v>0</v>
      </c>
      <c r="F76" s="56">
        <f>SUMIF('2015-16 12 Mnths'!$A:$A,'Variance16-17'!$A76,'2015-16 12 Mnths'!E:E)-SUMIF('Budget 12 Mnths'!$A:$A,'Variance16-17'!$A76,'Budget 12 Mnths'!F:F)</f>
        <v>0</v>
      </c>
      <c r="G76" s="56">
        <f>SUMIF('2015-16 12 Mnths'!$A:$A,'Variance16-17'!$A76,'2015-16 12 Mnths'!F:F)-SUMIF('Budget 12 Mnths'!$A:$A,'Variance16-17'!$A76,'Budget 12 Mnths'!G:G)</f>
        <v>0</v>
      </c>
      <c r="H76" s="56">
        <f>SUMIF('2015-16 12 Mnths'!$A:$A,'Variance16-17'!$A76,'2015-16 12 Mnths'!G:G)-SUMIF('Budget 12 Mnths'!$A:$A,'Variance16-17'!$A76,'Budget 12 Mnths'!H:H)</f>
        <v>0</v>
      </c>
      <c r="I76" s="56">
        <f>SUMIF('2015-16 12 Mnths'!$A:$A,'Variance16-17'!$A76,'2015-16 12 Mnths'!H:H)-SUMIF('Budget 12 Mnths'!$A:$A,'Variance16-17'!$A76,'Budget 12 Mnths'!I:I)</f>
        <v>0</v>
      </c>
      <c r="J76" s="56">
        <f>SUMIF('2015-16 12 Mnths'!$A:$A,'Variance16-17'!$A76,'2015-16 12 Mnths'!I:I)-SUMIF('Budget 12 Mnths'!$A:$A,'Variance16-17'!$A76,'Budget 12 Mnths'!J:J)</f>
        <v>0</v>
      </c>
      <c r="K76" s="56">
        <f>SUMIF('2015-16 12 Mnths'!$A:$A,'Variance16-17'!$A76,'2015-16 12 Mnths'!J:J)-SUMIF('Budget 12 Mnths'!$A:$A,'Variance16-17'!$A76,'Budget 12 Mnths'!K:K)</f>
        <v>0</v>
      </c>
      <c r="L76" s="56">
        <f>SUMIF('2015-16 12 Mnths'!$A:$A,'Variance16-17'!$A76,'2015-16 12 Mnths'!K:K)-SUMIF('Budget 12 Mnths'!$A:$A,'Variance16-17'!$A76,'Budget 12 Mnths'!L:L)</f>
        <v>0</v>
      </c>
      <c r="M76" s="56"/>
      <c r="N76" s="56"/>
      <c r="O76" s="56"/>
      <c r="P76" s="56">
        <f t="shared" si="1"/>
        <v>0</v>
      </c>
      <c r="Q76" s="14" t="str">
        <f>+VLOOKUP(A76,Mapping!$A$1:$E$443,5,FALSE)</f>
        <v>Cost of Fundraising</v>
      </c>
      <c r="R76" s="26">
        <f>+SUMIF('Budget 12 Mnths'!$A:$A,'Variance16-17'!$A76,'Budget 12 Mnths'!$P:$P)</f>
        <v>0</v>
      </c>
      <c r="S76" s="26">
        <f>+SUMIF('2015-16 12 Mnths'!$A:$A,'Variance16-17'!$A76,'2015-16 12 Mnths'!$O:$O)</f>
        <v>0</v>
      </c>
      <c r="T76" s="57">
        <f t="shared" si="2"/>
        <v>0</v>
      </c>
      <c r="U76" s="57">
        <f t="shared" si="3"/>
        <v>0</v>
      </c>
      <c r="W76" s="27"/>
      <c r="X76" s="27" t="str">
        <f t="shared" si="10"/>
        <v/>
      </c>
      <c r="Z76" s="57">
        <f t="shared" si="25"/>
        <v>0</v>
      </c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>
        <f t="shared" si="7"/>
        <v>0</v>
      </c>
    </row>
    <row r="77" ht="15.75" customHeight="1">
      <c r="A77" s="15" t="s">
        <v>288</v>
      </c>
      <c r="B77" s="15" t="s">
        <v>289</v>
      </c>
      <c r="C77" s="15" t="s">
        <v>283</v>
      </c>
      <c r="D77" s="56">
        <f>SUMIF('2015-16 12 Mnths'!$A:$A,'Variance16-17'!$A77,'2015-16 12 Mnths'!C:C)-SUMIF('Budget 12 Mnths'!$A:$A,'Variance16-17'!$A77,'Budget 12 Mnths'!D:D)</f>
        <v>0</v>
      </c>
      <c r="E77" s="56">
        <f>SUMIF('2015-16 12 Mnths'!$A:$A,'Variance16-17'!$A77,'2015-16 12 Mnths'!D:D)-SUMIF('Budget 12 Mnths'!$A:$A,'Variance16-17'!$A77,'Budget 12 Mnths'!E:E)</f>
        <v>0</v>
      </c>
      <c r="F77" s="56">
        <f>SUMIF('2015-16 12 Mnths'!$A:$A,'Variance16-17'!$A77,'2015-16 12 Mnths'!E:E)-SUMIF('Budget 12 Mnths'!$A:$A,'Variance16-17'!$A77,'Budget 12 Mnths'!F:F)</f>
        <v>0</v>
      </c>
      <c r="G77" s="56">
        <f>SUMIF('2015-16 12 Mnths'!$A:$A,'Variance16-17'!$A77,'2015-16 12 Mnths'!F:F)-SUMIF('Budget 12 Mnths'!$A:$A,'Variance16-17'!$A77,'Budget 12 Mnths'!G:G)</f>
        <v>0</v>
      </c>
      <c r="H77" s="56">
        <f>SUMIF('2015-16 12 Mnths'!$A:$A,'Variance16-17'!$A77,'2015-16 12 Mnths'!G:G)-SUMIF('Budget 12 Mnths'!$A:$A,'Variance16-17'!$A77,'Budget 12 Mnths'!H:H)</f>
        <v>0</v>
      </c>
      <c r="I77" s="56">
        <f>SUMIF('2015-16 12 Mnths'!$A:$A,'Variance16-17'!$A77,'2015-16 12 Mnths'!H:H)-SUMIF('Budget 12 Mnths'!$A:$A,'Variance16-17'!$A77,'Budget 12 Mnths'!I:I)</f>
        <v>0</v>
      </c>
      <c r="J77" s="56">
        <f>SUMIF('2015-16 12 Mnths'!$A:$A,'Variance16-17'!$A77,'2015-16 12 Mnths'!I:I)-SUMIF('Budget 12 Mnths'!$A:$A,'Variance16-17'!$A77,'Budget 12 Mnths'!J:J)</f>
        <v>0</v>
      </c>
      <c r="K77" s="56">
        <f>SUMIF('2015-16 12 Mnths'!$A:$A,'Variance16-17'!$A77,'2015-16 12 Mnths'!J:J)-SUMIF('Budget 12 Mnths'!$A:$A,'Variance16-17'!$A77,'Budget 12 Mnths'!K:K)</f>
        <v>0</v>
      </c>
      <c r="L77" s="56">
        <f>SUMIF('2015-16 12 Mnths'!$A:$A,'Variance16-17'!$A77,'2015-16 12 Mnths'!K:K)-SUMIF('Budget 12 Mnths'!$A:$A,'Variance16-17'!$A77,'Budget 12 Mnths'!L:L)</f>
        <v>0</v>
      </c>
      <c r="M77" s="56"/>
      <c r="N77" s="56"/>
      <c r="O77" s="56"/>
      <c r="P77" s="56">
        <f t="shared" si="1"/>
        <v>0</v>
      </c>
      <c r="Q77" s="14" t="str">
        <f>+VLOOKUP(A77,Mapping!$A$1:$E$443,5,FALSE)</f>
        <v>Cost of Fundraising</v>
      </c>
      <c r="R77" s="26">
        <f>+SUMIF('Budget 12 Mnths'!$A:$A,'Variance16-17'!$A77,'Budget 12 Mnths'!$P:$P)</f>
        <v>0</v>
      </c>
      <c r="S77" s="26">
        <f>+SUMIF('2015-16 12 Mnths'!$A:$A,'Variance16-17'!$A77,'2015-16 12 Mnths'!$O:$O)</f>
        <v>0</v>
      </c>
      <c r="T77" s="57">
        <f t="shared" si="2"/>
        <v>0</v>
      </c>
      <c r="U77" s="57">
        <f t="shared" si="3"/>
        <v>0</v>
      </c>
      <c r="W77" s="27"/>
      <c r="X77" s="27" t="str">
        <f t="shared" si="10"/>
        <v/>
      </c>
      <c r="Z77" s="57">
        <f t="shared" si="25"/>
        <v>0</v>
      </c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>
        <f t="shared" si="7"/>
        <v>0</v>
      </c>
    </row>
    <row r="78" ht="15.75" customHeight="1">
      <c r="A78" s="15" t="s">
        <v>290</v>
      </c>
      <c r="B78" s="15" t="s">
        <v>291</v>
      </c>
      <c r="C78" s="15" t="s">
        <v>283</v>
      </c>
      <c r="D78" s="56">
        <f>SUMIF('2015-16 12 Mnths'!$A:$A,'Variance16-17'!$A78,'2015-16 12 Mnths'!C:C)-SUMIF('Budget 12 Mnths'!$A:$A,'Variance16-17'!$A78,'Budget 12 Mnths'!D:D)</f>
        <v>0</v>
      </c>
      <c r="E78" s="56">
        <f>SUMIF('2015-16 12 Mnths'!$A:$A,'Variance16-17'!$A78,'2015-16 12 Mnths'!D:D)-SUMIF('Budget 12 Mnths'!$A:$A,'Variance16-17'!$A78,'Budget 12 Mnths'!E:E)</f>
        <v>0</v>
      </c>
      <c r="F78" s="56">
        <f>SUMIF('2015-16 12 Mnths'!$A:$A,'Variance16-17'!$A78,'2015-16 12 Mnths'!E:E)-SUMIF('Budget 12 Mnths'!$A:$A,'Variance16-17'!$A78,'Budget 12 Mnths'!F:F)</f>
        <v>0</v>
      </c>
      <c r="G78" s="56">
        <f>SUMIF('2015-16 12 Mnths'!$A:$A,'Variance16-17'!$A78,'2015-16 12 Mnths'!F:F)-SUMIF('Budget 12 Mnths'!$A:$A,'Variance16-17'!$A78,'Budget 12 Mnths'!G:G)</f>
        <v>0</v>
      </c>
      <c r="H78" s="56">
        <f>SUMIF('2015-16 12 Mnths'!$A:$A,'Variance16-17'!$A78,'2015-16 12 Mnths'!G:G)-SUMIF('Budget 12 Mnths'!$A:$A,'Variance16-17'!$A78,'Budget 12 Mnths'!H:H)</f>
        <v>0</v>
      </c>
      <c r="I78" s="56">
        <f>SUMIF('2015-16 12 Mnths'!$A:$A,'Variance16-17'!$A78,'2015-16 12 Mnths'!H:H)-SUMIF('Budget 12 Mnths'!$A:$A,'Variance16-17'!$A78,'Budget 12 Mnths'!I:I)</f>
        <v>0</v>
      </c>
      <c r="J78" s="56">
        <f>SUMIF('2015-16 12 Mnths'!$A:$A,'Variance16-17'!$A78,'2015-16 12 Mnths'!I:I)-SUMIF('Budget 12 Mnths'!$A:$A,'Variance16-17'!$A78,'Budget 12 Mnths'!J:J)</f>
        <v>0</v>
      </c>
      <c r="K78" s="56">
        <f>SUMIF('2015-16 12 Mnths'!$A:$A,'Variance16-17'!$A78,'2015-16 12 Mnths'!J:J)-SUMIF('Budget 12 Mnths'!$A:$A,'Variance16-17'!$A78,'Budget 12 Mnths'!K:K)</f>
        <v>0</v>
      </c>
      <c r="L78" s="56">
        <f>SUMIF('2015-16 12 Mnths'!$A:$A,'Variance16-17'!$A78,'2015-16 12 Mnths'!K:K)-SUMIF('Budget 12 Mnths'!$A:$A,'Variance16-17'!$A78,'Budget 12 Mnths'!L:L)</f>
        <v>0</v>
      </c>
      <c r="M78" s="56"/>
      <c r="N78" s="56"/>
      <c r="O78" s="56"/>
      <c r="P78" s="56">
        <f t="shared" si="1"/>
        <v>0</v>
      </c>
      <c r="Q78" s="14" t="str">
        <f>+VLOOKUP(A78,Mapping!$A$1:$E$443,5,FALSE)</f>
        <v>Cost of Fundraising</v>
      </c>
      <c r="R78" s="26">
        <f>+SUMIF('Budget 12 Mnths'!$A:$A,'Variance16-17'!$A78,'Budget 12 Mnths'!$P:$P)</f>
        <v>0</v>
      </c>
      <c r="S78" s="26">
        <f>+SUMIF('2015-16 12 Mnths'!$A:$A,'Variance16-17'!$A78,'2015-16 12 Mnths'!$O:$O)</f>
        <v>0</v>
      </c>
      <c r="T78" s="57">
        <f t="shared" si="2"/>
        <v>0</v>
      </c>
      <c r="U78" s="57">
        <f t="shared" si="3"/>
        <v>0</v>
      </c>
      <c r="W78" s="27"/>
      <c r="X78" s="27" t="str">
        <f t="shared" si="10"/>
        <v/>
      </c>
      <c r="Z78" s="57">
        <f t="shared" si="25"/>
        <v>0</v>
      </c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>
        <f t="shared" si="7"/>
        <v>0</v>
      </c>
    </row>
    <row r="79" ht="15.75" customHeight="1">
      <c r="A79" s="15" t="s">
        <v>292</v>
      </c>
      <c r="B79" s="15" t="s">
        <v>293</v>
      </c>
      <c r="C79" s="15" t="s">
        <v>283</v>
      </c>
      <c r="D79" s="56">
        <f>SUMIF('2015-16 12 Mnths'!$A:$A,'Variance16-17'!$A79,'2015-16 12 Mnths'!C:C)-SUMIF('Budget 12 Mnths'!$A:$A,'Variance16-17'!$A79,'Budget 12 Mnths'!D:D)</f>
        <v>-208.33</v>
      </c>
      <c r="E79" s="56">
        <f>SUMIF('2015-16 12 Mnths'!$A:$A,'Variance16-17'!$A79,'2015-16 12 Mnths'!D:D)-SUMIF('Budget 12 Mnths'!$A:$A,'Variance16-17'!$A79,'Budget 12 Mnths'!E:E)</f>
        <v>-208.33</v>
      </c>
      <c r="F79" s="56">
        <f>SUMIF('2015-16 12 Mnths'!$A:$A,'Variance16-17'!$A79,'2015-16 12 Mnths'!E:E)-SUMIF('Budget 12 Mnths'!$A:$A,'Variance16-17'!$A79,'Budget 12 Mnths'!F:F)</f>
        <v>-208.33</v>
      </c>
      <c r="G79" s="56">
        <f>SUMIF('2015-16 12 Mnths'!$A:$A,'Variance16-17'!$A79,'2015-16 12 Mnths'!F:F)-SUMIF('Budget 12 Mnths'!$A:$A,'Variance16-17'!$A79,'Budget 12 Mnths'!G:G)</f>
        <v>-625</v>
      </c>
      <c r="H79" s="56">
        <f>SUMIF('2015-16 12 Mnths'!$A:$A,'Variance16-17'!$A79,'2015-16 12 Mnths'!G:G)-SUMIF('Budget 12 Mnths'!$A:$A,'Variance16-17'!$A79,'Budget 12 Mnths'!H:H)</f>
        <v>-625</v>
      </c>
      <c r="I79" s="56">
        <f>SUMIF('2015-16 12 Mnths'!$A:$A,'Variance16-17'!$A79,'2015-16 12 Mnths'!H:H)-SUMIF('Budget 12 Mnths'!$A:$A,'Variance16-17'!$A79,'Budget 12 Mnths'!I:I)</f>
        <v>-625</v>
      </c>
      <c r="J79" s="56">
        <f>SUMIF('2015-16 12 Mnths'!$A:$A,'Variance16-17'!$A79,'2015-16 12 Mnths'!I:I)-SUMIF('Budget 12 Mnths'!$A:$A,'Variance16-17'!$A79,'Budget 12 Mnths'!J:J)</f>
        <v>0</v>
      </c>
      <c r="K79" s="56">
        <f>SUMIF('2015-16 12 Mnths'!$A:$A,'Variance16-17'!$A79,'2015-16 12 Mnths'!J:J)-SUMIF('Budget 12 Mnths'!$A:$A,'Variance16-17'!$A79,'Budget 12 Mnths'!K:K)</f>
        <v>0</v>
      </c>
      <c r="L79" s="56">
        <f>SUMIF('2015-16 12 Mnths'!$A:$A,'Variance16-17'!$A79,'2015-16 12 Mnths'!K:K)-SUMIF('Budget 12 Mnths'!$A:$A,'Variance16-17'!$A79,'Budget 12 Mnths'!L:L)</f>
        <v>0</v>
      </c>
      <c r="M79" s="56"/>
      <c r="N79" s="56"/>
      <c r="O79" s="56"/>
      <c r="P79" s="56">
        <f t="shared" si="1"/>
        <v>-2499.99</v>
      </c>
      <c r="Q79" s="14" t="str">
        <f>+VLOOKUP(A79,Mapping!$A$1:$E$443,5,FALSE)</f>
        <v>Cost of Fundraising</v>
      </c>
      <c r="R79" s="26">
        <f>+SUMIF('Budget 12 Mnths'!$A:$A,'Variance16-17'!$A79,'Budget 12 Mnths'!$P:$P)</f>
        <v>2499.99</v>
      </c>
      <c r="S79" s="26">
        <f>+SUMIF('2015-16 12 Mnths'!$A:$A,'Variance16-17'!$A79,'2015-16 12 Mnths'!$O:$O)</f>
        <v>0</v>
      </c>
      <c r="T79" s="57">
        <f t="shared" si="2"/>
        <v>-1</v>
      </c>
      <c r="U79" s="57">
        <f t="shared" si="3"/>
        <v>0</v>
      </c>
      <c r="V79" s="8" t="s">
        <v>641</v>
      </c>
      <c r="W79" s="27">
        <v>2500.0</v>
      </c>
      <c r="X79" s="27">
        <f t="shared" si="10"/>
        <v>2500</v>
      </c>
      <c r="Z79" s="57">
        <v>2500.0</v>
      </c>
      <c r="AA79" s="27"/>
      <c r="AB79" s="27"/>
      <c r="AC79" s="27"/>
      <c r="AD79" s="27"/>
      <c r="AE79" s="27">
        <v>1250.0</v>
      </c>
      <c r="AF79" s="27">
        <v>1250.0</v>
      </c>
      <c r="AG79" s="27"/>
      <c r="AH79" s="27"/>
      <c r="AI79" s="27"/>
      <c r="AJ79" s="27"/>
      <c r="AK79" s="27"/>
      <c r="AL79" s="27"/>
      <c r="AM79" s="27">
        <f t="shared" si="7"/>
        <v>0</v>
      </c>
    </row>
    <row r="80" ht="15.75" customHeight="1">
      <c r="A80" s="15" t="s">
        <v>294</v>
      </c>
      <c r="B80" s="15" t="s">
        <v>295</v>
      </c>
      <c r="C80" s="15" t="s">
        <v>283</v>
      </c>
      <c r="D80" s="56">
        <f>SUMIF('2015-16 12 Mnths'!$A:$A,'Variance16-17'!$A80,'2015-16 12 Mnths'!C:C)-SUMIF('Budget 12 Mnths'!$A:$A,'Variance16-17'!$A80,'Budget 12 Mnths'!D:D)</f>
        <v>0</v>
      </c>
      <c r="E80" s="56">
        <f>SUMIF('2015-16 12 Mnths'!$A:$A,'Variance16-17'!$A80,'2015-16 12 Mnths'!D:D)-SUMIF('Budget 12 Mnths'!$A:$A,'Variance16-17'!$A80,'Budget 12 Mnths'!E:E)</f>
        <v>0</v>
      </c>
      <c r="F80" s="56">
        <f>SUMIF('2015-16 12 Mnths'!$A:$A,'Variance16-17'!$A80,'2015-16 12 Mnths'!E:E)-SUMIF('Budget 12 Mnths'!$A:$A,'Variance16-17'!$A80,'Budget 12 Mnths'!F:F)</f>
        <v>0</v>
      </c>
      <c r="G80" s="56">
        <f>SUMIF('2015-16 12 Mnths'!$A:$A,'Variance16-17'!$A80,'2015-16 12 Mnths'!F:F)-SUMIF('Budget 12 Mnths'!$A:$A,'Variance16-17'!$A80,'Budget 12 Mnths'!G:G)</f>
        <v>0</v>
      </c>
      <c r="H80" s="56">
        <f>SUMIF('2015-16 12 Mnths'!$A:$A,'Variance16-17'!$A80,'2015-16 12 Mnths'!G:G)-SUMIF('Budget 12 Mnths'!$A:$A,'Variance16-17'!$A80,'Budget 12 Mnths'!H:H)</f>
        <v>0</v>
      </c>
      <c r="I80" s="56">
        <f>SUMIF('2015-16 12 Mnths'!$A:$A,'Variance16-17'!$A80,'2015-16 12 Mnths'!H:H)-SUMIF('Budget 12 Mnths'!$A:$A,'Variance16-17'!$A80,'Budget 12 Mnths'!I:I)</f>
        <v>0</v>
      </c>
      <c r="J80" s="56">
        <f>SUMIF('2015-16 12 Mnths'!$A:$A,'Variance16-17'!$A80,'2015-16 12 Mnths'!I:I)-SUMIF('Budget 12 Mnths'!$A:$A,'Variance16-17'!$A80,'Budget 12 Mnths'!J:J)</f>
        <v>0</v>
      </c>
      <c r="K80" s="56">
        <f>SUMIF('2015-16 12 Mnths'!$A:$A,'Variance16-17'!$A80,'2015-16 12 Mnths'!J:J)-SUMIF('Budget 12 Mnths'!$A:$A,'Variance16-17'!$A80,'Budget 12 Mnths'!K:K)</f>
        <v>0</v>
      </c>
      <c r="L80" s="56">
        <f>SUMIF('2015-16 12 Mnths'!$A:$A,'Variance16-17'!$A80,'2015-16 12 Mnths'!K:K)-SUMIF('Budget 12 Mnths'!$A:$A,'Variance16-17'!$A80,'Budget 12 Mnths'!L:L)</f>
        <v>0</v>
      </c>
      <c r="M80" s="56"/>
      <c r="N80" s="56"/>
      <c r="O80" s="56"/>
      <c r="P80" s="56">
        <f t="shared" si="1"/>
        <v>0</v>
      </c>
      <c r="Q80" s="14" t="str">
        <f>+VLOOKUP(A80,Mapping!$A$1:$E$443,5,FALSE)</f>
        <v>Cost of Fundraising</v>
      </c>
      <c r="R80" s="26">
        <f>+SUMIF('Budget 12 Mnths'!$A:$A,'Variance16-17'!$A80,'Budget 12 Mnths'!$P:$P)</f>
        <v>0</v>
      </c>
      <c r="S80" s="26">
        <f>+SUMIF('2015-16 12 Mnths'!$A:$A,'Variance16-17'!$A80,'2015-16 12 Mnths'!$O:$O)</f>
        <v>0</v>
      </c>
      <c r="T80" s="57">
        <f t="shared" si="2"/>
        <v>0</v>
      </c>
      <c r="U80" s="57">
        <f t="shared" si="3"/>
        <v>0</v>
      </c>
      <c r="W80" s="27"/>
      <c r="X80" s="27" t="str">
        <f t="shared" si="10"/>
        <v/>
      </c>
      <c r="Z80" s="57">
        <f t="shared" ref="Z80:Z81" si="26">+X80/2</f>
        <v>0</v>
      </c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>
        <f t="shared" si="7"/>
        <v>0</v>
      </c>
    </row>
    <row r="81" ht="15.75" customHeight="1">
      <c r="A81" s="15" t="s">
        <v>298</v>
      </c>
      <c r="B81" s="15" t="s">
        <v>299</v>
      </c>
      <c r="C81" s="15" t="s">
        <v>283</v>
      </c>
      <c r="D81" s="56">
        <f>SUMIF('2015-16 12 Mnths'!$A:$A,'Variance16-17'!$A81,'2015-16 12 Mnths'!C:C)-SUMIF('Budget 12 Mnths'!$A:$A,'Variance16-17'!$A81,'Budget 12 Mnths'!D:D)</f>
        <v>0</v>
      </c>
      <c r="E81" s="56">
        <f>SUMIF('2015-16 12 Mnths'!$A:$A,'Variance16-17'!$A81,'2015-16 12 Mnths'!D:D)-SUMIF('Budget 12 Mnths'!$A:$A,'Variance16-17'!$A81,'Budget 12 Mnths'!E:E)</f>
        <v>0</v>
      </c>
      <c r="F81" s="56">
        <f>SUMIF('2015-16 12 Mnths'!$A:$A,'Variance16-17'!$A81,'2015-16 12 Mnths'!E:E)-SUMIF('Budget 12 Mnths'!$A:$A,'Variance16-17'!$A81,'Budget 12 Mnths'!F:F)</f>
        <v>0</v>
      </c>
      <c r="G81" s="56">
        <f>SUMIF('2015-16 12 Mnths'!$A:$A,'Variance16-17'!$A81,'2015-16 12 Mnths'!F:F)-SUMIF('Budget 12 Mnths'!$A:$A,'Variance16-17'!$A81,'Budget 12 Mnths'!G:G)</f>
        <v>0</v>
      </c>
      <c r="H81" s="56">
        <f>SUMIF('2015-16 12 Mnths'!$A:$A,'Variance16-17'!$A81,'2015-16 12 Mnths'!G:G)-SUMIF('Budget 12 Mnths'!$A:$A,'Variance16-17'!$A81,'Budget 12 Mnths'!H:H)</f>
        <v>0</v>
      </c>
      <c r="I81" s="56">
        <f>SUMIF('2015-16 12 Mnths'!$A:$A,'Variance16-17'!$A81,'2015-16 12 Mnths'!H:H)-SUMIF('Budget 12 Mnths'!$A:$A,'Variance16-17'!$A81,'Budget 12 Mnths'!I:I)</f>
        <v>0</v>
      </c>
      <c r="J81" s="56">
        <f>SUMIF('2015-16 12 Mnths'!$A:$A,'Variance16-17'!$A81,'2015-16 12 Mnths'!I:I)-SUMIF('Budget 12 Mnths'!$A:$A,'Variance16-17'!$A81,'Budget 12 Mnths'!J:J)</f>
        <v>0</v>
      </c>
      <c r="K81" s="56">
        <f>SUMIF('2015-16 12 Mnths'!$A:$A,'Variance16-17'!$A81,'2015-16 12 Mnths'!J:J)-SUMIF('Budget 12 Mnths'!$A:$A,'Variance16-17'!$A81,'Budget 12 Mnths'!K:K)</f>
        <v>0</v>
      </c>
      <c r="L81" s="56">
        <f>SUMIF('2015-16 12 Mnths'!$A:$A,'Variance16-17'!$A81,'2015-16 12 Mnths'!K:K)-SUMIF('Budget 12 Mnths'!$A:$A,'Variance16-17'!$A81,'Budget 12 Mnths'!L:L)</f>
        <v>0</v>
      </c>
      <c r="M81" s="56"/>
      <c r="N81" s="56"/>
      <c r="O81" s="56"/>
      <c r="P81" s="56">
        <f t="shared" si="1"/>
        <v>0</v>
      </c>
      <c r="Q81" s="14" t="str">
        <f>+VLOOKUP(A81,Mapping!$A$1:$E$443,5,FALSE)</f>
        <v>Cost of Fundraising</v>
      </c>
      <c r="R81" s="26">
        <f>+SUMIF('Budget 12 Mnths'!$A:$A,'Variance16-17'!$A81,'Budget 12 Mnths'!$P:$P)</f>
        <v>0</v>
      </c>
      <c r="S81" s="26">
        <f>+SUMIF('2015-16 12 Mnths'!$A:$A,'Variance16-17'!$A81,'2015-16 12 Mnths'!$O:$O)</f>
        <v>0</v>
      </c>
      <c r="T81" s="57">
        <f t="shared" si="2"/>
        <v>0</v>
      </c>
      <c r="U81" s="57">
        <f t="shared" si="3"/>
        <v>0</v>
      </c>
      <c r="W81" s="27"/>
      <c r="X81" s="27" t="str">
        <f t="shared" si="10"/>
        <v/>
      </c>
      <c r="Z81" s="57">
        <f t="shared" si="26"/>
        <v>0</v>
      </c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>
        <f t="shared" si="7"/>
        <v>0</v>
      </c>
    </row>
    <row r="82" ht="15.75" customHeight="1">
      <c r="A82" s="15" t="s">
        <v>300</v>
      </c>
      <c r="B82" s="15" t="s">
        <v>301</v>
      </c>
      <c r="C82" s="15" t="s">
        <v>283</v>
      </c>
      <c r="D82" s="56">
        <f>SUMIF('2015-16 12 Mnths'!$A:$A,'Variance16-17'!$A82,'2015-16 12 Mnths'!C:C)-SUMIF('Budget 12 Mnths'!$A:$A,'Variance16-17'!$A82,'Budget 12 Mnths'!D:D)</f>
        <v>0</v>
      </c>
      <c r="E82" s="56">
        <f>SUMIF('2015-16 12 Mnths'!$A:$A,'Variance16-17'!$A82,'2015-16 12 Mnths'!D:D)-SUMIF('Budget 12 Mnths'!$A:$A,'Variance16-17'!$A82,'Budget 12 Mnths'!E:E)</f>
        <v>0</v>
      </c>
      <c r="F82" s="56">
        <f>SUMIF('2015-16 12 Mnths'!$A:$A,'Variance16-17'!$A82,'2015-16 12 Mnths'!E:E)-SUMIF('Budget 12 Mnths'!$A:$A,'Variance16-17'!$A82,'Budget 12 Mnths'!F:F)</f>
        <v>0</v>
      </c>
      <c r="G82" s="56">
        <f>SUMIF('2015-16 12 Mnths'!$A:$A,'Variance16-17'!$A82,'2015-16 12 Mnths'!F:F)-SUMIF('Budget 12 Mnths'!$A:$A,'Variance16-17'!$A82,'Budget 12 Mnths'!G:G)</f>
        <v>0</v>
      </c>
      <c r="H82" s="56">
        <f>SUMIF('2015-16 12 Mnths'!$A:$A,'Variance16-17'!$A82,'2015-16 12 Mnths'!G:G)-SUMIF('Budget 12 Mnths'!$A:$A,'Variance16-17'!$A82,'Budget 12 Mnths'!H:H)</f>
        <v>4040.26</v>
      </c>
      <c r="I82" s="56">
        <f>SUMIF('2015-16 12 Mnths'!$A:$A,'Variance16-17'!$A82,'2015-16 12 Mnths'!H:H)-SUMIF('Budget 12 Mnths'!$A:$A,'Variance16-17'!$A82,'Budget 12 Mnths'!I:I)</f>
        <v>18.75</v>
      </c>
      <c r="J82" s="56">
        <f>SUMIF('2015-16 12 Mnths'!$A:$A,'Variance16-17'!$A82,'2015-16 12 Mnths'!I:I)-SUMIF('Budget 12 Mnths'!$A:$A,'Variance16-17'!$A82,'Budget 12 Mnths'!J:J)</f>
        <v>0</v>
      </c>
      <c r="K82" s="56">
        <f>SUMIF('2015-16 12 Mnths'!$A:$A,'Variance16-17'!$A82,'2015-16 12 Mnths'!J:J)-SUMIF('Budget 12 Mnths'!$A:$A,'Variance16-17'!$A82,'Budget 12 Mnths'!K:K)</f>
        <v>0</v>
      </c>
      <c r="L82" s="56">
        <f>SUMIF('2015-16 12 Mnths'!$A:$A,'Variance16-17'!$A82,'2015-16 12 Mnths'!K:K)-SUMIF('Budget 12 Mnths'!$A:$A,'Variance16-17'!$A82,'Budget 12 Mnths'!L:L)</f>
        <v>0</v>
      </c>
      <c r="M82" s="56"/>
      <c r="N82" s="56"/>
      <c r="O82" s="56"/>
      <c r="P82" s="56">
        <f t="shared" si="1"/>
        <v>4059.01</v>
      </c>
      <c r="Q82" s="14" t="str">
        <f>+VLOOKUP(A82,Mapping!$A$1:$E$443,5,FALSE)</f>
        <v>Cost of Fundraising</v>
      </c>
      <c r="R82" s="26">
        <f>+SUMIF('Budget 12 Mnths'!$A:$A,'Variance16-17'!$A82,'Budget 12 Mnths'!$P:$P)</f>
        <v>0</v>
      </c>
      <c r="S82" s="26">
        <f>+SUMIF('2015-16 12 Mnths'!$A:$A,'Variance16-17'!$A82,'2015-16 12 Mnths'!$O:$O)</f>
        <v>4059.01</v>
      </c>
      <c r="T82" s="57">
        <f t="shared" si="2"/>
        <v>0</v>
      </c>
      <c r="U82" s="57">
        <f t="shared" si="3"/>
        <v>1</v>
      </c>
      <c r="V82" s="8" t="s">
        <v>451</v>
      </c>
      <c r="W82" s="27">
        <v>4000.0</v>
      </c>
      <c r="X82" s="27">
        <f t="shared" si="10"/>
        <v>4000</v>
      </c>
      <c r="Z82" s="57">
        <v>4000.0</v>
      </c>
      <c r="AA82" s="27"/>
      <c r="AB82" s="27"/>
      <c r="AC82" s="27"/>
      <c r="AD82" s="27"/>
      <c r="AE82" s="27">
        <v>2000.0</v>
      </c>
      <c r="AF82" s="27">
        <v>2000.0</v>
      </c>
      <c r="AG82" s="27"/>
      <c r="AH82" s="27"/>
      <c r="AI82" s="27"/>
      <c r="AJ82" s="27"/>
      <c r="AK82" s="27"/>
      <c r="AL82" s="27"/>
      <c r="AM82" s="27">
        <f t="shared" si="7"/>
        <v>0</v>
      </c>
    </row>
    <row r="83" ht="15.75" customHeight="1">
      <c r="A83" s="15" t="s">
        <v>302</v>
      </c>
      <c r="B83" s="15" t="s">
        <v>303</v>
      </c>
      <c r="C83" s="15" t="s">
        <v>283</v>
      </c>
      <c r="D83" s="56">
        <f>SUMIF('2015-16 12 Mnths'!$A:$A,'Variance16-17'!$A83,'2015-16 12 Mnths'!C:C)-SUMIF('Budget 12 Mnths'!$A:$A,'Variance16-17'!$A83,'Budget 12 Mnths'!D:D)</f>
        <v>0</v>
      </c>
      <c r="E83" s="56">
        <f>SUMIF('2015-16 12 Mnths'!$A:$A,'Variance16-17'!$A83,'2015-16 12 Mnths'!D:D)-SUMIF('Budget 12 Mnths'!$A:$A,'Variance16-17'!$A83,'Budget 12 Mnths'!E:E)</f>
        <v>0</v>
      </c>
      <c r="F83" s="56">
        <f>SUMIF('2015-16 12 Mnths'!$A:$A,'Variance16-17'!$A83,'2015-16 12 Mnths'!E:E)-SUMIF('Budget 12 Mnths'!$A:$A,'Variance16-17'!$A83,'Budget 12 Mnths'!F:F)</f>
        <v>0</v>
      </c>
      <c r="G83" s="56">
        <f>SUMIF('2015-16 12 Mnths'!$A:$A,'Variance16-17'!$A83,'2015-16 12 Mnths'!F:F)-SUMIF('Budget 12 Mnths'!$A:$A,'Variance16-17'!$A83,'Budget 12 Mnths'!G:G)</f>
        <v>0</v>
      </c>
      <c r="H83" s="56">
        <f>SUMIF('2015-16 12 Mnths'!$A:$A,'Variance16-17'!$A83,'2015-16 12 Mnths'!G:G)-SUMIF('Budget 12 Mnths'!$A:$A,'Variance16-17'!$A83,'Budget 12 Mnths'!H:H)</f>
        <v>0</v>
      </c>
      <c r="I83" s="56">
        <f>SUMIF('2015-16 12 Mnths'!$A:$A,'Variance16-17'!$A83,'2015-16 12 Mnths'!H:H)-SUMIF('Budget 12 Mnths'!$A:$A,'Variance16-17'!$A83,'Budget 12 Mnths'!I:I)</f>
        <v>0</v>
      </c>
      <c r="J83" s="56">
        <f>SUMIF('2015-16 12 Mnths'!$A:$A,'Variance16-17'!$A83,'2015-16 12 Mnths'!I:I)-SUMIF('Budget 12 Mnths'!$A:$A,'Variance16-17'!$A83,'Budget 12 Mnths'!J:J)</f>
        <v>0</v>
      </c>
      <c r="K83" s="56">
        <f>SUMIF('2015-16 12 Mnths'!$A:$A,'Variance16-17'!$A83,'2015-16 12 Mnths'!J:J)-SUMIF('Budget 12 Mnths'!$A:$A,'Variance16-17'!$A83,'Budget 12 Mnths'!K:K)</f>
        <v>0</v>
      </c>
      <c r="L83" s="56">
        <f>SUMIF('2015-16 12 Mnths'!$A:$A,'Variance16-17'!$A83,'2015-16 12 Mnths'!K:K)-SUMIF('Budget 12 Mnths'!$A:$A,'Variance16-17'!$A83,'Budget 12 Mnths'!L:L)</f>
        <v>0</v>
      </c>
      <c r="M83" s="56"/>
      <c r="N83" s="56"/>
      <c r="O83" s="56"/>
      <c r="P83" s="56">
        <f t="shared" si="1"/>
        <v>0</v>
      </c>
      <c r="Q83" s="14" t="str">
        <f>+VLOOKUP(A83,Mapping!$A$1:$E$443,5,FALSE)</f>
        <v>Cost of Fundraising</v>
      </c>
      <c r="R83" s="26">
        <f>+SUMIF('Budget 12 Mnths'!$A:$A,'Variance16-17'!$A83,'Budget 12 Mnths'!$P:$P)</f>
        <v>0</v>
      </c>
      <c r="S83" s="26">
        <f>+SUMIF('2015-16 12 Mnths'!$A:$A,'Variance16-17'!$A83,'2015-16 12 Mnths'!$O:$O)</f>
        <v>0</v>
      </c>
      <c r="T83" s="57">
        <f t="shared" si="2"/>
        <v>0</v>
      </c>
      <c r="U83" s="57">
        <f t="shared" si="3"/>
        <v>0</v>
      </c>
      <c r="W83" s="27"/>
      <c r="X83" s="27" t="str">
        <f t="shared" si="10"/>
        <v/>
      </c>
      <c r="Z83" s="57">
        <f>+X83/2</f>
        <v>0</v>
      </c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>
        <f t="shared" si="7"/>
        <v>0</v>
      </c>
    </row>
    <row r="84" ht="15.75" customHeight="1">
      <c r="A84" s="15" t="s">
        <v>304</v>
      </c>
      <c r="B84" s="15" t="s">
        <v>305</v>
      </c>
      <c r="C84" s="15" t="s">
        <v>283</v>
      </c>
      <c r="D84" s="56">
        <f>SUMIF('2015-16 12 Mnths'!$A:$A,'Variance16-17'!$A84,'2015-16 12 Mnths'!C:C)-SUMIF('Budget 12 Mnths'!$A:$A,'Variance16-17'!$A84,'Budget 12 Mnths'!D:D)</f>
        <v>0</v>
      </c>
      <c r="E84" s="56">
        <f>SUMIF('2015-16 12 Mnths'!$A:$A,'Variance16-17'!$A84,'2015-16 12 Mnths'!D:D)-SUMIF('Budget 12 Mnths'!$A:$A,'Variance16-17'!$A84,'Budget 12 Mnths'!E:E)</f>
        <v>0</v>
      </c>
      <c r="F84" s="56">
        <f>SUMIF('2015-16 12 Mnths'!$A:$A,'Variance16-17'!$A84,'2015-16 12 Mnths'!E:E)-SUMIF('Budget 12 Mnths'!$A:$A,'Variance16-17'!$A84,'Budget 12 Mnths'!F:F)</f>
        <v>0</v>
      </c>
      <c r="G84" s="56">
        <f>SUMIF('2015-16 12 Mnths'!$A:$A,'Variance16-17'!$A84,'2015-16 12 Mnths'!F:F)-SUMIF('Budget 12 Mnths'!$A:$A,'Variance16-17'!$A84,'Budget 12 Mnths'!G:G)</f>
        <v>0</v>
      </c>
      <c r="H84" s="56">
        <f>SUMIF('2015-16 12 Mnths'!$A:$A,'Variance16-17'!$A84,'2015-16 12 Mnths'!G:G)-SUMIF('Budget 12 Mnths'!$A:$A,'Variance16-17'!$A84,'Budget 12 Mnths'!H:H)</f>
        <v>0</v>
      </c>
      <c r="I84" s="56">
        <f>SUMIF('2015-16 12 Mnths'!$A:$A,'Variance16-17'!$A84,'2015-16 12 Mnths'!H:H)-SUMIF('Budget 12 Mnths'!$A:$A,'Variance16-17'!$A84,'Budget 12 Mnths'!I:I)</f>
        <v>0</v>
      </c>
      <c r="J84" s="56">
        <f>SUMIF('2015-16 12 Mnths'!$A:$A,'Variance16-17'!$A84,'2015-16 12 Mnths'!I:I)-SUMIF('Budget 12 Mnths'!$A:$A,'Variance16-17'!$A84,'Budget 12 Mnths'!J:J)</f>
        <v>0</v>
      </c>
      <c r="K84" s="56">
        <f>SUMIF('2015-16 12 Mnths'!$A:$A,'Variance16-17'!$A84,'2015-16 12 Mnths'!J:J)-SUMIF('Budget 12 Mnths'!$A:$A,'Variance16-17'!$A84,'Budget 12 Mnths'!K:K)</f>
        <v>0</v>
      </c>
      <c r="L84" s="56">
        <f>SUMIF('2015-16 12 Mnths'!$A:$A,'Variance16-17'!$A84,'2015-16 12 Mnths'!K:K)-SUMIF('Budget 12 Mnths'!$A:$A,'Variance16-17'!$A84,'Budget 12 Mnths'!L:L)</f>
        <v>0</v>
      </c>
      <c r="M84" s="56"/>
      <c r="N84" s="56"/>
      <c r="O84" s="56"/>
      <c r="P84" s="56">
        <f t="shared" si="1"/>
        <v>0</v>
      </c>
      <c r="Q84" s="14" t="str">
        <f>+VLOOKUP(A84,Mapping!$A$1:$E$443,5,FALSE)</f>
        <v>Cost of Fundraising</v>
      </c>
      <c r="R84" s="26">
        <f>+SUMIF('Budget 12 Mnths'!$A:$A,'Variance16-17'!$A84,'Budget 12 Mnths'!$P:$P)</f>
        <v>0</v>
      </c>
      <c r="S84" s="26">
        <f>+SUMIF('2015-16 12 Mnths'!$A:$A,'Variance16-17'!$A84,'2015-16 12 Mnths'!$O:$O)</f>
        <v>0</v>
      </c>
      <c r="T84" s="57">
        <f t="shared" si="2"/>
        <v>0</v>
      </c>
      <c r="U84" s="57">
        <f t="shared" si="3"/>
        <v>0</v>
      </c>
      <c r="W84" s="27">
        <v>20000.0</v>
      </c>
      <c r="X84" s="27">
        <f t="shared" si="10"/>
        <v>20000</v>
      </c>
      <c r="Y84" s="8" t="s">
        <v>714</v>
      </c>
      <c r="Z84" s="57">
        <v>20000.0</v>
      </c>
      <c r="AA84" s="27"/>
      <c r="AB84" s="27"/>
      <c r="AC84" s="27">
        <v>5000.0</v>
      </c>
      <c r="AD84" s="27">
        <v>5000.0</v>
      </c>
      <c r="AE84" s="27">
        <v>5000.0</v>
      </c>
      <c r="AF84" s="27">
        <v>5000.0</v>
      </c>
      <c r="AG84" s="27"/>
      <c r="AH84" s="27"/>
      <c r="AI84" s="27"/>
      <c r="AJ84" s="27"/>
      <c r="AK84" s="27"/>
      <c r="AL84" s="27"/>
      <c r="AM84" s="27">
        <f t="shared" si="7"/>
        <v>0</v>
      </c>
    </row>
    <row r="85" ht="15.75" customHeight="1">
      <c r="A85" s="15" t="s">
        <v>306</v>
      </c>
      <c r="B85" s="15" t="s">
        <v>307</v>
      </c>
      <c r="C85" s="15" t="s">
        <v>283</v>
      </c>
      <c r="D85" s="56">
        <f>SUMIF('2015-16 12 Mnths'!$A:$A,'Variance16-17'!$A85,'2015-16 12 Mnths'!C:C)-SUMIF('Budget 12 Mnths'!$A:$A,'Variance16-17'!$A85,'Budget 12 Mnths'!D:D)</f>
        <v>0</v>
      </c>
      <c r="E85" s="56">
        <f>SUMIF('2015-16 12 Mnths'!$A:$A,'Variance16-17'!$A85,'2015-16 12 Mnths'!D:D)-SUMIF('Budget 12 Mnths'!$A:$A,'Variance16-17'!$A85,'Budget 12 Mnths'!E:E)</f>
        <v>0</v>
      </c>
      <c r="F85" s="56">
        <f>SUMIF('2015-16 12 Mnths'!$A:$A,'Variance16-17'!$A85,'2015-16 12 Mnths'!E:E)-SUMIF('Budget 12 Mnths'!$A:$A,'Variance16-17'!$A85,'Budget 12 Mnths'!F:F)</f>
        <v>0</v>
      </c>
      <c r="G85" s="56">
        <f>SUMIF('2015-16 12 Mnths'!$A:$A,'Variance16-17'!$A85,'2015-16 12 Mnths'!F:F)-SUMIF('Budget 12 Mnths'!$A:$A,'Variance16-17'!$A85,'Budget 12 Mnths'!G:G)</f>
        <v>0</v>
      </c>
      <c r="H85" s="56">
        <f>SUMIF('2015-16 12 Mnths'!$A:$A,'Variance16-17'!$A85,'2015-16 12 Mnths'!G:G)-SUMIF('Budget 12 Mnths'!$A:$A,'Variance16-17'!$A85,'Budget 12 Mnths'!H:H)</f>
        <v>0</v>
      </c>
      <c r="I85" s="56">
        <f>SUMIF('2015-16 12 Mnths'!$A:$A,'Variance16-17'!$A85,'2015-16 12 Mnths'!H:H)-SUMIF('Budget 12 Mnths'!$A:$A,'Variance16-17'!$A85,'Budget 12 Mnths'!I:I)</f>
        <v>0</v>
      </c>
      <c r="J85" s="56">
        <f>SUMIF('2015-16 12 Mnths'!$A:$A,'Variance16-17'!$A85,'2015-16 12 Mnths'!I:I)-SUMIF('Budget 12 Mnths'!$A:$A,'Variance16-17'!$A85,'Budget 12 Mnths'!J:J)</f>
        <v>45</v>
      </c>
      <c r="K85" s="56">
        <f>SUMIF('2015-16 12 Mnths'!$A:$A,'Variance16-17'!$A85,'2015-16 12 Mnths'!J:J)-SUMIF('Budget 12 Mnths'!$A:$A,'Variance16-17'!$A85,'Budget 12 Mnths'!K:K)</f>
        <v>-2400</v>
      </c>
      <c r="L85" s="56">
        <f>SUMIF('2015-16 12 Mnths'!$A:$A,'Variance16-17'!$A85,'2015-16 12 Mnths'!K:K)-SUMIF('Budget 12 Mnths'!$A:$A,'Variance16-17'!$A85,'Budget 12 Mnths'!L:L)</f>
        <v>-1783.7</v>
      </c>
      <c r="M85" s="56"/>
      <c r="N85" s="56"/>
      <c r="O85" s="56"/>
      <c r="P85" s="56">
        <f t="shared" si="1"/>
        <v>-4138.7</v>
      </c>
      <c r="Q85" s="14" t="str">
        <f>+VLOOKUP(A85,Mapping!$A$1:$E$443,5,FALSE)</f>
        <v>Cost of Fundraising</v>
      </c>
      <c r="R85" s="26">
        <f>+SUMIF('Budget 12 Mnths'!$A:$A,'Variance16-17'!$A85,'Budget 12 Mnths'!$P:$P)</f>
        <v>7500</v>
      </c>
      <c r="S85" s="26">
        <f>+SUMIF('2015-16 12 Mnths'!$A:$A,'Variance16-17'!$A85,'2015-16 12 Mnths'!$O:$O)</f>
        <v>3361.3</v>
      </c>
      <c r="T85" s="57">
        <f t="shared" si="2"/>
        <v>-0.5518266667</v>
      </c>
      <c r="U85" s="57">
        <f t="shared" si="3"/>
        <v>-1.231279564</v>
      </c>
      <c r="V85" s="8" t="s">
        <v>641</v>
      </c>
      <c r="W85" s="27">
        <v>7500.0</v>
      </c>
      <c r="X85" s="27">
        <f t="shared" si="10"/>
        <v>7500</v>
      </c>
      <c r="Z85" s="57">
        <v>0.0</v>
      </c>
      <c r="AA85" s="27"/>
      <c r="AB85" s="27"/>
      <c r="AC85" s="27"/>
      <c r="AD85" s="27"/>
      <c r="AE85" s="27"/>
      <c r="AF85" s="27"/>
      <c r="AG85" s="27">
        <v>1000.0</v>
      </c>
      <c r="AH85" s="27">
        <v>1500.0</v>
      </c>
      <c r="AI85" s="27">
        <v>5000.0</v>
      </c>
      <c r="AJ85" s="27"/>
      <c r="AK85" s="27"/>
      <c r="AL85" s="27"/>
      <c r="AM85" s="27">
        <f t="shared" si="7"/>
        <v>0</v>
      </c>
    </row>
    <row r="86" ht="15.75" customHeight="1">
      <c r="A86" s="15" t="s">
        <v>308</v>
      </c>
      <c r="B86" s="15" t="s">
        <v>309</v>
      </c>
      <c r="C86" s="15" t="s">
        <v>283</v>
      </c>
      <c r="D86" s="56">
        <f>SUMIF('2015-16 12 Mnths'!$A:$A,'Variance16-17'!$A86,'2015-16 12 Mnths'!C:C)-SUMIF('Budget 12 Mnths'!$A:$A,'Variance16-17'!$A86,'Budget 12 Mnths'!D:D)</f>
        <v>0</v>
      </c>
      <c r="E86" s="56">
        <f>SUMIF('2015-16 12 Mnths'!$A:$A,'Variance16-17'!$A86,'2015-16 12 Mnths'!D:D)-SUMIF('Budget 12 Mnths'!$A:$A,'Variance16-17'!$A86,'Budget 12 Mnths'!E:E)</f>
        <v>0</v>
      </c>
      <c r="F86" s="56">
        <f>SUMIF('2015-16 12 Mnths'!$A:$A,'Variance16-17'!$A86,'2015-16 12 Mnths'!E:E)-SUMIF('Budget 12 Mnths'!$A:$A,'Variance16-17'!$A86,'Budget 12 Mnths'!F:F)</f>
        <v>0</v>
      </c>
      <c r="G86" s="56">
        <f>SUMIF('2015-16 12 Mnths'!$A:$A,'Variance16-17'!$A86,'2015-16 12 Mnths'!F:F)-SUMIF('Budget 12 Mnths'!$A:$A,'Variance16-17'!$A86,'Budget 12 Mnths'!G:G)</f>
        <v>0</v>
      </c>
      <c r="H86" s="56">
        <f>SUMIF('2015-16 12 Mnths'!$A:$A,'Variance16-17'!$A86,'2015-16 12 Mnths'!G:G)-SUMIF('Budget 12 Mnths'!$A:$A,'Variance16-17'!$A86,'Budget 12 Mnths'!H:H)</f>
        <v>0</v>
      </c>
      <c r="I86" s="56">
        <f>SUMIF('2015-16 12 Mnths'!$A:$A,'Variance16-17'!$A86,'2015-16 12 Mnths'!H:H)-SUMIF('Budget 12 Mnths'!$A:$A,'Variance16-17'!$A86,'Budget 12 Mnths'!I:I)</f>
        <v>0</v>
      </c>
      <c r="J86" s="56">
        <f>SUMIF('2015-16 12 Mnths'!$A:$A,'Variance16-17'!$A86,'2015-16 12 Mnths'!I:I)-SUMIF('Budget 12 Mnths'!$A:$A,'Variance16-17'!$A86,'Budget 12 Mnths'!J:J)</f>
        <v>0</v>
      </c>
      <c r="K86" s="56">
        <f>SUMIF('2015-16 12 Mnths'!$A:$A,'Variance16-17'!$A86,'2015-16 12 Mnths'!J:J)-SUMIF('Budget 12 Mnths'!$A:$A,'Variance16-17'!$A86,'Budget 12 Mnths'!K:K)</f>
        <v>0</v>
      </c>
      <c r="L86" s="56">
        <f>SUMIF('2015-16 12 Mnths'!$A:$A,'Variance16-17'!$A86,'2015-16 12 Mnths'!K:K)-SUMIF('Budget 12 Mnths'!$A:$A,'Variance16-17'!$A86,'Budget 12 Mnths'!L:L)</f>
        <v>0</v>
      </c>
      <c r="M86" s="56"/>
      <c r="N86" s="56"/>
      <c r="O86" s="56"/>
      <c r="P86" s="56">
        <f t="shared" si="1"/>
        <v>0</v>
      </c>
      <c r="Q86" s="14" t="str">
        <f>+VLOOKUP(A86,Mapping!$A$1:$E$443,5,FALSE)</f>
        <v>Cost of Goods Sold</v>
      </c>
      <c r="R86" s="26">
        <f>+SUMIF('Budget 12 Mnths'!$A:$A,'Variance16-17'!$A86,'Budget 12 Mnths'!$P:$P)</f>
        <v>0</v>
      </c>
      <c r="S86" s="26">
        <f>+SUMIF('2015-16 12 Mnths'!$A:$A,'Variance16-17'!$A86,'2015-16 12 Mnths'!$O:$O)</f>
        <v>0</v>
      </c>
      <c r="T86" s="57">
        <f t="shared" si="2"/>
        <v>0</v>
      </c>
      <c r="U86" s="57">
        <f t="shared" si="3"/>
        <v>0</v>
      </c>
      <c r="W86" s="27"/>
      <c r="X86" s="27" t="str">
        <f t="shared" si="10"/>
        <v/>
      </c>
      <c r="Z86" s="57">
        <f t="shared" ref="Z86:Z96" si="27">+X86/2</f>
        <v>0</v>
      </c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>
        <f t="shared" si="7"/>
        <v>0</v>
      </c>
    </row>
    <row r="87" ht="15.75" customHeight="1">
      <c r="A87" s="15" t="s">
        <v>310</v>
      </c>
      <c r="B87" s="15" t="s">
        <v>311</v>
      </c>
      <c r="C87" s="15" t="s">
        <v>283</v>
      </c>
      <c r="D87" s="56">
        <f>SUMIF('2015-16 12 Mnths'!$A:$A,'Variance16-17'!$A87,'2015-16 12 Mnths'!C:C)-SUMIF('Budget 12 Mnths'!$A:$A,'Variance16-17'!$A87,'Budget 12 Mnths'!D:D)</f>
        <v>0</v>
      </c>
      <c r="E87" s="56">
        <f>SUMIF('2015-16 12 Mnths'!$A:$A,'Variance16-17'!$A87,'2015-16 12 Mnths'!D:D)-SUMIF('Budget 12 Mnths'!$A:$A,'Variance16-17'!$A87,'Budget 12 Mnths'!E:E)</f>
        <v>0</v>
      </c>
      <c r="F87" s="56">
        <f>SUMIF('2015-16 12 Mnths'!$A:$A,'Variance16-17'!$A87,'2015-16 12 Mnths'!E:E)-SUMIF('Budget 12 Mnths'!$A:$A,'Variance16-17'!$A87,'Budget 12 Mnths'!F:F)</f>
        <v>0</v>
      </c>
      <c r="G87" s="56">
        <f>SUMIF('2015-16 12 Mnths'!$A:$A,'Variance16-17'!$A87,'2015-16 12 Mnths'!F:F)-SUMIF('Budget 12 Mnths'!$A:$A,'Variance16-17'!$A87,'Budget 12 Mnths'!G:G)</f>
        <v>0</v>
      </c>
      <c r="H87" s="56">
        <f>SUMIF('2015-16 12 Mnths'!$A:$A,'Variance16-17'!$A87,'2015-16 12 Mnths'!G:G)-SUMIF('Budget 12 Mnths'!$A:$A,'Variance16-17'!$A87,'Budget 12 Mnths'!H:H)</f>
        <v>0</v>
      </c>
      <c r="I87" s="56">
        <f>SUMIF('2015-16 12 Mnths'!$A:$A,'Variance16-17'!$A87,'2015-16 12 Mnths'!H:H)-SUMIF('Budget 12 Mnths'!$A:$A,'Variance16-17'!$A87,'Budget 12 Mnths'!I:I)</f>
        <v>0</v>
      </c>
      <c r="J87" s="56">
        <f>SUMIF('2015-16 12 Mnths'!$A:$A,'Variance16-17'!$A87,'2015-16 12 Mnths'!I:I)-SUMIF('Budget 12 Mnths'!$A:$A,'Variance16-17'!$A87,'Budget 12 Mnths'!J:J)</f>
        <v>0</v>
      </c>
      <c r="K87" s="56">
        <f>SUMIF('2015-16 12 Mnths'!$A:$A,'Variance16-17'!$A87,'2015-16 12 Mnths'!J:J)-SUMIF('Budget 12 Mnths'!$A:$A,'Variance16-17'!$A87,'Budget 12 Mnths'!K:K)</f>
        <v>0</v>
      </c>
      <c r="L87" s="56">
        <f>SUMIF('2015-16 12 Mnths'!$A:$A,'Variance16-17'!$A87,'2015-16 12 Mnths'!K:K)-SUMIF('Budget 12 Mnths'!$A:$A,'Variance16-17'!$A87,'Budget 12 Mnths'!L:L)</f>
        <v>0</v>
      </c>
      <c r="M87" s="56"/>
      <c r="N87" s="56"/>
      <c r="O87" s="56"/>
      <c r="P87" s="56">
        <f t="shared" si="1"/>
        <v>0</v>
      </c>
      <c r="Q87" s="14" t="str">
        <f>+VLOOKUP(A87,Mapping!$A$1:$E$443,5,FALSE)</f>
        <v>Cost of Goods Sold</v>
      </c>
      <c r="R87" s="26">
        <f>+SUMIF('Budget 12 Mnths'!$A:$A,'Variance16-17'!$A87,'Budget 12 Mnths'!$P:$P)</f>
        <v>0</v>
      </c>
      <c r="S87" s="26">
        <f>+SUMIF('2015-16 12 Mnths'!$A:$A,'Variance16-17'!$A87,'2015-16 12 Mnths'!$O:$O)</f>
        <v>0</v>
      </c>
      <c r="T87" s="57">
        <f t="shared" si="2"/>
        <v>0</v>
      </c>
      <c r="U87" s="57">
        <f t="shared" si="3"/>
        <v>0</v>
      </c>
      <c r="W87" s="27"/>
      <c r="X87" s="27" t="str">
        <f t="shared" si="10"/>
        <v/>
      </c>
      <c r="Z87" s="57">
        <f t="shared" si="27"/>
        <v>0</v>
      </c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>
        <f t="shared" si="7"/>
        <v>0</v>
      </c>
    </row>
    <row r="88" ht="15.75" customHeight="1">
      <c r="A88" s="15" t="s">
        <v>313</v>
      </c>
      <c r="B88" s="15" t="s">
        <v>314</v>
      </c>
      <c r="C88" s="15" t="s">
        <v>283</v>
      </c>
      <c r="D88" s="56">
        <f>SUMIF('2015-16 12 Mnths'!$A:$A,'Variance16-17'!$A88,'2015-16 12 Mnths'!C:C)-SUMIF('Budget 12 Mnths'!$A:$A,'Variance16-17'!$A88,'Budget 12 Mnths'!D:D)</f>
        <v>0</v>
      </c>
      <c r="E88" s="56">
        <f>SUMIF('2015-16 12 Mnths'!$A:$A,'Variance16-17'!$A88,'2015-16 12 Mnths'!D:D)-SUMIF('Budget 12 Mnths'!$A:$A,'Variance16-17'!$A88,'Budget 12 Mnths'!E:E)</f>
        <v>0</v>
      </c>
      <c r="F88" s="56">
        <f>SUMIF('2015-16 12 Mnths'!$A:$A,'Variance16-17'!$A88,'2015-16 12 Mnths'!E:E)-SUMIF('Budget 12 Mnths'!$A:$A,'Variance16-17'!$A88,'Budget 12 Mnths'!F:F)</f>
        <v>0</v>
      </c>
      <c r="G88" s="56">
        <f>SUMIF('2015-16 12 Mnths'!$A:$A,'Variance16-17'!$A88,'2015-16 12 Mnths'!F:F)-SUMIF('Budget 12 Mnths'!$A:$A,'Variance16-17'!$A88,'Budget 12 Mnths'!G:G)</f>
        <v>0</v>
      </c>
      <c r="H88" s="56">
        <f>SUMIF('2015-16 12 Mnths'!$A:$A,'Variance16-17'!$A88,'2015-16 12 Mnths'!G:G)-SUMIF('Budget 12 Mnths'!$A:$A,'Variance16-17'!$A88,'Budget 12 Mnths'!H:H)</f>
        <v>0</v>
      </c>
      <c r="I88" s="56">
        <f>SUMIF('2015-16 12 Mnths'!$A:$A,'Variance16-17'!$A88,'2015-16 12 Mnths'!H:H)-SUMIF('Budget 12 Mnths'!$A:$A,'Variance16-17'!$A88,'Budget 12 Mnths'!I:I)</f>
        <v>0</v>
      </c>
      <c r="J88" s="56">
        <f>SUMIF('2015-16 12 Mnths'!$A:$A,'Variance16-17'!$A88,'2015-16 12 Mnths'!I:I)-SUMIF('Budget 12 Mnths'!$A:$A,'Variance16-17'!$A88,'Budget 12 Mnths'!J:J)</f>
        <v>0</v>
      </c>
      <c r="K88" s="56">
        <f>SUMIF('2015-16 12 Mnths'!$A:$A,'Variance16-17'!$A88,'2015-16 12 Mnths'!J:J)-SUMIF('Budget 12 Mnths'!$A:$A,'Variance16-17'!$A88,'Budget 12 Mnths'!K:K)</f>
        <v>0</v>
      </c>
      <c r="L88" s="56">
        <f>SUMIF('2015-16 12 Mnths'!$A:$A,'Variance16-17'!$A88,'2015-16 12 Mnths'!K:K)-SUMIF('Budget 12 Mnths'!$A:$A,'Variance16-17'!$A88,'Budget 12 Mnths'!L:L)</f>
        <v>0</v>
      </c>
      <c r="M88" s="56"/>
      <c r="N88" s="56"/>
      <c r="O88" s="56"/>
      <c r="P88" s="56">
        <f t="shared" si="1"/>
        <v>0</v>
      </c>
      <c r="Q88" s="14" t="str">
        <f>+VLOOKUP(A88,Mapping!$A$1:$E$443,5,FALSE)</f>
        <v>Cost of Goods Sold</v>
      </c>
      <c r="R88" s="26">
        <f>+SUMIF('Budget 12 Mnths'!$A:$A,'Variance16-17'!$A88,'Budget 12 Mnths'!$P:$P)</f>
        <v>0</v>
      </c>
      <c r="S88" s="26">
        <f>+SUMIF('2015-16 12 Mnths'!$A:$A,'Variance16-17'!$A88,'2015-16 12 Mnths'!$O:$O)</f>
        <v>0</v>
      </c>
      <c r="T88" s="57">
        <f t="shared" si="2"/>
        <v>0</v>
      </c>
      <c r="U88" s="57">
        <f t="shared" si="3"/>
        <v>0</v>
      </c>
      <c r="W88" s="27"/>
      <c r="X88" s="27" t="str">
        <f t="shared" si="10"/>
        <v/>
      </c>
      <c r="Z88" s="57">
        <f t="shared" si="27"/>
        <v>0</v>
      </c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>
        <f t="shared" si="7"/>
        <v>0</v>
      </c>
    </row>
    <row r="89" ht="15.75" customHeight="1">
      <c r="A89" s="15" t="s">
        <v>315</v>
      </c>
      <c r="B89" s="15" t="s">
        <v>316</v>
      </c>
      <c r="C89" s="15" t="s">
        <v>283</v>
      </c>
      <c r="D89" s="56">
        <f>SUMIF('2015-16 12 Mnths'!$A:$A,'Variance16-17'!$A89,'2015-16 12 Mnths'!C:C)-SUMIF('Budget 12 Mnths'!$A:$A,'Variance16-17'!$A89,'Budget 12 Mnths'!D:D)</f>
        <v>0</v>
      </c>
      <c r="E89" s="56">
        <f>SUMIF('2015-16 12 Mnths'!$A:$A,'Variance16-17'!$A89,'2015-16 12 Mnths'!D:D)-SUMIF('Budget 12 Mnths'!$A:$A,'Variance16-17'!$A89,'Budget 12 Mnths'!E:E)</f>
        <v>0</v>
      </c>
      <c r="F89" s="56">
        <f>SUMIF('2015-16 12 Mnths'!$A:$A,'Variance16-17'!$A89,'2015-16 12 Mnths'!E:E)-SUMIF('Budget 12 Mnths'!$A:$A,'Variance16-17'!$A89,'Budget 12 Mnths'!F:F)</f>
        <v>0</v>
      </c>
      <c r="G89" s="56">
        <f>SUMIF('2015-16 12 Mnths'!$A:$A,'Variance16-17'!$A89,'2015-16 12 Mnths'!F:F)-SUMIF('Budget 12 Mnths'!$A:$A,'Variance16-17'!$A89,'Budget 12 Mnths'!G:G)</f>
        <v>0</v>
      </c>
      <c r="H89" s="56">
        <f>SUMIF('2015-16 12 Mnths'!$A:$A,'Variance16-17'!$A89,'2015-16 12 Mnths'!G:G)-SUMIF('Budget 12 Mnths'!$A:$A,'Variance16-17'!$A89,'Budget 12 Mnths'!H:H)</f>
        <v>0</v>
      </c>
      <c r="I89" s="56">
        <f>SUMIF('2015-16 12 Mnths'!$A:$A,'Variance16-17'!$A89,'2015-16 12 Mnths'!H:H)-SUMIF('Budget 12 Mnths'!$A:$A,'Variance16-17'!$A89,'Budget 12 Mnths'!I:I)</f>
        <v>0</v>
      </c>
      <c r="J89" s="56">
        <f>SUMIF('2015-16 12 Mnths'!$A:$A,'Variance16-17'!$A89,'2015-16 12 Mnths'!I:I)-SUMIF('Budget 12 Mnths'!$A:$A,'Variance16-17'!$A89,'Budget 12 Mnths'!J:J)</f>
        <v>0</v>
      </c>
      <c r="K89" s="56">
        <f>SUMIF('2015-16 12 Mnths'!$A:$A,'Variance16-17'!$A89,'2015-16 12 Mnths'!J:J)-SUMIF('Budget 12 Mnths'!$A:$A,'Variance16-17'!$A89,'Budget 12 Mnths'!K:K)</f>
        <v>0</v>
      </c>
      <c r="L89" s="56">
        <f>SUMIF('2015-16 12 Mnths'!$A:$A,'Variance16-17'!$A89,'2015-16 12 Mnths'!K:K)-SUMIF('Budget 12 Mnths'!$A:$A,'Variance16-17'!$A89,'Budget 12 Mnths'!L:L)</f>
        <v>0</v>
      </c>
      <c r="M89" s="56"/>
      <c r="N89" s="56"/>
      <c r="O89" s="56"/>
      <c r="P89" s="56">
        <f t="shared" si="1"/>
        <v>0</v>
      </c>
      <c r="Q89" s="14" t="str">
        <f>+VLOOKUP(A89,Mapping!$A$1:$E$443,5,FALSE)</f>
        <v>Cost of Goods Sold</v>
      </c>
      <c r="R89" s="26">
        <f>+SUMIF('Budget 12 Mnths'!$A:$A,'Variance16-17'!$A89,'Budget 12 Mnths'!$P:$P)</f>
        <v>0</v>
      </c>
      <c r="S89" s="26">
        <f>+SUMIF('2015-16 12 Mnths'!$A:$A,'Variance16-17'!$A89,'2015-16 12 Mnths'!$O:$O)</f>
        <v>0</v>
      </c>
      <c r="T89" s="57">
        <f t="shared" si="2"/>
        <v>0</v>
      </c>
      <c r="U89" s="57">
        <f t="shared" si="3"/>
        <v>0</v>
      </c>
      <c r="W89" s="27"/>
      <c r="X89" s="27" t="str">
        <f t="shared" si="10"/>
        <v/>
      </c>
      <c r="Z89" s="57">
        <f t="shared" si="27"/>
        <v>0</v>
      </c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>
        <f t="shared" si="7"/>
        <v>0</v>
      </c>
    </row>
    <row r="90" ht="15.75" customHeight="1">
      <c r="A90" s="15" t="s">
        <v>317</v>
      </c>
      <c r="B90" s="15" t="s">
        <v>318</v>
      </c>
      <c r="C90" s="15" t="s">
        <v>283</v>
      </c>
      <c r="D90" s="56">
        <f>SUMIF('2015-16 12 Mnths'!$A:$A,'Variance16-17'!$A90,'2015-16 12 Mnths'!C:C)-SUMIF('Budget 12 Mnths'!$A:$A,'Variance16-17'!$A90,'Budget 12 Mnths'!D:D)</f>
        <v>0</v>
      </c>
      <c r="E90" s="56">
        <f>SUMIF('2015-16 12 Mnths'!$A:$A,'Variance16-17'!$A90,'2015-16 12 Mnths'!D:D)-SUMIF('Budget 12 Mnths'!$A:$A,'Variance16-17'!$A90,'Budget 12 Mnths'!E:E)</f>
        <v>0</v>
      </c>
      <c r="F90" s="56">
        <f>SUMIF('2015-16 12 Mnths'!$A:$A,'Variance16-17'!$A90,'2015-16 12 Mnths'!E:E)-SUMIF('Budget 12 Mnths'!$A:$A,'Variance16-17'!$A90,'Budget 12 Mnths'!F:F)</f>
        <v>0</v>
      </c>
      <c r="G90" s="56">
        <f>SUMIF('2015-16 12 Mnths'!$A:$A,'Variance16-17'!$A90,'2015-16 12 Mnths'!F:F)-SUMIF('Budget 12 Mnths'!$A:$A,'Variance16-17'!$A90,'Budget 12 Mnths'!G:G)</f>
        <v>0</v>
      </c>
      <c r="H90" s="56">
        <f>SUMIF('2015-16 12 Mnths'!$A:$A,'Variance16-17'!$A90,'2015-16 12 Mnths'!G:G)-SUMIF('Budget 12 Mnths'!$A:$A,'Variance16-17'!$A90,'Budget 12 Mnths'!H:H)</f>
        <v>0</v>
      </c>
      <c r="I90" s="56">
        <f>SUMIF('2015-16 12 Mnths'!$A:$A,'Variance16-17'!$A90,'2015-16 12 Mnths'!H:H)-SUMIF('Budget 12 Mnths'!$A:$A,'Variance16-17'!$A90,'Budget 12 Mnths'!I:I)</f>
        <v>0</v>
      </c>
      <c r="J90" s="56">
        <f>SUMIF('2015-16 12 Mnths'!$A:$A,'Variance16-17'!$A90,'2015-16 12 Mnths'!I:I)-SUMIF('Budget 12 Mnths'!$A:$A,'Variance16-17'!$A90,'Budget 12 Mnths'!J:J)</f>
        <v>0</v>
      </c>
      <c r="K90" s="56">
        <f>SUMIF('2015-16 12 Mnths'!$A:$A,'Variance16-17'!$A90,'2015-16 12 Mnths'!J:J)-SUMIF('Budget 12 Mnths'!$A:$A,'Variance16-17'!$A90,'Budget 12 Mnths'!K:K)</f>
        <v>0</v>
      </c>
      <c r="L90" s="56">
        <f>SUMIF('2015-16 12 Mnths'!$A:$A,'Variance16-17'!$A90,'2015-16 12 Mnths'!K:K)-SUMIF('Budget 12 Mnths'!$A:$A,'Variance16-17'!$A90,'Budget 12 Mnths'!L:L)</f>
        <v>0</v>
      </c>
      <c r="M90" s="56"/>
      <c r="N90" s="56"/>
      <c r="O90" s="56"/>
      <c r="P90" s="56">
        <f t="shared" si="1"/>
        <v>0</v>
      </c>
      <c r="Q90" s="14" t="str">
        <f>+VLOOKUP(A90,Mapping!$A$1:$E$443,5,FALSE)</f>
        <v>Cost of Goods Sold</v>
      </c>
      <c r="R90" s="26">
        <f>+SUMIF('Budget 12 Mnths'!$A:$A,'Variance16-17'!$A90,'Budget 12 Mnths'!$P:$P)</f>
        <v>0</v>
      </c>
      <c r="S90" s="26">
        <f>+SUMIF('2015-16 12 Mnths'!$A:$A,'Variance16-17'!$A90,'2015-16 12 Mnths'!$O:$O)</f>
        <v>0</v>
      </c>
      <c r="T90" s="57">
        <f t="shared" si="2"/>
        <v>0</v>
      </c>
      <c r="U90" s="57">
        <f t="shared" si="3"/>
        <v>0</v>
      </c>
      <c r="W90" s="27"/>
      <c r="X90" s="27" t="str">
        <f t="shared" si="10"/>
        <v/>
      </c>
      <c r="Z90" s="57">
        <f t="shared" si="27"/>
        <v>0</v>
      </c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>
        <f t="shared" si="7"/>
        <v>0</v>
      </c>
    </row>
    <row r="91" ht="15.75" customHeight="1">
      <c r="A91" s="15" t="s">
        <v>320</v>
      </c>
      <c r="B91" s="15" t="s">
        <v>321</v>
      </c>
      <c r="C91" s="15" t="s">
        <v>283</v>
      </c>
      <c r="D91" s="56">
        <f>SUMIF('2015-16 12 Mnths'!$A:$A,'Variance16-17'!$A91,'2015-16 12 Mnths'!C:C)-SUMIF('Budget 12 Mnths'!$A:$A,'Variance16-17'!$A91,'Budget 12 Mnths'!D:D)</f>
        <v>0</v>
      </c>
      <c r="E91" s="56">
        <f>SUMIF('2015-16 12 Mnths'!$A:$A,'Variance16-17'!$A91,'2015-16 12 Mnths'!D:D)-SUMIF('Budget 12 Mnths'!$A:$A,'Variance16-17'!$A91,'Budget 12 Mnths'!E:E)</f>
        <v>0</v>
      </c>
      <c r="F91" s="56">
        <f>SUMIF('2015-16 12 Mnths'!$A:$A,'Variance16-17'!$A91,'2015-16 12 Mnths'!E:E)-SUMIF('Budget 12 Mnths'!$A:$A,'Variance16-17'!$A91,'Budget 12 Mnths'!F:F)</f>
        <v>0</v>
      </c>
      <c r="G91" s="56">
        <f>SUMIF('2015-16 12 Mnths'!$A:$A,'Variance16-17'!$A91,'2015-16 12 Mnths'!F:F)-SUMIF('Budget 12 Mnths'!$A:$A,'Variance16-17'!$A91,'Budget 12 Mnths'!G:G)</f>
        <v>0</v>
      </c>
      <c r="H91" s="56">
        <f>SUMIF('2015-16 12 Mnths'!$A:$A,'Variance16-17'!$A91,'2015-16 12 Mnths'!G:G)-SUMIF('Budget 12 Mnths'!$A:$A,'Variance16-17'!$A91,'Budget 12 Mnths'!H:H)</f>
        <v>0</v>
      </c>
      <c r="I91" s="56">
        <f>SUMIF('2015-16 12 Mnths'!$A:$A,'Variance16-17'!$A91,'2015-16 12 Mnths'!H:H)-SUMIF('Budget 12 Mnths'!$A:$A,'Variance16-17'!$A91,'Budget 12 Mnths'!I:I)</f>
        <v>0</v>
      </c>
      <c r="J91" s="56">
        <f>SUMIF('2015-16 12 Mnths'!$A:$A,'Variance16-17'!$A91,'2015-16 12 Mnths'!I:I)-SUMIF('Budget 12 Mnths'!$A:$A,'Variance16-17'!$A91,'Budget 12 Mnths'!J:J)</f>
        <v>0</v>
      </c>
      <c r="K91" s="56">
        <f>SUMIF('2015-16 12 Mnths'!$A:$A,'Variance16-17'!$A91,'2015-16 12 Mnths'!J:J)-SUMIF('Budget 12 Mnths'!$A:$A,'Variance16-17'!$A91,'Budget 12 Mnths'!K:K)</f>
        <v>0</v>
      </c>
      <c r="L91" s="56">
        <f>SUMIF('2015-16 12 Mnths'!$A:$A,'Variance16-17'!$A91,'2015-16 12 Mnths'!K:K)-SUMIF('Budget 12 Mnths'!$A:$A,'Variance16-17'!$A91,'Budget 12 Mnths'!L:L)</f>
        <v>0</v>
      </c>
      <c r="M91" s="56"/>
      <c r="N91" s="56"/>
      <c r="O91" s="56"/>
      <c r="P91" s="56">
        <f t="shared" si="1"/>
        <v>0</v>
      </c>
      <c r="Q91" s="14" t="str">
        <f>+VLOOKUP(A91,Mapping!$A$1:$E$443,5,FALSE)</f>
        <v>Cost of Goods Sold</v>
      </c>
      <c r="R91" s="26">
        <f>+SUMIF('Budget 12 Mnths'!$A:$A,'Variance16-17'!$A91,'Budget 12 Mnths'!$P:$P)</f>
        <v>0</v>
      </c>
      <c r="S91" s="26">
        <f>+SUMIF('2015-16 12 Mnths'!$A:$A,'Variance16-17'!$A91,'2015-16 12 Mnths'!$O:$O)</f>
        <v>0</v>
      </c>
      <c r="T91" s="57">
        <f t="shared" si="2"/>
        <v>0</v>
      </c>
      <c r="U91" s="57">
        <f t="shared" si="3"/>
        <v>0</v>
      </c>
      <c r="W91" s="27"/>
      <c r="X91" s="27" t="str">
        <f t="shared" si="10"/>
        <v/>
      </c>
      <c r="Z91" s="57">
        <f t="shared" si="27"/>
        <v>0</v>
      </c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>
        <f t="shared" si="7"/>
        <v>0</v>
      </c>
    </row>
    <row r="92" ht="15.75" customHeight="1">
      <c r="A92" s="15" t="s">
        <v>323</v>
      </c>
      <c r="B92" s="15" t="s">
        <v>324</v>
      </c>
      <c r="C92" s="15" t="s">
        <v>283</v>
      </c>
      <c r="D92" s="56">
        <f>SUMIF('2015-16 12 Mnths'!$A:$A,'Variance16-17'!$A92,'2015-16 12 Mnths'!C:C)-SUMIF('Budget 12 Mnths'!$A:$A,'Variance16-17'!$A92,'Budget 12 Mnths'!D:D)</f>
        <v>0</v>
      </c>
      <c r="E92" s="56">
        <f>SUMIF('2015-16 12 Mnths'!$A:$A,'Variance16-17'!$A92,'2015-16 12 Mnths'!D:D)-SUMIF('Budget 12 Mnths'!$A:$A,'Variance16-17'!$A92,'Budget 12 Mnths'!E:E)</f>
        <v>0</v>
      </c>
      <c r="F92" s="56">
        <f>SUMIF('2015-16 12 Mnths'!$A:$A,'Variance16-17'!$A92,'2015-16 12 Mnths'!E:E)-SUMIF('Budget 12 Mnths'!$A:$A,'Variance16-17'!$A92,'Budget 12 Mnths'!F:F)</f>
        <v>0</v>
      </c>
      <c r="G92" s="56">
        <f>SUMIF('2015-16 12 Mnths'!$A:$A,'Variance16-17'!$A92,'2015-16 12 Mnths'!F:F)-SUMIF('Budget 12 Mnths'!$A:$A,'Variance16-17'!$A92,'Budget 12 Mnths'!G:G)</f>
        <v>0</v>
      </c>
      <c r="H92" s="56">
        <f>SUMIF('2015-16 12 Mnths'!$A:$A,'Variance16-17'!$A92,'2015-16 12 Mnths'!G:G)-SUMIF('Budget 12 Mnths'!$A:$A,'Variance16-17'!$A92,'Budget 12 Mnths'!H:H)</f>
        <v>0</v>
      </c>
      <c r="I92" s="56">
        <f>SUMIF('2015-16 12 Mnths'!$A:$A,'Variance16-17'!$A92,'2015-16 12 Mnths'!H:H)-SUMIF('Budget 12 Mnths'!$A:$A,'Variance16-17'!$A92,'Budget 12 Mnths'!I:I)</f>
        <v>0</v>
      </c>
      <c r="J92" s="56">
        <f>SUMIF('2015-16 12 Mnths'!$A:$A,'Variance16-17'!$A92,'2015-16 12 Mnths'!I:I)-SUMIF('Budget 12 Mnths'!$A:$A,'Variance16-17'!$A92,'Budget 12 Mnths'!J:J)</f>
        <v>0</v>
      </c>
      <c r="K92" s="56">
        <f>SUMIF('2015-16 12 Mnths'!$A:$A,'Variance16-17'!$A92,'2015-16 12 Mnths'!J:J)-SUMIF('Budget 12 Mnths'!$A:$A,'Variance16-17'!$A92,'Budget 12 Mnths'!K:K)</f>
        <v>0</v>
      </c>
      <c r="L92" s="56">
        <f>SUMIF('2015-16 12 Mnths'!$A:$A,'Variance16-17'!$A92,'2015-16 12 Mnths'!K:K)-SUMIF('Budget 12 Mnths'!$A:$A,'Variance16-17'!$A92,'Budget 12 Mnths'!L:L)</f>
        <v>0</v>
      </c>
      <c r="M92" s="56"/>
      <c r="N92" s="56"/>
      <c r="O92" s="56"/>
      <c r="P92" s="56">
        <f t="shared" si="1"/>
        <v>0</v>
      </c>
      <c r="Q92" s="14" t="str">
        <f>+VLOOKUP(A92,Mapping!$A$1:$E$443,5,FALSE)</f>
        <v>Cost of Goods Sold</v>
      </c>
      <c r="R92" s="26">
        <f>+SUMIF('Budget 12 Mnths'!$A:$A,'Variance16-17'!$A92,'Budget 12 Mnths'!$P:$P)</f>
        <v>0</v>
      </c>
      <c r="S92" s="26">
        <f>+SUMIF('2015-16 12 Mnths'!$A:$A,'Variance16-17'!$A92,'2015-16 12 Mnths'!$O:$O)</f>
        <v>0</v>
      </c>
      <c r="T92" s="57">
        <f t="shared" si="2"/>
        <v>0</v>
      </c>
      <c r="U92" s="57">
        <f t="shared" si="3"/>
        <v>0</v>
      </c>
      <c r="W92" s="27"/>
      <c r="X92" s="27" t="str">
        <f t="shared" si="10"/>
        <v/>
      </c>
      <c r="Z92" s="57">
        <f t="shared" si="27"/>
        <v>0</v>
      </c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>
        <f t="shared" si="7"/>
        <v>0</v>
      </c>
    </row>
    <row r="93" ht="15.75" customHeight="1">
      <c r="A93" s="15" t="s">
        <v>325</v>
      </c>
      <c r="B93" s="15" t="s">
        <v>326</v>
      </c>
      <c r="C93" s="15" t="s">
        <v>283</v>
      </c>
      <c r="D93" s="56">
        <f>SUMIF('2015-16 12 Mnths'!$A:$A,'Variance16-17'!$A93,'2015-16 12 Mnths'!C:C)-SUMIF('Budget 12 Mnths'!$A:$A,'Variance16-17'!$A93,'Budget 12 Mnths'!D:D)</f>
        <v>0</v>
      </c>
      <c r="E93" s="56">
        <f>SUMIF('2015-16 12 Mnths'!$A:$A,'Variance16-17'!$A93,'2015-16 12 Mnths'!D:D)-SUMIF('Budget 12 Mnths'!$A:$A,'Variance16-17'!$A93,'Budget 12 Mnths'!E:E)</f>
        <v>0</v>
      </c>
      <c r="F93" s="56">
        <f>SUMIF('2015-16 12 Mnths'!$A:$A,'Variance16-17'!$A93,'2015-16 12 Mnths'!E:E)-SUMIF('Budget 12 Mnths'!$A:$A,'Variance16-17'!$A93,'Budget 12 Mnths'!F:F)</f>
        <v>0</v>
      </c>
      <c r="G93" s="56">
        <f>SUMIF('2015-16 12 Mnths'!$A:$A,'Variance16-17'!$A93,'2015-16 12 Mnths'!F:F)-SUMIF('Budget 12 Mnths'!$A:$A,'Variance16-17'!$A93,'Budget 12 Mnths'!G:G)</f>
        <v>0</v>
      </c>
      <c r="H93" s="56">
        <f>SUMIF('2015-16 12 Mnths'!$A:$A,'Variance16-17'!$A93,'2015-16 12 Mnths'!G:G)-SUMIF('Budget 12 Mnths'!$A:$A,'Variance16-17'!$A93,'Budget 12 Mnths'!H:H)</f>
        <v>0</v>
      </c>
      <c r="I93" s="56">
        <f>SUMIF('2015-16 12 Mnths'!$A:$A,'Variance16-17'!$A93,'2015-16 12 Mnths'!H:H)-SUMIF('Budget 12 Mnths'!$A:$A,'Variance16-17'!$A93,'Budget 12 Mnths'!I:I)</f>
        <v>0</v>
      </c>
      <c r="J93" s="56">
        <f>SUMIF('2015-16 12 Mnths'!$A:$A,'Variance16-17'!$A93,'2015-16 12 Mnths'!I:I)-SUMIF('Budget 12 Mnths'!$A:$A,'Variance16-17'!$A93,'Budget 12 Mnths'!J:J)</f>
        <v>0</v>
      </c>
      <c r="K93" s="56">
        <f>SUMIF('2015-16 12 Mnths'!$A:$A,'Variance16-17'!$A93,'2015-16 12 Mnths'!J:J)-SUMIF('Budget 12 Mnths'!$A:$A,'Variance16-17'!$A93,'Budget 12 Mnths'!K:K)</f>
        <v>0</v>
      </c>
      <c r="L93" s="56">
        <f>SUMIF('2015-16 12 Mnths'!$A:$A,'Variance16-17'!$A93,'2015-16 12 Mnths'!K:K)-SUMIF('Budget 12 Mnths'!$A:$A,'Variance16-17'!$A93,'Budget 12 Mnths'!L:L)</f>
        <v>0</v>
      </c>
      <c r="M93" s="56"/>
      <c r="N93" s="56"/>
      <c r="O93" s="56"/>
      <c r="P93" s="56">
        <f t="shared" si="1"/>
        <v>0</v>
      </c>
      <c r="Q93" s="14" t="str">
        <f>+VLOOKUP(A93,Mapping!$A$1:$E$443,5,FALSE)</f>
        <v>Cost of Goods Sold</v>
      </c>
      <c r="R93" s="26">
        <f>+SUMIF('Budget 12 Mnths'!$A:$A,'Variance16-17'!$A93,'Budget 12 Mnths'!$P:$P)</f>
        <v>0</v>
      </c>
      <c r="S93" s="26">
        <f>+SUMIF('2015-16 12 Mnths'!$A:$A,'Variance16-17'!$A93,'2015-16 12 Mnths'!$O:$O)</f>
        <v>0</v>
      </c>
      <c r="T93" s="57">
        <f t="shared" si="2"/>
        <v>0</v>
      </c>
      <c r="U93" s="57">
        <f t="shared" si="3"/>
        <v>0</v>
      </c>
      <c r="W93" s="27"/>
      <c r="X93" s="27" t="str">
        <f t="shared" si="10"/>
        <v/>
      </c>
      <c r="Z93" s="57">
        <f t="shared" si="27"/>
        <v>0</v>
      </c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>
        <f t="shared" si="7"/>
        <v>0</v>
      </c>
    </row>
    <row r="94" ht="15.75" customHeight="1">
      <c r="A94" s="15" t="s">
        <v>327</v>
      </c>
      <c r="B94" s="15" t="s">
        <v>328</v>
      </c>
      <c r="C94" s="15" t="s">
        <v>283</v>
      </c>
      <c r="D94" s="56">
        <f>SUMIF('2015-16 12 Mnths'!$A:$A,'Variance16-17'!$A94,'2015-16 12 Mnths'!C:C)-SUMIF('Budget 12 Mnths'!$A:$A,'Variance16-17'!$A94,'Budget 12 Mnths'!D:D)</f>
        <v>0</v>
      </c>
      <c r="E94" s="56">
        <f>SUMIF('2015-16 12 Mnths'!$A:$A,'Variance16-17'!$A94,'2015-16 12 Mnths'!D:D)-SUMIF('Budget 12 Mnths'!$A:$A,'Variance16-17'!$A94,'Budget 12 Mnths'!E:E)</f>
        <v>-26.32</v>
      </c>
      <c r="F94" s="56">
        <f>SUMIF('2015-16 12 Mnths'!$A:$A,'Variance16-17'!$A94,'2015-16 12 Mnths'!E:E)-SUMIF('Budget 12 Mnths'!$A:$A,'Variance16-17'!$A94,'Budget 12 Mnths'!F:F)</f>
        <v>192.89</v>
      </c>
      <c r="G94" s="56">
        <f>SUMIF('2015-16 12 Mnths'!$A:$A,'Variance16-17'!$A94,'2015-16 12 Mnths'!F:F)-SUMIF('Budget 12 Mnths'!$A:$A,'Variance16-17'!$A94,'Budget 12 Mnths'!G:G)</f>
        <v>-32.63</v>
      </c>
      <c r="H94" s="56">
        <f>SUMIF('2015-16 12 Mnths'!$A:$A,'Variance16-17'!$A94,'2015-16 12 Mnths'!G:G)-SUMIF('Budget 12 Mnths'!$A:$A,'Variance16-17'!$A94,'Budget 12 Mnths'!H:H)</f>
        <v>-52.63</v>
      </c>
      <c r="I94" s="56">
        <f>SUMIF('2015-16 12 Mnths'!$A:$A,'Variance16-17'!$A94,'2015-16 12 Mnths'!H:H)-SUMIF('Budget 12 Mnths'!$A:$A,'Variance16-17'!$A94,'Budget 12 Mnths'!I:I)</f>
        <v>-52.63</v>
      </c>
      <c r="J94" s="56">
        <f>SUMIF('2015-16 12 Mnths'!$A:$A,'Variance16-17'!$A94,'2015-16 12 Mnths'!I:I)-SUMIF('Budget 12 Mnths'!$A:$A,'Variance16-17'!$A94,'Budget 12 Mnths'!J:J)</f>
        <v>-52.63</v>
      </c>
      <c r="K94" s="56">
        <f>SUMIF('2015-16 12 Mnths'!$A:$A,'Variance16-17'!$A94,'2015-16 12 Mnths'!J:J)-SUMIF('Budget 12 Mnths'!$A:$A,'Variance16-17'!$A94,'Budget 12 Mnths'!K:K)</f>
        <v>-52.63</v>
      </c>
      <c r="L94" s="56">
        <f>SUMIF('2015-16 12 Mnths'!$A:$A,'Variance16-17'!$A94,'2015-16 12 Mnths'!K:K)-SUMIF('Budget 12 Mnths'!$A:$A,'Variance16-17'!$A94,'Budget 12 Mnths'!L:L)</f>
        <v>-52.63</v>
      </c>
      <c r="M94" s="56"/>
      <c r="N94" s="56"/>
      <c r="O94" s="56"/>
      <c r="P94" s="56">
        <f t="shared" si="1"/>
        <v>-129.21</v>
      </c>
      <c r="Q94" s="14" t="str">
        <f>+VLOOKUP(A94,Mapping!$A$1:$E$443,5,FALSE)</f>
        <v>Cost of Goods Sold</v>
      </c>
      <c r="R94" s="26">
        <f>+SUMIF('Budget 12 Mnths'!$A:$A,'Variance16-17'!$A94,'Budget 12 Mnths'!$P:$P)</f>
        <v>499.99</v>
      </c>
      <c r="S94" s="26">
        <f>+SUMIF('2015-16 12 Mnths'!$A:$A,'Variance16-17'!$A94,'2015-16 12 Mnths'!$O:$O)</f>
        <v>265.52</v>
      </c>
      <c r="T94" s="57">
        <f t="shared" si="2"/>
        <v>-0.2584251685</v>
      </c>
      <c r="U94" s="57">
        <f t="shared" si="3"/>
        <v>-0.486630009</v>
      </c>
      <c r="V94" s="8" t="s">
        <v>641</v>
      </c>
      <c r="W94" s="27">
        <v>500.0</v>
      </c>
      <c r="X94" s="27">
        <f t="shared" si="10"/>
        <v>500</v>
      </c>
      <c r="Z94" s="57">
        <f t="shared" si="27"/>
        <v>250</v>
      </c>
      <c r="AA94" s="27"/>
      <c r="AB94" s="27">
        <v>125.0</v>
      </c>
      <c r="AC94" s="27">
        <v>125.0</v>
      </c>
      <c r="AD94" s="27"/>
      <c r="AE94" s="27"/>
      <c r="AF94" s="27"/>
      <c r="AG94" s="27">
        <v>125.0</v>
      </c>
      <c r="AH94" s="27">
        <v>125.0</v>
      </c>
      <c r="AI94" s="27"/>
      <c r="AJ94" s="27"/>
      <c r="AK94" s="27"/>
      <c r="AL94" s="27"/>
      <c r="AM94" s="27">
        <f t="shared" si="7"/>
        <v>0</v>
      </c>
    </row>
    <row r="95" ht="15.75" customHeight="1">
      <c r="A95" s="15" t="s">
        <v>330</v>
      </c>
      <c r="B95" s="15" t="s">
        <v>331</v>
      </c>
      <c r="C95" s="15" t="s">
        <v>283</v>
      </c>
      <c r="D95" s="56">
        <f>SUMIF('2015-16 12 Mnths'!$A:$A,'Variance16-17'!$A95,'2015-16 12 Mnths'!C:C)-SUMIF('Budget 12 Mnths'!$A:$A,'Variance16-17'!$A95,'Budget 12 Mnths'!D:D)</f>
        <v>0</v>
      </c>
      <c r="E95" s="56">
        <f>SUMIF('2015-16 12 Mnths'!$A:$A,'Variance16-17'!$A95,'2015-16 12 Mnths'!D:D)-SUMIF('Budget 12 Mnths'!$A:$A,'Variance16-17'!$A95,'Budget 12 Mnths'!E:E)</f>
        <v>-2.73</v>
      </c>
      <c r="F95" s="56">
        <f>SUMIF('2015-16 12 Mnths'!$A:$A,'Variance16-17'!$A95,'2015-16 12 Mnths'!E:E)-SUMIF('Budget 12 Mnths'!$A:$A,'Variance16-17'!$A95,'Budget 12 Mnths'!F:F)</f>
        <v>-105.27</v>
      </c>
      <c r="G95" s="56">
        <f>SUMIF('2015-16 12 Mnths'!$A:$A,'Variance16-17'!$A95,'2015-16 12 Mnths'!F:F)-SUMIF('Budget 12 Mnths'!$A:$A,'Variance16-17'!$A95,'Budget 12 Mnths'!G:G)</f>
        <v>-5.47</v>
      </c>
      <c r="H95" s="56">
        <f>SUMIF('2015-16 12 Mnths'!$A:$A,'Variance16-17'!$A95,'2015-16 12 Mnths'!G:G)-SUMIF('Budget 12 Mnths'!$A:$A,'Variance16-17'!$A95,'Budget 12 Mnths'!H:H)</f>
        <v>-55.37</v>
      </c>
      <c r="I95" s="56">
        <f>SUMIF('2015-16 12 Mnths'!$A:$A,'Variance16-17'!$A95,'2015-16 12 Mnths'!H:H)-SUMIF('Budget 12 Mnths'!$A:$A,'Variance16-17'!$A95,'Budget 12 Mnths'!I:I)</f>
        <v>-105.27</v>
      </c>
      <c r="J95" s="56">
        <f>SUMIF('2015-16 12 Mnths'!$A:$A,'Variance16-17'!$A95,'2015-16 12 Mnths'!I:I)-SUMIF('Budget 12 Mnths'!$A:$A,'Variance16-17'!$A95,'Budget 12 Mnths'!J:J)</f>
        <v>-105.27</v>
      </c>
      <c r="K95" s="56">
        <f>SUMIF('2015-16 12 Mnths'!$A:$A,'Variance16-17'!$A95,'2015-16 12 Mnths'!J:J)-SUMIF('Budget 12 Mnths'!$A:$A,'Variance16-17'!$A95,'Budget 12 Mnths'!K:K)</f>
        <v>-105.27</v>
      </c>
      <c r="L95" s="56">
        <f>SUMIF('2015-16 12 Mnths'!$A:$A,'Variance16-17'!$A95,'2015-16 12 Mnths'!K:K)-SUMIF('Budget 12 Mnths'!$A:$A,'Variance16-17'!$A95,'Budget 12 Mnths'!L:L)</f>
        <v>-105.27</v>
      </c>
      <c r="M95" s="56"/>
      <c r="N95" s="56"/>
      <c r="O95" s="56"/>
      <c r="P95" s="56">
        <f t="shared" si="1"/>
        <v>-589.92</v>
      </c>
      <c r="Q95" s="14" t="str">
        <f>+VLOOKUP(A95,Mapping!$A$1:$E$443,5,FALSE)</f>
        <v>Cost of Goods Sold</v>
      </c>
      <c r="R95" s="26">
        <f>+SUMIF('Budget 12 Mnths'!$A:$A,'Variance16-17'!$A95,'Budget 12 Mnths'!$P:$P)</f>
        <v>1000.02</v>
      </c>
      <c r="S95" s="26">
        <f>+SUMIF('2015-16 12 Mnths'!$A:$A,'Variance16-17'!$A95,'2015-16 12 Mnths'!$O:$O)</f>
        <v>199.6</v>
      </c>
      <c r="T95" s="57">
        <f t="shared" si="2"/>
        <v>-0.5899082018</v>
      </c>
      <c r="U95" s="57">
        <f t="shared" si="3"/>
        <v>-2.955511022</v>
      </c>
      <c r="V95" s="8" t="s">
        <v>641</v>
      </c>
      <c r="W95" s="27">
        <v>1000.0</v>
      </c>
      <c r="X95" s="27">
        <f t="shared" si="10"/>
        <v>1000</v>
      </c>
      <c r="Z95" s="57">
        <f t="shared" si="27"/>
        <v>500</v>
      </c>
      <c r="AA95" s="27"/>
      <c r="AB95" s="27">
        <v>125.0</v>
      </c>
      <c r="AC95" s="27">
        <v>125.0</v>
      </c>
      <c r="AD95" s="27">
        <v>125.0</v>
      </c>
      <c r="AE95" s="27">
        <v>125.0</v>
      </c>
      <c r="AF95" s="27"/>
      <c r="AG95" s="27">
        <v>250.0</v>
      </c>
      <c r="AH95" s="27">
        <v>250.0</v>
      </c>
      <c r="AI95" s="27"/>
      <c r="AJ95" s="27"/>
      <c r="AK95" s="27"/>
      <c r="AL95" s="27"/>
      <c r="AM95" s="27">
        <f t="shared" si="7"/>
        <v>0</v>
      </c>
    </row>
    <row r="96" ht="15.75" customHeight="1">
      <c r="A96" s="15" t="s">
        <v>333</v>
      </c>
      <c r="B96" s="15" t="s">
        <v>334</v>
      </c>
      <c r="C96" s="15" t="s">
        <v>283</v>
      </c>
      <c r="D96" s="56">
        <f>SUMIF('2015-16 12 Mnths'!$A:$A,'Variance16-17'!$A96,'2015-16 12 Mnths'!C:C)-SUMIF('Budget 12 Mnths'!$A:$A,'Variance16-17'!$A96,'Budget 12 Mnths'!D:D)</f>
        <v>0</v>
      </c>
      <c r="E96" s="56">
        <f>SUMIF('2015-16 12 Mnths'!$A:$A,'Variance16-17'!$A96,'2015-16 12 Mnths'!D:D)-SUMIF('Budget 12 Mnths'!$A:$A,'Variance16-17'!$A96,'Budget 12 Mnths'!E:E)</f>
        <v>0</v>
      </c>
      <c r="F96" s="56">
        <f>SUMIF('2015-16 12 Mnths'!$A:$A,'Variance16-17'!$A96,'2015-16 12 Mnths'!E:E)-SUMIF('Budget 12 Mnths'!$A:$A,'Variance16-17'!$A96,'Budget 12 Mnths'!F:F)</f>
        <v>0</v>
      </c>
      <c r="G96" s="56">
        <f>SUMIF('2015-16 12 Mnths'!$A:$A,'Variance16-17'!$A96,'2015-16 12 Mnths'!F:F)-SUMIF('Budget 12 Mnths'!$A:$A,'Variance16-17'!$A96,'Budget 12 Mnths'!G:G)</f>
        <v>0</v>
      </c>
      <c r="H96" s="56">
        <f>SUMIF('2015-16 12 Mnths'!$A:$A,'Variance16-17'!$A96,'2015-16 12 Mnths'!G:G)-SUMIF('Budget 12 Mnths'!$A:$A,'Variance16-17'!$A96,'Budget 12 Mnths'!H:H)</f>
        <v>0</v>
      </c>
      <c r="I96" s="56">
        <f>SUMIF('2015-16 12 Mnths'!$A:$A,'Variance16-17'!$A96,'2015-16 12 Mnths'!H:H)-SUMIF('Budget 12 Mnths'!$A:$A,'Variance16-17'!$A96,'Budget 12 Mnths'!I:I)</f>
        <v>0</v>
      </c>
      <c r="J96" s="56">
        <f>SUMIF('2015-16 12 Mnths'!$A:$A,'Variance16-17'!$A96,'2015-16 12 Mnths'!I:I)-SUMIF('Budget 12 Mnths'!$A:$A,'Variance16-17'!$A96,'Budget 12 Mnths'!J:J)</f>
        <v>0</v>
      </c>
      <c r="K96" s="56">
        <f>SUMIF('2015-16 12 Mnths'!$A:$A,'Variance16-17'!$A96,'2015-16 12 Mnths'!J:J)-SUMIF('Budget 12 Mnths'!$A:$A,'Variance16-17'!$A96,'Budget 12 Mnths'!K:K)</f>
        <v>0</v>
      </c>
      <c r="L96" s="56">
        <f>SUMIF('2015-16 12 Mnths'!$A:$A,'Variance16-17'!$A96,'2015-16 12 Mnths'!K:K)-SUMIF('Budget 12 Mnths'!$A:$A,'Variance16-17'!$A96,'Budget 12 Mnths'!L:L)</f>
        <v>0</v>
      </c>
      <c r="M96" s="56"/>
      <c r="N96" s="56"/>
      <c r="O96" s="56"/>
      <c r="P96" s="56">
        <f t="shared" si="1"/>
        <v>0</v>
      </c>
      <c r="Q96" s="14" t="str">
        <f>+VLOOKUP(A96,Mapping!$A$1:$E$443,5,FALSE)</f>
        <v>Cost of Goods Sold</v>
      </c>
      <c r="R96" s="26">
        <f>+SUMIF('Budget 12 Mnths'!$A:$A,'Variance16-17'!$A96,'Budget 12 Mnths'!$P:$P)</f>
        <v>0</v>
      </c>
      <c r="S96" s="26">
        <f>+SUMIF('2015-16 12 Mnths'!$A:$A,'Variance16-17'!$A96,'2015-16 12 Mnths'!$O:$O)</f>
        <v>0</v>
      </c>
      <c r="T96" s="57">
        <f t="shared" si="2"/>
        <v>0</v>
      </c>
      <c r="U96" s="57">
        <f t="shared" si="3"/>
        <v>0</v>
      </c>
      <c r="W96" s="27"/>
      <c r="X96" s="27" t="str">
        <f t="shared" si="10"/>
        <v/>
      </c>
      <c r="Z96" s="57">
        <f t="shared" si="27"/>
        <v>0</v>
      </c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>
        <f t="shared" si="7"/>
        <v>0</v>
      </c>
    </row>
    <row r="97" ht="15.75" customHeight="1">
      <c r="A97" s="15" t="s">
        <v>339</v>
      </c>
      <c r="B97" s="15" t="s">
        <v>340</v>
      </c>
      <c r="C97" s="15" t="s">
        <v>283</v>
      </c>
      <c r="D97" s="56">
        <f>SUMIF('2015-16 12 Mnths'!$A:$A,'Variance16-17'!$A97,'2015-16 12 Mnths'!C:C)-SUMIF('Budget 12 Mnths'!$A:$A,'Variance16-17'!$A97,'Budget 12 Mnths'!D:D)</f>
        <v>0</v>
      </c>
      <c r="E97" s="56">
        <f>SUMIF('2015-16 12 Mnths'!$A:$A,'Variance16-17'!$A97,'2015-16 12 Mnths'!D:D)-SUMIF('Budget 12 Mnths'!$A:$A,'Variance16-17'!$A97,'Budget 12 Mnths'!E:E)</f>
        <v>2056.99</v>
      </c>
      <c r="F97" s="56">
        <f>SUMIF('2015-16 12 Mnths'!$A:$A,'Variance16-17'!$A97,'2015-16 12 Mnths'!E:E)-SUMIF('Budget 12 Mnths'!$A:$A,'Variance16-17'!$A97,'Budget 12 Mnths'!F:F)</f>
        <v>2474</v>
      </c>
      <c r="G97" s="56">
        <f>SUMIF('2015-16 12 Mnths'!$A:$A,'Variance16-17'!$A97,'2015-16 12 Mnths'!F:F)-SUMIF('Budget 12 Mnths'!$A:$A,'Variance16-17'!$A97,'Budget 12 Mnths'!G:G)</f>
        <v>2222.08</v>
      </c>
      <c r="H97" s="56">
        <f>SUMIF('2015-16 12 Mnths'!$A:$A,'Variance16-17'!$A97,'2015-16 12 Mnths'!G:G)-SUMIF('Budget 12 Mnths'!$A:$A,'Variance16-17'!$A97,'Budget 12 Mnths'!H:H)</f>
        <v>1979.55</v>
      </c>
      <c r="I97" s="56">
        <f>SUMIF('2015-16 12 Mnths'!$A:$A,'Variance16-17'!$A97,'2015-16 12 Mnths'!H:H)-SUMIF('Budget 12 Mnths'!$A:$A,'Variance16-17'!$A97,'Budget 12 Mnths'!I:I)</f>
        <v>1278.53</v>
      </c>
      <c r="J97" s="56">
        <f>SUMIF('2015-16 12 Mnths'!$A:$A,'Variance16-17'!$A97,'2015-16 12 Mnths'!I:I)-SUMIF('Budget 12 Mnths'!$A:$A,'Variance16-17'!$A97,'Budget 12 Mnths'!J:J)</f>
        <v>1455.33</v>
      </c>
      <c r="K97" s="56">
        <f>SUMIF('2015-16 12 Mnths'!$A:$A,'Variance16-17'!$A97,'2015-16 12 Mnths'!J:J)-SUMIF('Budget 12 Mnths'!$A:$A,'Variance16-17'!$A97,'Budget 12 Mnths'!K:K)</f>
        <v>2181.82</v>
      </c>
      <c r="L97" s="56">
        <f>SUMIF('2015-16 12 Mnths'!$A:$A,'Variance16-17'!$A97,'2015-16 12 Mnths'!K:K)-SUMIF('Budget 12 Mnths'!$A:$A,'Variance16-17'!$A97,'Budget 12 Mnths'!L:L)</f>
        <v>2096.65</v>
      </c>
      <c r="M97" s="56"/>
      <c r="N97" s="56"/>
      <c r="O97" s="56"/>
      <c r="P97" s="56">
        <f t="shared" si="1"/>
        <v>15744.95</v>
      </c>
      <c r="Q97" s="14" t="str">
        <f>+VLOOKUP(A97,Mapping!$A$1:$E$443,5,FALSE)</f>
        <v>Cost of Goods Sold</v>
      </c>
      <c r="R97" s="26">
        <f>+SUMIF('Budget 12 Mnths'!$A:$A,'Variance16-17'!$A97,'Budget 12 Mnths'!$P:$P)</f>
        <v>0</v>
      </c>
      <c r="S97" s="26">
        <f>+SUMIF('2015-16 12 Mnths'!$A:$A,'Variance16-17'!$A97,'2015-16 12 Mnths'!$O:$O)</f>
        <v>15933.84</v>
      </c>
      <c r="T97" s="57">
        <f t="shared" si="2"/>
        <v>0</v>
      </c>
      <c r="U97" s="57">
        <f t="shared" si="3"/>
        <v>0.988145356</v>
      </c>
      <c r="V97" s="8" t="s">
        <v>451</v>
      </c>
      <c r="W97" s="27">
        <f>+S97/8*10</f>
        <v>19917.3</v>
      </c>
      <c r="X97" s="27">
        <f t="shared" si="10"/>
        <v>19917.3</v>
      </c>
      <c r="Z97" s="57">
        <f>+X97/9.5*4.5</f>
        <v>9434.510526</v>
      </c>
      <c r="AA97" s="27">
        <v>0.0</v>
      </c>
      <c r="AB97" s="57">
        <f>+$X97/9.5*0.5</f>
        <v>1048.278947</v>
      </c>
      <c r="AC97" s="57">
        <f t="shared" ref="AC97:AK97" si="28">+$X97/9.5</f>
        <v>2096.557895</v>
      </c>
      <c r="AD97" s="57">
        <f t="shared" si="28"/>
        <v>2096.557895</v>
      </c>
      <c r="AE97" s="57">
        <f t="shared" si="28"/>
        <v>2096.557895</v>
      </c>
      <c r="AF97" s="57">
        <f t="shared" si="28"/>
        <v>2096.557895</v>
      </c>
      <c r="AG97" s="57">
        <f t="shared" si="28"/>
        <v>2096.557895</v>
      </c>
      <c r="AH97" s="57">
        <f t="shared" si="28"/>
        <v>2096.557895</v>
      </c>
      <c r="AI97" s="57">
        <f t="shared" si="28"/>
        <v>2096.557895</v>
      </c>
      <c r="AJ97" s="57">
        <f t="shared" si="28"/>
        <v>2096.557895</v>
      </c>
      <c r="AK97" s="57">
        <f t="shared" si="28"/>
        <v>2096.557895</v>
      </c>
      <c r="AL97" s="27">
        <v>0.0</v>
      </c>
      <c r="AM97" s="27">
        <f t="shared" si="7"/>
        <v>0</v>
      </c>
    </row>
    <row r="98" ht="15.75" customHeight="1">
      <c r="A98" s="15" t="s">
        <v>342</v>
      </c>
      <c r="B98" s="15" t="s">
        <v>343</v>
      </c>
      <c r="C98" s="15" t="s">
        <v>283</v>
      </c>
      <c r="D98" s="56">
        <f>SUMIF('2015-16 12 Mnths'!$A:$A,'Variance16-17'!$A98,'2015-16 12 Mnths'!C:C)-SUMIF('Budget 12 Mnths'!$A:$A,'Variance16-17'!$A98,'Budget 12 Mnths'!D:D)</f>
        <v>0</v>
      </c>
      <c r="E98" s="56">
        <f>SUMIF('2015-16 12 Mnths'!$A:$A,'Variance16-17'!$A98,'2015-16 12 Mnths'!D:D)-SUMIF('Budget 12 Mnths'!$A:$A,'Variance16-17'!$A98,'Budget 12 Mnths'!E:E)</f>
        <v>0</v>
      </c>
      <c r="F98" s="56">
        <f>SUMIF('2015-16 12 Mnths'!$A:$A,'Variance16-17'!$A98,'2015-16 12 Mnths'!E:E)-SUMIF('Budget 12 Mnths'!$A:$A,'Variance16-17'!$A98,'Budget 12 Mnths'!F:F)</f>
        <v>0</v>
      </c>
      <c r="G98" s="56">
        <f>SUMIF('2015-16 12 Mnths'!$A:$A,'Variance16-17'!$A98,'2015-16 12 Mnths'!F:F)-SUMIF('Budget 12 Mnths'!$A:$A,'Variance16-17'!$A98,'Budget 12 Mnths'!G:G)</f>
        <v>0</v>
      </c>
      <c r="H98" s="56">
        <f>SUMIF('2015-16 12 Mnths'!$A:$A,'Variance16-17'!$A98,'2015-16 12 Mnths'!G:G)-SUMIF('Budget 12 Mnths'!$A:$A,'Variance16-17'!$A98,'Budget 12 Mnths'!H:H)</f>
        <v>0</v>
      </c>
      <c r="I98" s="56">
        <f>SUMIF('2015-16 12 Mnths'!$A:$A,'Variance16-17'!$A98,'2015-16 12 Mnths'!H:H)-SUMIF('Budget 12 Mnths'!$A:$A,'Variance16-17'!$A98,'Budget 12 Mnths'!I:I)</f>
        <v>0</v>
      </c>
      <c r="J98" s="56">
        <f>SUMIF('2015-16 12 Mnths'!$A:$A,'Variance16-17'!$A98,'2015-16 12 Mnths'!I:I)-SUMIF('Budget 12 Mnths'!$A:$A,'Variance16-17'!$A98,'Budget 12 Mnths'!J:J)</f>
        <v>0</v>
      </c>
      <c r="K98" s="56">
        <f>SUMIF('2015-16 12 Mnths'!$A:$A,'Variance16-17'!$A98,'2015-16 12 Mnths'!J:J)-SUMIF('Budget 12 Mnths'!$A:$A,'Variance16-17'!$A98,'Budget 12 Mnths'!K:K)</f>
        <v>0</v>
      </c>
      <c r="L98" s="56">
        <f>SUMIF('2015-16 12 Mnths'!$A:$A,'Variance16-17'!$A98,'2015-16 12 Mnths'!K:K)-SUMIF('Budget 12 Mnths'!$A:$A,'Variance16-17'!$A98,'Budget 12 Mnths'!L:L)</f>
        <v>0</v>
      </c>
      <c r="M98" s="56"/>
      <c r="N98" s="56"/>
      <c r="O98" s="56"/>
      <c r="P98" s="56">
        <f t="shared" si="1"/>
        <v>0</v>
      </c>
      <c r="Q98" s="14" t="str">
        <f>+VLOOKUP(A98,Mapping!$A$1:$E$443,5,FALSE)</f>
        <v>Cost of Goods Sold</v>
      </c>
      <c r="R98" s="26">
        <f>+SUMIF('Budget 12 Mnths'!$A:$A,'Variance16-17'!$A98,'Budget 12 Mnths'!$P:$P)</f>
        <v>0</v>
      </c>
      <c r="S98" s="26">
        <f>+SUMIF('2015-16 12 Mnths'!$A:$A,'Variance16-17'!$A98,'2015-16 12 Mnths'!$O:$O)</f>
        <v>0</v>
      </c>
      <c r="T98" s="57">
        <f t="shared" si="2"/>
        <v>0</v>
      </c>
      <c r="U98" s="57">
        <f t="shared" si="3"/>
        <v>0</v>
      </c>
      <c r="W98" s="27"/>
      <c r="X98" s="27" t="str">
        <f t="shared" si="10"/>
        <v/>
      </c>
      <c r="Z98" s="57">
        <f t="shared" ref="Z98:Z100" si="29">+X98/2</f>
        <v>0</v>
      </c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>
        <f t="shared" si="7"/>
        <v>0</v>
      </c>
    </row>
    <row r="99" ht="15.75" customHeight="1">
      <c r="A99" s="15" t="s">
        <v>345</v>
      </c>
      <c r="B99" s="15" t="s">
        <v>346</v>
      </c>
      <c r="C99" s="15" t="s">
        <v>283</v>
      </c>
      <c r="D99" s="56">
        <f>SUMIF('2015-16 12 Mnths'!$A:$A,'Variance16-17'!$A99,'2015-16 12 Mnths'!C:C)-SUMIF('Budget 12 Mnths'!$A:$A,'Variance16-17'!$A99,'Budget 12 Mnths'!D:D)</f>
        <v>0</v>
      </c>
      <c r="E99" s="56">
        <f>SUMIF('2015-16 12 Mnths'!$A:$A,'Variance16-17'!$A99,'2015-16 12 Mnths'!D:D)-SUMIF('Budget 12 Mnths'!$A:$A,'Variance16-17'!$A99,'Budget 12 Mnths'!E:E)</f>
        <v>0</v>
      </c>
      <c r="F99" s="56">
        <f>SUMIF('2015-16 12 Mnths'!$A:$A,'Variance16-17'!$A99,'2015-16 12 Mnths'!E:E)-SUMIF('Budget 12 Mnths'!$A:$A,'Variance16-17'!$A99,'Budget 12 Mnths'!F:F)</f>
        <v>0</v>
      </c>
      <c r="G99" s="56">
        <f>SUMIF('2015-16 12 Mnths'!$A:$A,'Variance16-17'!$A99,'2015-16 12 Mnths'!F:F)-SUMIF('Budget 12 Mnths'!$A:$A,'Variance16-17'!$A99,'Budget 12 Mnths'!G:G)</f>
        <v>0</v>
      </c>
      <c r="H99" s="56">
        <f>SUMIF('2015-16 12 Mnths'!$A:$A,'Variance16-17'!$A99,'2015-16 12 Mnths'!G:G)-SUMIF('Budget 12 Mnths'!$A:$A,'Variance16-17'!$A99,'Budget 12 Mnths'!H:H)</f>
        <v>0</v>
      </c>
      <c r="I99" s="56">
        <f>SUMIF('2015-16 12 Mnths'!$A:$A,'Variance16-17'!$A99,'2015-16 12 Mnths'!H:H)-SUMIF('Budget 12 Mnths'!$A:$A,'Variance16-17'!$A99,'Budget 12 Mnths'!I:I)</f>
        <v>0</v>
      </c>
      <c r="J99" s="56">
        <f>SUMIF('2015-16 12 Mnths'!$A:$A,'Variance16-17'!$A99,'2015-16 12 Mnths'!I:I)-SUMIF('Budget 12 Mnths'!$A:$A,'Variance16-17'!$A99,'Budget 12 Mnths'!J:J)</f>
        <v>0</v>
      </c>
      <c r="K99" s="56">
        <f>SUMIF('2015-16 12 Mnths'!$A:$A,'Variance16-17'!$A99,'2015-16 12 Mnths'!J:J)-SUMIF('Budget 12 Mnths'!$A:$A,'Variance16-17'!$A99,'Budget 12 Mnths'!K:K)</f>
        <v>0</v>
      </c>
      <c r="L99" s="56">
        <f>SUMIF('2015-16 12 Mnths'!$A:$A,'Variance16-17'!$A99,'2015-16 12 Mnths'!K:K)-SUMIF('Budget 12 Mnths'!$A:$A,'Variance16-17'!$A99,'Budget 12 Mnths'!L:L)</f>
        <v>0</v>
      </c>
      <c r="M99" s="56"/>
      <c r="N99" s="56"/>
      <c r="O99" s="56"/>
      <c r="P99" s="56">
        <f t="shared" si="1"/>
        <v>0</v>
      </c>
      <c r="Q99" s="14" t="str">
        <f>+VLOOKUP(A99,Mapping!$A$1:$E$443,5,FALSE)</f>
        <v/>
      </c>
      <c r="R99" s="26">
        <f>+SUMIF('Budget 12 Mnths'!$A:$A,'Variance16-17'!$A99,'Budget 12 Mnths'!$P:$P)</f>
        <v>0</v>
      </c>
      <c r="S99" s="26">
        <f>+SUMIF('2015-16 12 Mnths'!$A:$A,'Variance16-17'!$A99,'2015-16 12 Mnths'!$O:$O)</f>
        <v>0</v>
      </c>
      <c r="T99" s="57">
        <f t="shared" si="2"/>
        <v>0</v>
      </c>
      <c r="U99" s="57">
        <f t="shared" si="3"/>
        <v>0</v>
      </c>
      <c r="W99" s="27"/>
      <c r="X99" s="27" t="str">
        <f t="shared" si="10"/>
        <v/>
      </c>
      <c r="Z99" s="57">
        <f t="shared" si="29"/>
        <v>0</v>
      </c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>
        <f t="shared" si="7"/>
        <v>0</v>
      </c>
    </row>
    <row r="100" ht="15.75" customHeight="1">
      <c r="A100" s="15" t="s">
        <v>358</v>
      </c>
      <c r="B100" s="15" t="s">
        <v>359</v>
      </c>
      <c r="C100" s="15" t="s">
        <v>119</v>
      </c>
      <c r="D100" s="56">
        <f>SUMIF('2015-16 12 Mnths'!$A:$A,'Variance16-17'!$A100,'2015-16 12 Mnths'!C:C)-SUMIF('Budget 12 Mnths'!$A:$A,'Variance16-17'!$A100,'Budget 12 Mnths'!D:D)</f>
        <v>0</v>
      </c>
      <c r="E100" s="56">
        <f>SUMIF('2015-16 12 Mnths'!$A:$A,'Variance16-17'!$A100,'2015-16 12 Mnths'!D:D)-SUMIF('Budget 12 Mnths'!$A:$A,'Variance16-17'!$A100,'Budget 12 Mnths'!E:E)</f>
        <v>0</v>
      </c>
      <c r="F100" s="56">
        <f>SUMIF('2015-16 12 Mnths'!$A:$A,'Variance16-17'!$A100,'2015-16 12 Mnths'!E:E)-SUMIF('Budget 12 Mnths'!$A:$A,'Variance16-17'!$A100,'Budget 12 Mnths'!F:F)</f>
        <v>0</v>
      </c>
      <c r="G100" s="56">
        <f>SUMIF('2015-16 12 Mnths'!$A:$A,'Variance16-17'!$A100,'2015-16 12 Mnths'!F:F)-SUMIF('Budget 12 Mnths'!$A:$A,'Variance16-17'!$A100,'Budget 12 Mnths'!G:G)</f>
        <v>0</v>
      </c>
      <c r="H100" s="56">
        <f>SUMIF('2015-16 12 Mnths'!$A:$A,'Variance16-17'!$A100,'2015-16 12 Mnths'!G:G)-SUMIF('Budget 12 Mnths'!$A:$A,'Variance16-17'!$A100,'Budget 12 Mnths'!H:H)</f>
        <v>0</v>
      </c>
      <c r="I100" s="56">
        <f>SUMIF('2015-16 12 Mnths'!$A:$A,'Variance16-17'!$A100,'2015-16 12 Mnths'!H:H)-SUMIF('Budget 12 Mnths'!$A:$A,'Variance16-17'!$A100,'Budget 12 Mnths'!I:I)</f>
        <v>0</v>
      </c>
      <c r="J100" s="56">
        <f>SUMIF('2015-16 12 Mnths'!$A:$A,'Variance16-17'!$A100,'2015-16 12 Mnths'!I:I)-SUMIF('Budget 12 Mnths'!$A:$A,'Variance16-17'!$A100,'Budget 12 Mnths'!J:J)</f>
        <v>0</v>
      </c>
      <c r="K100" s="56">
        <f>SUMIF('2015-16 12 Mnths'!$A:$A,'Variance16-17'!$A100,'2015-16 12 Mnths'!J:J)-SUMIF('Budget 12 Mnths'!$A:$A,'Variance16-17'!$A100,'Budget 12 Mnths'!K:K)</f>
        <v>0</v>
      </c>
      <c r="L100" s="56">
        <f>SUMIF('2015-16 12 Mnths'!$A:$A,'Variance16-17'!$A100,'2015-16 12 Mnths'!K:K)-SUMIF('Budget 12 Mnths'!$A:$A,'Variance16-17'!$A100,'Budget 12 Mnths'!L:L)</f>
        <v>0</v>
      </c>
      <c r="M100" s="56"/>
      <c r="N100" s="56"/>
      <c r="O100" s="56"/>
      <c r="P100" s="56">
        <f t="shared" si="1"/>
        <v>0</v>
      </c>
      <c r="Q100" s="14" t="str">
        <f>+VLOOKUP(A100,Mapping!$A$1:$E$443,5,FALSE)</f>
        <v>Scholarships</v>
      </c>
      <c r="R100" s="26">
        <f>+SUMIF('Budget 12 Mnths'!$A:$A,'Variance16-17'!$A100,'Budget 12 Mnths'!$P:$P)</f>
        <v>0</v>
      </c>
      <c r="S100" s="26">
        <f>+SUMIF('2015-16 12 Mnths'!$A:$A,'Variance16-17'!$A100,'2015-16 12 Mnths'!$O:$O)</f>
        <v>0</v>
      </c>
      <c r="T100" s="57">
        <f t="shared" si="2"/>
        <v>0</v>
      </c>
      <c r="U100" s="57">
        <f t="shared" si="3"/>
        <v>0</v>
      </c>
      <c r="W100" s="27"/>
      <c r="X100" s="27" t="str">
        <f t="shared" si="10"/>
        <v/>
      </c>
      <c r="Z100" s="57">
        <f t="shared" si="29"/>
        <v>0</v>
      </c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>
        <f t="shared" si="7"/>
        <v>0</v>
      </c>
    </row>
    <row r="101" ht="15.75" customHeight="1">
      <c r="A101" s="15" t="s">
        <v>362</v>
      </c>
      <c r="B101" s="15" t="s">
        <v>363</v>
      </c>
      <c r="C101" s="15" t="s">
        <v>119</v>
      </c>
      <c r="D101" s="56">
        <f>SUMIF('2015-16 12 Mnths'!$A:$A,'Variance16-17'!$A101,'2015-16 12 Mnths'!C:C)-SUMIF('Budget 12 Mnths'!$A:$A,'Variance16-17'!$A101,'Budget 12 Mnths'!D:D)</f>
        <v>0</v>
      </c>
      <c r="E101" s="56">
        <f>SUMIF('2015-16 12 Mnths'!$A:$A,'Variance16-17'!$A101,'2015-16 12 Mnths'!D:D)-SUMIF('Budget 12 Mnths'!$A:$A,'Variance16-17'!$A101,'Budget 12 Mnths'!E:E)</f>
        <v>-118.31</v>
      </c>
      <c r="F101" s="56">
        <f>SUMIF('2015-16 12 Mnths'!$A:$A,'Variance16-17'!$A101,'2015-16 12 Mnths'!E:E)-SUMIF('Budget 12 Mnths'!$A:$A,'Variance16-17'!$A101,'Budget 12 Mnths'!F:F)</f>
        <v>-14.4</v>
      </c>
      <c r="G101" s="56">
        <f>SUMIF('2015-16 12 Mnths'!$A:$A,'Variance16-17'!$A101,'2015-16 12 Mnths'!F:F)-SUMIF('Budget 12 Mnths'!$A:$A,'Variance16-17'!$A101,'Budget 12 Mnths'!G:G)</f>
        <v>110.6</v>
      </c>
      <c r="H101" s="56">
        <f>SUMIF('2015-16 12 Mnths'!$A:$A,'Variance16-17'!$A101,'2015-16 12 Mnths'!G:G)-SUMIF('Budget 12 Mnths'!$A:$A,'Variance16-17'!$A101,'Budget 12 Mnths'!H:H)</f>
        <v>110.6</v>
      </c>
      <c r="I101" s="56">
        <f>SUMIF('2015-16 12 Mnths'!$A:$A,'Variance16-17'!$A101,'2015-16 12 Mnths'!H:H)-SUMIF('Budget 12 Mnths'!$A:$A,'Variance16-17'!$A101,'Budget 12 Mnths'!I:I)</f>
        <v>110.6</v>
      </c>
      <c r="J101" s="56">
        <f>SUMIF('2015-16 12 Mnths'!$A:$A,'Variance16-17'!$A101,'2015-16 12 Mnths'!I:I)-SUMIF('Budget 12 Mnths'!$A:$A,'Variance16-17'!$A101,'Budget 12 Mnths'!J:J)</f>
        <v>310.6</v>
      </c>
      <c r="K101" s="56">
        <f>SUMIF('2015-16 12 Mnths'!$A:$A,'Variance16-17'!$A101,'2015-16 12 Mnths'!J:J)-SUMIF('Budget 12 Mnths'!$A:$A,'Variance16-17'!$A101,'Budget 12 Mnths'!K:K)</f>
        <v>310.6</v>
      </c>
      <c r="L101" s="56">
        <f>SUMIF('2015-16 12 Mnths'!$A:$A,'Variance16-17'!$A101,'2015-16 12 Mnths'!K:K)-SUMIF('Budget 12 Mnths'!$A:$A,'Variance16-17'!$A101,'Budget 12 Mnths'!L:L)</f>
        <v>310.6</v>
      </c>
      <c r="M101" s="56"/>
      <c r="N101" s="56"/>
      <c r="O101" s="56"/>
      <c r="P101" s="56">
        <f t="shared" si="1"/>
        <v>1130.89</v>
      </c>
      <c r="Q101" s="14" t="str">
        <f>+VLOOKUP(A101,Mapping!$A$1:$E$443,5,FALSE)</f>
        <v>Scholarships</v>
      </c>
      <c r="R101" s="26">
        <f>+SUMIF('Budget 12 Mnths'!$A:$A,'Variance16-17'!$A101,'Budget 12 Mnths'!$P:$P)</f>
        <v>26500.03</v>
      </c>
      <c r="S101" s="26">
        <f>+SUMIF('2015-16 12 Mnths'!$A:$A,'Variance16-17'!$A101,'2015-16 12 Mnths'!$O:$O)</f>
        <v>22052.66</v>
      </c>
      <c r="T101" s="57">
        <f t="shared" si="2"/>
        <v>0.04267504603</v>
      </c>
      <c r="U101" s="57">
        <f t="shared" si="3"/>
        <v>0.05128134202</v>
      </c>
      <c r="V101" s="8" t="s">
        <v>641</v>
      </c>
      <c r="W101" s="27">
        <v>26500.0</v>
      </c>
      <c r="X101" s="27">
        <f t="shared" si="10"/>
        <v>26500</v>
      </c>
      <c r="Z101" s="57">
        <f t="shared" ref="Z101:Z102" si="31">+X101/9.5*4.5</f>
        <v>12552.63158</v>
      </c>
      <c r="AA101" s="27">
        <v>0.0</v>
      </c>
      <c r="AB101" s="57">
        <f t="shared" ref="AB101:AB102" si="32">+$X101/9.5*0.5</f>
        <v>1394.736842</v>
      </c>
      <c r="AC101" s="57">
        <f t="shared" ref="AC101:AK101" si="30">+$X101/9.5</f>
        <v>2789.473684</v>
      </c>
      <c r="AD101" s="57">
        <f t="shared" si="30"/>
        <v>2789.473684</v>
      </c>
      <c r="AE101" s="57">
        <f t="shared" si="30"/>
        <v>2789.473684</v>
      </c>
      <c r="AF101" s="57">
        <f t="shared" si="30"/>
        <v>2789.473684</v>
      </c>
      <c r="AG101" s="57">
        <f t="shared" si="30"/>
        <v>2789.473684</v>
      </c>
      <c r="AH101" s="57">
        <f t="shared" si="30"/>
        <v>2789.473684</v>
      </c>
      <c r="AI101" s="57">
        <f t="shared" si="30"/>
        <v>2789.473684</v>
      </c>
      <c r="AJ101" s="57">
        <f t="shared" si="30"/>
        <v>2789.473684</v>
      </c>
      <c r="AK101" s="57">
        <f t="shared" si="30"/>
        <v>2789.473684</v>
      </c>
      <c r="AL101" s="27">
        <v>0.0</v>
      </c>
      <c r="AM101" s="27">
        <f t="shared" si="7"/>
        <v>0</v>
      </c>
    </row>
    <row r="102" ht="15.75" customHeight="1">
      <c r="A102" s="15" t="s">
        <v>368</v>
      </c>
      <c r="B102" s="15" t="s">
        <v>369</v>
      </c>
      <c r="C102" s="15" t="s">
        <v>119</v>
      </c>
      <c r="D102" s="56">
        <f>SUMIF('2015-16 12 Mnths'!$A:$A,'Variance16-17'!$A102,'2015-16 12 Mnths'!C:C)-SUMIF('Budget 12 Mnths'!$A:$A,'Variance16-17'!$A102,'Budget 12 Mnths'!D:D)</f>
        <v>0</v>
      </c>
      <c r="E102" s="56">
        <f>SUMIF('2015-16 12 Mnths'!$A:$A,'Variance16-17'!$A102,'2015-16 12 Mnths'!D:D)-SUMIF('Budget 12 Mnths'!$A:$A,'Variance16-17'!$A102,'Budget 12 Mnths'!E:E)</f>
        <v>-172.23</v>
      </c>
      <c r="F102" s="56">
        <f>SUMIF('2015-16 12 Mnths'!$A:$A,'Variance16-17'!$A102,'2015-16 12 Mnths'!E:E)-SUMIF('Budget 12 Mnths'!$A:$A,'Variance16-17'!$A102,'Budget 12 Mnths'!F:F)</f>
        <v>-344.45</v>
      </c>
      <c r="G102" s="56">
        <f>SUMIF('2015-16 12 Mnths'!$A:$A,'Variance16-17'!$A102,'2015-16 12 Mnths'!F:F)-SUMIF('Budget 12 Mnths'!$A:$A,'Variance16-17'!$A102,'Budget 12 Mnths'!G:G)</f>
        <v>-344.45</v>
      </c>
      <c r="H102" s="56">
        <f>SUMIF('2015-16 12 Mnths'!$A:$A,'Variance16-17'!$A102,'2015-16 12 Mnths'!G:G)-SUMIF('Budget 12 Mnths'!$A:$A,'Variance16-17'!$A102,'Budget 12 Mnths'!H:H)</f>
        <v>-344.45</v>
      </c>
      <c r="I102" s="56">
        <f>SUMIF('2015-16 12 Mnths'!$A:$A,'Variance16-17'!$A102,'2015-16 12 Mnths'!H:H)-SUMIF('Budget 12 Mnths'!$A:$A,'Variance16-17'!$A102,'Budget 12 Mnths'!I:I)</f>
        <v>-344.45</v>
      </c>
      <c r="J102" s="56">
        <f>SUMIF('2015-16 12 Mnths'!$A:$A,'Variance16-17'!$A102,'2015-16 12 Mnths'!I:I)-SUMIF('Budget 12 Mnths'!$A:$A,'Variance16-17'!$A102,'Budget 12 Mnths'!J:J)</f>
        <v>-344.45</v>
      </c>
      <c r="K102" s="56">
        <f>SUMIF('2015-16 12 Mnths'!$A:$A,'Variance16-17'!$A102,'2015-16 12 Mnths'!J:J)-SUMIF('Budget 12 Mnths'!$A:$A,'Variance16-17'!$A102,'Budget 12 Mnths'!K:K)</f>
        <v>-344.45</v>
      </c>
      <c r="L102" s="56">
        <f>SUMIF('2015-16 12 Mnths'!$A:$A,'Variance16-17'!$A102,'2015-16 12 Mnths'!K:K)-SUMIF('Budget 12 Mnths'!$A:$A,'Variance16-17'!$A102,'Budget 12 Mnths'!L:L)</f>
        <v>-344.45</v>
      </c>
      <c r="M102" s="56"/>
      <c r="N102" s="56"/>
      <c r="O102" s="56"/>
      <c r="P102" s="56">
        <f t="shared" si="1"/>
        <v>-2583.38</v>
      </c>
      <c r="Q102" s="14" t="str">
        <f>+VLOOKUP(A102,Mapping!$A$1:$E$443,5,FALSE)</f>
        <v>Scholarships</v>
      </c>
      <c r="R102" s="26">
        <f>+SUMIF('Budget 12 Mnths'!$A:$A,'Variance16-17'!$A102,'Budget 12 Mnths'!$P:$P)</f>
        <v>10000</v>
      </c>
      <c r="S102" s="26">
        <f>+SUMIF('2015-16 12 Mnths'!$A:$A,'Variance16-17'!$A102,'2015-16 12 Mnths'!$O:$O)</f>
        <v>5311.35</v>
      </c>
      <c r="T102" s="57">
        <f t="shared" si="2"/>
        <v>-0.258338</v>
      </c>
      <c r="U102" s="57">
        <f t="shared" si="3"/>
        <v>-0.4863885829</v>
      </c>
      <c r="V102" s="8" t="s">
        <v>641</v>
      </c>
      <c r="W102" s="27">
        <v>10000.0</v>
      </c>
      <c r="X102" s="27">
        <f t="shared" si="10"/>
        <v>10000</v>
      </c>
      <c r="Z102" s="57">
        <f t="shared" si="31"/>
        <v>4736.842105</v>
      </c>
      <c r="AA102" s="27">
        <v>0.0</v>
      </c>
      <c r="AB102" s="57">
        <f t="shared" si="32"/>
        <v>526.3157895</v>
      </c>
      <c r="AC102" s="57">
        <f t="shared" ref="AC102:AK102" si="33">+$X102/9.5</f>
        <v>1052.631579</v>
      </c>
      <c r="AD102" s="57">
        <f t="shared" si="33"/>
        <v>1052.631579</v>
      </c>
      <c r="AE102" s="57">
        <f t="shared" si="33"/>
        <v>1052.631579</v>
      </c>
      <c r="AF102" s="57">
        <f t="shared" si="33"/>
        <v>1052.631579</v>
      </c>
      <c r="AG102" s="57">
        <f t="shared" si="33"/>
        <v>1052.631579</v>
      </c>
      <c r="AH102" s="57">
        <f t="shared" si="33"/>
        <v>1052.631579</v>
      </c>
      <c r="AI102" s="57">
        <f t="shared" si="33"/>
        <v>1052.631579</v>
      </c>
      <c r="AJ102" s="57">
        <f t="shared" si="33"/>
        <v>1052.631579</v>
      </c>
      <c r="AK102" s="57">
        <f t="shared" si="33"/>
        <v>1052.631579</v>
      </c>
      <c r="AL102" s="27">
        <v>0.0</v>
      </c>
      <c r="AM102" s="27">
        <f t="shared" si="7"/>
        <v>0</v>
      </c>
    </row>
    <row r="103" ht="15.75" customHeight="1">
      <c r="A103" s="15" t="s">
        <v>371</v>
      </c>
      <c r="B103" s="15" t="s">
        <v>187</v>
      </c>
      <c r="C103" s="15" t="s">
        <v>119</v>
      </c>
      <c r="D103" s="56">
        <f>SUMIF('2015-16 12 Mnths'!$A:$A,'Variance16-17'!$A103,'2015-16 12 Mnths'!C:C)-SUMIF('Budget 12 Mnths'!$A:$A,'Variance16-17'!$A103,'Budget 12 Mnths'!D:D)</f>
        <v>-375</v>
      </c>
      <c r="E103" s="56">
        <f>SUMIF('2015-16 12 Mnths'!$A:$A,'Variance16-17'!$A103,'2015-16 12 Mnths'!D:D)-SUMIF('Budget 12 Mnths'!$A:$A,'Variance16-17'!$A103,'Budget 12 Mnths'!E:E)</f>
        <v>-221.74</v>
      </c>
      <c r="F103" s="56">
        <f>SUMIF('2015-16 12 Mnths'!$A:$A,'Variance16-17'!$A103,'2015-16 12 Mnths'!E:E)-SUMIF('Budget 12 Mnths'!$A:$A,'Variance16-17'!$A103,'Budget 12 Mnths'!F:F)</f>
        <v>-221.74</v>
      </c>
      <c r="G103" s="56">
        <f>SUMIF('2015-16 12 Mnths'!$A:$A,'Variance16-17'!$A103,'2015-16 12 Mnths'!F:F)-SUMIF('Budget 12 Mnths'!$A:$A,'Variance16-17'!$A103,'Budget 12 Mnths'!G:G)</f>
        <v>-375</v>
      </c>
      <c r="H103" s="56">
        <f>SUMIF('2015-16 12 Mnths'!$A:$A,'Variance16-17'!$A103,'2015-16 12 Mnths'!G:G)-SUMIF('Budget 12 Mnths'!$A:$A,'Variance16-17'!$A103,'Budget 12 Mnths'!H:H)</f>
        <v>-375</v>
      </c>
      <c r="I103" s="56">
        <f>SUMIF('2015-16 12 Mnths'!$A:$A,'Variance16-17'!$A103,'2015-16 12 Mnths'!H:H)-SUMIF('Budget 12 Mnths'!$A:$A,'Variance16-17'!$A103,'Budget 12 Mnths'!I:I)</f>
        <v>-375</v>
      </c>
      <c r="J103" s="56">
        <f>SUMIF('2015-16 12 Mnths'!$A:$A,'Variance16-17'!$A103,'2015-16 12 Mnths'!I:I)-SUMIF('Budget 12 Mnths'!$A:$A,'Variance16-17'!$A103,'Budget 12 Mnths'!J:J)</f>
        <v>-375</v>
      </c>
      <c r="K103" s="56">
        <f>SUMIF('2015-16 12 Mnths'!$A:$A,'Variance16-17'!$A103,'2015-16 12 Mnths'!J:J)-SUMIF('Budget 12 Mnths'!$A:$A,'Variance16-17'!$A103,'Budget 12 Mnths'!K:K)</f>
        <v>-375</v>
      </c>
      <c r="L103" s="56">
        <f>SUMIF('2015-16 12 Mnths'!$A:$A,'Variance16-17'!$A103,'2015-16 12 Mnths'!K:K)-SUMIF('Budget 12 Mnths'!$A:$A,'Variance16-17'!$A103,'Budget 12 Mnths'!L:L)</f>
        <v>-375</v>
      </c>
      <c r="M103" s="56"/>
      <c r="N103" s="56"/>
      <c r="O103" s="56"/>
      <c r="P103" s="56">
        <f t="shared" si="1"/>
        <v>-3068.48</v>
      </c>
      <c r="Q103" s="14" t="str">
        <f>+VLOOKUP(A103,Mapping!$A$1:$E$443,5,FALSE)</f>
        <v>RenWeb</v>
      </c>
      <c r="R103" s="26">
        <f>+SUMIF('Budget 12 Mnths'!$A:$A,'Variance16-17'!$A103,'Budget 12 Mnths'!$P:$P)</f>
        <v>4500</v>
      </c>
      <c r="S103" s="26">
        <f>+SUMIF('2015-16 12 Mnths'!$A:$A,'Variance16-17'!$A103,'2015-16 12 Mnths'!$O:$O)</f>
        <v>306.52</v>
      </c>
      <c r="T103" s="57">
        <f t="shared" si="2"/>
        <v>-0.6818844444</v>
      </c>
      <c r="U103" s="57">
        <f t="shared" si="3"/>
        <v>-10.01070077</v>
      </c>
      <c r="W103" s="27">
        <v>0.0</v>
      </c>
      <c r="X103" s="27">
        <f t="shared" si="10"/>
        <v>0</v>
      </c>
      <c r="Z103" s="57">
        <f t="shared" ref="Z103:Z107" si="34">+X103/2</f>
        <v>0</v>
      </c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>
        <f t="shared" si="7"/>
        <v>0</v>
      </c>
    </row>
    <row r="104" ht="15.75" customHeight="1">
      <c r="A104" s="15" t="s">
        <v>373</v>
      </c>
      <c r="B104" s="15" t="s">
        <v>374</v>
      </c>
      <c r="C104" s="15" t="s">
        <v>119</v>
      </c>
      <c r="D104" s="56">
        <f>SUMIF('2015-16 12 Mnths'!$A:$A,'Variance16-17'!$A104,'2015-16 12 Mnths'!C:C)-SUMIF('Budget 12 Mnths'!$A:$A,'Variance16-17'!$A104,'Budget 12 Mnths'!D:D)</f>
        <v>1120</v>
      </c>
      <c r="E104" s="56">
        <f>SUMIF('2015-16 12 Mnths'!$A:$A,'Variance16-17'!$A104,'2015-16 12 Mnths'!D:D)-SUMIF('Budget 12 Mnths'!$A:$A,'Variance16-17'!$A104,'Budget 12 Mnths'!E:E)</f>
        <v>120</v>
      </c>
      <c r="F104" s="56">
        <f>SUMIF('2015-16 12 Mnths'!$A:$A,'Variance16-17'!$A104,'2015-16 12 Mnths'!E:E)-SUMIF('Budget 12 Mnths'!$A:$A,'Variance16-17'!$A104,'Budget 12 Mnths'!F:F)</f>
        <v>120</v>
      </c>
      <c r="G104" s="56">
        <f>SUMIF('2015-16 12 Mnths'!$A:$A,'Variance16-17'!$A104,'2015-16 12 Mnths'!F:F)-SUMIF('Budget 12 Mnths'!$A:$A,'Variance16-17'!$A104,'Budget 12 Mnths'!G:G)</f>
        <v>0</v>
      </c>
      <c r="H104" s="56">
        <f>SUMIF('2015-16 12 Mnths'!$A:$A,'Variance16-17'!$A104,'2015-16 12 Mnths'!G:G)-SUMIF('Budget 12 Mnths'!$A:$A,'Variance16-17'!$A104,'Budget 12 Mnths'!H:H)</f>
        <v>120</v>
      </c>
      <c r="I104" s="56">
        <f>SUMIF('2015-16 12 Mnths'!$A:$A,'Variance16-17'!$A104,'2015-16 12 Mnths'!H:H)-SUMIF('Budget 12 Mnths'!$A:$A,'Variance16-17'!$A104,'Budget 12 Mnths'!I:I)</f>
        <v>240</v>
      </c>
      <c r="J104" s="56">
        <f>SUMIF('2015-16 12 Mnths'!$A:$A,'Variance16-17'!$A104,'2015-16 12 Mnths'!I:I)-SUMIF('Budget 12 Mnths'!$A:$A,'Variance16-17'!$A104,'Budget 12 Mnths'!J:J)</f>
        <v>0</v>
      </c>
      <c r="K104" s="56">
        <f>SUMIF('2015-16 12 Mnths'!$A:$A,'Variance16-17'!$A104,'2015-16 12 Mnths'!J:J)-SUMIF('Budget 12 Mnths'!$A:$A,'Variance16-17'!$A104,'Budget 12 Mnths'!K:K)</f>
        <v>120</v>
      </c>
      <c r="L104" s="56">
        <f>SUMIF('2015-16 12 Mnths'!$A:$A,'Variance16-17'!$A104,'2015-16 12 Mnths'!K:K)-SUMIF('Budget 12 Mnths'!$A:$A,'Variance16-17'!$A104,'Budget 12 Mnths'!L:L)</f>
        <v>120</v>
      </c>
      <c r="M104" s="56"/>
      <c r="N104" s="56"/>
      <c r="O104" s="56"/>
      <c r="P104" s="56">
        <f t="shared" si="1"/>
        <v>1960</v>
      </c>
      <c r="Q104" s="14" t="str">
        <f>+VLOOKUP(A104,Mapping!$A$1:$E$443,5,FALSE)</f>
        <v>RenWeb</v>
      </c>
      <c r="R104" s="26">
        <f>+SUMIF('Budget 12 Mnths'!$A:$A,'Variance16-17'!$A104,'Budget 12 Mnths'!$P:$P)</f>
        <v>0</v>
      </c>
      <c r="S104" s="26">
        <f>+SUMIF('2015-16 12 Mnths'!$A:$A,'Variance16-17'!$A104,'2015-16 12 Mnths'!$O:$O)</f>
        <v>2200</v>
      </c>
      <c r="T104" s="57">
        <f t="shared" si="2"/>
        <v>0</v>
      </c>
      <c r="U104" s="57">
        <f t="shared" si="3"/>
        <v>0.8909090909</v>
      </c>
      <c r="V104" s="8" t="s">
        <v>451</v>
      </c>
      <c r="W104" s="27">
        <f>120*12</f>
        <v>1440</v>
      </c>
      <c r="X104" s="27">
        <f t="shared" si="10"/>
        <v>1440</v>
      </c>
      <c r="Z104" s="57">
        <f t="shared" si="34"/>
        <v>720</v>
      </c>
      <c r="AA104" s="57">
        <f t="shared" ref="AA104:AL104" si="35">+$X104/12</f>
        <v>120</v>
      </c>
      <c r="AB104" s="57">
        <f t="shared" si="35"/>
        <v>120</v>
      </c>
      <c r="AC104" s="57">
        <f t="shared" si="35"/>
        <v>120</v>
      </c>
      <c r="AD104" s="57">
        <f t="shared" si="35"/>
        <v>120</v>
      </c>
      <c r="AE104" s="57">
        <f t="shared" si="35"/>
        <v>120</v>
      </c>
      <c r="AF104" s="57">
        <f t="shared" si="35"/>
        <v>120</v>
      </c>
      <c r="AG104" s="57">
        <f t="shared" si="35"/>
        <v>120</v>
      </c>
      <c r="AH104" s="57">
        <f t="shared" si="35"/>
        <v>120</v>
      </c>
      <c r="AI104" s="57">
        <f t="shared" si="35"/>
        <v>120</v>
      </c>
      <c r="AJ104" s="57">
        <f t="shared" si="35"/>
        <v>120</v>
      </c>
      <c r="AK104" s="57">
        <f t="shared" si="35"/>
        <v>120</v>
      </c>
      <c r="AL104" s="57">
        <f t="shared" si="35"/>
        <v>120</v>
      </c>
      <c r="AM104" s="27">
        <f t="shared" si="7"/>
        <v>0</v>
      </c>
    </row>
    <row r="105" ht="15.75" customHeight="1">
      <c r="A105" s="15" t="s">
        <v>375</v>
      </c>
      <c r="B105" s="15" t="s">
        <v>376</v>
      </c>
      <c r="C105" s="15" t="s">
        <v>119</v>
      </c>
      <c r="D105" s="56">
        <f>SUMIF('2015-16 12 Mnths'!$A:$A,'Variance16-17'!$A105,'2015-16 12 Mnths'!C:C)-SUMIF('Budget 12 Mnths'!$A:$A,'Variance16-17'!$A105,'Budget 12 Mnths'!D:D)</f>
        <v>0</v>
      </c>
      <c r="E105" s="56">
        <f>SUMIF('2015-16 12 Mnths'!$A:$A,'Variance16-17'!$A105,'2015-16 12 Mnths'!D:D)-SUMIF('Budget 12 Mnths'!$A:$A,'Variance16-17'!$A105,'Budget 12 Mnths'!E:E)</f>
        <v>-322.11</v>
      </c>
      <c r="F105" s="56">
        <f>SUMIF('2015-16 12 Mnths'!$A:$A,'Variance16-17'!$A105,'2015-16 12 Mnths'!E:E)-SUMIF('Budget 12 Mnths'!$A:$A,'Variance16-17'!$A105,'Budget 12 Mnths'!F:F)</f>
        <v>-119.21</v>
      </c>
      <c r="G105" s="56">
        <f>SUMIF('2015-16 12 Mnths'!$A:$A,'Variance16-17'!$A105,'2015-16 12 Mnths'!F:F)-SUMIF('Budget 12 Mnths'!$A:$A,'Variance16-17'!$A105,'Budget 12 Mnths'!G:G)</f>
        <v>-77.21</v>
      </c>
      <c r="H105" s="56">
        <f>SUMIF('2015-16 12 Mnths'!$A:$A,'Variance16-17'!$A105,'2015-16 12 Mnths'!G:G)-SUMIF('Budget 12 Mnths'!$A:$A,'Variance16-17'!$A105,'Budget 12 Mnths'!H:H)</f>
        <v>-434.21</v>
      </c>
      <c r="I105" s="56">
        <f>SUMIF('2015-16 12 Mnths'!$A:$A,'Variance16-17'!$A105,'2015-16 12 Mnths'!H:H)-SUMIF('Budget 12 Mnths'!$A:$A,'Variance16-17'!$A105,'Budget 12 Mnths'!I:I)</f>
        <v>-448.21</v>
      </c>
      <c r="J105" s="56">
        <f>SUMIF('2015-16 12 Mnths'!$A:$A,'Variance16-17'!$A105,'2015-16 12 Mnths'!I:I)-SUMIF('Budget 12 Mnths'!$A:$A,'Variance16-17'!$A105,'Budget 12 Mnths'!J:J)</f>
        <v>-171.71</v>
      </c>
      <c r="K105" s="56">
        <f>SUMIF('2015-16 12 Mnths'!$A:$A,'Variance16-17'!$A105,'2015-16 12 Mnths'!J:J)-SUMIF('Budget 12 Mnths'!$A:$A,'Variance16-17'!$A105,'Budget 12 Mnths'!K:K)</f>
        <v>271.79</v>
      </c>
      <c r="L105" s="56">
        <f>SUMIF('2015-16 12 Mnths'!$A:$A,'Variance16-17'!$A105,'2015-16 12 Mnths'!K:K)-SUMIF('Budget 12 Mnths'!$A:$A,'Variance16-17'!$A105,'Budget 12 Mnths'!L:L)</f>
        <v>-406.21</v>
      </c>
      <c r="M105" s="56"/>
      <c r="N105" s="56"/>
      <c r="O105" s="56"/>
      <c r="P105" s="56">
        <f t="shared" si="1"/>
        <v>-1707.08</v>
      </c>
      <c r="Q105" s="14" t="str">
        <f>+VLOOKUP(A105,Mapping!$A$1:$E$443,5,FALSE)</f>
        <v>Salaries</v>
      </c>
      <c r="R105" s="26">
        <f>+SUMIF('Budget 12 Mnths'!$A:$A,'Variance16-17'!$A105,'Budget 12 Mnths'!$P:$P)</f>
        <v>6120</v>
      </c>
      <c r="S105" s="26">
        <f>+SUMIF('2015-16 12 Mnths'!$A:$A,'Variance16-17'!$A105,'2015-16 12 Mnths'!$O:$O)</f>
        <v>3124.5</v>
      </c>
      <c r="T105" s="57">
        <f t="shared" si="2"/>
        <v>-0.2789346405</v>
      </c>
      <c r="U105" s="57">
        <f t="shared" si="3"/>
        <v>-0.5463530165</v>
      </c>
      <c r="V105" s="8" t="s">
        <v>451</v>
      </c>
      <c r="W105" s="57">
        <f>+SUMIF('Salaries 2019-20'!B$100:B$148,'Variance16-17'!A105,'Salaries 2019-20'!V$100:V$148)</f>
        <v>8484</v>
      </c>
      <c r="X105" s="57">
        <f t="shared" si="10"/>
        <v>8484</v>
      </c>
      <c r="Z105" s="57">
        <f t="shared" si="34"/>
        <v>4242</v>
      </c>
      <c r="AA105" s="27">
        <v>0.0</v>
      </c>
      <c r="AB105" s="57">
        <f>+$X105/9.5*0.5</f>
        <v>446.5263158</v>
      </c>
      <c r="AC105" s="57">
        <f t="shared" ref="AC105:AK105" si="36">+$X105/9.5</f>
        <v>893.0526316</v>
      </c>
      <c r="AD105" s="57">
        <f t="shared" si="36"/>
        <v>893.0526316</v>
      </c>
      <c r="AE105" s="57">
        <f t="shared" si="36"/>
        <v>893.0526316</v>
      </c>
      <c r="AF105" s="57">
        <f t="shared" si="36"/>
        <v>893.0526316</v>
      </c>
      <c r="AG105" s="57">
        <f t="shared" si="36"/>
        <v>893.0526316</v>
      </c>
      <c r="AH105" s="57">
        <f t="shared" si="36"/>
        <v>893.0526316</v>
      </c>
      <c r="AI105" s="57">
        <f t="shared" si="36"/>
        <v>893.0526316</v>
      </c>
      <c r="AJ105" s="57">
        <f t="shared" si="36"/>
        <v>893.0526316</v>
      </c>
      <c r="AK105" s="57">
        <f t="shared" si="36"/>
        <v>893.0526316</v>
      </c>
      <c r="AL105" s="27">
        <v>0.0</v>
      </c>
      <c r="AM105" s="27">
        <f t="shared" si="7"/>
        <v>0</v>
      </c>
    </row>
    <row r="106" ht="15.75" customHeight="1">
      <c r="A106" s="15" t="s">
        <v>377</v>
      </c>
      <c r="B106" s="15" t="s">
        <v>378</v>
      </c>
      <c r="C106" s="15" t="s">
        <v>119</v>
      </c>
      <c r="D106" s="56">
        <f>SUMIF('2015-16 12 Mnths'!$A:$A,'Variance16-17'!$A106,'2015-16 12 Mnths'!C:C)-SUMIF('Budget 12 Mnths'!$A:$A,'Variance16-17'!$A106,'Budget 12 Mnths'!D:D)</f>
        <v>0</v>
      </c>
      <c r="E106" s="56">
        <f>SUMIF('2015-16 12 Mnths'!$A:$A,'Variance16-17'!$A106,'2015-16 12 Mnths'!D:D)-SUMIF('Budget 12 Mnths'!$A:$A,'Variance16-17'!$A106,'Budget 12 Mnths'!E:E)</f>
        <v>75.79</v>
      </c>
      <c r="F106" s="56">
        <f>SUMIF('2015-16 12 Mnths'!$A:$A,'Variance16-17'!$A106,'2015-16 12 Mnths'!E:E)-SUMIF('Budget 12 Mnths'!$A:$A,'Variance16-17'!$A106,'Budget 12 Mnths'!F:F)</f>
        <v>-568.42</v>
      </c>
      <c r="G106" s="56">
        <f>SUMIF('2015-16 12 Mnths'!$A:$A,'Variance16-17'!$A106,'2015-16 12 Mnths'!F:F)-SUMIF('Budget 12 Mnths'!$A:$A,'Variance16-17'!$A106,'Budget 12 Mnths'!G:G)</f>
        <v>871.58</v>
      </c>
      <c r="H106" s="56">
        <f>SUMIF('2015-16 12 Mnths'!$A:$A,'Variance16-17'!$A106,'2015-16 12 Mnths'!G:G)-SUMIF('Budget 12 Mnths'!$A:$A,'Variance16-17'!$A106,'Budget 12 Mnths'!H:H)</f>
        <v>-568.42</v>
      </c>
      <c r="I106" s="56">
        <f>SUMIF('2015-16 12 Mnths'!$A:$A,'Variance16-17'!$A106,'2015-16 12 Mnths'!H:H)-SUMIF('Budget 12 Mnths'!$A:$A,'Variance16-17'!$A106,'Budget 12 Mnths'!I:I)</f>
        <v>151.58</v>
      </c>
      <c r="J106" s="56">
        <f>SUMIF('2015-16 12 Mnths'!$A:$A,'Variance16-17'!$A106,'2015-16 12 Mnths'!I:I)-SUMIF('Budget 12 Mnths'!$A:$A,'Variance16-17'!$A106,'Budget 12 Mnths'!J:J)</f>
        <v>-568.42</v>
      </c>
      <c r="K106" s="56">
        <f>SUMIF('2015-16 12 Mnths'!$A:$A,'Variance16-17'!$A106,'2015-16 12 Mnths'!J:J)-SUMIF('Budget 12 Mnths'!$A:$A,'Variance16-17'!$A106,'Budget 12 Mnths'!K:K)</f>
        <v>151.58</v>
      </c>
      <c r="L106" s="56">
        <f>SUMIF('2015-16 12 Mnths'!$A:$A,'Variance16-17'!$A106,'2015-16 12 Mnths'!K:K)-SUMIF('Budget 12 Mnths'!$A:$A,'Variance16-17'!$A106,'Budget 12 Mnths'!L:L)</f>
        <v>151.58</v>
      </c>
      <c r="M106" s="56"/>
      <c r="N106" s="56"/>
      <c r="O106" s="56"/>
      <c r="P106" s="56">
        <f t="shared" si="1"/>
        <v>-303.15</v>
      </c>
      <c r="Q106" s="14" t="str">
        <f>+VLOOKUP(A106,Mapping!$A$1:$E$443,5,FALSE)</f>
        <v>Salaries</v>
      </c>
      <c r="R106" s="26">
        <f>+SUMIF('Budget 12 Mnths'!$A:$A,'Variance16-17'!$A106,'Budget 12 Mnths'!$P:$P)</f>
        <v>12240</v>
      </c>
      <c r="S106" s="26">
        <f>+SUMIF('2015-16 12 Mnths'!$A:$A,'Variance16-17'!$A106,'2015-16 12 Mnths'!$O:$O)</f>
        <v>9360</v>
      </c>
      <c r="T106" s="57">
        <f t="shared" si="2"/>
        <v>-0.02476715686</v>
      </c>
      <c r="U106" s="57">
        <f t="shared" si="3"/>
        <v>-0.03238782051</v>
      </c>
      <c r="V106" s="8" t="s">
        <v>641</v>
      </c>
      <c r="W106" s="57">
        <f>+SUMIF('Salaries 2019-20'!B$100:B$148,'Variance16-17'!A106,'Salaries 2019-20'!V$100:V$148)</f>
        <v>12000</v>
      </c>
      <c r="X106" s="27">
        <f t="shared" si="10"/>
        <v>12000</v>
      </c>
      <c r="Z106" s="57">
        <f t="shared" si="34"/>
        <v>6000</v>
      </c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>
        <f t="shared" si="7"/>
        <v>-12000</v>
      </c>
    </row>
    <row r="107" ht="15.75" customHeight="1">
      <c r="A107" s="15" t="s">
        <v>379</v>
      </c>
      <c r="B107" s="15" t="s">
        <v>380</v>
      </c>
      <c r="C107" s="15" t="s">
        <v>119</v>
      </c>
      <c r="D107" s="56">
        <f>SUMIF('2015-16 12 Mnths'!$A:$A,'Variance16-17'!$A107,'2015-16 12 Mnths'!C:C)-SUMIF('Budget 12 Mnths'!$A:$A,'Variance16-17'!$A107,'Budget 12 Mnths'!D:D)</f>
        <v>0</v>
      </c>
      <c r="E107" s="56">
        <f>SUMIF('2015-16 12 Mnths'!$A:$A,'Variance16-17'!$A107,'2015-16 12 Mnths'!D:D)-SUMIF('Budget 12 Mnths'!$A:$A,'Variance16-17'!$A107,'Budget 12 Mnths'!E:E)</f>
        <v>0</v>
      </c>
      <c r="F107" s="56">
        <f>SUMIF('2015-16 12 Mnths'!$A:$A,'Variance16-17'!$A107,'2015-16 12 Mnths'!E:E)-SUMIF('Budget 12 Mnths'!$A:$A,'Variance16-17'!$A107,'Budget 12 Mnths'!F:F)</f>
        <v>0</v>
      </c>
      <c r="G107" s="56">
        <f>SUMIF('2015-16 12 Mnths'!$A:$A,'Variance16-17'!$A107,'2015-16 12 Mnths'!F:F)-SUMIF('Budget 12 Mnths'!$A:$A,'Variance16-17'!$A107,'Budget 12 Mnths'!G:G)</f>
        <v>0</v>
      </c>
      <c r="H107" s="56">
        <f>SUMIF('2015-16 12 Mnths'!$A:$A,'Variance16-17'!$A107,'2015-16 12 Mnths'!G:G)-SUMIF('Budget 12 Mnths'!$A:$A,'Variance16-17'!$A107,'Budget 12 Mnths'!H:H)</f>
        <v>0</v>
      </c>
      <c r="I107" s="56">
        <f>SUMIF('2015-16 12 Mnths'!$A:$A,'Variance16-17'!$A107,'2015-16 12 Mnths'!H:H)-SUMIF('Budget 12 Mnths'!$A:$A,'Variance16-17'!$A107,'Budget 12 Mnths'!I:I)</f>
        <v>0</v>
      </c>
      <c r="J107" s="56">
        <f>SUMIF('2015-16 12 Mnths'!$A:$A,'Variance16-17'!$A107,'2015-16 12 Mnths'!I:I)-SUMIF('Budget 12 Mnths'!$A:$A,'Variance16-17'!$A107,'Budget 12 Mnths'!J:J)</f>
        <v>450</v>
      </c>
      <c r="K107" s="56">
        <f>SUMIF('2015-16 12 Mnths'!$A:$A,'Variance16-17'!$A107,'2015-16 12 Mnths'!J:J)-SUMIF('Budget 12 Mnths'!$A:$A,'Variance16-17'!$A107,'Budget 12 Mnths'!K:K)</f>
        <v>0</v>
      </c>
      <c r="L107" s="56">
        <f>SUMIF('2015-16 12 Mnths'!$A:$A,'Variance16-17'!$A107,'2015-16 12 Mnths'!K:K)-SUMIF('Budget 12 Mnths'!$A:$A,'Variance16-17'!$A107,'Budget 12 Mnths'!L:L)</f>
        <v>0</v>
      </c>
      <c r="M107" s="56"/>
      <c r="N107" s="56"/>
      <c r="O107" s="56"/>
      <c r="P107" s="56">
        <f t="shared" si="1"/>
        <v>450</v>
      </c>
      <c r="Q107" s="14" t="str">
        <f>+VLOOKUP(A107,Mapping!$A$1:$E$443,5,FALSE)</f>
        <v>Salaries</v>
      </c>
      <c r="R107" s="26">
        <f>+SUMIF('Budget 12 Mnths'!$A:$A,'Variance16-17'!$A107,'Budget 12 Mnths'!$P:$P)</f>
        <v>0</v>
      </c>
      <c r="S107" s="26">
        <f>+SUMIF('2015-16 12 Mnths'!$A:$A,'Variance16-17'!$A107,'2015-16 12 Mnths'!$O:$O)</f>
        <v>450</v>
      </c>
      <c r="T107" s="57">
        <f t="shared" si="2"/>
        <v>0</v>
      </c>
      <c r="U107" s="57">
        <f t="shared" si="3"/>
        <v>1</v>
      </c>
      <c r="W107" s="57">
        <f>+SUMIF('Salaries 2019-20'!B$100:B$148,'Variance16-17'!A107,'Salaries 2019-20'!V$100:V$148)</f>
        <v>0</v>
      </c>
      <c r="X107" s="27">
        <f t="shared" si="10"/>
        <v>0</v>
      </c>
      <c r="Z107" s="57">
        <f t="shared" si="34"/>
        <v>0</v>
      </c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>
        <f t="shared" si="7"/>
        <v>0</v>
      </c>
    </row>
    <row r="108" ht="15.75" customHeight="1">
      <c r="A108" s="15" t="s">
        <v>383</v>
      </c>
      <c r="B108" s="15" t="s">
        <v>384</v>
      </c>
      <c r="C108" s="15" t="s">
        <v>119</v>
      </c>
      <c r="D108" s="56">
        <f>SUMIF('2015-16 12 Mnths'!$A:$A,'Variance16-17'!$A108,'2015-16 12 Mnths'!C:C)-SUMIF('Budget 12 Mnths'!$A:$A,'Variance16-17'!$A108,'Budget 12 Mnths'!D:D)</f>
        <v>26368.76</v>
      </c>
      <c r="E108" s="56">
        <f>SUMIF('2015-16 12 Mnths'!$A:$A,'Variance16-17'!$A108,'2015-16 12 Mnths'!D:D)-SUMIF('Budget 12 Mnths'!$A:$A,'Variance16-17'!$A108,'Budget 12 Mnths'!E:E)</f>
        <v>10758.42</v>
      </c>
      <c r="F108" s="56">
        <f>SUMIF('2015-16 12 Mnths'!$A:$A,'Variance16-17'!$A108,'2015-16 12 Mnths'!E:E)-SUMIF('Budget 12 Mnths'!$A:$A,'Variance16-17'!$A108,'Budget 12 Mnths'!F:F)</f>
        <v>-6228.67</v>
      </c>
      <c r="G108" s="56">
        <f>SUMIF('2015-16 12 Mnths'!$A:$A,'Variance16-17'!$A108,'2015-16 12 Mnths'!F:F)-SUMIF('Budget 12 Mnths'!$A:$A,'Variance16-17'!$A108,'Budget 12 Mnths'!G:G)</f>
        <v>-6228.67</v>
      </c>
      <c r="H108" s="56">
        <f>SUMIF('2015-16 12 Mnths'!$A:$A,'Variance16-17'!$A108,'2015-16 12 Mnths'!G:G)-SUMIF('Budget 12 Mnths'!$A:$A,'Variance16-17'!$A108,'Budget 12 Mnths'!H:H)</f>
        <v>-6228.67</v>
      </c>
      <c r="I108" s="56">
        <f>SUMIF('2015-16 12 Mnths'!$A:$A,'Variance16-17'!$A108,'2015-16 12 Mnths'!H:H)-SUMIF('Budget 12 Mnths'!$A:$A,'Variance16-17'!$A108,'Budget 12 Mnths'!I:I)</f>
        <v>-6228.67</v>
      </c>
      <c r="J108" s="56">
        <f>SUMIF('2015-16 12 Mnths'!$A:$A,'Variance16-17'!$A108,'2015-16 12 Mnths'!I:I)-SUMIF('Budget 12 Mnths'!$A:$A,'Variance16-17'!$A108,'Budget 12 Mnths'!J:J)</f>
        <v>-6228.67</v>
      </c>
      <c r="K108" s="56">
        <f>SUMIF('2015-16 12 Mnths'!$A:$A,'Variance16-17'!$A108,'2015-16 12 Mnths'!J:J)-SUMIF('Budget 12 Mnths'!$A:$A,'Variance16-17'!$A108,'Budget 12 Mnths'!K:K)</f>
        <v>-8895.33</v>
      </c>
      <c r="L108" s="56">
        <f>SUMIF('2015-16 12 Mnths'!$A:$A,'Variance16-17'!$A108,'2015-16 12 Mnths'!K:K)-SUMIF('Budget 12 Mnths'!$A:$A,'Variance16-17'!$A108,'Budget 12 Mnths'!L:L)</f>
        <v>-8895.33</v>
      </c>
      <c r="M108" s="56"/>
      <c r="N108" s="56"/>
      <c r="O108" s="56"/>
      <c r="P108" s="56">
        <f t="shared" si="1"/>
        <v>-11806.83</v>
      </c>
      <c r="Q108" s="14" t="str">
        <f>+VLOOKUP(A108,Mapping!$A$1:$E$443,5,FALSE)</f>
        <v>Salaries</v>
      </c>
      <c r="R108" s="26">
        <f>+SUMIF('Budget 12 Mnths'!$A:$A,'Variance16-17'!$A108,'Budget 12 Mnths'!$P:$P)</f>
        <v>322754.76</v>
      </c>
      <c r="S108" s="26">
        <f>+SUMIF('2015-16 12 Mnths'!$A:$A,'Variance16-17'!$A108,'2015-16 12 Mnths'!$O:$O)</f>
        <v>255539.03</v>
      </c>
      <c r="T108" s="57">
        <f t="shared" si="2"/>
        <v>-0.03658142795</v>
      </c>
      <c r="U108" s="57">
        <f t="shared" si="3"/>
        <v>-0.0462036269</v>
      </c>
      <c r="V108" s="8" t="s">
        <v>594</v>
      </c>
      <c r="W108" s="57">
        <f>+SUMIF('Salaries 2019-20'!B$100:B$148,'Variance16-17'!A108,'Salaries 2019-20'!V$100:V$148)</f>
        <v>611118.5944</v>
      </c>
      <c r="X108" s="51">
        <f>+W108-124395</f>
        <v>486723.5944</v>
      </c>
      <c r="Y108" s="8" t="s">
        <v>601</v>
      </c>
      <c r="Z108" s="57">
        <f>+X108/9.5*4.5</f>
        <v>230553.2816</v>
      </c>
      <c r="AA108" s="27">
        <v>0.0</v>
      </c>
      <c r="AB108" s="57">
        <f t="shared" ref="AB108:AB109" si="38">+$X108/9.5*0.5</f>
        <v>25617.03128</v>
      </c>
      <c r="AC108" s="57">
        <f t="shared" ref="AC108:AK108" si="37">+$X108/9.5</f>
        <v>51234.06257</v>
      </c>
      <c r="AD108" s="57">
        <f t="shared" si="37"/>
        <v>51234.06257</v>
      </c>
      <c r="AE108" s="57">
        <f t="shared" si="37"/>
        <v>51234.06257</v>
      </c>
      <c r="AF108" s="57">
        <f t="shared" si="37"/>
        <v>51234.06257</v>
      </c>
      <c r="AG108" s="57">
        <f t="shared" si="37"/>
        <v>51234.06257</v>
      </c>
      <c r="AH108" s="57">
        <f t="shared" si="37"/>
        <v>51234.06257</v>
      </c>
      <c r="AI108" s="57">
        <f t="shared" si="37"/>
        <v>51234.06257</v>
      </c>
      <c r="AJ108" s="57">
        <f t="shared" si="37"/>
        <v>51234.06257</v>
      </c>
      <c r="AK108" s="57">
        <f t="shared" si="37"/>
        <v>51234.06257</v>
      </c>
      <c r="AL108" s="27">
        <v>0.0</v>
      </c>
      <c r="AM108" s="27">
        <f t="shared" si="7"/>
        <v>0</v>
      </c>
    </row>
    <row r="109" ht="15.75" customHeight="1">
      <c r="A109" s="15" t="s">
        <v>385</v>
      </c>
      <c r="B109" s="15" t="s">
        <v>386</v>
      </c>
      <c r="C109" s="15" t="s">
        <v>119</v>
      </c>
      <c r="D109" s="56">
        <f>SUMIF('2015-16 12 Mnths'!$A:$A,'Variance16-17'!$A109,'2015-16 12 Mnths'!C:C)-SUMIF('Budget 12 Mnths'!$A:$A,'Variance16-17'!$A109,'Budget 12 Mnths'!D:D)</f>
        <v>0</v>
      </c>
      <c r="E109" s="56">
        <f>SUMIF('2015-16 12 Mnths'!$A:$A,'Variance16-17'!$A109,'2015-16 12 Mnths'!D:D)-SUMIF('Budget 12 Mnths'!$A:$A,'Variance16-17'!$A109,'Budget 12 Mnths'!E:E)</f>
        <v>338.38</v>
      </c>
      <c r="F109" s="56">
        <f>SUMIF('2015-16 12 Mnths'!$A:$A,'Variance16-17'!$A109,'2015-16 12 Mnths'!E:E)-SUMIF('Budget 12 Mnths'!$A:$A,'Variance16-17'!$A109,'Budget 12 Mnths'!F:F)</f>
        <v>-2002.14</v>
      </c>
      <c r="G109" s="56">
        <f>SUMIF('2015-16 12 Mnths'!$A:$A,'Variance16-17'!$A109,'2015-16 12 Mnths'!F:F)-SUMIF('Budget 12 Mnths'!$A:$A,'Variance16-17'!$A109,'Budget 12 Mnths'!G:G)</f>
        <v>-1599.64</v>
      </c>
      <c r="H109" s="56">
        <f>SUMIF('2015-16 12 Mnths'!$A:$A,'Variance16-17'!$A109,'2015-16 12 Mnths'!G:G)-SUMIF('Budget 12 Mnths'!$A:$A,'Variance16-17'!$A109,'Budget 12 Mnths'!H:H)</f>
        <v>-1581.44</v>
      </c>
      <c r="I109" s="56">
        <f>SUMIF('2015-16 12 Mnths'!$A:$A,'Variance16-17'!$A109,'2015-16 12 Mnths'!H:H)-SUMIF('Budget 12 Mnths'!$A:$A,'Variance16-17'!$A109,'Budget 12 Mnths'!I:I)</f>
        <v>-2511.04</v>
      </c>
      <c r="J109" s="56">
        <f>SUMIF('2015-16 12 Mnths'!$A:$A,'Variance16-17'!$A109,'2015-16 12 Mnths'!I:I)-SUMIF('Budget 12 Mnths'!$A:$A,'Variance16-17'!$A109,'Budget 12 Mnths'!J:J)</f>
        <v>-2076.34</v>
      </c>
      <c r="K109" s="56">
        <f>SUMIF('2015-16 12 Mnths'!$A:$A,'Variance16-17'!$A109,'2015-16 12 Mnths'!J:J)-SUMIF('Budget 12 Mnths'!$A:$A,'Variance16-17'!$A109,'Budget 12 Mnths'!K:K)</f>
        <v>-1636.04</v>
      </c>
      <c r="L109" s="56">
        <f>SUMIF('2015-16 12 Mnths'!$A:$A,'Variance16-17'!$A109,'2015-16 12 Mnths'!K:K)-SUMIF('Budget 12 Mnths'!$A:$A,'Variance16-17'!$A109,'Budget 12 Mnths'!L:L)</f>
        <v>-790.44</v>
      </c>
      <c r="M109" s="56"/>
      <c r="N109" s="56"/>
      <c r="O109" s="56"/>
      <c r="P109" s="56">
        <f t="shared" si="1"/>
        <v>-11858.7</v>
      </c>
      <c r="Q109" s="14" t="str">
        <f>+VLOOKUP(A109,Mapping!$A$1:$E$443,5,FALSE)</f>
        <v>Salaries</v>
      </c>
      <c r="R109" s="26">
        <f>+SUMIF('Budget 12 Mnths'!$A:$A,'Variance16-17'!$A109,'Budget 12 Mnths'!$P:$P)</f>
        <v>28775.92</v>
      </c>
      <c r="S109" s="26">
        <f>+SUMIF('2015-16 12 Mnths'!$A:$A,'Variance16-17'!$A109,'2015-16 12 Mnths'!$O:$O)</f>
        <v>11979.1</v>
      </c>
      <c r="T109" s="57">
        <f t="shared" si="2"/>
        <v>-0.4121049822</v>
      </c>
      <c r="U109" s="57">
        <f t="shared" si="3"/>
        <v>-0.9899491615</v>
      </c>
      <c r="V109" s="8" t="s">
        <v>594</v>
      </c>
      <c r="W109" s="57">
        <f>+SUMIF('Salaries 2019-20'!B$100:B$148,'Variance16-17'!A109,'Salaries 2019-20'!V$100:V$148)</f>
        <v>0</v>
      </c>
      <c r="X109" s="51">
        <f t="shared" ref="X109:X127" si="40">+W109</f>
        <v>0</v>
      </c>
      <c r="Y109" s="8" t="s">
        <v>601</v>
      </c>
      <c r="Z109" s="57">
        <f t="shared" ref="Z109:Z114" si="41">+X109/2</f>
        <v>0</v>
      </c>
      <c r="AA109" s="27">
        <v>0.0</v>
      </c>
      <c r="AB109" s="57">
        <f t="shared" si="38"/>
        <v>0</v>
      </c>
      <c r="AC109" s="57">
        <f t="shared" ref="AC109:AK109" si="39">+$X109/9.5</f>
        <v>0</v>
      </c>
      <c r="AD109" s="57">
        <f t="shared" si="39"/>
        <v>0</v>
      </c>
      <c r="AE109" s="57">
        <f t="shared" si="39"/>
        <v>0</v>
      </c>
      <c r="AF109" s="57">
        <f t="shared" si="39"/>
        <v>0</v>
      </c>
      <c r="AG109" s="57">
        <f t="shared" si="39"/>
        <v>0</v>
      </c>
      <c r="AH109" s="57">
        <f t="shared" si="39"/>
        <v>0</v>
      </c>
      <c r="AI109" s="57">
        <f t="shared" si="39"/>
        <v>0</v>
      </c>
      <c r="AJ109" s="57">
        <f t="shared" si="39"/>
        <v>0</v>
      </c>
      <c r="AK109" s="57">
        <f t="shared" si="39"/>
        <v>0</v>
      </c>
      <c r="AL109" s="27">
        <v>0.0</v>
      </c>
      <c r="AM109" s="27">
        <f t="shared" si="7"/>
        <v>0</v>
      </c>
    </row>
    <row r="110" ht="15.75" customHeight="1">
      <c r="A110" s="15" t="s">
        <v>387</v>
      </c>
      <c r="B110" s="15" t="s">
        <v>388</v>
      </c>
      <c r="C110" s="15" t="s">
        <v>119</v>
      </c>
      <c r="D110" s="56">
        <f>SUMIF('2015-16 12 Mnths'!$A:$A,'Variance16-17'!$A110,'2015-16 12 Mnths'!C:C)-SUMIF('Budget 12 Mnths'!$A:$A,'Variance16-17'!$A110,'Budget 12 Mnths'!D:D)</f>
        <v>-2040</v>
      </c>
      <c r="E110" s="56">
        <f>SUMIF('2015-16 12 Mnths'!$A:$A,'Variance16-17'!$A110,'2015-16 12 Mnths'!D:D)-SUMIF('Budget 12 Mnths'!$A:$A,'Variance16-17'!$A110,'Budget 12 Mnths'!E:E)</f>
        <v>0</v>
      </c>
      <c r="F110" s="56">
        <f>SUMIF('2015-16 12 Mnths'!$A:$A,'Variance16-17'!$A110,'2015-16 12 Mnths'!E:E)-SUMIF('Budget 12 Mnths'!$A:$A,'Variance16-17'!$A110,'Budget 12 Mnths'!F:F)</f>
        <v>0</v>
      </c>
      <c r="G110" s="56">
        <f>SUMIF('2015-16 12 Mnths'!$A:$A,'Variance16-17'!$A110,'2015-16 12 Mnths'!F:F)-SUMIF('Budget 12 Mnths'!$A:$A,'Variance16-17'!$A110,'Budget 12 Mnths'!G:G)</f>
        <v>0</v>
      </c>
      <c r="H110" s="56">
        <f>SUMIF('2015-16 12 Mnths'!$A:$A,'Variance16-17'!$A110,'2015-16 12 Mnths'!G:G)-SUMIF('Budget 12 Mnths'!$A:$A,'Variance16-17'!$A110,'Budget 12 Mnths'!H:H)</f>
        <v>0</v>
      </c>
      <c r="I110" s="56">
        <f>SUMIF('2015-16 12 Mnths'!$A:$A,'Variance16-17'!$A110,'2015-16 12 Mnths'!H:H)-SUMIF('Budget 12 Mnths'!$A:$A,'Variance16-17'!$A110,'Budget 12 Mnths'!I:I)</f>
        <v>0</v>
      </c>
      <c r="J110" s="56">
        <f>SUMIF('2015-16 12 Mnths'!$A:$A,'Variance16-17'!$A110,'2015-16 12 Mnths'!I:I)-SUMIF('Budget 12 Mnths'!$A:$A,'Variance16-17'!$A110,'Budget 12 Mnths'!J:J)</f>
        <v>0</v>
      </c>
      <c r="K110" s="56">
        <f>SUMIF('2015-16 12 Mnths'!$A:$A,'Variance16-17'!$A110,'2015-16 12 Mnths'!J:J)-SUMIF('Budget 12 Mnths'!$A:$A,'Variance16-17'!$A110,'Budget 12 Mnths'!K:K)</f>
        <v>0</v>
      </c>
      <c r="L110" s="56">
        <f>SUMIF('2015-16 12 Mnths'!$A:$A,'Variance16-17'!$A110,'2015-16 12 Mnths'!K:K)-SUMIF('Budget 12 Mnths'!$A:$A,'Variance16-17'!$A110,'Budget 12 Mnths'!L:L)</f>
        <v>0</v>
      </c>
      <c r="M110" s="56"/>
      <c r="N110" s="56"/>
      <c r="O110" s="56"/>
      <c r="P110" s="56">
        <f t="shared" si="1"/>
        <v>-2040</v>
      </c>
      <c r="Q110" s="14" t="str">
        <f>+VLOOKUP(A110,Mapping!$A$1:$E$443,5,FALSE)</f>
        <v>Salaries</v>
      </c>
      <c r="R110" s="26">
        <f>+SUMIF('Budget 12 Mnths'!$A:$A,'Variance16-17'!$A110,'Budget 12 Mnths'!$P:$P)</f>
        <v>4080</v>
      </c>
      <c r="S110" s="26">
        <f>+SUMIF('2015-16 12 Mnths'!$A:$A,'Variance16-17'!$A110,'2015-16 12 Mnths'!$O:$O)</f>
        <v>0</v>
      </c>
      <c r="T110" s="57">
        <f t="shared" si="2"/>
        <v>-0.5</v>
      </c>
      <c r="U110" s="57">
        <f t="shared" si="3"/>
        <v>0</v>
      </c>
      <c r="V110" s="8" t="s">
        <v>641</v>
      </c>
      <c r="W110" s="27">
        <v>4080.0</v>
      </c>
      <c r="X110" s="27">
        <f t="shared" si="40"/>
        <v>4080</v>
      </c>
      <c r="Z110" s="57">
        <f t="shared" si="41"/>
        <v>2040</v>
      </c>
      <c r="AA110" s="27">
        <v>2040.0</v>
      </c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>
        <v>2040.0</v>
      </c>
      <c r="AM110" s="27">
        <f t="shared" si="7"/>
        <v>0</v>
      </c>
    </row>
    <row r="111" ht="15.75" customHeight="1">
      <c r="A111" s="15" t="s">
        <v>389</v>
      </c>
      <c r="B111" s="15" t="s">
        <v>390</v>
      </c>
      <c r="C111" s="15" t="s">
        <v>119</v>
      </c>
      <c r="D111" s="56">
        <f>SUMIF('2015-16 12 Mnths'!$A:$A,'Variance16-17'!$A111,'2015-16 12 Mnths'!C:C)-SUMIF('Budget 12 Mnths'!$A:$A,'Variance16-17'!$A111,'Budget 12 Mnths'!D:D)</f>
        <v>200.76</v>
      </c>
      <c r="E111" s="56">
        <f>SUMIF('2015-16 12 Mnths'!$A:$A,'Variance16-17'!$A111,'2015-16 12 Mnths'!D:D)-SUMIF('Budget 12 Mnths'!$A:$A,'Variance16-17'!$A111,'Budget 12 Mnths'!E:E)</f>
        <v>3494.97</v>
      </c>
      <c r="F111" s="56">
        <f>SUMIF('2015-16 12 Mnths'!$A:$A,'Variance16-17'!$A111,'2015-16 12 Mnths'!E:E)-SUMIF('Budget 12 Mnths'!$A:$A,'Variance16-17'!$A111,'Budget 12 Mnths'!F:F)</f>
        <v>3494.97</v>
      </c>
      <c r="G111" s="56">
        <f>SUMIF('2015-16 12 Mnths'!$A:$A,'Variance16-17'!$A111,'2015-16 12 Mnths'!F:F)-SUMIF('Budget 12 Mnths'!$A:$A,'Variance16-17'!$A111,'Budget 12 Mnths'!G:G)</f>
        <v>3494.97</v>
      </c>
      <c r="H111" s="56">
        <f>SUMIF('2015-16 12 Mnths'!$A:$A,'Variance16-17'!$A111,'2015-16 12 Mnths'!G:G)-SUMIF('Budget 12 Mnths'!$A:$A,'Variance16-17'!$A111,'Budget 12 Mnths'!H:H)</f>
        <v>3494.97</v>
      </c>
      <c r="I111" s="56">
        <f>SUMIF('2015-16 12 Mnths'!$A:$A,'Variance16-17'!$A111,'2015-16 12 Mnths'!H:H)-SUMIF('Budget 12 Mnths'!$A:$A,'Variance16-17'!$A111,'Budget 12 Mnths'!I:I)</f>
        <v>3494.97</v>
      </c>
      <c r="J111" s="56">
        <f>SUMIF('2015-16 12 Mnths'!$A:$A,'Variance16-17'!$A111,'2015-16 12 Mnths'!I:I)-SUMIF('Budget 12 Mnths'!$A:$A,'Variance16-17'!$A111,'Budget 12 Mnths'!J:J)</f>
        <v>3494.97</v>
      </c>
      <c r="K111" s="56">
        <f>SUMIF('2015-16 12 Mnths'!$A:$A,'Variance16-17'!$A111,'2015-16 12 Mnths'!J:J)-SUMIF('Budget 12 Mnths'!$A:$A,'Variance16-17'!$A111,'Budget 12 Mnths'!K:K)</f>
        <v>3494.97</v>
      </c>
      <c r="L111" s="56">
        <f>SUMIF('2015-16 12 Mnths'!$A:$A,'Variance16-17'!$A111,'2015-16 12 Mnths'!K:K)-SUMIF('Budget 12 Mnths'!$A:$A,'Variance16-17'!$A111,'Budget 12 Mnths'!L:L)</f>
        <v>3494.97</v>
      </c>
      <c r="M111" s="56"/>
      <c r="N111" s="56"/>
      <c r="O111" s="56"/>
      <c r="P111" s="56">
        <f t="shared" si="1"/>
        <v>28160.52</v>
      </c>
      <c r="Q111" s="14" t="str">
        <f>+VLOOKUP(A111,Mapping!$A$1:$E$443,5,FALSE)</f>
        <v>Salaries</v>
      </c>
      <c r="R111" s="26">
        <f>+SUMIF('Budget 12 Mnths'!$A:$A,'Variance16-17'!$A111,'Budget 12 Mnths'!$P:$P)</f>
        <v>215882.28</v>
      </c>
      <c r="S111" s="26">
        <f>+SUMIF('2015-16 12 Mnths'!$A:$A,'Variance16-17'!$A111,'2015-16 12 Mnths'!$O:$O)</f>
        <v>200814.81</v>
      </c>
      <c r="T111" s="57">
        <f t="shared" si="2"/>
        <v>0.1304438697</v>
      </c>
      <c r="U111" s="57">
        <f t="shared" si="3"/>
        <v>0.1402312907</v>
      </c>
      <c r="V111" s="8" t="s">
        <v>594</v>
      </c>
      <c r="W111" s="57">
        <f>+SUMIF('Salaries 2019-20'!B$100:B$148,'Variance16-17'!A111,'Salaries 2019-20'!V$100:V$148)</f>
        <v>530934.32</v>
      </c>
      <c r="X111" s="51">
        <f t="shared" si="40"/>
        <v>530934.32</v>
      </c>
      <c r="Y111" s="8" t="s">
        <v>601</v>
      </c>
      <c r="Z111" s="57">
        <f t="shared" si="41"/>
        <v>265467.16</v>
      </c>
      <c r="AA111" s="57">
        <f t="shared" ref="AA111:AL111" si="42">+$X111/12</f>
        <v>44244.52667</v>
      </c>
      <c r="AB111" s="57">
        <f t="shared" si="42"/>
        <v>44244.52667</v>
      </c>
      <c r="AC111" s="57">
        <f t="shared" si="42"/>
        <v>44244.52667</v>
      </c>
      <c r="AD111" s="57">
        <f t="shared" si="42"/>
        <v>44244.52667</v>
      </c>
      <c r="AE111" s="57">
        <f t="shared" si="42"/>
        <v>44244.52667</v>
      </c>
      <c r="AF111" s="57">
        <f t="shared" si="42"/>
        <v>44244.52667</v>
      </c>
      <c r="AG111" s="57">
        <f t="shared" si="42"/>
        <v>44244.52667</v>
      </c>
      <c r="AH111" s="57">
        <f t="shared" si="42"/>
        <v>44244.52667</v>
      </c>
      <c r="AI111" s="57">
        <f t="shared" si="42"/>
        <v>44244.52667</v>
      </c>
      <c r="AJ111" s="57">
        <f t="shared" si="42"/>
        <v>44244.52667</v>
      </c>
      <c r="AK111" s="57">
        <f t="shared" si="42"/>
        <v>44244.52667</v>
      </c>
      <c r="AL111" s="57">
        <f t="shared" si="42"/>
        <v>44244.52667</v>
      </c>
      <c r="AM111" s="27">
        <f t="shared" si="7"/>
        <v>0</v>
      </c>
    </row>
    <row r="112" ht="15.75" customHeight="1">
      <c r="A112" s="15" t="s">
        <v>391</v>
      </c>
      <c r="B112" s="15" t="s">
        <v>392</v>
      </c>
      <c r="C112" s="15" t="s">
        <v>119</v>
      </c>
      <c r="D112" s="56">
        <f>SUMIF('2015-16 12 Mnths'!$A:$A,'Variance16-17'!$A112,'2015-16 12 Mnths'!C:C)-SUMIF('Budget 12 Mnths'!$A:$A,'Variance16-17'!$A112,'Budget 12 Mnths'!D:D)</f>
        <v>0</v>
      </c>
      <c r="E112" s="56">
        <f>SUMIF('2015-16 12 Mnths'!$A:$A,'Variance16-17'!$A112,'2015-16 12 Mnths'!D:D)-SUMIF('Budget 12 Mnths'!$A:$A,'Variance16-17'!$A112,'Budget 12 Mnths'!E:E)</f>
        <v>0</v>
      </c>
      <c r="F112" s="56">
        <f>SUMIF('2015-16 12 Mnths'!$A:$A,'Variance16-17'!$A112,'2015-16 12 Mnths'!E:E)-SUMIF('Budget 12 Mnths'!$A:$A,'Variance16-17'!$A112,'Budget 12 Mnths'!F:F)</f>
        <v>0</v>
      </c>
      <c r="G112" s="56">
        <f>SUMIF('2015-16 12 Mnths'!$A:$A,'Variance16-17'!$A112,'2015-16 12 Mnths'!F:F)-SUMIF('Budget 12 Mnths'!$A:$A,'Variance16-17'!$A112,'Budget 12 Mnths'!G:G)</f>
        <v>0</v>
      </c>
      <c r="H112" s="56">
        <f>SUMIF('2015-16 12 Mnths'!$A:$A,'Variance16-17'!$A112,'2015-16 12 Mnths'!G:G)-SUMIF('Budget 12 Mnths'!$A:$A,'Variance16-17'!$A112,'Budget 12 Mnths'!H:H)</f>
        <v>0</v>
      </c>
      <c r="I112" s="56">
        <f>SUMIF('2015-16 12 Mnths'!$A:$A,'Variance16-17'!$A112,'2015-16 12 Mnths'!H:H)-SUMIF('Budget 12 Mnths'!$A:$A,'Variance16-17'!$A112,'Budget 12 Mnths'!I:I)</f>
        <v>0</v>
      </c>
      <c r="J112" s="56">
        <f>SUMIF('2015-16 12 Mnths'!$A:$A,'Variance16-17'!$A112,'2015-16 12 Mnths'!I:I)-SUMIF('Budget 12 Mnths'!$A:$A,'Variance16-17'!$A112,'Budget 12 Mnths'!J:J)</f>
        <v>0</v>
      </c>
      <c r="K112" s="56">
        <f>SUMIF('2015-16 12 Mnths'!$A:$A,'Variance16-17'!$A112,'2015-16 12 Mnths'!J:J)-SUMIF('Budget 12 Mnths'!$A:$A,'Variance16-17'!$A112,'Budget 12 Mnths'!K:K)</f>
        <v>0</v>
      </c>
      <c r="L112" s="56">
        <f>SUMIF('2015-16 12 Mnths'!$A:$A,'Variance16-17'!$A112,'2015-16 12 Mnths'!K:K)-SUMIF('Budget 12 Mnths'!$A:$A,'Variance16-17'!$A112,'Budget 12 Mnths'!L:L)</f>
        <v>0</v>
      </c>
      <c r="M112" s="56"/>
      <c r="N112" s="56"/>
      <c r="O112" s="56"/>
      <c r="P112" s="56">
        <f t="shared" si="1"/>
        <v>0</v>
      </c>
      <c r="Q112" s="14" t="str">
        <f>+VLOOKUP(A112,Mapping!$A$1:$E$443,5,FALSE)</f>
        <v>Salaries</v>
      </c>
      <c r="R112" s="26">
        <f>+SUMIF('Budget 12 Mnths'!$A:$A,'Variance16-17'!$A112,'Budget 12 Mnths'!$P:$P)</f>
        <v>0</v>
      </c>
      <c r="S112" s="26">
        <f>+SUMIF('2015-16 12 Mnths'!$A:$A,'Variance16-17'!$A112,'2015-16 12 Mnths'!$O:$O)</f>
        <v>0</v>
      </c>
      <c r="T112" s="57">
        <f t="shared" si="2"/>
        <v>0</v>
      </c>
      <c r="U112" s="57">
        <f t="shared" si="3"/>
        <v>0</v>
      </c>
      <c r="W112" s="57">
        <f>+SUMIF('Salaries 2019-20'!B:B,'Variance16-17'!A112,'Salaries 2019-20'!V:V)</f>
        <v>0</v>
      </c>
      <c r="X112" s="51">
        <f t="shared" si="40"/>
        <v>0</v>
      </c>
      <c r="Z112" s="57">
        <f t="shared" si="41"/>
        <v>0</v>
      </c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>
        <f t="shared" si="7"/>
        <v>0</v>
      </c>
    </row>
    <row r="113" ht="15.75" customHeight="1">
      <c r="A113" s="15" t="s">
        <v>393</v>
      </c>
      <c r="B113" s="15" t="s">
        <v>394</v>
      </c>
      <c r="C113" s="15" t="s">
        <v>119</v>
      </c>
      <c r="D113" s="56">
        <f>SUMIF('2015-16 12 Mnths'!$A:$A,'Variance16-17'!$A113,'2015-16 12 Mnths'!C:C)-SUMIF('Budget 12 Mnths'!$A:$A,'Variance16-17'!$A113,'Budget 12 Mnths'!D:D)</f>
        <v>0</v>
      </c>
      <c r="E113" s="56">
        <f>SUMIF('2015-16 12 Mnths'!$A:$A,'Variance16-17'!$A113,'2015-16 12 Mnths'!D:D)-SUMIF('Budget 12 Mnths'!$A:$A,'Variance16-17'!$A113,'Budget 12 Mnths'!E:E)</f>
        <v>0</v>
      </c>
      <c r="F113" s="56">
        <f>SUMIF('2015-16 12 Mnths'!$A:$A,'Variance16-17'!$A113,'2015-16 12 Mnths'!E:E)-SUMIF('Budget 12 Mnths'!$A:$A,'Variance16-17'!$A113,'Budget 12 Mnths'!F:F)</f>
        <v>0</v>
      </c>
      <c r="G113" s="56">
        <f>SUMIF('2015-16 12 Mnths'!$A:$A,'Variance16-17'!$A113,'2015-16 12 Mnths'!F:F)-SUMIF('Budget 12 Mnths'!$A:$A,'Variance16-17'!$A113,'Budget 12 Mnths'!G:G)</f>
        <v>0</v>
      </c>
      <c r="H113" s="56">
        <f>SUMIF('2015-16 12 Mnths'!$A:$A,'Variance16-17'!$A113,'2015-16 12 Mnths'!G:G)-SUMIF('Budget 12 Mnths'!$A:$A,'Variance16-17'!$A113,'Budget 12 Mnths'!H:H)</f>
        <v>0</v>
      </c>
      <c r="I113" s="56">
        <f>SUMIF('2015-16 12 Mnths'!$A:$A,'Variance16-17'!$A113,'2015-16 12 Mnths'!H:H)-SUMIF('Budget 12 Mnths'!$A:$A,'Variance16-17'!$A113,'Budget 12 Mnths'!I:I)</f>
        <v>0</v>
      </c>
      <c r="J113" s="56">
        <f>SUMIF('2015-16 12 Mnths'!$A:$A,'Variance16-17'!$A113,'2015-16 12 Mnths'!I:I)-SUMIF('Budget 12 Mnths'!$A:$A,'Variance16-17'!$A113,'Budget 12 Mnths'!J:J)</f>
        <v>0</v>
      </c>
      <c r="K113" s="56">
        <f>SUMIF('2015-16 12 Mnths'!$A:$A,'Variance16-17'!$A113,'2015-16 12 Mnths'!J:J)-SUMIF('Budget 12 Mnths'!$A:$A,'Variance16-17'!$A113,'Budget 12 Mnths'!K:K)</f>
        <v>0</v>
      </c>
      <c r="L113" s="56">
        <f>SUMIF('2015-16 12 Mnths'!$A:$A,'Variance16-17'!$A113,'2015-16 12 Mnths'!K:K)-SUMIF('Budget 12 Mnths'!$A:$A,'Variance16-17'!$A113,'Budget 12 Mnths'!L:L)</f>
        <v>0</v>
      </c>
      <c r="M113" s="56"/>
      <c r="N113" s="56"/>
      <c r="O113" s="56"/>
      <c r="P113" s="56">
        <f t="shared" si="1"/>
        <v>0</v>
      </c>
      <c r="Q113" s="14" t="str">
        <f>+VLOOKUP(A113,Mapping!$A$1:$E$443,5,FALSE)</f>
        <v>Salaries</v>
      </c>
      <c r="R113" s="26">
        <f>+SUMIF('Budget 12 Mnths'!$A:$A,'Variance16-17'!$A113,'Budget 12 Mnths'!$P:$P)</f>
        <v>46818</v>
      </c>
      <c r="S113" s="26">
        <f>+SUMIF('2015-16 12 Mnths'!$A:$A,'Variance16-17'!$A113,'2015-16 12 Mnths'!$O:$O)</f>
        <v>37064.25</v>
      </c>
      <c r="T113" s="57">
        <f t="shared" si="2"/>
        <v>0</v>
      </c>
      <c r="U113" s="57">
        <f t="shared" si="3"/>
        <v>0</v>
      </c>
      <c r="V113" s="8" t="s">
        <v>594</v>
      </c>
      <c r="W113" s="57">
        <f>+SUMIF('Salaries 2019-20'!B$100:B$148,'Variance16-17'!A113,'Salaries 2019-20'!V$100:V$148)</f>
        <v>24780</v>
      </c>
      <c r="X113" s="51">
        <f t="shared" si="40"/>
        <v>24780</v>
      </c>
      <c r="Y113" s="8" t="s">
        <v>601</v>
      </c>
      <c r="Z113" s="57">
        <f t="shared" si="41"/>
        <v>12390</v>
      </c>
      <c r="AA113" s="57">
        <f t="shared" ref="AA113:AL113" si="43">+$X113/12</f>
        <v>2065</v>
      </c>
      <c r="AB113" s="57">
        <f t="shared" si="43"/>
        <v>2065</v>
      </c>
      <c r="AC113" s="57">
        <f t="shared" si="43"/>
        <v>2065</v>
      </c>
      <c r="AD113" s="57">
        <f t="shared" si="43"/>
        <v>2065</v>
      </c>
      <c r="AE113" s="57">
        <f t="shared" si="43"/>
        <v>2065</v>
      </c>
      <c r="AF113" s="57">
        <f t="shared" si="43"/>
        <v>2065</v>
      </c>
      <c r="AG113" s="57">
        <f t="shared" si="43"/>
        <v>2065</v>
      </c>
      <c r="AH113" s="57">
        <f t="shared" si="43"/>
        <v>2065</v>
      </c>
      <c r="AI113" s="57">
        <f t="shared" si="43"/>
        <v>2065</v>
      </c>
      <c r="AJ113" s="57">
        <f t="shared" si="43"/>
        <v>2065</v>
      </c>
      <c r="AK113" s="57">
        <f t="shared" si="43"/>
        <v>2065</v>
      </c>
      <c r="AL113" s="57">
        <f t="shared" si="43"/>
        <v>2065</v>
      </c>
      <c r="AM113" s="27">
        <f t="shared" si="7"/>
        <v>0</v>
      </c>
    </row>
    <row r="114" ht="15.75" customHeight="1">
      <c r="A114" s="15" t="s">
        <v>395</v>
      </c>
      <c r="B114" s="15" t="s">
        <v>396</v>
      </c>
      <c r="C114" s="15" t="s">
        <v>119</v>
      </c>
      <c r="D114" s="56">
        <f>SUMIF('2015-16 12 Mnths'!$A:$A,'Variance16-17'!$A114,'2015-16 12 Mnths'!C:C)-SUMIF('Budget 12 Mnths'!$A:$A,'Variance16-17'!$A114,'Budget 12 Mnths'!D:D)</f>
        <v>-260</v>
      </c>
      <c r="E114" s="56">
        <f>SUMIF('2015-16 12 Mnths'!$A:$A,'Variance16-17'!$A114,'2015-16 12 Mnths'!D:D)-SUMIF('Budget 12 Mnths'!$A:$A,'Variance16-17'!$A114,'Budget 12 Mnths'!E:E)</f>
        <v>-260</v>
      </c>
      <c r="F114" s="56">
        <f>SUMIF('2015-16 12 Mnths'!$A:$A,'Variance16-17'!$A114,'2015-16 12 Mnths'!E:E)-SUMIF('Budget 12 Mnths'!$A:$A,'Variance16-17'!$A114,'Budget 12 Mnths'!F:F)</f>
        <v>1740</v>
      </c>
      <c r="G114" s="56">
        <f>SUMIF('2015-16 12 Mnths'!$A:$A,'Variance16-17'!$A114,'2015-16 12 Mnths'!F:F)-SUMIF('Budget 12 Mnths'!$A:$A,'Variance16-17'!$A114,'Budget 12 Mnths'!G:G)</f>
        <v>640</v>
      </c>
      <c r="H114" s="56">
        <f>SUMIF('2015-16 12 Mnths'!$A:$A,'Variance16-17'!$A114,'2015-16 12 Mnths'!G:G)-SUMIF('Budget 12 Mnths'!$A:$A,'Variance16-17'!$A114,'Budget 12 Mnths'!H:H)</f>
        <v>1240</v>
      </c>
      <c r="I114" s="56">
        <f>SUMIF('2015-16 12 Mnths'!$A:$A,'Variance16-17'!$A114,'2015-16 12 Mnths'!H:H)-SUMIF('Budget 12 Mnths'!$A:$A,'Variance16-17'!$A114,'Budget 12 Mnths'!I:I)</f>
        <v>-260</v>
      </c>
      <c r="J114" s="56">
        <f>SUMIF('2015-16 12 Mnths'!$A:$A,'Variance16-17'!$A114,'2015-16 12 Mnths'!I:I)-SUMIF('Budget 12 Mnths'!$A:$A,'Variance16-17'!$A114,'Budget 12 Mnths'!J:J)</f>
        <v>-260</v>
      </c>
      <c r="K114" s="56">
        <f>SUMIF('2015-16 12 Mnths'!$A:$A,'Variance16-17'!$A114,'2015-16 12 Mnths'!J:J)-SUMIF('Budget 12 Mnths'!$A:$A,'Variance16-17'!$A114,'Budget 12 Mnths'!K:K)</f>
        <v>-260</v>
      </c>
      <c r="L114" s="56">
        <f>SUMIF('2015-16 12 Mnths'!$A:$A,'Variance16-17'!$A114,'2015-16 12 Mnths'!K:K)-SUMIF('Budget 12 Mnths'!$A:$A,'Variance16-17'!$A114,'Budget 12 Mnths'!L:L)</f>
        <v>-385</v>
      </c>
      <c r="M114" s="56"/>
      <c r="N114" s="56"/>
      <c r="O114" s="56"/>
      <c r="P114" s="56">
        <f t="shared" si="1"/>
        <v>1935</v>
      </c>
      <c r="Q114" s="14" t="str">
        <f>+VLOOKUP(A114,Mapping!$A$1:$E$443,5,FALSE)</f>
        <v>Salaries</v>
      </c>
      <c r="R114" s="26">
        <f>+SUMIF('Budget 12 Mnths'!$A:$A,'Variance16-17'!$A114,'Budget 12 Mnths'!$P:$P)</f>
        <v>6120</v>
      </c>
      <c r="S114" s="26">
        <f>+SUMIF('2015-16 12 Mnths'!$A:$A,'Variance16-17'!$A114,'2015-16 12 Mnths'!$O:$O)</f>
        <v>7025</v>
      </c>
      <c r="T114" s="57">
        <f t="shared" si="2"/>
        <v>0.3161764706</v>
      </c>
      <c r="U114" s="57">
        <f t="shared" si="3"/>
        <v>0.2754448399</v>
      </c>
      <c r="V114" s="8" t="s">
        <v>594</v>
      </c>
      <c r="W114" s="57">
        <f>+SUMIF('Salaries 2019-20'!B$100:B$148,'Variance16-17'!A114,'Salaries 2019-20'!V$100:V$148)</f>
        <v>17508</v>
      </c>
      <c r="X114" s="51">
        <f t="shared" si="40"/>
        <v>17508</v>
      </c>
      <c r="Y114" s="8" t="s">
        <v>601</v>
      </c>
      <c r="Z114" s="57">
        <f t="shared" si="41"/>
        <v>8754</v>
      </c>
      <c r="AA114" s="27"/>
      <c r="AB114" s="27"/>
      <c r="AC114" s="27"/>
      <c r="AD114" s="27">
        <v>1233.3333333333333</v>
      </c>
      <c r="AE114" s="27">
        <v>1233.3333333333333</v>
      </c>
      <c r="AF114" s="27">
        <v>1233.3333333333333</v>
      </c>
      <c r="AG114" s="27">
        <v>1233.33</v>
      </c>
      <c r="AH114" s="27">
        <v>1233.33</v>
      </c>
      <c r="AI114" s="27">
        <v>1233.33</v>
      </c>
      <c r="AJ114" s="27">
        <v>108.01</v>
      </c>
      <c r="AK114" s="27"/>
      <c r="AL114" s="27"/>
      <c r="AM114" s="27">
        <f t="shared" si="7"/>
        <v>-10000</v>
      </c>
    </row>
    <row r="115" ht="15.75" customHeight="1">
      <c r="A115" s="15" t="s">
        <v>397</v>
      </c>
      <c r="B115" s="15" t="s">
        <v>398</v>
      </c>
      <c r="C115" s="15" t="s">
        <v>119</v>
      </c>
      <c r="D115" s="56">
        <f>SUMIF('2015-16 12 Mnths'!$A:$A,'Variance16-17'!$A115,'2015-16 12 Mnths'!C:C)-SUMIF('Budget 12 Mnths'!$A:$A,'Variance16-17'!$A115,'Budget 12 Mnths'!D:D)</f>
        <v>0</v>
      </c>
      <c r="E115" s="56">
        <f>SUMIF('2015-16 12 Mnths'!$A:$A,'Variance16-17'!$A115,'2015-16 12 Mnths'!D:D)-SUMIF('Budget 12 Mnths'!$A:$A,'Variance16-17'!$A115,'Budget 12 Mnths'!E:E)</f>
        <v>-52.41</v>
      </c>
      <c r="F115" s="56">
        <f>SUMIF('2015-16 12 Mnths'!$A:$A,'Variance16-17'!$A115,'2015-16 12 Mnths'!E:E)-SUMIF('Budget 12 Mnths'!$A:$A,'Variance16-17'!$A115,'Budget 12 Mnths'!F:F)</f>
        <v>-63.15</v>
      </c>
      <c r="G115" s="56">
        <f>SUMIF('2015-16 12 Mnths'!$A:$A,'Variance16-17'!$A115,'2015-16 12 Mnths'!F:F)-SUMIF('Budget 12 Mnths'!$A:$A,'Variance16-17'!$A115,'Budget 12 Mnths'!G:G)</f>
        <v>-63.15</v>
      </c>
      <c r="H115" s="56">
        <f>SUMIF('2015-16 12 Mnths'!$A:$A,'Variance16-17'!$A115,'2015-16 12 Mnths'!G:G)-SUMIF('Budget 12 Mnths'!$A:$A,'Variance16-17'!$A115,'Budget 12 Mnths'!H:H)</f>
        <v>-63.15</v>
      </c>
      <c r="I115" s="56">
        <f>SUMIF('2015-16 12 Mnths'!$A:$A,'Variance16-17'!$A115,'2015-16 12 Mnths'!H:H)-SUMIF('Budget 12 Mnths'!$A:$A,'Variance16-17'!$A115,'Budget 12 Mnths'!I:I)</f>
        <v>-63.15</v>
      </c>
      <c r="J115" s="56">
        <f>SUMIF('2015-16 12 Mnths'!$A:$A,'Variance16-17'!$A115,'2015-16 12 Mnths'!I:I)-SUMIF('Budget 12 Mnths'!$A:$A,'Variance16-17'!$A115,'Budget 12 Mnths'!J:J)</f>
        <v>-63.15</v>
      </c>
      <c r="K115" s="56">
        <f>SUMIF('2015-16 12 Mnths'!$A:$A,'Variance16-17'!$A115,'2015-16 12 Mnths'!J:J)-SUMIF('Budget 12 Mnths'!$A:$A,'Variance16-17'!$A115,'Budget 12 Mnths'!K:K)</f>
        <v>-63.15</v>
      </c>
      <c r="L115" s="56">
        <f>SUMIF('2015-16 12 Mnths'!$A:$A,'Variance16-17'!$A115,'2015-16 12 Mnths'!K:K)-SUMIF('Budget 12 Mnths'!$A:$A,'Variance16-17'!$A115,'Budget 12 Mnths'!L:L)</f>
        <v>-63.15</v>
      </c>
      <c r="M115" s="56"/>
      <c r="N115" s="56"/>
      <c r="O115" s="56"/>
      <c r="P115" s="56">
        <f t="shared" si="1"/>
        <v>-494.46</v>
      </c>
      <c r="Q115" s="14" t="str">
        <f>+VLOOKUP(A115,Mapping!$A$1:$E$443,5,FALSE)</f>
        <v>Salaries</v>
      </c>
      <c r="R115" s="26">
        <f>+SUMIF('Budget 12 Mnths'!$A:$A,'Variance16-17'!$A115,'Budget 12 Mnths'!$P:$P)</f>
        <v>5099.92</v>
      </c>
      <c r="S115" s="26">
        <f>+SUMIF('2015-16 12 Mnths'!$A:$A,'Variance16-17'!$A115,'2015-16 12 Mnths'!$O:$O)</f>
        <v>3719.27</v>
      </c>
      <c r="T115" s="57">
        <f t="shared" si="2"/>
        <v>-0.09695446203</v>
      </c>
      <c r="U115" s="57">
        <f t="shared" si="3"/>
        <v>-0.1329454436</v>
      </c>
      <c r="V115" s="8" t="s">
        <v>594</v>
      </c>
      <c r="W115" s="57">
        <f>+SUMIF('Salaries 2019-20'!B$100:B$148,'Variance16-17'!A115,'Salaries 2019-20'!V$100:V$148)</f>
        <v>9317.7</v>
      </c>
      <c r="X115" s="51">
        <f t="shared" si="40"/>
        <v>9317.7</v>
      </c>
      <c r="Z115" s="57">
        <f>+X115/9.5*4.5</f>
        <v>4413.647368</v>
      </c>
      <c r="AA115" s="27">
        <v>0.0</v>
      </c>
      <c r="AB115" s="57">
        <f>+$X115/9.5*0.5</f>
        <v>490.4052632</v>
      </c>
      <c r="AC115" s="57">
        <f t="shared" ref="AC115:AK115" si="44">+$X115/9.5</f>
        <v>980.8105263</v>
      </c>
      <c r="AD115" s="57">
        <f t="shared" si="44"/>
        <v>980.8105263</v>
      </c>
      <c r="AE115" s="57">
        <f t="shared" si="44"/>
        <v>980.8105263</v>
      </c>
      <c r="AF115" s="57">
        <f t="shared" si="44"/>
        <v>980.8105263</v>
      </c>
      <c r="AG115" s="57">
        <f t="shared" si="44"/>
        <v>980.8105263</v>
      </c>
      <c r="AH115" s="57">
        <f t="shared" si="44"/>
        <v>980.8105263</v>
      </c>
      <c r="AI115" s="57">
        <f t="shared" si="44"/>
        <v>980.8105263</v>
      </c>
      <c r="AJ115" s="57">
        <f t="shared" si="44"/>
        <v>980.8105263</v>
      </c>
      <c r="AK115" s="57">
        <f t="shared" si="44"/>
        <v>980.8105263</v>
      </c>
      <c r="AL115" s="27">
        <v>0.0</v>
      </c>
      <c r="AM115" s="27">
        <f t="shared" si="7"/>
        <v>0</v>
      </c>
    </row>
    <row r="116" ht="15.75" customHeight="1">
      <c r="A116" s="15" t="s">
        <v>399</v>
      </c>
      <c r="B116" s="15" t="s">
        <v>400</v>
      </c>
      <c r="C116" s="15" t="s">
        <v>119</v>
      </c>
      <c r="D116" s="56">
        <f>SUMIF('2015-16 12 Mnths'!$A:$A,'Variance16-17'!$A116,'2015-16 12 Mnths'!C:C)-SUMIF('Budget 12 Mnths'!$A:$A,'Variance16-17'!$A116,'Budget 12 Mnths'!D:D)</f>
        <v>-26368.76</v>
      </c>
      <c r="E116" s="56">
        <f>SUMIF('2015-16 12 Mnths'!$A:$A,'Variance16-17'!$A116,'2015-16 12 Mnths'!D:D)-SUMIF('Budget 12 Mnths'!$A:$A,'Variance16-17'!$A116,'Budget 12 Mnths'!E:E)</f>
        <v>-9533.65</v>
      </c>
      <c r="F116" s="56">
        <f>SUMIF('2015-16 12 Mnths'!$A:$A,'Variance16-17'!$A116,'2015-16 12 Mnths'!E:E)-SUMIF('Budget 12 Mnths'!$A:$A,'Variance16-17'!$A116,'Budget 12 Mnths'!F:F)</f>
        <v>7301.45</v>
      </c>
      <c r="G116" s="56">
        <f>SUMIF('2015-16 12 Mnths'!$A:$A,'Variance16-17'!$A116,'2015-16 12 Mnths'!F:F)-SUMIF('Budget 12 Mnths'!$A:$A,'Variance16-17'!$A116,'Budget 12 Mnths'!G:G)</f>
        <v>7301.45</v>
      </c>
      <c r="H116" s="56">
        <f>SUMIF('2015-16 12 Mnths'!$A:$A,'Variance16-17'!$A116,'2015-16 12 Mnths'!G:G)-SUMIF('Budget 12 Mnths'!$A:$A,'Variance16-17'!$A116,'Budget 12 Mnths'!H:H)</f>
        <v>7301.45</v>
      </c>
      <c r="I116" s="56">
        <f>SUMIF('2015-16 12 Mnths'!$A:$A,'Variance16-17'!$A116,'2015-16 12 Mnths'!H:H)-SUMIF('Budget 12 Mnths'!$A:$A,'Variance16-17'!$A116,'Budget 12 Mnths'!I:I)</f>
        <v>7301.45</v>
      </c>
      <c r="J116" s="56">
        <f>SUMIF('2015-16 12 Mnths'!$A:$A,'Variance16-17'!$A116,'2015-16 12 Mnths'!I:I)-SUMIF('Budget 12 Mnths'!$A:$A,'Variance16-17'!$A116,'Budget 12 Mnths'!J:J)</f>
        <v>7301.45</v>
      </c>
      <c r="K116" s="56">
        <f>SUMIF('2015-16 12 Mnths'!$A:$A,'Variance16-17'!$A116,'2015-16 12 Mnths'!J:J)-SUMIF('Budget 12 Mnths'!$A:$A,'Variance16-17'!$A116,'Budget 12 Mnths'!K:K)</f>
        <v>7301.45</v>
      </c>
      <c r="L116" s="56">
        <f>SUMIF('2015-16 12 Mnths'!$A:$A,'Variance16-17'!$A116,'2015-16 12 Mnths'!K:K)-SUMIF('Budget 12 Mnths'!$A:$A,'Variance16-17'!$A116,'Budget 12 Mnths'!L:L)</f>
        <v>7301.45</v>
      </c>
      <c r="M116" s="56"/>
      <c r="N116" s="56"/>
      <c r="O116" s="56"/>
      <c r="P116" s="56">
        <f t="shared" si="1"/>
        <v>15207.74</v>
      </c>
      <c r="Q116" s="14" t="str">
        <f>+VLOOKUP(A116,Mapping!$A$1:$E$443,5,FALSE)</f>
        <v>Salaries</v>
      </c>
      <c r="R116" s="26">
        <f>+SUMIF('Budget 12 Mnths'!$A:$A,'Variance16-17'!$A116,'Budget 12 Mnths'!$P:$P)</f>
        <v>0</v>
      </c>
      <c r="S116" s="26">
        <f>+SUMIF('2015-16 12 Mnths'!$A:$A,'Variance16-17'!$A116,'2015-16 12 Mnths'!$O:$O)</f>
        <v>15207.74</v>
      </c>
      <c r="T116" s="57">
        <f t="shared" si="2"/>
        <v>0</v>
      </c>
      <c r="U116" s="57">
        <f t="shared" si="3"/>
        <v>1</v>
      </c>
      <c r="W116" s="57">
        <f>+SUMIF('Salaries 2019-20'!B:B,'Variance16-17'!A116,'Salaries 2019-20'!V:V)</f>
        <v>0</v>
      </c>
      <c r="X116" s="51">
        <f t="shared" si="40"/>
        <v>0</v>
      </c>
      <c r="Z116" s="57">
        <f>+X116/2</f>
        <v>0</v>
      </c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>
        <f t="shared" si="7"/>
        <v>0</v>
      </c>
    </row>
    <row r="117" ht="15.75" customHeight="1">
      <c r="A117" s="15" t="s">
        <v>401</v>
      </c>
      <c r="B117" s="15" t="s">
        <v>402</v>
      </c>
      <c r="C117" s="15" t="s">
        <v>119</v>
      </c>
      <c r="D117" s="56">
        <f>SUMIF('2015-16 12 Mnths'!$A:$A,'Variance16-17'!$A117,'2015-16 12 Mnths'!C:C)-SUMIF('Budget 12 Mnths'!$A:$A,'Variance16-17'!$A117,'Budget 12 Mnths'!D:D)</f>
        <v>0</v>
      </c>
      <c r="E117" s="56">
        <f>SUMIF('2015-16 12 Mnths'!$A:$A,'Variance16-17'!$A117,'2015-16 12 Mnths'!D:D)-SUMIF('Budget 12 Mnths'!$A:$A,'Variance16-17'!$A117,'Budget 12 Mnths'!E:E)</f>
        <v>410.49</v>
      </c>
      <c r="F117" s="56">
        <f>SUMIF('2015-16 12 Mnths'!$A:$A,'Variance16-17'!$A117,'2015-16 12 Mnths'!E:E)-SUMIF('Budget 12 Mnths'!$A:$A,'Variance16-17'!$A117,'Budget 12 Mnths'!F:F)</f>
        <v>190.98</v>
      </c>
      <c r="G117" s="56">
        <f>SUMIF('2015-16 12 Mnths'!$A:$A,'Variance16-17'!$A117,'2015-16 12 Mnths'!F:F)-SUMIF('Budget 12 Mnths'!$A:$A,'Variance16-17'!$A117,'Budget 12 Mnths'!G:G)</f>
        <v>138.48</v>
      </c>
      <c r="H117" s="56">
        <f>SUMIF('2015-16 12 Mnths'!$A:$A,'Variance16-17'!$A117,'2015-16 12 Mnths'!G:G)-SUMIF('Budget 12 Mnths'!$A:$A,'Variance16-17'!$A117,'Budget 12 Mnths'!H:H)</f>
        <v>-124.02</v>
      </c>
      <c r="I117" s="56">
        <f>SUMIF('2015-16 12 Mnths'!$A:$A,'Variance16-17'!$A117,'2015-16 12 Mnths'!H:H)-SUMIF('Budget 12 Mnths'!$A:$A,'Variance16-17'!$A117,'Budget 12 Mnths'!I:I)</f>
        <v>-176.52</v>
      </c>
      <c r="J117" s="56">
        <f>SUMIF('2015-16 12 Mnths'!$A:$A,'Variance16-17'!$A117,'2015-16 12 Mnths'!I:I)-SUMIF('Budget 12 Mnths'!$A:$A,'Variance16-17'!$A117,'Budget 12 Mnths'!J:J)</f>
        <v>-19.02</v>
      </c>
      <c r="K117" s="56">
        <f>SUMIF('2015-16 12 Mnths'!$A:$A,'Variance16-17'!$A117,'2015-16 12 Mnths'!J:J)-SUMIF('Budget 12 Mnths'!$A:$A,'Variance16-17'!$A117,'Budget 12 Mnths'!K:K)</f>
        <v>85.98</v>
      </c>
      <c r="L117" s="56">
        <f>SUMIF('2015-16 12 Mnths'!$A:$A,'Variance16-17'!$A117,'2015-16 12 Mnths'!K:K)-SUMIF('Budget 12 Mnths'!$A:$A,'Variance16-17'!$A117,'Budget 12 Mnths'!L:L)</f>
        <v>85.98</v>
      </c>
      <c r="M117" s="56"/>
      <c r="N117" s="56"/>
      <c r="O117" s="56"/>
      <c r="P117" s="56">
        <f t="shared" si="1"/>
        <v>592.35</v>
      </c>
      <c r="Q117" s="14" t="str">
        <f>+VLOOKUP(A117,Mapping!$A$1:$E$443,5,FALSE)</f>
        <v>Salaries</v>
      </c>
      <c r="R117" s="26">
        <f>+SUMIF('Budget 12 Mnths'!$A:$A,'Variance16-17'!$A117,'Budget 12 Mnths'!$P:$P)</f>
        <v>8160.68</v>
      </c>
      <c r="S117" s="26">
        <f>+SUMIF('2015-16 12 Mnths'!$A:$A,'Variance16-17'!$A117,'2015-16 12 Mnths'!$O:$O)</f>
        <v>7612.5</v>
      </c>
      <c r="T117" s="57">
        <f t="shared" si="2"/>
        <v>0.07258586294</v>
      </c>
      <c r="U117" s="57">
        <f t="shared" si="3"/>
        <v>0.07781280788</v>
      </c>
      <c r="V117" s="8" t="s">
        <v>594</v>
      </c>
      <c r="W117" s="57">
        <f>+SUMIF('Salaries 2019-20'!B$100:B$148,'Variance16-17'!A117,'Salaries 2019-20'!V$100:V$148)</f>
        <v>18089.8375</v>
      </c>
      <c r="X117" s="51">
        <f t="shared" si="40"/>
        <v>18089.8375</v>
      </c>
      <c r="Z117" s="57">
        <f>+X117/9.5*4.5</f>
        <v>8568.870395</v>
      </c>
      <c r="AA117" s="27">
        <v>0.0</v>
      </c>
      <c r="AB117" s="57">
        <f>+$X117/9.5*0.5</f>
        <v>952.0967105</v>
      </c>
      <c r="AC117" s="57">
        <f t="shared" ref="AC117:AK117" si="45">+$X117/9.5</f>
        <v>1904.193421</v>
      </c>
      <c r="AD117" s="57">
        <f t="shared" si="45"/>
        <v>1904.193421</v>
      </c>
      <c r="AE117" s="57">
        <f t="shared" si="45"/>
        <v>1904.193421</v>
      </c>
      <c r="AF117" s="57">
        <f t="shared" si="45"/>
        <v>1904.193421</v>
      </c>
      <c r="AG117" s="57">
        <f t="shared" si="45"/>
        <v>1904.193421</v>
      </c>
      <c r="AH117" s="57">
        <f t="shared" si="45"/>
        <v>1904.193421</v>
      </c>
      <c r="AI117" s="57">
        <f t="shared" si="45"/>
        <v>1904.193421</v>
      </c>
      <c r="AJ117" s="57">
        <f t="shared" si="45"/>
        <v>1904.193421</v>
      </c>
      <c r="AK117" s="57">
        <f t="shared" si="45"/>
        <v>1904.193421</v>
      </c>
      <c r="AL117" s="27">
        <v>0.0</v>
      </c>
      <c r="AM117" s="27">
        <f t="shared" si="7"/>
        <v>0</v>
      </c>
    </row>
    <row r="118" ht="15.75" customHeight="1">
      <c r="A118" s="15" t="s">
        <v>404</v>
      </c>
      <c r="B118" s="15" t="s">
        <v>405</v>
      </c>
      <c r="C118" s="15" t="s">
        <v>119</v>
      </c>
      <c r="D118" s="56">
        <f>SUMIF('2015-16 12 Mnths'!$A:$A,'Variance16-17'!$A118,'2015-16 12 Mnths'!C:C)-SUMIF('Budget 12 Mnths'!$A:$A,'Variance16-17'!$A118,'Budget 12 Mnths'!D:D)</f>
        <v>0</v>
      </c>
      <c r="E118" s="56">
        <f>SUMIF('2015-16 12 Mnths'!$A:$A,'Variance16-17'!$A118,'2015-16 12 Mnths'!D:D)-SUMIF('Budget 12 Mnths'!$A:$A,'Variance16-17'!$A118,'Budget 12 Mnths'!E:E)</f>
        <v>0</v>
      </c>
      <c r="F118" s="56">
        <f>SUMIF('2015-16 12 Mnths'!$A:$A,'Variance16-17'!$A118,'2015-16 12 Mnths'!E:E)-SUMIF('Budget 12 Mnths'!$A:$A,'Variance16-17'!$A118,'Budget 12 Mnths'!F:F)</f>
        <v>0</v>
      </c>
      <c r="G118" s="56">
        <f>SUMIF('2015-16 12 Mnths'!$A:$A,'Variance16-17'!$A118,'2015-16 12 Mnths'!F:F)-SUMIF('Budget 12 Mnths'!$A:$A,'Variance16-17'!$A118,'Budget 12 Mnths'!G:G)</f>
        <v>0</v>
      </c>
      <c r="H118" s="56">
        <f>SUMIF('2015-16 12 Mnths'!$A:$A,'Variance16-17'!$A118,'2015-16 12 Mnths'!G:G)-SUMIF('Budget 12 Mnths'!$A:$A,'Variance16-17'!$A118,'Budget 12 Mnths'!H:H)</f>
        <v>0</v>
      </c>
      <c r="I118" s="56">
        <f>SUMIF('2015-16 12 Mnths'!$A:$A,'Variance16-17'!$A118,'2015-16 12 Mnths'!H:H)-SUMIF('Budget 12 Mnths'!$A:$A,'Variance16-17'!$A118,'Budget 12 Mnths'!I:I)</f>
        <v>0</v>
      </c>
      <c r="J118" s="56">
        <f>SUMIF('2015-16 12 Mnths'!$A:$A,'Variance16-17'!$A118,'2015-16 12 Mnths'!I:I)-SUMIF('Budget 12 Mnths'!$A:$A,'Variance16-17'!$A118,'Budget 12 Mnths'!J:J)</f>
        <v>0</v>
      </c>
      <c r="K118" s="56">
        <f>SUMIF('2015-16 12 Mnths'!$A:$A,'Variance16-17'!$A118,'2015-16 12 Mnths'!J:J)-SUMIF('Budget 12 Mnths'!$A:$A,'Variance16-17'!$A118,'Budget 12 Mnths'!K:K)</f>
        <v>0</v>
      </c>
      <c r="L118" s="56">
        <f>SUMIF('2015-16 12 Mnths'!$A:$A,'Variance16-17'!$A118,'2015-16 12 Mnths'!K:K)-SUMIF('Budget 12 Mnths'!$A:$A,'Variance16-17'!$A118,'Budget 12 Mnths'!L:L)</f>
        <v>0</v>
      </c>
      <c r="M118" s="56"/>
      <c r="N118" s="56"/>
      <c r="O118" s="56"/>
      <c r="P118" s="56">
        <f t="shared" si="1"/>
        <v>0</v>
      </c>
      <c r="Q118" s="14" t="str">
        <f>+VLOOKUP(A118,Mapping!$A$1:$E$443,5,FALSE)</f>
        <v>Salaries</v>
      </c>
      <c r="R118" s="26">
        <f>+SUMIF('Budget 12 Mnths'!$A:$A,'Variance16-17'!$A118,'Budget 12 Mnths'!$P:$P)</f>
        <v>0</v>
      </c>
      <c r="S118" s="26">
        <f>+SUMIF('2015-16 12 Mnths'!$A:$A,'Variance16-17'!$A118,'2015-16 12 Mnths'!$O:$O)</f>
        <v>0</v>
      </c>
      <c r="T118" s="57">
        <f t="shared" si="2"/>
        <v>0</v>
      </c>
      <c r="U118" s="57">
        <f t="shared" si="3"/>
        <v>0</v>
      </c>
      <c r="W118" s="57">
        <f>+SUMIF('Salaries 2019-20'!B$100:B$148,'Variance16-17'!A118,'Salaries 2019-20'!V$100:V$148)</f>
        <v>0</v>
      </c>
      <c r="X118" s="51">
        <f t="shared" si="40"/>
        <v>0</v>
      </c>
      <c r="Z118" s="57">
        <f t="shared" ref="Z118:Z120" si="46">+X118/2</f>
        <v>0</v>
      </c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>
        <f t="shared" si="7"/>
        <v>0</v>
      </c>
    </row>
    <row r="119" ht="15.75" customHeight="1">
      <c r="A119" s="15" t="s">
        <v>407</v>
      </c>
      <c r="B119" s="15" t="s">
        <v>408</v>
      </c>
      <c r="C119" s="15" t="s">
        <v>119</v>
      </c>
      <c r="D119" s="56">
        <f>SUMIF('2015-16 12 Mnths'!$A:$A,'Variance16-17'!$A119,'2015-16 12 Mnths'!C:C)-SUMIF('Budget 12 Mnths'!$A:$A,'Variance16-17'!$A119,'Budget 12 Mnths'!D:D)</f>
        <v>0</v>
      </c>
      <c r="E119" s="56">
        <f>SUMIF('2015-16 12 Mnths'!$A:$A,'Variance16-17'!$A119,'2015-16 12 Mnths'!D:D)-SUMIF('Budget 12 Mnths'!$A:$A,'Variance16-17'!$A119,'Budget 12 Mnths'!E:E)</f>
        <v>0</v>
      </c>
      <c r="F119" s="56">
        <f>SUMIF('2015-16 12 Mnths'!$A:$A,'Variance16-17'!$A119,'2015-16 12 Mnths'!E:E)-SUMIF('Budget 12 Mnths'!$A:$A,'Variance16-17'!$A119,'Budget 12 Mnths'!F:F)</f>
        <v>0</v>
      </c>
      <c r="G119" s="56">
        <f>SUMIF('2015-16 12 Mnths'!$A:$A,'Variance16-17'!$A119,'2015-16 12 Mnths'!F:F)-SUMIF('Budget 12 Mnths'!$A:$A,'Variance16-17'!$A119,'Budget 12 Mnths'!G:G)</f>
        <v>0</v>
      </c>
      <c r="H119" s="56">
        <f>SUMIF('2015-16 12 Mnths'!$A:$A,'Variance16-17'!$A119,'2015-16 12 Mnths'!G:G)-SUMIF('Budget 12 Mnths'!$A:$A,'Variance16-17'!$A119,'Budget 12 Mnths'!H:H)</f>
        <v>0</v>
      </c>
      <c r="I119" s="56">
        <f>SUMIF('2015-16 12 Mnths'!$A:$A,'Variance16-17'!$A119,'2015-16 12 Mnths'!H:H)-SUMIF('Budget 12 Mnths'!$A:$A,'Variance16-17'!$A119,'Budget 12 Mnths'!I:I)</f>
        <v>0</v>
      </c>
      <c r="J119" s="56">
        <f>SUMIF('2015-16 12 Mnths'!$A:$A,'Variance16-17'!$A119,'2015-16 12 Mnths'!I:I)-SUMIF('Budget 12 Mnths'!$A:$A,'Variance16-17'!$A119,'Budget 12 Mnths'!J:J)</f>
        <v>0</v>
      </c>
      <c r="K119" s="56">
        <f>SUMIF('2015-16 12 Mnths'!$A:$A,'Variance16-17'!$A119,'2015-16 12 Mnths'!J:J)-SUMIF('Budget 12 Mnths'!$A:$A,'Variance16-17'!$A119,'Budget 12 Mnths'!K:K)</f>
        <v>0</v>
      </c>
      <c r="L119" s="56">
        <f>SUMIF('2015-16 12 Mnths'!$A:$A,'Variance16-17'!$A119,'2015-16 12 Mnths'!K:K)-SUMIF('Budget 12 Mnths'!$A:$A,'Variance16-17'!$A119,'Budget 12 Mnths'!L:L)</f>
        <v>0</v>
      </c>
      <c r="M119" s="56"/>
      <c r="N119" s="56"/>
      <c r="O119" s="56"/>
      <c r="P119" s="56">
        <f t="shared" si="1"/>
        <v>0</v>
      </c>
      <c r="Q119" s="14" t="str">
        <f>+VLOOKUP(A119,Mapping!$A$1:$E$443,5,FALSE)</f>
        <v>Salaries</v>
      </c>
      <c r="R119" s="26">
        <f>+SUMIF('Budget 12 Mnths'!$A:$A,'Variance16-17'!$A119,'Budget 12 Mnths'!$P:$P)</f>
        <v>0</v>
      </c>
      <c r="S119" s="26">
        <f>+SUMIF('2015-16 12 Mnths'!$A:$A,'Variance16-17'!$A119,'2015-16 12 Mnths'!$O:$O)</f>
        <v>0</v>
      </c>
      <c r="T119" s="57">
        <f t="shared" si="2"/>
        <v>0</v>
      </c>
      <c r="U119" s="57">
        <f t="shared" si="3"/>
        <v>0</v>
      </c>
      <c r="W119" s="57">
        <f>+SUMIF('Salaries 2019-20'!B$100:B$148,'Variance16-17'!A119,'Salaries 2019-20'!V$100:V$148)</f>
        <v>0</v>
      </c>
      <c r="X119" s="51">
        <f t="shared" si="40"/>
        <v>0</v>
      </c>
      <c r="Z119" s="57">
        <f t="shared" si="46"/>
        <v>0</v>
      </c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>
        <f t="shared" si="7"/>
        <v>0</v>
      </c>
    </row>
    <row r="120" ht="15.75" customHeight="1">
      <c r="A120" s="15" t="s">
        <v>410</v>
      </c>
      <c r="B120" s="15" t="s">
        <v>412</v>
      </c>
      <c r="C120" s="15" t="s">
        <v>119</v>
      </c>
      <c r="D120" s="56">
        <f>SUMIF('2015-16 12 Mnths'!$A:$A,'Variance16-17'!$A120,'2015-16 12 Mnths'!C:C)-SUMIF('Budget 12 Mnths'!$A:$A,'Variance16-17'!$A120,'Budget 12 Mnths'!D:D)</f>
        <v>0</v>
      </c>
      <c r="E120" s="56">
        <f>SUMIF('2015-16 12 Mnths'!$A:$A,'Variance16-17'!$A120,'2015-16 12 Mnths'!D:D)-SUMIF('Budget 12 Mnths'!$A:$A,'Variance16-17'!$A120,'Budget 12 Mnths'!E:E)</f>
        <v>-446.62</v>
      </c>
      <c r="F120" s="56">
        <f>SUMIF('2015-16 12 Mnths'!$A:$A,'Variance16-17'!$A120,'2015-16 12 Mnths'!E:E)-SUMIF('Budget 12 Mnths'!$A:$A,'Variance16-17'!$A120,'Budget 12 Mnths'!F:F)</f>
        <v>-446.62</v>
      </c>
      <c r="G120" s="56">
        <f>SUMIF('2015-16 12 Mnths'!$A:$A,'Variance16-17'!$A120,'2015-16 12 Mnths'!F:F)-SUMIF('Budget 12 Mnths'!$A:$A,'Variance16-17'!$A120,'Budget 12 Mnths'!G:G)</f>
        <v>-743.24</v>
      </c>
      <c r="H120" s="56">
        <f>SUMIF('2015-16 12 Mnths'!$A:$A,'Variance16-17'!$A120,'2015-16 12 Mnths'!G:G)-SUMIF('Budget 12 Mnths'!$A:$A,'Variance16-17'!$A120,'Budget 12 Mnths'!H:H)</f>
        <v>-693.24</v>
      </c>
      <c r="I120" s="56">
        <f>SUMIF('2015-16 12 Mnths'!$A:$A,'Variance16-17'!$A120,'2015-16 12 Mnths'!H:H)-SUMIF('Budget 12 Mnths'!$A:$A,'Variance16-17'!$A120,'Budget 12 Mnths'!I:I)</f>
        <v>-693.24</v>
      </c>
      <c r="J120" s="56">
        <f>SUMIF('2015-16 12 Mnths'!$A:$A,'Variance16-17'!$A120,'2015-16 12 Mnths'!I:I)-SUMIF('Budget 12 Mnths'!$A:$A,'Variance16-17'!$A120,'Budget 12 Mnths'!J:J)</f>
        <v>-743.24</v>
      </c>
      <c r="K120" s="56">
        <f>SUMIF('2015-16 12 Mnths'!$A:$A,'Variance16-17'!$A120,'2015-16 12 Mnths'!J:J)-SUMIF('Budget 12 Mnths'!$A:$A,'Variance16-17'!$A120,'Budget 12 Mnths'!K:K)</f>
        <v>-693.24</v>
      </c>
      <c r="L120" s="56">
        <f>SUMIF('2015-16 12 Mnths'!$A:$A,'Variance16-17'!$A120,'2015-16 12 Mnths'!K:K)-SUMIF('Budget 12 Mnths'!$A:$A,'Variance16-17'!$A120,'Budget 12 Mnths'!L:L)</f>
        <v>-693.24</v>
      </c>
      <c r="M120" s="56"/>
      <c r="N120" s="56"/>
      <c r="O120" s="56"/>
      <c r="P120" s="56">
        <f t="shared" si="1"/>
        <v>-5152.68</v>
      </c>
      <c r="Q120" s="14" t="str">
        <f>+VLOOKUP(A120,Mapping!$A$1:$E$443,5,FALSE)</f>
        <v>Salaries</v>
      </c>
      <c r="R120" s="26">
        <f>+SUMIF('Budget 12 Mnths'!$A:$A,'Variance16-17'!$A120,'Budget 12 Mnths'!$P:$P)</f>
        <v>6584.92</v>
      </c>
      <c r="S120" s="26">
        <f>+SUMIF('2015-16 12 Mnths'!$A:$A,'Variance16-17'!$A120,'2015-16 12 Mnths'!$O:$O)</f>
        <v>0</v>
      </c>
      <c r="T120" s="57">
        <f t="shared" si="2"/>
        <v>-0.7824969779</v>
      </c>
      <c r="U120" s="57">
        <f t="shared" si="3"/>
        <v>0</v>
      </c>
      <c r="W120" s="57">
        <f>+SUMIF('Salaries 2019-20'!B$100:B$148,'Variance16-17'!A120,'Salaries 2019-20'!V$100:V$148)</f>
        <v>0</v>
      </c>
      <c r="X120" s="51">
        <f t="shared" si="40"/>
        <v>0</v>
      </c>
      <c r="Z120" s="57">
        <f t="shared" si="46"/>
        <v>0</v>
      </c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>
        <f t="shared" si="7"/>
        <v>0</v>
      </c>
    </row>
    <row r="121" ht="15.75" customHeight="1">
      <c r="A121" s="15" t="s">
        <v>420</v>
      </c>
      <c r="B121" s="15" t="s">
        <v>421</v>
      </c>
      <c r="C121" s="15" t="s">
        <v>119</v>
      </c>
      <c r="D121" s="56">
        <f>SUMIF('2015-16 12 Mnths'!$A:$A,'Variance16-17'!$A121,'2015-16 12 Mnths'!C:C)-SUMIF('Budget 12 Mnths'!$A:$A,'Variance16-17'!$A121,'Budget 12 Mnths'!D:D)</f>
        <v>0</v>
      </c>
      <c r="E121" s="56">
        <f>SUMIF('2015-16 12 Mnths'!$A:$A,'Variance16-17'!$A121,'2015-16 12 Mnths'!D:D)-SUMIF('Budget 12 Mnths'!$A:$A,'Variance16-17'!$A121,'Budget 12 Mnths'!E:E)</f>
        <v>400</v>
      </c>
      <c r="F121" s="56">
        <f>SUMIF('2015-16 12 Mnths'!$A:$A,'Variance16-17'!$A121,'2015-16 12 Mnths'!E:E)-SUMIF('Budget 12 Mnths'!$A:$A,'Variance16-17'!$A121,'Budget 12 Mnths'!F:F)</f>
        <v>400</v>
      </c>
      <c r="G121" s="56">
        <f>SUMIF('2015-16 12 Mnths'!$A:$A,'Variance16-17'!$A121,'2015-16 12 Mnths'!F:F)-SUMIF('Budget 12 Mnths'!$A:$A,'Variance16-17'!$A121,'Budget 12 Mnths'!G:G)</f>
        <v>400</v>
      </c>
      <c r="H121" s="56">
        <f>SUMIF('2015-16 12 Mnths'!$A:$A,'Variance16-17'!$A121,'2015-16 12 Mnths'!G:G)-SUMIF('Budget 12 Mnths'!$A:$A,'Variance16-17'!$A121,'Budget 12 Mnths'!H:H)</f>
        <v>400</v>
      </c>
      <c r="I121" s="56">
        <f>SUMIF('2015-16 12 Mnths'!$A:$A,'Variance16-17'!$A121,'2015-16 12 Mnths'!H:H)-SUMIF('Budget 12 Mnths'!$A:$A,'Variance16-17'!$A121,'Budget 12 Mnths'!I:I)</f>
        <v>400</v>
      </c>
      <c r="J121" s="56">
        <f>SUMIF('2015-16 12 Mnths'!$A:$A,'Variance16-17'!$A121,'2015-16 12 Mnths'!I:I)-SUMIF('Budget 12 Mnths'!$A:$A,'Variance16-17'!$A121,'Budget 12 Mnths'!J:J)</f>
        <v>400</v>
      </c>
      <c r="K121" s="56">
        <f>SUMIF('2015-16 12 Mnths'!$A:$A,'Variance16-17'!$A121,'2015-16 12 Mnths'!J:J)-SUMIF('Budget 12 Mnths'!$A:$A,'Variance16-17'!$A121,'Budget 12 Mnths'!K:K)</f>
        <v>400</v>
      </c>
      <c r="L121" s="56">
        <f>SUMIF('2015-16 12 Mnths'!$A:$A,'Variance16-17'!$A121,'2015-16 12 Mnths'!K:K)-SUMIF('Budget 12 Mnths'!$A:$A,'Variance16-17'!$A121,'Budget 12 Mnths'!L:L)</f>
        <v>400</v>
      </c>
      <c r="M121" s="56"/>
      <c r="N121" s="56"/>
      <c r="O121" s="56"/>
      <c r="P121" s="56">
        <f t="shared" si="1"/>
        <v>3200</v>
      </c>
      <c r="Q121" s="14" t="str">
        <f>+VLOOKUP(A121,Mapping!$A$1:$E$443,5,FALSE)</f>
        <v>Salaries</v>
      </c>
      <c r="R121" s="26">
        <f>+SUMIF('Budget 12 Mnths'!$A:$A,'Variance16-17'!$A121,'Budget 12 Mnths'!$P:$P)</f>
        <v>0</v>
      </c>
      <c r="S121" s="26">
        <f>+SUMIF('2015-16 12 Mnths'!$A:$A,'Variance16-17'!$A121,'2015-16 12 Mnths'!$O:$O)</f>
        <v>3400</v>
      </c>
      <c r="T121" s="57">
        <f t="shared" si="2"/>
        <v>0</v>
      </c>
      <c r="U121" s="57">
        <f t="shared" si="3"/>
        <v>0.9411764706</v>
      </c>
      <c r="V121" s="8" t="s">
        <v>594</v>
      </c>
      <c r="W121" s="57">
        <f>+SUMIF('Salaries 2019-20'!B$100:B$148,'Variance16-17'!A121,'Salaries 2019-20'!V$100:V$148)</f>
        <v>4800</v>
      </c>
      <c r="X121" s="51">
        <f t="shared" si="40"/>
        <v>4800</v>
      </c>
      <c r="Z121" s="57">
        <f>+X121/9.5*4.5</f>
        <v>2273.684211</v>
      </c>
      <c r="AA121" s="27">
        <v>0.0</v>
      </c>
      <c r="AB121" s="57">
        <f>+$X121/9.5*0.5</f>
        <v>252.6315789</v>
      </c>
      <c r="AC121" s="57">
        <f t="shared" ref="AC121:AK121" si="47">+$X121/9.5</f>
        <v>505.2631579</v>
      </c>
      <c r="AD121" s="57">
        <f t="shared" si="47"/>
        <v>505.2631579</v>
      </c>
      <c r="AE121" s="57">
        <f t="shared" si="47"/>
        <v>505.2631579</v>
      </c>
      <c r="AF121" s="57">
        <f t="shared" si="47"/>
        <v>505.2631579</v>
      </c>
      <c r="AG121" s="57">
        <f t="shared" si="47"/>
        <v>505.2631579</v>
      </c>
      <c r="AH121" s="57">
        <f t="shared" si="47"/>
        <v>505.2631579</v>
      </c>
      <c r="AI121" s="57">
        <f t="shared" si="47"/>
        <v>505.2631579</v>
      </c>
      <c r="AJ121" s="57">
        <f t="shared" si="47"/>
        <v>505.2631579</v>
      </c>
      <c r="AK121" s="57">
        <f t="shared" si="47"/>
        <v>505.2631579</v>
      </c>
      <c r="AL121" s="27">
        <v>0.0</v>
      </c>
      <c r="AM121" s="27">
        <f t="shared" si="7"/>
        <v>0</v>
      </c>
    </row>
    <row r="122" ht="15.75" customHeight="1">
      <c r="A122" s="15" t="s">
        <v>433</v>
      </c>
      <c r="B122" s="15" t="s">
        <v>434</v>
      </c>
      <c r="C122" s="15" t="s">
        <v>119</v>
      </c>
      <c r="D122" s="56">
        <f>SUMIF('2015-16 12 Mnths'!$A:$A,'Variance16-17'!$A122,'2015-16 12 Mnths'!C:C)-SUMIF('Budget 12 Mnths'!$A:$A,'Variance16-17'!$A122,'Budget 12 Mnths'!D:D)</f>
        <v>0</v>
      </c>
      <c r="E122" s="56">
        <f>SUMIF('2015-16 12 Mnths'!$A:$A,'Variance16-17'!$A122,'2015-16 12 Mnths'!D:D)-SUMIF('Budget 12 Mnths'!$A:$A,'Variance16-17'!$A122,'Budget 12 Mnths'!E:E)</f>
        <v>0</v>
      </c>
      <c r="F122" s="56">
        <f>SUMIF('2015-16 12 Mnths'!$A:$A,'Variance16-17'!$A122,'2015-16 12 Mnths'!E:E)-SUMIF('Budget 12 Mnths'!$A:$A,'Variance16-17'!$A122,'Budget 12 Mnths'!F:F)</f>
        <v>0</v>
      </c>
      <c r="G122" s="56">
        <f>SUMIF('2015-16 12 Mnths'!$A:$A,'Variance16-17'!$A122,'2015-16 12 Mnths'!F:F)-SUMIF('Budget 12 Mnths'!$A:$A,'Variance16-17'!$A122,'Budget 12 Mnths'!G:G)</f>
        <v>0</v>
      </c>
      <c r="H122" s="56">
        <f>SUMIF('2015-16 12 Mnths'!$A:$A,'Variance16-17'!$A122,'2015-16 12 Mnths'!G:G)-SUMIF('Budget 12 Mnths'!$A:$A,'Variance16-17'!$A122,'Budget 12 Mnths'!H:H)</f>
        <v>0</v>
      </c>
      <c r="I122" s="56">
        <f>SUMIF('2015-16 12 Mnths'!$A:$A,'Variance16-17'!$A122,'2015-16 12 Mnths'!H:H)-SUMIF('Budget 12 Mnths'!$A:$A,'Variance16-17'!$A122,'Budget 12 Mnths'!I:I)</f>
        <v>1516.57</v>
      </c>
      <c r="J122" s="56">
        <f>SUMIF('2015-16 12 Mnths'!$A:$A,'Variance16-17'!$A122,'2015-16 12 Mnths'!I:I)-SUMIF('Budget 12 Mnths'!$A:$A,'Variance16-17'!$A122,'Budget 12 Mnths'!J:J)</f>
        <v>0</v>
      </c>
      <c r="K122" s="56">
        <f>SUMIF('2015-16 12 Mnths'!$A:$A,'Variance16-17'!$A122,'2015-16 12 Mnths'!J:J)-SUMIF('Budget 12 Mnths'!$A:$A,'Variance16-17'!$A122,'Budget 12 Mnths'!K:K)</f>
        <v>0</v>
      </c>
      <c r="L122" s="56">
        <f>SUMIF('2015-16 12 Mnths'!$A:$A,'Variance16-17'!$A122,'2015-16 12 Mnths'!K:K)-SUMIF('Budget 12 Mnths'!$A:$A,'Variance16-17'!$A122,'Budget 12 Mnths'!L:L)</f>
        <v>-270.71</v>
      </c>
      <c r="M122" s="56"/>
      <c r="N122" s="56"/>
      <c r="O122" s="56"/>
      <c r="P122" s="56">
        <f t="shared" si="1"/>
        <v>1245.86</v>
      </c>
      <c r="Q122" s="14" t="str">
        <f>+VLOOKUP(A122,Mapping!$A$1:$E$443,5,FALSE)</f>
        <v>Salaries</v>
      </c>
      <c r="R122" s="26">
        <f>+SUMIF('Budget 12 Mnths'!$A:$A,'Variance16-17'!$A122,'Budget 12 Mnths'!$P:$P)</f>
        <v>3085.5</v>
      </c>
      <c r="S122" s="26">
        <f>+SUMIF('2015-16 12 Mnths'!$A:$A,'Variance16-17'!$A122,'2015-16 12 Mnths'!$O:$O)</f>
        <v>4631.36</v>
      </c>
      <c r="T122" s="57">
        <f t="shared" si="2"/>
        <v>0.4037789661</v>
      </c>
      <c r="U122" s="57">
        <f t="shared" si="3"/>
        <v>0.2690052166</v>
      </c>
      <c r="V122" s="8" t="s">
        <v>594</v>
      </c>
      <c r="W122" s="57">
        <f>+SUMIF('Salaries 2019-20'!B$100:B$148,'Variance16-17'!A122,'Salaries 2019-20'!V$100:V$148)</f>
        <v>2436.39</v>
      </c>
      <c r="X122" s="51">
        <f t="shared" si="40"/>
        <v>2436.39</v>
      </c>
      <c r="Y122" s="8" t="s">
        <v>601</v>
      </c>
      <c r="Z122" s="57">
        <v>3789.94</v>
      </c>
      <c r="AA122" s="27"/>
      <c r="AB122" s="27"/>
      <c r="AC122" s="27"/>
      <c r="AD122" s="27"/>
      <c r="AE122" s="27"/>
      <c r="AF122" s="27">
        <f>3789.94+0.29</f>
        <v>3790.23</v>
      </c>
      <c r="AG122" s="27"/>
      <c r="AH122" s="27"/>
      <c r="AI122" s="27"/>
      <c r="AJ122" s="27"/>
      <c r="AK122" s="27"/>
      <c r="AL122" s="27"/>
      <c r="AM122" s="27">
        <f t="shared" si="7"/>
        <v>1353.84</v>
      </c>
    </row>
    <row r="123" ht="15.75" customHeight="1">
      <c r="A123" s="15" t="s">
        <v>435</v>
      </c>
      <c r="B123" s="15" t="s">
        <v>434</v>
      </c>
      <c r="C123" s="15" t="s">
        <v>119</v>
      </c>
      <c r="D123" s="56">
        <f>SUMIF('2015-16 12 Mnths'!$A:$A,'Variance16-17'!$A123,'2015-16 12 Mnths'!C:C)-SUMIF('Budget 12 Mnths'!$A:$A,'Variance16-17'!$A123,'Budget 12 Mnths'!D:D)</f>
        <v>0</v>
      </c>
      <c r="E123" s="56">
        <f>SUMIF('2015-16 12 Mnths'!$A:$A,'Variance16-17'!$A123,'2015-16 12 Mnths'!D:D)-SUMIF('Budget 12 Mnths'!$A:$A,'Variance16-17'!$A123,'Budget 12 Mnths'!E:E)</f>
        <v>0</v>
      </c>
      <c r="F123" s="56">
        <f>SUMIF('2015-16 12 Mnths'!$A:$A,'Variance16-17'!$A123,'2015-16 12 Mnths'!E:E)-SUMIF('Budget 12 Mnths'!$A:$A,'Variance16-17'!$A123,'Budget 12 Mnths'!F:F)</f>
        <v>0</v>
      </c>
      <c r="G123" s="56">
        <f>SUMIF('2015-16 12 Mnths'!$A:$A,'Variance16-17'!$A123,'2015-16 12 Mnths'!F:F)-SUMIF('Budget 12 Mnths'!$A:$A,'Variance16-17'!$A123,'Budget 12 Mnths'!G:G)</f>
        <v>0</v>
      </c>
      <c r="H123" s="56">
        <f>SUMIF('2015-16 12 Mnths'!$A:$A,'Variance16-17'!$A123,'2015-16 12 Mnths'!G:G)-SUMIF('Budget 12 Mnths'!$A:$A,'Variance16-17'!$A123,'Budget 12 Mnths'!H:H)</f>
        <v>0</v>
      </c>
      <c r="I123" s="56">
        <f>SUMIF('2015-16 12 Mnths'!$A:$A,'Variance16-17'!$A123,'2015-16 12 Mnths'!H:H)-SUMIF('Budget 12 Mnths'!$A:$A,'Variance16-17'!$A123,'Budget 12 Mnths'!I:I)</f>
        <v>-1122</v>
      </c>
      <c r="J123" s="56">
        <f>SUMIF('2015-16 12 Mnths'!$A:$A,'Variance16-17'!$A123,'2015-16 12 Mnths'!I:I)-SUMIF('Budget 12 Mnths'!$A:$A,'Variance16-17'!$A123,'Budget 12 Mnths'!J:J)</f>
        <v>0</v>
      </c>
      <c r="K123" s="56">
        <f>SUMIF('2015-16 12 Mnths'!$A:$A,'Variance16-17'!$A123,'2015-16 12 Mnths'!J:J)-SUMIF('Budget 12 Mnths'!$A:$A,'Variance16-17'!$A123,'Budget 12 Mnths'!K:K)</f>
        <v>0</v>
      </c>
      <c r="L123" s="56">
        <f>SUMIF('2015-16 12 Mnths'!$A:$A,'Variance16-17'!$A123,'2015-16 12 Mnths'!K:K)-SUMIF('Budget 12 Mnths'!$A:$A,'Variance16-17'!$A123,'Budget 12 Mnths'!L:L)</f>
        <v>0</v>
      </c>
      <c r="M123" s="56"/>
      <c r="N123" s="56"/>
      <c r="O123" s="56"/>
      <c r="P123" s="56">
        <f t="shared" si="1"/>
        <v>-1122</v>
      </c>
      <c r="Q123" s="14" t="str">
        <f>+VLOOKUP(A123,Mapping!$A$1:$E$443,5,FALSE)</f>
        <v>Salaries</v>
      </c>
      <c r="R123" s="26">
        <f>+SUMIF('Budget 12 Mnths'!$A:$A,'Variance16-17'!$A123,'Budget 12 Mnths'!$P:$P)</f>
        <v>1122</v>
      </c>
      <c r="S123" s="26">
        <f>+SUMIF('2015-16 12 Mnths'!$A:$A,'Variance16-17'!$A123,'2015-16 12 Mnths'!$O:$O)</f>
        <v>0</v>
      </c>
      <c r="T123" s="57">
        <f t="shared" si="2"/>
        <v>-1</v>
      </c>
      <c r="U123" s="57">
        <f t="shared" si="3"/>
        <v>0</v>
      </c>
      <c r="V123" s="8" t="s">
        <v>594</v>
      </c>
      <c r="W123" s="57">
        <f>+SUMIF('Salaries 2019-20'!B$100:B$148,'Variance16-17'!A123,'Salaries 2019-20'!V$100:V$148)</f>
        <v>1355</v>
      </c>
      <c r="X123" s="51">
        <f t="shared" si="40"/>
        <v>1355</v>
      </c>
      <c r="Z123" s="57">
        <f t="shared" ref="Z123:Z136" si="48">+X123/2</f>
        <v>677.5</v>
      </c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>
        <f t="shared" si="7"/>
        <v>-1355</v>
      </c>
    </row>
    <row r="124" ht="15.75" customHeight="1">
      <c r="A124" s="15" t="s">
        <v>436</v>
      </c>
      <c r="B124" s="15" t="s">
        <v>434</v>
      </c>
      <c r="C124" s="15" t="s">
        <v>119</v>
      </c>
      <c r="D124" s="56">
        <f>SUMIF('2015-16 12 Mnths'!$A:$A,'Variance16-17'!$A124,'2015-16 12 Mnths'!C:C)-SUMIF('Budget 12 Mnths'!$A:$A,'Variance16-17'!$A124,'Budget 12 Mnths'!D:D)</f>
        <v>0</v>
      </c>
      <c r="E124" s="56">
        <f>SUMIF('2015-16 12 Mnths'!$A:$A,'Variance16-17'!$A124,'2015-16 12 Mnths'!D:D)-SUMIF('Budget 12 Mnths'!$A:$A,'Variance16-17'!$A124,'Budget 12 Mnths'!E:E)</f>
        <v>0</v>
      </c>
      <c r="F124" s="56">
        <f>SUMIF('2015-16 12 Mnths'!$A:$A,'Variance16-17'!$A124,'2015-16 12 Mnths'!E:E)-SUMIF('Budget 12 Mnths'!$A:$A,'Variance16-17'!$A124,'Budget 12 Mnths'!F:F)</f>
        <v>0</v>
      </c>
      <c r="G124" s="56">
        <f>SUMIF('2015-16 12 Mnths'!$A:$A,'Variance16-17'!$A124,'2015-16 12 Mnths'!F:F)-SUMIF('Budget 12 Mnths'!$A:$A,'Variance16-17'!$A124,'Budget 12 Mnths'!G:G)</f>
        <v>0</v>
      </c>
      <c r="H124" s="56">
        <f>SUMIF('2015-16 12 Mnths'!$A:$A,'Variance16-17'!$A124,'2015-16 12 Mnths'!G:G)-SUMIF('Budget 12 Mnths'!$A:$A,'Variance16-17'!$A124,'Budget 12 Mnths'!H:H)</f>
        <v>0</v>
      </c>
      <c r="I124" s="56">
        <f>SUMIF('2015-16 12 Mnths'!$A:$A,'Variance16-17'!$A124,'2015-16 12 Mnths'!H:H)-SUMIF('Budget 12 Mnths'!$A:$A,'Variance16-17'!$A124,'Budget 12 Mnths'!I:I)</f>
        <v>0</v>
      </c>
      <c r="J124" s="56">
        <f>SUMIF('2015-16 12 Mnths'!$A:$A,'Variance16-17'!$A124,'2015-16 12 Mnths'!I:I)-SUMIF('Budget 12 Mnths'!$A:$A,'Variance16-17'!$A124,'Budget 12 Mnths'!J:J)</f>
        <v>0</v>
      </c>
      <c r="K124" s="56">
        <f>SUMIF('2015-16 12 Mnths'!$A:$A,'Variance16-17'!$A124,'2015-16 12 Mnths'!J:J)-SUMIF('Budget 12 Mnths'!$A:$A,'Variance16-17'!$A124,'Budget 12 Mnths'!K:K)</f>
        <v>0</v>
      </c>
      <c r="L124" s="56">
        <f>SUMIF('2015-16 12 Mnths'!$A:$A,'Variance16-17'!$A124,'2015-16 12 Mnths'!K:K)-SUMIF('Budget 12 Mnths'!$A:$A,'Variance16-17'!$A124,'Budget 12 Mnths'!L:L)</f>
        <v>0</v>
      </c>
      <c r="M124" s="56"/>
      <c r="N124" s="56"/>
      <c r="O124" s="56"/>
      <c r="P124" s="56">
        <f t="shared" si="1"/>
        <v>0</v>
      </c>
      <c r="Q124" s="14" t="str">
        <f>+VLOOKUP(A124,Mapping!$A$1:$E$443,5,FALSE)</f>
        <v>Salaries</v>
      </c>
      <c r="R124" s="26">
        <f>+SUMIF('Budget 12 Mnths'!$A:$A,'Variance16-17'!$A124,'Budget 12 Mnths'!$P:$P)</f>
        <v>0</v>
      </c>
      <c r="S124" s="26">
        <f>+SUMIF('2015-16 12 Mnths'!$A:$A,'Variance16-17'!$A124,'2015-16 12 Mnths'!$O:$O)</f>
        <v>0</v>
      </c>
      <c r="T124" s="57">
        <f t="shared" si="2"/>
        <v>0</v>
      </c>
      <c r="U124" s="57">
        <f t="shared" si="3"/>
        <v>0</v>
      </c>
      <c r="W124" s="57">
        <f>+SUMIF('Salaries 2019-20'!B$100:B$148,'Variance16-17'!A124,'Salaries 2019-20'!V$100:V$148)</f>
        <v>0</v>
      </c>
      <c r="X124" s="51">
        <f t="shared" si="40"/>
        <v>0</v>
      </c>
      <c r="Z124" s="57">
        <f t="shared" si="48"/>
        <v>0</v>
      </c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>
        <f t="shared" si="7"/>
        <v>0</v>
      </c>
    </row>
    <row r="125" ht="15.75" customHeight="1">
      <c r="A125" s="15" t="s">
        <v>439</v>
      </c>
      <c r="B125" s="15" t="s">
        <v>440</v>
      </c>
      <c r="C125" s="15" t="s">
        <v>119</v>
      </c>
      <c r="D125" s="56">
        <f>SUMIF('2015-16 12 Mnths'!$A:$A,'Variance16-17'!$A125,'2015-16 12 Mnths'!C:C)-SUMIF('Budget 12 Mnths'!$A:$A,'Variance16-17'!$A125,'Budget 12 Mnths'!D:D)</f>
        <v>112.43</v>
      </c>
      <c r="E125" s="56">
        <f>SUMIF('2015-16 12 Mnths'!$A:$A,'Variance16-17'!$A125,'2015-16 12 Mnths'!D:D)-SUMIF('Budget 12 Mnths'!$A:$A,'Variance16-17'!$A125,'Budget 12 Mnths'!E:E)</f>
        <v>313.51</v>
      </c>
      <c r="F125" s="56">
        <f>SUMIF('2015-16 12 Mnths'!$A:$A,'Variance16-17'!$A125,'2015-16 12 Mnths'!E:E)-SUMIF('Budget 12 Mnths'!$A:$A,'Variance16-17'!$A125,'Budget 12 Mnths'!F:F)</f>
        <v>614.57</v>
      </c>
      <c r="G125" s="56">
        <f>SUMIF('2015-16 12 Mnths'!$A:$A,'Variance16-17'!$A125,'2015-16 12 Mnths'!F:F)-SUMIF('Budget 12 Mnths'!$A:$A,'Variance16-17'!$A125,'Budget 12 Mnths'!G:G)</f>
        <v>552.99</v>
      </c>
      <c r="H125" s="56">
        <f>SUMIF('2015-16 12 Mnths'!$A:$A,'Variance16-17'!$A125,'2015-16 12 Mnths'!G:G)-SUMIF('Budget 12 Mnths'!$A:$A,'Variance16-17'!$A125,'Budget 12 Mnths'!H:H)</f>
        <v>545.12</v>
      </c>
      <c r="I125" s="56">
        <f>SUMIF('2015-16 12 Mnths'!$A:$A,'Variance16-17'!$A125,'2015-16 12 Mnths'!H:H)-SUMIF('Budget 12 Mnths'!$A:$A,'Variance16-17'!$A125,'Budget 12 Mnths'!I:I)</f>
        <v>500.42</v>
      </c>
      <c r="J125" s="56">
        <f>SUMIF('2015-16 12 Mnths'!$A:$A,'Variance16-17'!$A125,'2015-16 12 Mnths'!I:I)-SUMIF('Budget 12 Mnths'!$A:$A,'Variance16-17'!$A125,'Budget 12 Mnths'!J:J)</f>
        <v>462.01</v>
      </c>
      <c r="K125" s="56">
        <f>SUMIF('2015-16 12 Mnths'!$A:$A,'Variance16-17'!$A125,'2015-16 12 Mnths'!J:J)-SUMIF('Budget 12 Mnths'!$A:$A,'Variance16-17'!$A125,'Budget 12 Mnths'!K:K)</f>
        <v>465.16</v>
      </c>
      <c r="L125" s="56">
        <f>SUMIF('2015-16 12 Mnths'!$A:$A,'Variance16-17'!$A125,'2015-16 12 Mnths'!K:K)-SUMIF('Budget 12 Mnths'!$A:$A,'Variance16-17'!$A125,'Budget 12 Mnths'!L:L)</f>
        <v>465.17</v>
      </c>
      <c r="M125" s="56"/>
      <c r="N125" s="56"/>
      <c r="O125" s="56"/>
      <c r="P125" s="56">
        <f t="shared" si="1"/>
        <v>4031.38</v>
      </c>
      <c r="Q125" s="14" t="str">
        <f>+VLOOKUP(A125,Mapping!$A$1:$E$443,5,FALSE)</f>
        <v>Benefits</v>
      </c>
      <c r="R125" s="26">
        <f>+SUMIF('Budget 12 Mnths'!$A:$A,'Variance16-17'!$A125,'Budget 12 Mnths'!$P:$P)</f>
        <v>6622.45</v>
      </c>
      <c r="S125" s="26">
        <f>+SUMIF('2015-16 12 Mnths'!$A:$A,'Variance16-17'!$A125,'2015-16 12 Mnths'!$O:$O)</f>
        <v>9765.92</v>
      </c>
      <c r="T125" s="57">
        <f t="shared" si="2"/>
        <v>0.6087444979</v>
      </c>
      <c r="U125" s="57">
        <f t="shared" si="3"/>
        <v>0.4128008421</v>
      </c>
      <c r="V125" s="8" t="s">
        <v>594</v>
      </c>
      <c r="W125" s="57">
        <f>+SUMIF('Salaries 2019-20'!B$100:B$148,'Variance16-17'!A125,'Salaries 2019-20'!V$100:V$148)</f>
        <v>0</v>
      </c>
      <c r="X125" s="51">
        <f t="shared" si="40"/>
        <v>0</v>
      </c>
      <c r="Y125" s="8" t="s">
        <v>601</v>
      </c>
      <c r="Z125" s="57">
        <f t="shared" si="48"/>
        <v>0</v>
      </c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>
        <f t="shared" si="7"/>
        <v>0</v>
      </c>
    </row>
    <row r="126" ht="15.75" customHeight="1">
      <c r="A126" s="15" t="s">
        <v>441</v>
      </c>
      <c r="B126" s="15" t="s">
        <v>440</v>
      </c>
      <c r="C126" s="15" t="s">
        <v>119</v>
      </c>
      <c r="D126" s="56">
        <f>SUMIF('2015-16 12 Mnths'!$A:$A,'Variance16-17'!$A126,'2015-16 12 Mnths'!C:C)-SUMIF('Budget 12 Mnths'!$A:$A,'Variance16-17'!$A126,'Budget 12 Mnths'!D:D)</f>
        <v>-20.11</v>
      </c>
      <c r="E126" s="56">
        <f>SUMIF('2015-16 12 Mnths'!$A:$A,'Variance16-17'!$A126,'2015-16 12 Mnths'!D:D)-SUMIF('Budget 12 Mnths'!$A:$A,'Variance16-17'!$A126,'Budget 12 Mnths'!E:E)</f>
        <v>-20.11</v>
      </c>
      <c r="F126" s="56">
        <f>SUMIF('2015-16 12 Mnths'!$A:$A,'Variance16-17'!$A126,'2015-16 12 Mnths'!E:E)-SUMIF('Budget 12 Mnths'!$A:$A,'Variance16-17'!$A126,'Budget 12 Mnths'!F:F)</f>
        <v>-20.11</v>
      </c>
      <c r="G126" s="56">
        <f>SUMIF('2015-16 12 Mnths'!$A:$A,'Variance16-17'!$A126,'2015-16 12 Mnths'!F:F)-SUMIF('Budget 12 Mnths'!$A:$A,'Variance16-17'!$A126,'Budget 12 Mnths'!G:G)</f>
        <v>-20.11</v>
      </c>
      <c r="H126" s="56">
        <f>SUMIF('2015-16 12 Mnths'!$A:$A,'Variance16-17'!$A126,'2015-16 12 Mnths'!G:G)-SUMIF('Budget 12 Mnths'!$A:$A,'Variance16-17'!$A126,'Budget 12 Mnths'!H:H)</f>
        <v>-20.11</v>
      </c>
      <c r="I126" s="56">
        <f>SUMIF('2015-16 12 Mnths'!$A:$A,'Variance16-17'!$A126,'2015-16 12 Mnths'!H:H)-SUMIF('Budget 12 Mnths'!$A:$A,'Variance16-17'!$A126,'Budget 12 Mnths'!I:I)</f>
        <v>-56.21</v>
      </c>
      <c r="J126" s="56">
        <f>SUMIF('2015-16 12 Mnths'!$A:$A,'Variance16-17'!$A126,'2015-16 12 Mnths'!I:I)-SUMIF('Budget 12 Mnths'!$A:$A,'Variance16-17'!$A126,'Budget 12 Mnths'!J:J)</f>
        <v>-108.55</v>
      </c>
      <c r="K126" s="56">
        <f>SUMIF('2015-16 12 Mnths'!$A:$A,'Variance16-17'!$A126,'2015-16 12 Mnths'!J:J)-SUMIF('Budget 12 Mnths'!$A:$A,'Variance16-17'!$A126,'Budget 12 Mnths'!K:K)</f>
        <v>-108.55</v>
      </c>
      <c r="L126" s="56">
        <f>SUMIF('2015-16 12 Mnths'!$A:$A,'Variance16-17'!$A126,'2015-16 12 Mnths'!K:K)-SUMIF('Budget 12 Mnths'!$A:$A,'Variance16-17'!$A126,'Budget 12 Mnths'!L:L)</f>
        <v>-112.3</v>
      </c>
      <c r="M126" s="56"/>
      <c r="N126" s="56"/>
      <c r="O126" s="56"/>
      <c r="P126" s="56">
        <f t="shared" si="1"/>
        <v>-486.16</v>
      </c>
      <c r="Q126" s="14" t="str">
        <f>+VLOOKUP(A126,Mapping!$A$1:$E$443,5,FALSE)</f>
        <v>Benefits</v>
      </c>
      <c r="R126" s="26">
        <f>+SUMIF('Budget 12 Mnths'!$A:$A,'Variance16-17'!$A126,'Budget 12 Mnths'!$P:$P)</f>
        <v>4976.04</v>
      </c>
      <c r="S126" s="26">
        <f>+SUMIF('2015-16 12 Mnths'!$A:$A,'Variance16-17'!$A126,'2015-16 12 Mnths'!$O:$O)</f>
        <v>3395.18</v>
      </c>
      <c r="T126" s="57">
        <f t="shared" si="2"/>
        <v>-0.09770017926</v>
      </c>
      <c r="U126" s="57">
        <f t="shared" si="3"/>
        <v>-0.1431912299</v>
      </c>
      <c r="V126" s="8" t="s">
        <v>594</v>
      </c>
      <c r="W126" s="57">
        <f>+SUMIF('Salaries 2019-20'!B$100:B$148,'Variance16-17'!A126,'Salaries 2019-20'!V$100:V$148)</f>
        <v>0</v>
      </c>
      <c r="X126" s="51">
        <f t="shared" si="40"/>
        <v>0</v>
      </c>
      <c r="Z126" s="57">
        <f t="shared" si="48"/>
        <v>0</v>
      </c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>
        <f t="shared" si="7"/>
        <v>0</v>
      </c>
    </row>
    <row r="127" ht="15.75" customHeight="1">
      <c r="A127" s="15" t="s">
        <v>442</v>
      </c>
      <c r="B127" s="15" t="s">
        <v>440</v>
      </c>
      <c r="C127" s="15" t="s">
        <v>119</v>
      </c>
      <c r="D127" s="56">
        <f>SUMIF('2015-16 12 Mnths'!$A:$A,'Variance16-17'!$A127,'2015-16 12 Mnths'!C:C)-SUMIF('Budget 12 Mnths'!$A:$A,'Variance16-17'!$A127,'Budget 12 Mnths'!D:D)</f>
        <v>0</v>
      </c>
      <c r="E127" s="56">
        <f>SUMIF('2015-16 12 Mnths'!$A:$A,'Variance16-17'!$A127,'2015-16 12 Mnths'!D:D)-SUMIF('Budget 12 Mnths'!$A:$A,'Variance16-17'!$A127,'Budget 12 Mnths'!E:E)</f>
        <v>0</v>
      </c>
      <c r="F127" s="56">
        <f>SUMIF('2015-16 12 Mnths'!$A:$A,'Variance16-17'!$A127,'2015-16 12 Mnths'!E:E)-SUMIF('Budget 12 Mnths'!$A:$A,'Variance16-17'!$A127,'Budget 12 Mnths'!F:F)</f>
        <v>0</v>
      </c>
      <c r="G127" s="56">
        <f>SUMIF('2015-16 12 Mnths'!$A:$A,'Variance16-17'!$A127,'2015-16 12 Mnths'!F:F)-SUMIF('Budget 12 Mnths'!$A:$A,'Variance16-17'!$A127,'Budget 12 Mnths'!G:G)</f>
        <v>0</v>
      </c>
      <c r="H127" s="56">
        <f>SUMIF('2015-16 12 Mnths'!$A:$A,'Variance16-17'!$A127,'2015-16 12 Mnths'!G:G)-SUMIF('Budget 12 Mnths'!$A:$A,'Variance16-17'!$A127,'Budget 12 Mnths'!H:H)</f>
        <v>0</v>
      </c>
      <c r="I127" s="56">
        <f>SUMIF('2015-16 12 Mnths'!$A:$A,'Variance16-17'!$A127,'2015-16 12 Mnths'!H:H)-SUMIF('Budget 12 Mnths'!$A:$A,'Variance16-17'!$A127,'Budget 12 Mnths'!I:I)</f>
        <v>0</v>
      </c>
      <c r="J127" s="56">
        <f>SUMIF('2015-16 12 Mnths'!$A:$A,'Variance16-17'!$A127,'2015-16 12 Mnths'!I:I)-SUMIF('Budget 12 Mnths'!$A:$A,'Variance16-17'!$A127,'Budget 12 Mnths'!J:J)</f>
        <v>0</v>
      </c>
      <c r="K127" s="56">
        <f>SUMIF('2015-16 12 Mnths'!$A:$A,'Variance16-17'!$A127,'2015-16 12 Mnths'!J:J)-SUMIF('Budget 12 Mnths'!$A:$A,'Variance16-17'!$A127,'Budget 12 Mnths'!K:K)</f>
        <v>0</v>
      </c>
      <c r="L127" s="56">
        <f>SUMIF('2015-16 12 Mnths'!$A:$A,'Variance16-17'!$A127,'2015-16 12 Mnths'!K:K)-SUMIF('Budget 12 Mnths'!$A:$A,'Variance16-17'!$A127,'Budget 12 Mnths'!L:L)</f>
        <v>0</v>
      </c>
      <c r="M127" s="56"/>
      <c r="N127" s="56"/>
      <c r="O127" s="56"/>
      <c r="P127" s="56">
        <f t="shared" si="1"/>
        <v>0</v>
      </c>
      <c r="Q127" s="14" t="str">
        <f>+VLOOKUP(A127,Mapping!$A$1:$E$443,5,FALSE)</f>
        <v>Benefits</v>
      </c>
      <c r="R127" s="26">
        <f>+SUMIF('Budget 12 Mnths'!$A:$A,'Variance16-17'!$A127,'Budget 12 Mnths'!$P:$P)</f>
        <v>0</v>
      </c>
      <c r="S127" s="26">
        <f>+SUMIF('2015-16 12 Mnths'!$A:$A,'Variance16-17'!$A127,'2015-16 12 Mnths'!$O:$O)</f>
        <v>0</v>
      </c>
      <c r="T127" s="57">
        <f t="shared" si="2"/>
        <v>0</v>
      </c>
      <c r="U127" s="57">
        <f t="shared" si="3"/>
        <v>0</v>
      </c>
      <c r="W127" s="57">
        <f>+SUMIF('Salaries 2019-20'!B$100:B$148,'Variance16-17'!A127,'Salaries 2019-20'!V$100:V$148)</f>
        <v>0</v>
      </c>
      <c r="X127" s="51">
        <f t="shared" si="40"/>
        <v>0</v>
      </c>
      <c r="Z127" s="57">
        <f t="shared" si="48"/>
        <v>0</v>
      </c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>
        <f t="shared" si="7"/>
        <v>0</v>
      </c>
    </row>
    <row r="128" ht="15.75" customHeight="1">
      <c r="A128" s="15" t="s">
        <v>443</v>
      </c>
      <c r="B128" s="15" t="s">
        <v>444</v>
      </c>
      <c r="C128" s="15" t="s">
        <v>119</v>
      </c>
      <c r="D128" s="56">
        <f>SUMIF('2015-16 12 Mnths'!$A:$A,'Variance16-17'!$A128,'2015-16 12 Mnths'!C:C)-SUMIF('Budget 12 Mnths'!$A:$A,'Variance16-17'!$A128,'Budget 12 Mnths'!D:D)</f>
        <v>0</v>
      </c>
      <c r="E128" s="56">
        <f>SUMIF('2015-16 12 Mnths'!$A:$A,'Variance16-17'!$A128,'2015-16 12 Mnths'!D:D)-SUMIF('Budget 12 Mnths'!$A:$A,'Variance16-17'!$A128,'Budget 12 Mnths'!E:E)</f>
        <v>406.81</v>
      </c>
      <c r="F128" s="56">
        <f>SUMIF('2015-16 12 Mnths'!$A:$A,'Variance16-17'!$A128,'2015-16 12 Mnths'!E:E)-SUMIF('Budget 12 Mnths'!$A:$A,'Variance16-17'!$A128,'Budget 12 Mnths'!F:F)</f>
        <v>-592.58</v>
      </c>
      <c r="G128" s="56">
        <f>SUMIF('2015-16 12 Mnths'!$A:$A,'Variance16-17'!$A128,'2015-16 12 Mnths'!F:F)-SUMIF('Budget 12 Mnths'!$A:$A,'Variance16-17'!$A128,'Budget 12 Mnths'!G:G)</f>
        <v>-592.58</v>
      </c>
      <c r="H128" s="56">
        <f>SUMIF('2015-16 12 Mnths'!$A:$A,'Variance16-17'!$A128,'2015-16 12 Mnths'!G:G)-SUMIF('Budget 12 Mnths'!$A:$A,'Variance16-17'!$A128,'Budget 12 Mnths'!H:H)</f>
        <v>-592.58</v>
      </c>
      <c r="I128" s="56">
        <f>SUMIF('2015-16 12 Mnths'!$A:$A,'Variance16-17'!$A128,'2015-16 12 Mnths'!H:H)-SUMIF('Budget 12 Mnths'!$A:$A,'Variance16-17'!$A128,'Budget 12 Mnths'!I:I)</f>
        <v>2089.82</v>
      </c>
      <c r="J128" s="56">
        <f>SUMIF('2015-16 12 Mnths'!$A:$A,'Variance16-17'!$A128,'2015-16 12 Mnths'!I:I)-SUMIF('Budget 12 Mnths'!$A:$A,'Variance16-17'!$A128,'Budget 12 Mnths'!J:J)</f>
        <v>-735.32</v>
      </c>
      <c r="K128" s="56">
        <f>SUMIF('2015-16 12 Mnths'!$A:$A,'Variance16-17'!$A128,'2015-16 12 Mnths'!J:J)-SUMIF('Budget 12 Mnths'!$A:$A,'Variance16-17'!$A128,'Budget 12 Mnths'!K:K)</f>
        <v>-600.18</v>
      </c>
      <c r="L128" s="56">
        <f>SUMIF('2015-16 12 Mnths'!$A:$A,'Variance16-17'!$A128,'2015-16 12 Mnths'!K:K)-SUMIF('Budget 12 Mnths'!$A:$A,'Variance16-17'!$A128,'Budget 12 Mnths'!L:L)</f>
        <v>1893.75</v>
      </c>
      <c r="M128" s="56"/>
      <c r="N128" s="56"/>
      <c r="O128" s="56"/>
      <c r="P128" s="56">
        <f t="shared" si="1"/>
        <v>1277.14</v>
      </c>
      <c r="Q128" s="14" t="str">
        <f>+VLOOKUP(A128,Mapping!$A$1:$E$443,5,FALSE)</f>
        <v>Benefits</v>
      </c>
      <c r="R128" s="26">
        <f>+SUMIF('Budget 12 Mnths'!$A:$A,'Variance16-17'!$A128,'Budget 12 Mnths'!$P:$P)</f>
        <v>60000</v>
      </c>
      <c r="S128" s="26">
        <f>+SUMIF('2015-16 12 Mnths'!$A:$A,'Variance16-17'!$A128,'2015-16 12 Mnths'!$O:$O)</f>
        <v>55910.3</v>
      </c>
      <c r="T128" s="57">
        <f t="shared" si="2"/>
        <v>0.02128566667</v>
      </c>
      <c r="U128" s="57">
        <f t="shared" si="3"/>
        <v>0.02284266048</v>
      </c>
      <c r="V128" s="8" t="s">
        <v>594</v>
      </c>
      <c r="W128" s="57">
        <f>+SUMIF('Salaries 2019-20'!B$100:B$148,'Variance16-17'!A128,'Salaries 2019-20'!V$100:V$148)</f>
        <v>48192</v>
      </c>
      <c r="X128" s="51">
        <f>+W128+44180</f>
        <v>92372</v>
      </c>
      <c r="Y128" s="8" t="s">
        <v>601</v>
      </c>
      <c r="Z128" s="57">
        <f t="shared" si="48"/>
        <v>46186</v>
      </c>
      <c r="AA128" s="57">
        <f t="shared" ref="AA128:AL128" si="49">+$X128/12</f>
        <v>7697.666667</v>
      </c>
      <c r="AB128" s="57">
        <f t="shared" si="49"/>
        <v>7697.666667</v>
      </c>
      <c r="AC128" s="57">
        <f t="shared" si="49"/>
        <v>7697.666667</v>
      </c>
      <c r="AD128" s="57">
        <f t="shared" si="49"/>
        <v>7697.666667</v>
      </c>
      <c r="AE128" s="57">
        <f t="shared" si="49"/>
        <v>7697.666667</v>
      </c>
      <c r="AF128" s="57">
        <f t="shared" si="49"/>
        <v>7697.666667</v>
      </c>
      <c r="AG128" s="57">
        <f t="shared" si="49"/>
        <v>7697.666667</v>
      </c>
      <c r="AH128" s="57">
        <f t="shared" si="49"/>
        <v>7697.666667</v>
      </c>
      <c r="AI128" s="57">
        <f t="shared" si="49"/>
        <v>7697.666667</v>
      </c>
      <c r="AJ128" s="57">
        <f t="shared" si="49"/>
        <v>7697.666667</v>
      </c>
      <c r="AK128" s="57">
        <f t="shared" si="49"/>
        <v>7697.666667</v>
      </c>
      <c r="AL128" s="57">
        <f t="shared" si="49"/>
        <v>7697.666667</v>
      </c>
      <c r="AM128" s="27">
        <f t="shared" si="7"/>
        <v>0</v>
      </c>
    </row>
    <row r="129" ht="15.75" customHeight="1">
      <c r="A129" s="15" t="s">
        <v>445</v>
      </c>
      <c r="B129" s="15" t="s">
        <v>444</v>
      </c>
      <c r="C129" s="15" t="s">
        <v>119</v>
      </c>
      <c r="D129" s="56">
        <f>SUMIF('2015-16 12 Mnths'!$A:$A,'Variance16-17'!$A129,'2015-16 12 Mnths'!C:C)-SUMIF('Budget 12 Mnths'!$A:$A,'Variance16-17'!$A129,'Budget 12 Mnths'!D:D)</f>
        <v>2155.88</v>
      </c>
      <c r="E129" s="56">
        <f>SUMIF('2015-16 12 Mnths'!$A:$A,'Variance16-17'!$A129,'2015-16 12 Mnths'!D:D)-SUMIF('Budget 12 Mnths'!$A:$A,'Variance16-17'!$A129,'Budget 12 Mnths'!E:E)</f>
        <v>1616.91</v>
      </c>
      <c r="F129" s="56">
        <f>SUMIF('2015-16 12 Mnths'!$A:$A,'Variance16-17'!$A129,'2015-16 12 Mnths'!E:E)-SUMIF('Budget 12 Mnths'!$A:$A,'Variance16-17'!$A129,'Budget 12 Mnths'!F:F)</f>
        <v>2694.75</v>
      </c>
      <c r="G129" s="56">
        <f>SUMIF('2015-16 12 Mnths'!$A:$A,'Variance16-17'!$A129,'2015-16 12 Mnths'!F:F)-SUMIF('Budget 12 Mnths'!$A:$A,'Variance16-17'!$A129,'Budget 12 Mnths'!G:G)</f>
        <v>2694.75</v>
      </c>
      <c r="H129" s="56">
        <f>SUMIF('2015-16 12 Mnths'!$A:$A,'Variance16-17'!$A129,'2015-16 12 Mnths'!G:G)-SUMIF('Budget 12 Mnths'!$A:$A,'Variance16-17'!$A129,'Budget 12 Mnths'!H:H)</f>
        <v>2694.75</v>
      </c>
      <c r="I129" s="56">
        <f>SUMIF('2015-16 12 Mnths'!$A:$A,'Variance16-17'!$A129,'2015-16 12 Mnths'!H:H)-SUMIF('Budget 12 Mnths'!$A:$A,'Variance16-17'!$A129,'Budget 12 Mnths'!I:I)</f>
        <v>0</v>
      </c>
      <c r="J129" s="56">
        <f>SUMIF('2015-16 12 Mnths'!$A:$A,'Variance16-17'!$A129,'2015-16 12 Mnths'!I:I)-SUMIF('Budget 12 Mnths'!$A:$A,'Variance16-17'!$A129,'Budget 12 Mnths'!J:J)</f>
        <v>2690</v>
      </c>
      <c r="K129" s="56">
        <f>SUMIF('2015-16 12 Mnths'!$A:$A,'Variance16-17'!$A129,'2015-16 12 Mnths'!J:J)-SUMIF('Budget 12 Mnths'!$A:$A,'Variance16-17'!$A129,'Budget 12 Mnths'!K:K)</f>
        <v>2690</v>
      </c>
      <c r="L129" s="56">
        <f>SUMIF('2015-16 12 Mnths'!$A:$A,'Variance16-17'!$A129,'2015-16 12 Mnths'!K:K)-SUMIF('Budget 12 Mnths'!$A:$A,'Variance16-17'!$A129,'Budget 12 Mnths'!L:L)</f>
        <v>0</v>
      </c>
      <c r="M129" s="56"/>
      <c r="N129" s="56"/>
      <c r="O129" s="56"/>
      <c r="P129" s="56">
        <f t="shared" si="1"/>
        <v>17237.04</v>
      </c>
      <c r="Q129" s="14" t="str">
        <f>+VLOOKUP(A129,Mapping!$A$1:$E$443,5,FALSE)</f>
        <v>Benefits</v>
      </c>
      <c r="R129" s="26">
        <f>+SUMIF('Budget 12 Mnths'!$A:$A,'Variance16-17'!$A129,'Budget 12 Mnths'!$P:$P)</f>
        <v>0</v>
      </c>
      <c r="S129" s="26">
        <f>+SUMIF('2015-16 12 Mnths'!$A:$A,'Variance16-17'!$A129,'2015-16 12 Mnths'!$O:$O)</f>
        <v>17237.04</v>
      </c>
      <c r="T129" s="57">
        <f t="shared" si="2"/>
        <v>0</v>
      </c>
      <c r="U129" s="57">
        <f t="shared" si="3"/>
        <v>1</v>
      </c>
      <c r="V129" s="8" t="s">
        <v>594</v>
      </c>
      <c r="W129" s="57">
        <f>+SUMIF('Salaries 2019-20'!B$100:B$148,'Variance16-17'!A129,'Salaries 2019-20'!V$100:V$148)</f>
        <v>0</v>
      </c>
      <c r="X129" s="51">
        <f t="shared" ref="X129:X136" si="50">+W129</f>
        <v>0</v>
      </c>
      <c r="Z129" s="57">
        <f t="shared" si="48"/>
        <v>0</v>
      </c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>
        <f t="shared" si="7"/>
        <v>0</v>
      </c>
    </row>
    <row r="130" ht="15.75" customHeight="1">
      <c r="A130" s="15" t="s">
        <v>446</v>
      </c>
      <c r="B130" s="15" t="s">
        <v>444</v>
      </c>
      <c r="C130" s="15" t="s">
        <v>119</v>
      </c>
      <c r="D130" s="56">
        <f>SUMIF('2015-16 12 Mnths'!$A:$A,'Variance16-17'!$A130,'2015-16 12 Mnths'!C:C)-SUMIF('Budget 12 Mnths'!$A:$A,'Variance16-17'!$A130,'Budget 12 Mnths'!D:D)</f>
        <v>0</v>
      </c>
      <c r="E130" s="56">
        <f>SUMIF('2015-16 12 Mnths'!$A:$A,'Variance16-17'!$A130,'2015-16 12 Mnths'!D:D)-SUMIF('Budget 12 Mnths'!$A:$A,'Variance16-17'!$A130,'Budget 12 Mnths'!E:E)</f>
        <v>0</v>
      </c>
      <c r="F130" s="56">
        <f>SUMIF('2015-16 12 Mnths'!$A:$A,'Variance16-17'!$A130,'2015-16 12 Mnths'!E:E)-SUMIF('Budget 12 Mnths'!$A:$A,'Variance16-17'!$A130,'Budget 12 Mnths'!F:F)</f>
        <v>0</v>
      </c>
      <c r="G130" s="56">
        <f>SUMIF('2015-16 12 Mnths'!$A:$A,'Variance16-17'!$A130,'2015-16 12 Mnths'!F:F)-SUMIF('Budget 12 Mnths'!$A:$A,'Variance16-17'!$A130,'Budget 12 Mnths'!G:G)</f>
        <v>0</v>
      </c>
      <c r="H130" s="56">
        <f>SUMIF('2015-16 12 Mnths'!$A:$A,'Variance16-17'!$A130,'2015-16 12 Mnths'!G:G)-SUMIF('Budget 12 Mnths'!$A:$A,'Variance16-17'!$A130,'Budget 12 Mnths'!H:H)</f>
        <v>0</v>
      </c>
      <c r="I130" s="56">
        <f>SUMIF('2015-16 12 Mnths'!$A:$A,'Variance16-17'!$A130,'2015-16 12 Mnths'!H:H)-SUMIF('Budget 12 Mnths'!$A:$A,'Variance16-17'!$A130,'Budget 12 Mnths'!I:I)</f>
        <v>0</v>
      </c>
      <c r="J130" s="56">
        <f>SUMIF('2015-16 12 Mnths'!$A:$A,'Variance16-17'!$A130,'2015-16 12 Mnths'!I:I)-SUMIF('Budget 12 Mnths'!$A:$A,'Variance16-17'!$A130,'Budget 12 Mnths'!J:J)</f>
        <v>0</v>
      </c>
      <c r="K130" s="56">
        <f>SUMIF('2015-16 12 Mnths'!$A:$A,'Variance16-17'!$A130,'2015-16 12 Mnths'!J:J)-SUMIF('Budget 12 Mnths'!$A:$A,'Variance16-17'!$A130,'Budget 12 Mnths'!K:K)</f>
        <v>0</v>
      </c>
      <c r="L130" s="56">
        <f>SUMIF('2015-16 12 Mnths'!$A:$A,'Variance16-17'!$A130,'2015-16 12 Mnths'!K:K)-SUMIF('Budget 12 Mnths'!$A:$A,'Variance16-17'!$A130,'Budget 12 Mnths'!L:L)</f>
        <v>0</v>
      </c>
      <c r="M130" s="56"/>
      <c r="N130" s="56"/>
      <c r="O130" s="56"/>
      <c r="P130" s="56">
        <f t="shared" si="1"/>
        <v>0</v>
      </c>
      <c r="Q130" s="14" t="str">
        <f>+VLOOKUP(A130,Mapping!$A$1:$E$443,5,FALSE)</f>
        <v>Benefits</v>
      </c>
      <c r="R130" s="26">
        <f>+SUMIF('Budget 12 Mnths'!$A:$A,'Variance16-17'!$A130,'Budget 12 Mnths'!$P:$P)</f>
        <v>0</v>
      </c>
      <c r="S130" s="26">
        <f>+SUMIF('2015-16 12 Mnths'!$A:$A,'Variance16-17'!$A130,'2015-16 12 Mnths'!$O:$O)</f>
        <v>0</v>
      </c>
      <c r="T130" s="57">
        <f t="shared" si="2"/>
        <v>0</v>
      </c>
      <c r="U130" s="57">
        <f t="shared" si="3"/>
        <v>0</v>
      </c>
      <c r="W130" s="57">
        <f>+SUMIF('Salaries 2019-20'!B$100:B$148,'Variance16-17'!A130,'Salaries 2019-20'!V$100:V$148)</f>
        <v>0</v>
      </c>
      <c r="X130" s="51">
        <f t="shared" si="50"/>
        <v>0</v>
      </c>
      <c r="Z130" s="57">
        <f t="shared" si="48"/>
        <v>0</v>
      </c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>
        <f t="shared" si="7"/>
        <v>0</v>
      </c>
    </row>
    <row r="131" ht="15.75" customHeight="1">
      <c r="A131" s="15" t="s">
        <v>447</v>
      </c>
      <c r="B131" s="15" t="s">
        <v>448</v>
      </c>
      <c r="C131" s="15" t="s">
        <v>119</v>
      </c>
      <c r="D131" s="56">
        <f>SUMIF('2015-16 12 Mnths'!$A:$A,'Variance16-17'!$A131,'2015-16 12 Mnths'!C:C)-SUMIF('Budget 12 Mnths'!$A:$A,'Variance16-17'!$A131,'Budget 12 Mnths'!D:D)</f>
        <v>0</v>
      </c>
      <c r="E131" s="56">
        <f>SUMIF('2015-16 12 Mnths'!$A:$A,'Variance16-17'!$A131,'2015-16 12 Mnths'!D:D)-SUMIF('Budget 12 Mnths'!$A:$A,'Variance16-17'!$A131,'Budget 12 Mnths'!E:E)</f>
        <v>0</v>
      </c>
      <c r="F131" s="56">
        <f>SUMIF('2015-16 12 Mnths'!$A:$A,'Variance16-17'!$A131,'2015-16 12 Mnths'!E:E)-SUMIF('Budget 12 Mnths'!$A:$A,'Variance16-17'!$A131,'Budget 12 Mnths'!F:F)</f>
        <v>0</v>
      </c>
      <c r="G131" s="56">
        <f>SUMIF('2015-16 12 Mnths'!$A:$A,'Variance16-17'!$A131,'2015-16 12 Mnths'!F:F)-SUMIF('Budget 12 Mnths'!$A:$A,'Variance16-17'!$A131,'Budget 12 Mnths'!G:G)</f>
        <v>0</v>
      </c>
      <c r="H131" s="56">
        <f>SUMIF('2015-16 12 Mnths'!$A:$A,'Variance16-17'!$A131,'2015-16 12 Mnths'!G:G)-SUMIF('Budget 12 Mnths'!$A:$A,'Variance16-17'!$A131,'Budget 12 Mnths'!H:H)</f>
        <v>0</v>
      </c>
      <c r="I131" s="56">
        <f>SUMIF('2015-16 12 Mnths'!$A:$A,'Variance16-17'!$A131,'2015-16 12 Mnths'!H:H)-SUMIF('Budget 12 Mnths'!$A:$A,'Variance16-17'!$A131,'Budget 12 Mnths'!I:I)</f>
        <v>0</v>
      </c>
      <c r="J131" s="56">
        <f>SUMIF('2015-16 12 Mnths'!$A:$A,'Variance16-17'!$A131,'2015-16 12 Mnths'!I:I)-SUMIF('Budget 12 Mnths'!$A:$A,'Variance16-17'!$A131,'Budget 12 Mnths'!J:J)</f>
        <v>0</v>
      </c>
      <c r="K131" s="56">
        <f>SUMIF('2015-16 12 Mnths'!$A:$A,'Variance16-17'!$A131,'2015-16 12 Mnths'!J:J)-SUMIF('Budget 12 Mnths'!$A:$A,'Variance16-17'!$A131,'Budget 12 Mnths'!K:K)</f>
        <v>0</v>
      </c>
      <c r="L131" s="56">
        <f>SUMIF('2015-16 12 Mnths'!$A:$A,'Variance16-17'!$A131,'2015-16 12 Mnths'!K:K)-SUMIF('Budget 12 Mnths'!$A:$A,'Variance16-17'!$A131,'Budget 12 Mnths'!L:L)</f>
        <v>0</v>
      </c>
      <c r="M131" s="56"/>
      <c r="N131" s="56"/>
      <c r="O131" s="56"/>
      <c r="P131" s="56">
        <f t="shared" si="1"/>
        <v>0</v>
      </c>
      <c r="Q131" s="14" t="str">
        <f>+VLOOKUP(A131,Mapping!$A$1:$E$443,5,FALSE)</f>
        <v>Benefits</v>
      </c>
      <c r="R131" s="26">
        <f>+SUMIF('Budget 12 Mnths'!$A:$A,'Variance16-17'!$A131,'Budget 12 Mnths'!$P:$P)</f>
        <v>0</v>
      </c>
      <c r="S131" s="26">
        <f>+SUMIF('2015-16 12 Mnths'!$A:$A,'Variance16-17'!$A131,'2015-16 12 Mnths'!$O:$O)</f>
        <v>0</v>
      </c>
      <c r="T131" s="57">
        <f t="shared" si="2"/>
        <v>0</v>
      </c>
      <c r="U131" s="57">
        <f t="shared" si="3"/>
        <v>0</v>
      </c>
      <c r="W131" s="57">
        <f>+SUMIF('Salaries 2019-20'!B$100:B$148,'Variance16-17'!A131,'Salaries 2019-20'!V$100:V$148)</f>
        <v>0</v>
      </c>
      <c r="X131" s="51">
        <f t="shared" si="50"/>
        <v>0</v>
      </c>
      <c r="Z131" s="57">
        <f t="shared" si="48"/>
        <v>0</v>
      </c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>
        <f t="shared" si="7"/>
        <v>0</v>
      </c>
    </row>
    <row r="132" ht="15.75" customHeight="1">
      <c r="A132" s="15" t="s">
        <v>449</v>
      </c>
      <c r="B132" s="15" t="s">
        <v>448</v>
      </c>
      <c r="C132" s="15" t="s">
        <v>119</v>
      </c>
      <c r="D132" s="56">
        <f>SUMIF('2015-16 12 Mnths'!$A:$A,'Variance16-17'!$A132,'2015-16 12 Mnths'!C:C)-SUMIF('Budget 12 Mnths'!$A:$A,'Variance16-17'!$A132,'Budget 12 Mnths'!D:D)</f>
        <v>0</v>
      </c>
      <c r="E132" s="56">
        <f>SUMIF('2015-16 12 Mnths'!$A:$A,'Variance16-17'!$A132,'2015-16 12 Mnths'!D:D)-SUMIF('Budget 12 Mnths'!$A:$A,'Variance16-17'!$A132,'Budget 12 Mnths'!E:E)</f>
        <v>0</v>
      </c>
      <c r="F132" s="56">
        <f>SUMIF('2015-16 12 Mnths'!$A:$A,'Variance16-17'!$A132,'2015-16 12 Mnths'!E:E)-SUMIF('Budget 12 Mnths'!$A:$A,'Variance16-17'!$A132,'Budget 12 Mnths'!F:F)</f>
        <v>0</v>
      </c>
      <c r="G132" s="56">
        <f>SUMIF('2015-16 12 Mnths'!$A:$A,'Variance16-17'!$A132,'2015-16 12 Mnths'!F:F)-SUMIF('Budget 12 Mnths'!$A:$A,'Variance16-17'!$A132,'Budget 12 Mnths'!G:G)</f>
        <v>0</v>
      </c>
      <c r="H132" s="56">
        <f>SUMIF('2015-16 12 Mnths'!$A:$A,'Variance16-17'!$A132,'2015-16 12 Mnths'!G:G)-SUMIF('Budget 12 Mnths'!$A:$A,'Variance16-17'!$A132,'Budget 12 Mnths'!H:H)</f>
        <v>0</v>
      </c>
      <c r="I132" s="56">
        <f>SUMIF('2015-16 12 Mnths'!$A:$A,'Variance16-17'!$A132,'2015-16 12 Mnths'!H:H)-SUMIF('Budget 12 Mnths'!$A:$A,'Variance16-17'!$A132,'Budget 12 Mnths'!I:I)</f>
        <v>0</v>
      </c>
      <c r="J132" s="56">
        <f>SUMIF('2015-16 12 Mnths'!$A:$A,'Variance16-17'!$A132,'2015-16 12 Mnths'!I:I)-SUMIF('Budget 12 Mnths'!$A:$A,'Variance16-17'!$A132,'Budget 12 Mnths'!J:J)</f>
        <v>0</v>
      </c>
      <c r="K132" s="56">
        <f>SUMIF('2015-16 12 Mnths'!$A:$A,'Variance16-17'!$A132,'2015-16 12 Mnths'!J:J)-SUMIF('Budget 12 Mnths'!$A:$A,'Variance16-17'!$A132,'Budget 12 Mnths'!K:K)</f>
        <v>0</v>
      </c>
      <c r="L132" s="56">
        <f>SUMIF('2015-16 12 Mnths'!$A:$A,'Variance16-17'!$A132,'2015-16 12 Mnths'!K:K)-SUMIF('Budget 12 Mnths'!$A:$A,'Variance16-17'!$A132,'Budget 12 Mnths'!L:L)</f>
        <v>0</v>
      </c>
      <c r="M132" s="56"/>
      <c r="N132" s="56"/>
      <c r="O132" s="56"/>
      <c r="P132" s="56">
        <f t="shared" si="1"/>
        <v>0</v>
      </c>
      <c r="Q132" s="14" t="str">
        <f>+VLOOKUP(A132,Mapping!$A$1:$E$443,5,FALSE)</f>
        <v>Benefits</v>
      </c>
      <c r="R132" s="26">
        <f>+SUMIF('Budget 12 Mnths'!$A:$A,'Variance16-17'!$A132,'Budget 12 Mnths'!$P:$P)</f>
        <v>0</v>
      </c>
      <c r="S132" s="26">
        <f>+SUMIF('2015-16 12 Mnths'!$A:$A,'Variance16-17'!$A132,'2015-16 12 Mnths'!$O:$O)</f>
        <v>0</v>
      </c>
      <c r="T132" s="57">
        <f t="shared" si="2"/>
        <v>0</v>
      </c>
      <c r="U132" s="57">
        <f t="shared" si="3"/>
        <v>0</v>
      </c>
      <c r="W132" s="57">
        <f>+SUMIF('Salaries 2019-20'!B$100:B$148,'Variance16-17'!A132,'Salaries 2019-20'!V$100:V$148)</f>
        <v>0</v>
      </c>
      <c r="X132" s="51">
        <f t="shared" si="50"/>
        <v>0</v>
      </c>
      <c r="Z132" s="57">
        <f t="shared" si="48"/>
        <v>0</v>
      </c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>
        <f t="shared" si="7"/>
        <v>0</v>
      </c>
    </row>
    <row r="133" ht="15.75" customHeight="1">
      <c r="A133" s="15" t="s">
        <v>450</v>
      </c>
      <c r="B133" s="15" t="s">
        <v>452</v>
      </c>
      <c r="C133" s="15" t="s">
        <v>119</v>
      </c>
      <c r="D133" s="56">
        <f>SUMIF('2015-16 12 Mnths'!$A:$A,'Variance16-17'!$A133,'2015-16 12 Mnths'!C:C)-SUMIF('Budget 12 Mnths'!$A:$A,'Variance16-17'!$A133,'Budget 12 Mnths'!D:D)</f>
        <v>0</v>
      </c>
      <c r="E133" s="56">
        <f>SUMIF('2015-16 12 Mnths'!$A:$A,'Variance16-17'!$A133,'2015-16 12 Mnths'!D:D)-SUMIF('Budget 12 Mnths'!$A:$A,'Variance16-17'!$A133,'Budget 12 Mnths'!E:E)</f>
        <v>0</v>
      </c>
      <c r="F133" s="56">
        <f>SUMIF('2015-16 12 Mnths'!$A:$A,'Variance16-17'!$A133,'2015-16 12 Mnths'!E:E)-SUMIF('Budget 12 Mnths'!$A:$A,'Variance16-17'!$A133,'Budget 12 Mnths'!F:F)</f>
        <v>0</v>
      </c>
      <c r="G133" s="56">
        <f>SUMIF('2015-16 12 Mnths'!$A:$A,'Variance16-17'!$A133,'2015-16 12 Mnths'!F:F)-SUMIF('Budget 12 Mnths'!$A:$A,'Variance16-17'!$A133,'Budget 12 Mnths'!G:G)</f>
        <v>0</v>
      </c>
      <c r="H133" s="56">
        <f>SUMIF('2015-16 12 Mnths'!$A:$A,'Variance16-17'!$A133,'2015-16 12 Mnths'!G:G)-SUMIF('Budget 12 Mnths'!$A:$A,'Variance16-17'!$A133,'Budget 12 Mnths'!H:H)</f>
        <v>0</v>
      </c>
      <c r="I133" s="56">
        <f>SUMIF('2015-16 12 Mnths'!$A:$A,'Variance16-17'!$A133,'2015-16 12 Mnths'!H:H)-SUMIF('Budget 12 Mnths'!$A:$A,'Variance16-17'!$A133,'Budget 12 Mnths'!I:I)</f>
        <v>0</v>
      </c>
      <c r="J133" s="56">
        <f>SUMIF('2015-16 12 Mnths'!$A:$A,'Variance16-17'!$A133,'2015-16 12 Mnths'!I:I)-SUMIF('Budget 12 Mnths'!$A:$A,'Variance16-17'!$A133,'Budget 12 Mnths'!J:J)</f>
        <v>0</v>
      </c>
      <c r="K133" s="56">
        <f>SUMIF('2015-16 12 Mnths'!$A:$A,'Variance16-17'!$A133,'2015-16 12 Mnths'!J:J)-SUMIF('Budget 12 Mnths'!$A:$A,'Variance16-17'!$A133,'Budget 12 Mnths'!K:K)</f>
        <v>0</v>
      </c>
      <c r="L133" s="56">
        <f>SUMIF('2015-16 12 Mnths'!$A:$A,'Variance16-17'!$A133,'2015-16 12 Mnths'!K:K)-SUMIF('Budget 12 Mnths'!$A:$A,'Variance16-17'!$A133,'Budget 12 Mnths'!L:L)</f>
        <v>0</v>
      </c>
      <c r="M133" s="56"/>
      <c r="N133" s="56"/>
      <c r="O133" s="56"/>
      <c r="P133" s="56">
        <f t="shared" si="1"/>
        <v>0</v>
      </c>
      <c r="Q133" s="14" t="str">
        <f>+VLOOKUP(A133,Mapping!$A$1:$E$443,5,FALSE)</f>
        <v>Benefits</v>
      </c>
      <c r="R133" s="26">
        <f>+SUMIF('Budget 12 Mnths'!$A:$A,'Variance16-17'!$A133,'Budget 12 Mnths'!$P:$P)</f>
        <v>0</v>
      </c>
      <c r="S133" s="26">
        <f>+SUMIF('2015-16 12 Mnths'!$A:$A,'Variance16-17'!$A133,'2015-16 12 Mnths'!$O:$O)</f>
        <v>0</v>
      </c>
      <c r="T133" s="57">
        <f t="shared" si="2"/>
        <v>0</v>
      </c>
      <c r="U133" s="57">
        <f t="shared" si="3"/>
        <v>0</v>
      </c>
      <c r="W133" s="57">
        <f>+SUMIF('Salaries 2019-20'!B$100:B$148,'Variance16-17'!A133,'Salaries 2019-20'!V$100:V$148)</f>
        <v>0</v>
      </c>
      <c r="X133" s="51">
        <f t="shared" si="50"/>
        <v>0</v>
      </c>
      <c r="Z133" s="57">
        <f t="shared" si="48"/>
        <v>0</v>
      </c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>
        <f t="shared" si="7"/>
        <v>0</v>
      </c>
    </row>
    <row r="134" ht="15.75" customHeight="1">
      <c r="A134" s="15" t="s">
        <v>453</v>
      </c>
      <c r="B134" s="15" t="s">
        <v>454</v>
      </c>
      <c r="C134" s="15" t="s">
        <v>119</v>
      </c>
      <c r="D134" s="56">
        <f>SUMIF('2015-16 12 Mnths'!$A:$A,'Variance16-17'!$A134,'2015-16 12 Mnths'!C:C)-SUMIF('Budget 12 Mnths'!$A:$A,'Variance16-17'!$A134,'Budget 12 Mnths'!D:D)</f>
        <v>4</v>
      </c>
      <c r="E134" s="56">
        <f>SUMIF('2015-16 12 Mnths'!$A:$A,'Variance16-17'!$A134,'2015-16 12 Mnths'!D:D)-SUMIF('Budget 12 Mnths'!$A:$A,'Variance16-17'!$A134,'Budget 12 Mnths'!E:E)</f>
        <v>4</v>
      </c>
      <c r="F134" s="56">
        <f>SUMIF('2015-16 12 Mnths'!$A:$A,'Variance16-17'!$A134,'2015-16 12 Mnths'!E:E)-SUMIF('Budget 12 Mnths'!$A:$A,'Variance16-17'!$A134,'Budget 12 Mnths'!F:F)</f>
        <v>23.95</v>
      </c>
      <c r="G134" s="56">
        <f>SUMIF('2015-16 12 Mnths'!$A:$A,'Variance16-17'!$A134,'2015-16 12 Mnths'!F:F)-SUMIF('Budget 12 Mnths'!$A:$A,'Variance16-17'!$A134,'Budget 12 Mnths'!G:G)</f>
        <v>-2.65</v>
      </c>
      <c r="H134" s="56">
        <f>SUMIF('2015-16 12 Mnths'!$A:$A,'Variance16-17'!$A134,'2015-16 12 Mnths'!G:G)-SUMIF('Budget 12 Mnths'!$A:$A,'Variance16-17'!$A134,'Budget 12 Mnths'!H:H)</f>
        <v>-62.5</v>
      </c>
      <c r="I134" s="56">
        <f>SUMIF('2015-16 12 Mnths'!$A:$A,'Variance16-17'!$A134,'2015-16 12 Mnths'!H:H)-SUMIF('Budget 12 Mnths'!$A:$A,'Variance16-17'!$A134,'Budget 12 Mnths'!I:I)</f>
        <v>37.25</v>
      </c>
      <c r="J134" s="56">
        <f>SUMIF('2015-16 12 Mnths'!$A:$A,'Variance16-17'!$A134,'2015-16 12 Mnths'!I:I)-SUMIF('Budget 12 Mnths'!$A:$A,'Variance16-17'!$A134,'Budget 12 Mnths'!J:J)</f>
        <v>-2.65</v>
      </c>
      <c r="K134" s="56">
        <f>SUMIF('2015-16 12 Mnths'!$A:$A,'Variance16-17'!$A134,'2015-16 12 Mnths'!J:J)-SUMIF('Budget 12 Mnths'!$A:$A,'Variance16-17'!$A134,'Budget 12 Mnths'!K:K)</f>
        <v>-2.65</v>
      </c>
      <c r="L134" s="56">
        <f>SUMIF('2015-16 12 Mnths'!$A:$A,'Variance16-17'!$A134,'2015-16 12 Mnths'!K:K)-SUMIF('Budget 12 Mnths'!$A:$A,'Variance16-17'!$A134,'Budget 12 Mnths'!L:L)</f>
        <v>37.25</v>
      </c>
      <c r="M134" s="56"/>
      <c r="N134" s="56"/>
      <c r="O134" s="56"/>
      <c r="P134" s="56">
        <f t="shared" si="1"/>
        <v>36</v>
      </c>
      <c r="Q134" s="14" t="str">
        <f>+VLOOKUP(A134,Mapping!$A$1:$E$443,5,FALSE)</f>
        <v>Benefits</v>
      </c>
      <c r="R134" s="26">
        <f>+SUMIF('Budget 12 Mnths'!$A:$A,'Variance16-17'!$A134,'Budget 12 Mnths'!$P:$P)</f>
        <v>750</v>
      </c>
      <c r="S134" s="26">
        <f>+SUMIF('2015-16 12 Mnths'!$A:$A,'Variance16-17'!$A134,'2015-16 12 Mnths'!$O:$O)</f>
        <v>698.25</v>
      </c>
      <c r="T134" s="57">
        <f t="shared" si="2"/>
        <v>0.048</v>
      </c>
      <c r="U134" s="57">
        <f t="shared" si="3"/>
        <v>0.05155746509</v>
      </c>
      <c r="V134" s="8" t="s">
        <v>594</v>
      </c>
      <c r="W134" s="57">
        <f>+SUMIF('Salaries 2019-20'!B$100:B$148,'Variance16-17'!A134,'Salaries 2019-20'!V$100:V$148)</f>
        <v>1220.94</v>
      </c>
      <c r="X134" s="51">
        <f t="shared" si="50"/>
        <v>1220.94</v>
      </c>
      <c r="Y134" s="8" t="s">
        <v>601</v>
      </c>
      <c r="Z134" s="57">
        <f t="shared" si="48"/>
        <v>610.47</v>
      </c>
      <c r="AA134" s="57">
        <f t="shared" ref="AA134:AL134" si="51">+$X134/12</f>
        <v>101.745</v>
      </c>
      <c r="AB134" s="57">
        <f t="shared" si="51"/>
        <v>101.745</v>
      </c>
      <c r="AC134" s="57">
        <f t="shared" si="51"/>
        <v>101.745</v>
      </c>
      <c r="AD134" s="57">
        <f t="shared" si="51"/>
        <v>101.745</v>
      </c>
      <c r="AE134" s="57">
        <f t="shared" si="51"/>
        <v>101.745</v>
      </c>
      <c r="AF134" s="57">
        <f t="shared" si="51"/>
        <v>101.745</v>
      </c>
      <c r="AG134" s="57">
        <f t="shared" si="51"/>
        <v>101.745</v>
      </c>
      <c r="AH134" s="57">
        <f t="shared" si="51"/>
        <v>101.745</v>
      </c>
      <c r="AI134" s="57">
        <f t="shared" si="51"/>
        <v>101.745</v>
      </c>
      <c r="AJ134" s="57">
        <f t="shared" si="51"/>
        <v>101.745</v>
      </c>
      <c r="AK134" s="57">
        <f t="shared" si="51"/>
        <v>101.745</v>
      </c>
      <c r="AL134" s="57">
        <f t="shared" si="51"/>
        <v>101.745</v>
      </c>
      <c r="AM134" s="27">
        <f t="shared" si="7"/>
        <v>0</v>
      </c>
    </row>
    <row r="135" ht="15.75" customHeight="1">
      <c r="A135" s="15" t="s">
        <v>455</v>
      </c>
      <c r="B135" s="15" t="s">
        <v>454</v>
      </c>
      <c r="C135" s="15" t="s">
        <v>119</v>
      </c>
      <c r="D135" s="56">
        <f>SUMIF('2015-16 12 Mnths'!$A:$A,'Variance16-17'!$A135,'2015-16 12 Mnths'!C:C)-SUMIF('Budget 12 Mnths'!$A:$A,'Variance16-17'!$A135,'Budget 12 Mnths'!D:D)</f>
        <v>24.28</v>
      </c>
      <c r="E135" s="56">
        <f>SUMIF('2015-16 12 Mnths'!$A:$A,'Variance16-17'!$A135,'2015-16 12 Mnths'!D:D)-SUMIF('Budget 12 Mnths'!$A:$A,'Variance16-17'!$A135,'Budget 12 Mnths'!E:E)</f>
        <v>0</v>
      </c>
      <c r="F135" s="56">
        <f>SUMIF('2015-16 12 Mnths'!$A:$A,'Variance16-17'!$A135,'2015-16 12 Mnths'!E:E)-SUMIF('Budget 12 Mnths'!$A:$A,'Variance16-17'!$A135,'Budget 12 Mnths'!F:F)</f>
        <v>33.25</v>
      </c>
      <c r="G135" s="56">
        <f>SUMIF('2015-16 12 Mnths'!$A:$A,'Variance16-17'!$A135,'2015-16 12 Mnths'!F:F)-SUMIF('Budget 12 Mnths'!$A:$A,'Variance16-17'!$A135,'Budget 12 Mnths'!G:G)</f>
        <v>33.25</v>
      </c>
      <c r="H135" s="56">
        <f>SUMIF('2015-16 12 Mnths'!$A:$A,'Variance16-17'!$A135,'2015-16 12 Mnths'!G:G)-SUMIF('Budget 12 Mnths'!$A:$A,'Variance16-17'!$A135,'Budget 12 Mnths'!H:H)</f>
        <v>106.4</v>
      </c>
      <c r="I135" s="56">
        <f>SUMIF('2015-16 12 Mnths'!$A:$A,'Variance16-17'!$A135,'2015-16 12 Mnths'!H:H)-SUMIF('Budget 12 Mnths'!$A:$A,'Variance16-17'!$A135,'Budget 12 Mnths'!I:I)</f>
        <v>0</v>
      </c>
      <c r="J135" s="56">
        <f>SUMIF('2015-16 12 Mnths'!$A:$A,'Variance16-17'!$A135,'2015-16 12 Mnths'!I:I)-SUMIF('Budget 12 Mnths'!$A:$A,'Variance16-17'!$A135,'Budget 12 Mnths'!J:J)</f>
        <v>39.9</v>
      </c>
      <c r="K135" s="56">
        <f>SUMIF('2015-16 12 Mnths'!$A:$A,'Variance16-17'!$A135,'2015-16 12 Mnths'!J:J)-SUMIF('Budget 12 Mnths'!$A:$A,'Variance16-17'!$A135,'Budget 12 Mnths'!K:K)</f>
        <v>39.9</v>
      </c>
      <c r="L135" s="56">
        <f>SUMIF('2015-16 12 Mnths'!$A:$A,'Variance16-17'!$A135,'2015-16 12 Mnths'!K:K)-SUMIF('Budget 12 Mnths'!$A:$A,'Variance16-17'!$A135,'Budget 12 Mnths'!L:L)</f>
        <v>0</v>
      </c>
      <c r="M135" s="56"/>
      <c r="N135" s="56"/>
      <c r="O135" s="56"/>
      <c r="P135" s="56">
        <f t="shared" si="1"/>
        <v>276.98</v>
      </c>
      <c r="Q135" s="14" t="str">
        <f>+VLOOKUP(A135,Mapping!$A$1:$E$443,5,FALSE)</f>
        <v>Benefits</v>
      </c>
      <c r="R135" s="26">
        <f>+SUMIF('Budget 12 Mnths'!$A:$A,'Variance16-17'!$A135,'Budget 12 Mnths'!$P:$P)</f>
        <v>0</v>
      </c>
      <c r="S135" s="26">
        <f>+SUMIF('2015-16 12 Mnths'!$A:$A,'Variance16-17'!$A135,'2015-16 12 Mnths'!$O:$O)</f>
        <v>276.98</v>
      </c>
      <c r="T135" s="57">
        <f t="shared" si="2"/>
        <v>0</v>
      </c>
      <c r="U135" s="57">
        <f t="shared" si="3"/>
        <v>1</v>
      </c>
      <c r="W135" s="57">
        <f>+SUMIF('Salaries 2019-20'!B$100:B$148,'Variance16-17'!A135,'Salaries 2019-20'!V$100:V$148)</f>
        <v>0</v>
      </c>
      <c r="X135" s="51">
        <f t="shared" si="50"/>
        <v>0</v>
      </c>
      <c r="Z135" s="57">
        <f t="shared" si="48"/>
        <v>0</v>
      </c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>
        <f t="shared" si="7"/>
        <v>0</v>
      </c>
    </row>
    <row r="136" ht="15.75" customHeight="1">
      <c r="A136" s="15" t="s">
        <v>456</v>
      </c>
      <c r="B136" s="15" t="s">
        <v>454</v>
      </c>
      <c r="C136" s="15" t="s">
        <v>119</v>
      </c>
      <c r="D136" s="56">
        <f>SUMIF('2015-16 12 Mnths'!$A:$A,'Variance16-17'!$A136,'2015-16 12 Mnths'!C:C)-SUMIF('Budget 12 Mnths'!$A:$A,'Variance16-17'!$A136,'Budget 12 Mnths'!D:D)</f>
        <v>0</v>
      </c>
      <c r="E136" s="56">
        <f>SUMIF('2015-16 12 Mnths'!$A:$A,'Variance16-17'!$A136,'2015-16 12 Mnths'!D:D)-SUMIF('Budget 12 Mnths'!$A:$A,'Variance16-17'!$A136,'Budget 12 Mnths'!E:E)</f>
        <v>0</v>
      </c>
      <c r="F136" s="56">
        <f>SUMIF('2015-16 12 Mnths'!$A:$A,'Variance16-17'!$A136,'2015-16 12 Mnths'!E:E)-SUMIF('Budget 12 Mnths'!$A:$A,'Variance16-17'!$A136,'Budget 12 Mnths'!F:F)</f>
        <v>0</v>
      </c>
      <c r="G136" s="56">
        <f>SUMIF('2015-16 12 Mnths'!$A:$A,'Variance16-17'!$A136,'2015-16 12 Mnths'!F:F)-SUMIF('Budget 12 Mnths'!$A:$A,'Variance16-17'!$A136,'Budget 12 Mnths'!G:G)</f>
        <v>0</v>
      </c>
      <c r="H136" s="56">
        <f>SUMIF('2015-16 12 Mnths'!$A:$A,'Variance16-17'!$A136,'2015-16 12 Mnths'!G:G)-SUMIF('Budget 12 Mnths'!$A:$A,'Variance16-17'!$A136,'Budget 12 Mnths'!H:H)</f>
        <v>0</v>
      </c>
      <c r="I136" s="56">
        <f>SUMIF('2015-16 12 Mnths'!$A:$A,'Variance16-17'!$A136,'2015-16 12 Mnths'!H:H)-SUMIF('Budget 12 Mnths'!$A:$A,'Variance16-17'!$A136,'Budget 12 Mnths'!I:I)</f>
        <v>0</v>
      </c>
      <c r="J136" s="56">
        <f>SUMIF('2015-16 12 Mnths'!$A:$A,'Variance16-17'!$A136,'2015-16 12 Mnths'!I:I)-SUMIF('Budget 12 Mnths'!$A:$A,'Variance16-17'!$A136,'Budget 12 Mnths'!J:J)</f>
        <v>0</v>
      </c>
      <c r="K136" s="56">
        <f>SUMIF('2015-16 12 Mnths'!$A:$A,'Variance16-17'!$A136,'2015-16 12 Mnths'!J:J)-SUMIF('Budget 12 Mnths'!$A:$A,'Variance16-17'!$A136,'Budget 12 Mnths'!K:K)</f>
        <v>0</v>
      </c>
      <c r="L136" s="56">
        <f>SUMIF('2015-16 12 Mnths'!$A:$A,'Variance16-17'!$A136,'2015-16 12 Mnths'!K:K)-SUMIF('Budget 12 Mnths'!$A:$A,'Variance16-17'!$A136,'Budget 12 Mnths'!L:L)</f>
        <v>0</v>
      </c>
      <c r="M136" s="56"/>
      <c r="N136" s="56"/>
      <c r="O136" s="56"/>
      <c r="P136" s="56">
        <f t="shared" si="1"/>
        <v>0</v>
      </c>
      <c r="Q136" s="14" t="str">
        <f>+VLOOKUP(A136,Mapping!$A$1:$E$443,5,FALSE)</f>
        <v>Benefits</v>
      </c>
      <c r="R136" s="26">
        <f>+SUMIF('Budget 12 Mnths'!$A:$A,'Variance16-17'!$A136,'Budget 12 Mnths'!$P:$P)</f>
        <v>0</v>
      </c>
      <c r="S136" s="26">
        <f>+SUMIF('2015-16 12 Mnths'!$A:$A,'Variance16-17'!$A136,'2015-16 12 Mnths'!$O:$O)</f>
        <v>0</v>
      </c>
      <c r="T136" s="57">
        <f t="shared" si="2"/>
        <v>0</v>
      </c>
      <c r="U136" s="57">
        <f t="shared" si="3"/>
        <v>0</v>
      </c>
      <c r="W136" s="57">
        <f>+SUMIF('Salaries 2019-20'!B$100:B$148,'Variance16-17'!A136,'Salaries 2019-20'!V$100:V$148)</f>
        <v>0</v>
      </c>
      <c r="X136" s="51">
        <f t="shared" si="50"/>
        <v>0</v>
      </c>
      <c r="Z136" s="57">
        <f t="shared" si="48"/>
        <v>0</v>
      </c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>
        <f t="shared" si="7"/>
        <v>0</v>
      </c>
    </row>
    <row r="137" ht="15.75" customHeight="1">
      <c r="A137" s="15" t="s">
        <v>459</v>
      </c>
      <c r="B137" s="15" t="s">
        <v>460</v>
      </c>
      <c r="C137" s="15" t="s">
        <v>119</v>
      </c>
      <c r="D137" s="56">
        <f>SUMIF('2015-16 12 Mnths'!$A:$A,'Variance16-17'!$A137,'2015-16 12 Mnths'!C:C)-SUMIF('Budget 12 Mnths'!$A:$A,'Variance16-17'!$A137,'Budget 12 Mnths'!D:D)</f>
        <v>1350.88</v>
      </c>
      <c r="E137" s="56">
        <f>SUMIF('2015-16 12 Mnths'!$A:$A,'Variance16-17'!$A137,'2015-16 12 Mnths'!D:D)-SUMIF('Budget 12 Mnths'!$A:$A,'Variance16-17'!$A137,'Budget 12 Mnths'!E:E)</f>
        <v>1441</v>
      </c>
      <c r="F137" s="56">
        <f>SUMIF('2015-16 12 Mnths'!$A:$A,'Variance16-17'!$A137,'2015-16 12 Mnths'!E:E)-SUMIF('Budget 12 Mnths'!$A:$A,'Variance16-17'!$A137,'Budget 12 Mnths'!F:F)</f>
        <v>1148.76</v>
      </c>
      <c r="G137" s="56">
        <f>SUMIF('2015-16 12 Mnths'!$A:$A,'Variance16-17'!$A137,'2015-16 12 Mnths'!F:F)-SUMIF('Budget 12 Mnths'!$A:$A,'Variance16-17'!$A137,'Budget 12 Mnths'!G:G)</f>
        <v>1128.17</v>
      </c>
      <c r="H137" s="56">
        <f>SUMIF('2015-16 12 Mnths'!$A:$A,'Variance16-17'!$A137,'2015-16 12 Mnths'!G:G)-SUMIF('Budget 12 Mnths'!$A:$A,'Variance16-17'!$A137,'Budget 12 Mnths'!H:H)</f>
        <v>1031.31</v>
      </c>
      <c r="I137" s="56">
        <f>SUMIF('2015-16 12 Mnths'!$A:$A,'Variance16-17'!$A137,'2015-16 12 Mnths'!H:H)-SUMIF('Budget 12 Mnths'!$A:$A,'Variance16-17'!$A137,'Budget 12 Mnths'!I:I)</f>
        <v>1271.79</v>
      </c>
      <c r="J137" s="56">
        <f>SUMIF('2015-16 12 Mnths'!$A:$A,'Variance16-17'!$A137,'2015-16 12 Mnths'!I:I)-SUMIF('Budget 12 Mnths'!$A:$A,'Variance16-17'!$A137,'Budget 12 Mnths'!J:J)</f>
        <v>992.29</v>
      </c>
      <c r="K137" s="56">
        <f>SUMIF('2015-16 12 Mnths'!$A:$A,'Variance16-17'!$A137,'2015-16 12 Mnths'!J:J)-SUMIF('Budget 12 Mnths'!$A:$A,'Variance16-17'!$A137,'Budget 12 Mnths'!K:K)</f>
        <v>863.22</v>
      </c>
      <c r="L137" s="56">
        <f>SUMIF('2015-16 12 Mnths'!$A:$A,'Variance16-17'!$A137,'2015-16 12 Mnths'!K:K)-SUMIF('Budget 12 Mnths'!$A:$A,'Variance16-17'!$A137,'Budget 12 Mnths'!L:L)</f>
        <v>878.73</v>
      </c>
      <c r="M137" s="56"/>
      <c r="N137" s="56"/>
      <c r="O137" s="56"/>
      <c r="P137" s="56">
        <f t="shared" si="1"/>
        <v>10106.15</v>
      </c>
      <c r="Q137" s="14" t="str">
        <f>+VLOOKUP(A137,Mapping!$A$1:$E$443,5,FALSE)</f>
        <v>Payroll Taxes</v>
      </c>
      <c r="R137" s="26">
        <f>+SUMIF('Budget 12 Mnths'!$A:$A,'Variance16-17'!$A137,'Budget 12 Mnths'!$P:$P)</f>
        <v>26895.35</v>
      </c>
      <c r="S137" s="26">
        <f>+SUMIF('2015-16 12 Mnths'!$A:$A,'Variance16-17'!$A137,'2015-16 12 Mnths'!$O:$O)</f>
        <v>33017.66</v>
      </c>
      <c r="T137" s="57">
        <f t="shared" si="2"/>
        <v>0.375758263</v>
      </c>
      <c r="U137" s="57">
        <f t="shared" si="3"/>
        <v>0.3060831688</v>
      </c>
      <c r="V137" s="8" t="s">
        <v>594</v>
      </c>
      <c r="W137" s="57">
        <f>+SUMIF('Salaries 2019-20'!B$100:B$148,'Variance16-17'!A137,'Salaries 2019-20'!V$100:V$148)</f>
        <v>39585.234</v>
      </c>
      <c r="X137" s="51">
        <f>+W137-11333</f>
        <v>28252.234</v>
      </c>
      <c r="Y137" s="8" t="s">
        <v>601</v>
      </c>
      <c r="Z137" s="57">
        <f>+X137/9.5*4.5</f>
        <v>13382.63716</v>
      </c>
      <c r="AA137" s="27">
        <v>0.0</v>
      </c>
      <c r="AB137" s="57">
        <f>+$X137/9.5*0.5</f>
        <v>1486.959684</v>
      </c>
      <c r="AC137" s="57">
        <f t="shared" ref="AC137:AK137" si="52">+$X137/9.5</f>
        <v>2973.919368</v>
      </c>
      <c r="AD137" s="57">
        <f t="shared" si="52"/>
        <v>2973.919368</v>
      </c>
      <c r="AE137" s="57">
        <f t="shared" si="52"/>
        <v>2973.919368</v>
      </c>
      <c r="AF137" s="57">
        <f t="shared" si="52"/>
        <v>2973.919368</v>
      </c>
      <c r="AG137" s="57">
        <f t="shared" si="52"/>
        <v>2973.919368</v>
      </c>
      <c r="AH137" s="57">
        <f t="shared" si="52"/>
        <v>2973.919368</v>
      </c>
      <c r="AI137" s="57">
        <f t="shared" si="52"/>
        <v>2973.919368</v>
      </c>
      <c r="AJ137" s="57">
        <f t="shared" si="52"/>
        <v>2973.919368</v>
      </c>
      <c r="AK137" s="57">
        <f t="shared" si="52"/>
        <v>2973.919368</v>
      </c>
      <c r="AL137" s="27">
        <v>0.0</v>
      </c>
      <c r="AM137" s="27">
        <f t="shared" si="7"/>
        <v>0</v>
      </c>
    </row>
    <row r="138" ht="15.75" customHeight="1">
      <c r="A138" s="15" t="s">
        <v>461</v>
      </c>
      <c r="B138" s="15" t="s">
        <v>460</v>
      </c>
      <c r="C138" s="15" t="s">
        <v>119</v>
      </c>
      <c r="D138" s="56">
        <f>SUMIF('2015-16 12 Mnths'!$A:$A,'Variance16-17'!$A138,'2015-16 12 Mnths'!C:C)-SUMIF('Budget 12 Mnths'!$A:$A,'Variance16-17'!$A138,'Budget 12 Mnths'!D:D)</f>
        <v>-1130.23</v>
      </c>
      <c r="E138" s="56">
        <f>SUMIF('2015-16 12 Mnths'!$A:$A,'Variance16-17'!$A138,'2015-16 12 Mnths'!D:D)-SUMIF('Budget 12 Mnths'!$A:$A,'Variance16-17'!$A138,'Budget 12 Mnths'!E:E)</f>
        <v>-1130.23</v>
      </c>
      <c r="F138" s="56">
        <f>SUMIF('2015-16 12 Mnths'!$A:$A,'Variance16-17'!$A138,'2015-16 12 Mnths'!E:E)-SUMIF('Budget 12 Mnths'!$A:$A,'Variance16-17'!$A138,'Budget 12 Mnths'!F:F)</f>
        <v>-1130.23</v>
      </c>
      <c r="G138" s="56">
        <f>SUMIF('2015-16 12 Mnths'!$A:$A,'Variance16-17'!$A138,'2015-16 12 Mnths'!F:F)-SUMIF('Budget 12 Mnths'!$A:$A,'Variance16-17'!$A138,'Budget 12 Mnths'!G:G)</f>
        <v>-1130.23</v>
      </c>
      <c r="H138" s="56">
        <f>SUMIF('2015-16 12 Mnths'!$A:$A,'Variance16-17'!$A138,'2015-16 12 Mnths'!G:G)-SUMIF('Budget 12 Mnths'!$A:$A,'Variance16-17'!$A138,'Budget 12 Mnths'!H:H)</f>
        <v>-1130.23</v>
      </c>
      <c r="I138" s="56">
        <f>SUMIF('2015-16 12 Mnths'!$A:$A,'Variance16-17'!$A138,'2015-16 12 Mnths'!H:H)-SUMIF('Budget 12 Mnths'!$A:$A,'Variance16-17'!$A138,'Budget 12 Mnths'!I:I)</f>
        <v>-1130.23</v>
      </c>
      <c r="J138" s="56">
        <f>SUMIF('2015-16 12 Mnths'!$A:$A,'Variance16-17'!$A138,'2015-16 12 Mnths'!I:I)-SUMIF('Budget 12 Mnths'!$A:$A,'Variance16-17'!$A138,'Budget 12 Mnths'!J:J)</f>
        <v>-1130.23</v>
      </c>
      <c r="K138" s="56">
        <f>SUMIF('2015-16 12 Mnths'!$A:$A,'Variance16-17'!$A138,'2015-16 12 Mnths'!J:J)-SUMIF('Budget 12 Mnths'!$A:$A,'Variance16-17'!$A138,'Budget 12 Mnths'!K:K)</f>
        <v>-1130.23</v>
      </c>
      <c r="L138" s="56">
        <f>SUMIF('2015-16 12 Mnths'!$A:$A,'Variance16-17'!$A138,'2015-16 12 Mnths'!K:K)-SUMIF('Budget 12 Mnths'!$A:$A,'Variance16-17'!$A138,'Budget 12 Mnths'!L:L)</f>
        <v>-1130.23</v>
      </c>
      <c r="M138" s="56"/>
      <c r="N138" s="56"/>
      <c r="O138" s="56"/>
      <c r="P138" s="56">
        <f t="shared" si="1"/>
        <v>-10172.07</v>
      </c>
      <c r="Q138" s="14" t="str">
        <f>+VLOOKUP(A138,Mapping!$A$1:$E$443,5,FALSE)</f>
        <v>Payroll Taxes</v>
      </c>
      <c r="R138" s="26">
        <f>+SUMIF('Budget 12 Mnths'!$A:$A,'Variance16-17'!$A138,'Budget 12 Mnths'!$P:$P)</f>
        <v>13562.76</v>
      </c>
      <c r="S138" s="26">
        <f>+SUMIF('2015-16 12 Mnths'!$A:$A,'Variance16-17'!$A138,'2015-16 12 Mnths'!$O:$O)</f>
        <v>0</v>
      </c>
      <c r="T138" s="57">
        <f t="shared" si="2"/>
        <v>-0.75</v>
      </c>
      <c r="U138" s="57">
        <f t="shared" si="3"/>
        <v>0</v>
      </c>
      <c r="V138" s="8" t="s">
        <v>594</v>
      </c>
      <c r="W138" s="57">
        <f>+SUMIF('Salaries 2019-20'!B$100:B$148,'Variance16-17'!A138,'Salaries 2019-20'!V$100:V$148)</f>
        <v>0</v>
      </c>
      <c r="X138" s="51">
        <f t="shared" ref="X138:X159" si="53">+W138</f>
        <v>0</v>
      </c>
      <c r="Z138" s="57">
        <f t="shared" ref="Z138:Z139" si="54">+X138/2</f>
        <v>0</v>
      </c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>
        <f t="shared" si="7"/>
        <v>0</v>
      </c>
    </row>
    <row r="139" ht="15.75" customHeight="1">
      <c r="A139" s="15" t="s">
        <v>462</v>
      </c>
      <c r="B139" s="15" t="s">
        <v>460</v>
      </c>
      <c r="C139" s="15" t="s">
        <v>119</v>
      </c>
      <c r="D139" s="56">
        <f>SUMIF('2015-16 12 Mnths'!$A:$A,'Variance16-17'!$A139,'2015-16 12 Mnths'!C:C)-SUMIF('Budget 12 Mnths'!$A:$A,'Variance16-17'!$A139,'Budget 12 Mnths'!D:D)</f>
        <v>0</v>
      </c>
      <c r="E139" s="56">
        <f>SUMIF('2015-16 12 Mnths'!$A:$A,'Variance16-17'!$A139,'2015-16 12 Mnths'!D:D)-SUMIF('Budget 12 Mnths'!$A:$A,'Variance16-17'!$A139,'Budget 12 Mnths'!E:E)</f>
        <v>0</v>
      </c>
      <c r="F139" s="56">
        <f>SUMIF('2015-16 12 Mnths'!$A:$A,'Variance16-17'!$A139,'2015-16 12 Mnths'!E:E)-SUMIF('Budget 12 Mnths'!$A:$A,'Variance16-17'!$A139,'Budget 12 Mnths'!F:F)</f>
        <v>0</v>
      </c>
      <c r="G139" s="56">
        <f>SUMIF('2015-16 12 Mnths'!$A:$A,'Variance16-17'!$A139,'2015-16 12 Mnths'!F:F)-SUMIF('Budget 12 Mnths'!$A:$A,'Variance16-17'!$A139,'Budget 12 Mnths'!G:G)</f>
        <v>0</v>
      </c>
      <c r="H139" s="56">
        <f>SUMIF('2015-16 12 Mnths'!$A:$A,'Variance16-17'!$A139,'2015-16 12 Mnths'!G:G)-SUMIF('Budget 12 Mnths'!$A:$A,'Variance16-17'!$A139,'Budget 12 Mnths'!H:H)</f>
        <v>0</v>
      </c>
      <c r="I139" s="56">
        <f>SUMIF('2015-16 12 Mnths'!$A:$A,'Variance16-17'!$A139,'2015-16 12 Mnths'!H:H)-SUMIF('Budget 12 Mnths'!$A:$A,'Variance16-17'!$A139,'Budget 12 Mnths'!I:I)</f>
        <v>0</v>
      </c>
      <c r="J139" s="56">
        <f>SUMIF('2015-16 12 Mnths'!$A:$A,'Variance16-17'!$A139,'2015-16 12 Mnths'!I:I)-SUMIF('Budget 12 Mnths'!$A:$A,'Variance16-17'!$A139,'Budget 12 Mnths'!J:J)</f>
        <v>0</v>
      </c>
      <c r="K139" s="56">
        <f>SUMIF('2015-16 12 Mnths'!$A:$A,'Variance16-17'!$A139,'2015-16 12 Mnths'!J:J)-SUMIF('Budget 12 Mnths'!$A:$A,'Variance16-17'!$A139,'Budget 12 Mnths'!K:K)</f>
        <v>0</v>
      </c>
      <c r="L139" s="56">
        <f>SUMIF('2015-16 12 Mnths'!$A:$A,'Variance16-17'!$A139,'2015-16 12 Mnths'!K:K)-SUMIF('Budget 12 Mnths'!$A:$A,'Variance16-17'!$A139,'Budget 12 Mnths'!L:L)</f>
        <v>0</v>
      </c>
      <c r="M139" s="56"/>
      <c r="N139" s="56"/>
      <c r="O139" s="56"/>
      <c r="P139" s="56">
        <f t="shared" si="1"/>
        <v>0</v>
      </c>
      <c r="Q139" s="14" t="str">
        <f>+VLOOKUP(A139,Mapping!$A$1:$E$443,5,FALSE)</f>
        <v>Payroll Taxes</v>
      </c>
      <c r="R139" s="26">
        <f>+SUMIF('Budget 12 Mnths'!$A:$A,'Variance16-17'!$A139,'Budget 12 Mnths'!$P:$P)</f>
        <v>0</v>
      </c>
      <c r="S139" s="26">
        <f>+SUMIF('2015-16 12 Mnths'!$A:$A,'Variance16-17'!$A139,'2015-16 12 Mnths'!$O:$O)</f>
        <v>0</v>
      </c>
      <c r="T139" s="57">
        <f t="shared" si="2"/>
        <v>0</v>
      </c>
      <c r="U139" s="57">
        <f t="shared" si="3"/>
        <v>0</v>
      </c>
      <c r="W139" s="57">
        <f>+SUMIF('Salaries 2019-20'!B$100:B$148,'Variance16-17'!A139,'Salaries 2019-20'!V$100:V$148)</f>
        <v>0</v>
      </c>
      <c r="X139" s="51">
        <f t="shared" si="53"/>
        <v>0</v>
      </c>
      <c r="Z139" s="57">
        <f t="shared" si="54"/>
        <v>0</v>
      </c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>
        <f t="shared" si="7"/>
        <v>0</v>
      </c>
    </row>
    <row r="140" ht="15.75" customHeight="1">
      <c r="A140" s="15" t="s">
        <v>463</v>
      </c>
      <c r="B140" s="15" t="s">
        <v>464</v>
      </c>
      <c r="C140" s="15" t="s">
        <v>119</v>
      </c>
      <c r="D140" s="56">
        <f>SUMIF('2015-16 12 Mnths'!$A:$A,'Variance16-17'!$A140,'2015-16 12 Mnths'!C:C)-SUMIF('Budget 12 Mnths'!$A:$A,'Variance16-17'!$A140,'Budget 12 Mnths'!D:D)</f>
        <v>315.94</v>
      </c>
      <c r="E140" s="56">
        <f>SUMIF('2015-16 12 Mnths'!$A:$A,'Variance16-17'!$A140,'2015-16 12 Mnths'!D:D)-SUMIF('Budget 12 Mnths'!$A:$A,'Variance16-17'!$A140,'Budget 12 Mnths'!E:E)</f>
        <v>339.98</v>
      </c>
      <c r="F140" s="56">
        <f>SUMIF('2015-16 12 Mnths'!$A:$A,'Variance16-17'!$A140,'2015-16 12 Mnths'!E:E)-SUMIF('Budget 12 Mnths'!$A:$A,'Variance16-17'!$A140,'Budget 12 Mnths'!F:F)</f>
        <v>272.89</v>
      </c>
      <c r="G140" s="56">
        <f>SUMIF('2015-16 12 Mnths'!$A:$A,'Variance16-17'!$A140,'2015-16 12 Mnths'!F:F)-SUMIF('Budget 12 Mnths'!$A:$A,'Variance16-17'!$A140,'Budget 12 Mnths'!G:G)</f>
        <v>345.45</v>
      </c>
      <c r="H140" s="56">
        <f>SUMIF('2015-16 12 Mnths'!$A:$A,'Variance16-17'!$A140,'2015-16 12 Mnths'!G:G)-SUMIF('Budget 12 Mnths'!$A:$A,'Variance16-17'!$A140,'Budget 12 Mnths'!H:H)</f>
        <v>245.43</v>
      </c>
      <c r="I140" s="56">
        <f>SUMIF('2015-16 12 Mnths'!$A:$A,'Variance16-17'!$A140,'2015-16 12 Mnths'!H:H)-SUMIF('Budget 12 Mnths'!$A:$A,'Variance16-17'!$A140,'Budget 12 Mnths'!I:I)</f>
        <v>300.69</v>
      </c>
      <c r="J140" s="56">
        <f>SUMIF('2015-16 12 Mnths'!$A:$A,'Variance16-17'!$A140,'2015-16 12 Mnths'!I:I)-SUMIF('Budget 12 Mnths'!$A:$A,'Variance16-17'!$A140,'Budget 12 Mnths'!J:J)</f>
        <v>236.34</v>
      </c>
      <c r="K140" s="56">
        <f>SUMIF('2015-16 12 Mnths'!$A:$A,'Variance16-17'!$A140,'2015-16 12 Mnths'!J:J)-SUMIF('Budget 12 Mnths'!$A:$A,'Variance16-17'!$A140,'Budget 12 Mnths'!K:K)</f>
        <v>206.1</v>
      </c>
      <c r="L140" s="56">
        <f>SUMIF('2015-16 12 Mnths'!$A:$A,'Variance16-17'!$A140,'2015-16 12 Mnths'!K:K)-SUMIF('Budget 12 Mnths'!$A:$A,'Variance16-17'!$A140,'Budget 12 Mnths'!L:L)</f>
        <v>209.75</v>
      </c>
      <c r="M140" s="56"/>
      <c r="N140" s="56"/>
      <c r="O140" s="56"/>
      <c r="P140" s="56">
        <f t="shared" si="1"/>
        <v>2472.57</v>
      </c>
      <c r="Q140" s="14" t="str">
        <f>+VLOOKUP(A140,Mapping!$A$1:$E$443,5,FALSE)</f>
        <v>Payroll Taxes</v>
      </c>
      <c r="R140" s="26">
        <f>+SUMIF('Budget 12 Mnths'!$A:$A,'Variance16-17'!$A140,'Budget 12 Mnths'!$P:$P)</f>
        <v>6249.67</v>
      </c>
      <c r="S140" s="26">
        <f>+SUMIF('2015-16 12 Mnths'!$A:$A,'Variance16-17'!$A140,'2015-16 12 Mnths'!$O:$O)</f>
        <v>7799.03</v>
      </c>
      <c r="T140" s="57">
        <f t="shared" si="2"/>
        <v>0.3956320894</v>
      </c>
      <c r="U140" s="57">
        <f t="shared" si="3"/>
        <v>0.3170355801</v>
      </c>
      <c r="V140" s="8" t="s">
        <v>594</v>
      </c>
      <c r="W140" s="57">
        <f>+SUMIF('Salaries 2019-20'!B$100:B$148,'Variance16-17'!A140,'Salaries 2019-20'!V$100:V$148)</f>
        <v>8830.5522</v>
      </c>
      <c r="X140" s="51">
        <f t="shared" si="53"/>
        <v>8830.5522</v>
      </c>
      <c r="Y140" s="8" t="s">
        <v>601</v>
      </c>
      <c r="Z140" s="57">
        <f>+X140/9.5*4.5</f>
        <v>4182.893147</v>
      </c>
      <c r="AA140" s="27">
        <v>0.0</v>
      </c>
      <c r="AB140" s="57">
        <f>+$X140/9.5*0.5</f>
        <v>464.7659053</v>
      </c>
      <c r="AC140" s="57">
        <f t="shared" ref="AC140:AK140" si="55">+$X140/9.5</f>
        <v>929.5318105</v>
      </c>
      <c r="AD140" s="57">
        <f t="shared" si="55"/>
        <v>929.5318105</v>
      </c>
      <c r="AE140" s="57">
        <f t="shared" si="55"/>
        <v>929.5318105</v>
      </c>
      <c r="AF140" s="57">
        <f t="shared" si="55"/>
        <v>929.5318105</v>
      </c>
      <c r="AG140" s="57">
        <f t="shared" si="55"/>
        <v>929.5318105</v>
      </c>
      <c r="AH140" s="57">
        <f t="shared" si="55"/>
        <v>929.5318105</v>
      </c>
      <c r="AI140" s="57">
        <f t="shared" si="55"/>
        <v>929.5318105</v>
      </c>
      <c r="AJ140" s="57">
        <f t="shared" si="55"/>
        <v>929.5318105</v>
      </c>
      <c r="AK140" s="57">
        <f t="shared" si="55"/>
        <v>929.5318105</v>
      </c>
      <c r="AL140" s="27">
        <v>0.0</v>
      </c>
      <c r="AM140" s="27">
        <f t="shared" si="7"/>
        <v>0</v>
      </c>
    </row>
    <row r="141" ht="15.75" customHeight="1">
      <c r="A141" s="15" t="s">
        <v>465</v>
      </c>
      <c r="B141" s="15" t="s">
        <v>464</v>
      </c>
      <c r="C141" s="15" t="s">
        <v>119</v>
      </c>
      <c r="D141" s="56">
        <f>SUMIF('2015-16 12 Mnths'!$A:$A,'Variance16-17'!$A141,'2015-16 12 Mnths'!C:C)-SUMIF('Budget 12 Mnths'!$A:$A,'Variance16-17'!$A141,'Budget 12 Mnths'!D:D)</f>
        <v>-262.21</v>
      </c>
      <c r="E141" s="56">
        <f>SUMIF('2015-16 12 Mnths'!$A:$A,'Variance16-17'!$A141,'2015-16 12 Mnths'!D:D)-SUMIF('Budget 12 Mnths'!$A:$A,'Variance16-17'!$A141,'Budget 12 Mnths'!E:E)</f>
        <v>-262.21</v>
      </c>
      <c r="F141" s="56">
        <f>SUMIF('2015-16 12 Mnths'!$A:$A,'Variance16-17'!$A141,'2015-16 12 Mnths'!E:E)-SUMIF('Budget 12 Mnths'!$A:$A,'Variance16-17'!$A141,'Budget 12 Mnths'!F:F)</f>
        <v>-262.21</v>
      </c>
      <c r="G141" s="56">
        <f>SUMIF('2015-16 12 Mnths'!$A:$A,'Variance16-17'!$A141,'2015-16 12 Mnths'!F:F)-SUMIF('Budget 12 Mnths'!$A:$A,'Variance16-17'!$A141,'Budget 12 Mnths'!G:G)</f>
        <v>-262.21</v>
      </c>
      <c r="H141" s="56">
        <f>SUMIF('2015-16 12 Mnths'!$A:$A,'Variance16-17'!$A141,'2015-16 12 Mnths'!G:G)-SUMIF('Budget 12 Mnths'!$A:$A,'Variance16-17'!$A141,'Budget 12 Mnths'!H:H)</f>
        <v>-262.21</v>
      </c>
      <c r="I141" s="56">
        <f>SUMIF('2015-16 12 Mnths'!$A:$A,'Variance16-17'!$A141,'2015-16 12 Mnths'!H:H)-SUMIF('Budget 12 Mnths'!$A:$A,'Variance16-17'!$A141,'Budget 12 Mnths'!I:I)</f>
        <v>-262.21</v>
      </c>
      <c r="J141" s="56">
        <f>SUMIF('2015-16 12 Mnths'!$A:$A,'Variance16-17'!$A141,'2015-16 12 Mnths'!I:I)-SUMIF('Budget 12 Mnths'!$A:$A,'Variance16-17'!$A141,'Budget 12 Mnths'!J:J)</f>
        <v>-262.21</v>
      </c>
      <c r="K141" s="56">
        <f>SUMIF('2015-16 12 Mnths'!$A:$A,'Variance16-17'!$A141,'2015-16 12 Mnths'!J:J)-SUMIF('Budget 12 Mnths'!$A:$A,'Variance16-17'!$A141,'Budget 12 Mnths'!K:K)</f>
        <v>-262.21</v>
      </c>
      <c r="L141" s="56">
        <f>SUMIF('2015-16 12 Mnths'!$A:$A,'Variance16-17'!$A141,'2015-16 12 Mnths'!K:K)-SUMIF('Budget 12 Mnths'!$A:$A,'Variance16-17'!$A141,'Budget 12 Mnths'!L:L)</f>
        <v>-262.21</v>
      </c>
      <c r="M141" s="56"/>
      <c r="N141" s="56"/>
      <c r="O141" s="56"/>
      <c r="P141" s="56">
        <f t="shared" si="1"/>
        <v>-2359.89</v>
      </c>
      <c r="Q141" s="14" t="str">
        <f>+VLOOKUP(A141,Mapping!$A$1:$E$443,5,FALSE)</f>
        <v>Payroll Taxes</v>
      </c>
      <c r="R141" s="26">
        <f>+SUMIF('Budget 12 Mnths'!$A:$A,'Variance16-17'!$A141,'Budget 12 Mnths'!$P:$P)</f>
        <v>3146.52</v>
      </c>
      <c r="S141" s="26">
        <f>+SUMIF('2015-16 12 Mnths'!$A:$A,'Variance16-17'!$A141,'2015-16 12 Mnths'!$O:$O)</f>
        <v>0</v>
      </c>
      <c r="T141" s="57">
        <f t="shared" si="2"/>
        <v>-0.75</v>
      </c>
      <c r="U141" s="57">
        <f t="shared" si="3"/>
        <v>0</v>
      </c>
      <c r="V141" s="8" t="s">
        <v>594</v>
      </c>
      <c r="W141" s="57">
        <f>+SUMIF('Salaries 2019-20'!B$100:B$148,'Variance16-17'!A141,'Salaries 2019-20'!V$100:V$148)</f>
        <v>0</v>
      </c>
      <c r="X141" s="27">
        <f t="shared" si="53"/>
        <v>0</v>
      </c>
      <c r="Z141" s="57">
        <f t="shared" ref="Z141:Z144" si="56">+X141/2</f>
        <v>0</v>
      </c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>
        <f t="shared" si="7"/>
        <v>0</v>
      </c>
    </row>
    <row r="142" ht="15.75" customHeight="1">
      <c r="A142" s="15" t="s">
        <v>466</v>
      </c>
      <c r="B142" s="15" t="s">
        <v>464</v>
      </c>
      <c r="C142" s="15" t="s">
        <v>119</v>
      </c>
      <c r="D142" s="56">
        <f>SUMIF('2015-16 12 Mnths'!$A:$A,'Variance16-17'!$A142,'2015-16 12 Mnths'!C:C)-SUMIF('Budget 12 Mnths'!$A:$A,'Variance16-17'!$A142,'Budget 12 Mnths'!D:D)</f>
        <v>0</v>
      </c>
      <c r="E142" s="56">
        <f>SUMIF('2015-16 12 Mnths'!$A:$A,'Variance16-17'!$A142,'2015-16 12 Mnths'!D:D)-SUMIF('Budget 12 Mnths'!$A:$A,'Variance16-17'!$A142,'Budget 12 Mnths'!E:E)</f>
        <v>0</v>
      </c>
      <c r="F142" s="56">
        <f>SUMIF('2015-16 12 Mnths'!$A:$A,'Variance16-17'!$A142,'2015-16 12 Mnths'!E:E)-SUMIF('Budget 12 Mnths'!$A:$A,'Variance16-17'!$A142,'Budget 12 Mnths'!F:F)</f>
        <v>0</v>
      </c>
      <c r="G142" s="56">
        <f>SUMIF('2015-16 12 Mnths'!$A:$A,'Variance16-17'!$A142,'2015-16 12 Mnths'!F:F)-SUMIF('Budget 12 Mnths'!$A:$A,'Variance16-17'!$A142,'Budget 12 Mnths'!G:G)</f>
        <v>0</v>
      </c>
      <c r="H142" s="56">
        <f>SUMIF('2015-16 12 Mnths'!$A:$A,'Variance16-17'!$A142,'2015-16 12 Mnths'!G:G)-SUMIF('Budget 12 Mnths'!$A:$A,'Variance16-17'!$A142,'Budget 12 Mnths'!H:H)</f>
        <v>0</v>
      </c>
      <c r="I142" s="56">
        <f>SUMIF('2015-16 12 Mnths'!$A:$A,'Variance16-17'!$A142,'2015-16 12 Mnths'!H:H)-SUMIF('Budget 12 Mnths'!$A:$A,'Variance16-17'!$A142,'Budget 12 Mnths'!I:I)</f>
        <v>0</v>
      </c>
      <c r="J142" s="56">
        <f>SUMIF('2015-16 12 Mnths'!$A:$A,'Variance16-17'!$A142,'2015-16 12 Mnths'!I:I)-SUMIF('Budget 12 Mnths'!$A:$A,'Variance16-17'!$A142,'Budget 12 Mnths'!J:J)</f>
        <v>0</v>
      </c>
      <c r="K142" s="56">
        <f>SUMIF('2015-16 12 Mnths'!$A:$A,'Variance16-17'!$A142,'2015-16 12 Mnths'!J:J)-SUMIF('Budget 12 Mnths'!$A:$A,'Variance16-17'!$A142,'Budget 12 Mnths'!K:K)</f>
        <v>0</v>
      </c>
      <c r="L142" s="56">
        <f>SUMIF('2015-16 12 Mnths'!$A:$A,'Variance16-17'!$A142,'2015-16 12 Mnths'!K:K)-SUMIF('Budget 12 Mnths'!$A:$A,'Variance16-17'!$A142,'Budget 12 Mnths'!L:L)</f>
        <v>0</v>
      </c>
      <c r="M142" s="56"/>
      <c r="N142" s="56"/>
      <c r="O142" s="56"/>
      <c r="P142" s="56">
        <f t="shared" si="1"/>
        <v>0</v>
      </c>
      <c r="Q142" s="14" t="str">
        <f>+VLOOKUP(A142,Mapping!$A$1:$E$443,5,FALSE)</f>
        <v>Payroll Taxes</v>
      </c>
      <c r="R142" s="26">
        <f>+SUMIF('Budget 12 Mnths'!$A:$A,'Variance16-17'!$A142,'Budget 12 Mnths'!$P:$P)</f>
        <v>0</v>
      </c>
      <c r="S142" s="26">
        <f>+SUMIF('2015-16 12 Mnths'!$A:$A,'Variance16-17'!$A142,'2015-16 12 Mnths'!$O:$O)</f>
        <v>0</v>
      </c>
      <c r="T142" s="57">
        <f t="shared" si="2"/>
        <v>0</v>
      </c>
      <c r="U142" s="57">
        <f t="shared" si="3"/>
        <v>0</v>
      </c>
      <c r="W142" s="57">
        <f>+SUMIF('Salaries 2019-20'!B$100:B$148,'Variance16-17'!A142,'Salaries 2019-20'!V$100:V$148)</f>
        <v>0</v>
      </c>
      <c r="X142" s="27">
        <f t="shared" si="53"/>
        <v>0</v>
      </c>
      <c r="Z142" s="57">
        <f t="shared" si="56"/>
        <v>0</v>
      </c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>
        <f t="shared" si="7"/>
        <v>0</v>
      </c>
    </row>
    <row r="143" ht="15.75" customHeight="1">
      <c r="A143" s="15" t="s">
        <v>467</v>
      </c>
      <c r="B143" s="15" t="s">
        <v>468</v>
      </c>
      <c r="C143" s="15" t="s">
        <v>119</v>
      </c>
      <c r="D143" s="56">
        <f>SUMIF('2015-16 12 Mnths'!$A:$A,'Variance16-17'!$A143,'2015-16 12 Mnths'!C:C)-SUMIF('Budget 12 Mnths'!$A:$A,'Variance16-17'!$A143,'Budget 12 Mnths'!D:D)</f>
        <v>0</v>
      </c>
      <c r="E143" s="56">
        <f>SUMIF('2015-16 12 Mnths'!$A:$A,'Variance16-17'!$A143,'2015-16 12 Mnths'!D:D)-SUMIF('Budget 12 Mnths'!$A:$A,'Variance16-17'!$A143,'Budget 12 Mnths'!E:E)</f>
        <v>0</v>
      </c>
      <c r="F143" s="56">
        <f>SUMIF('2015-16 12 Mnths'!$A:$A,'Variance16-17'!$A143,'2015-16 12 Mnths'!E:E)-SUMIF('Budget 12 Mnths'!$A:$A,'Variance16-17'!$A143,'Budget 12 Mnths'!F:F)</f>
        <v>0</v>
      </c>
      <c r="G143" s="56">
        <f>SUMIF('2015-16 12 Mnths'!$A:$A,'Variance16-17'!$A143,'2015-16 12 Mnths'!F:F)-SUMIF('Budget 12 Mnths'!$A:$A,'Variance16-17'!$A143,'Budget 12 Mnths'!G:G)</f>
        <v>0</v>
      </c>
      <c r="H143" s="56">
        <f>SUMIF('2015-16 12 Mnths'!$A:$A,'Variance16-17'!$A143,'2015-16 12 Mnths'!G:G)-SUMIF('Budget 12 Mnths'!$A:$A,'Variance16-17'!$A143,'Budget 12 Mnths'!H:H)</f>
        <v>0</v>
      </c>
      <c r="I143" s="56">
        <f>SUMIF('2015-16 12 Mnths'!$A:$A,'Variance16-17'!$A143,'2015-16 12 Mnths'!H:H)-SUMIF('Budget 12 Mnths'!$A:$A,'Variance16-17'!$A143,'Budget 12 Mnths'!I:I)</f>
        <v>0</v>
      </c>
      <c r="J143" s="56">
        <f>SUMIF('2015-16 12 Mnths'!$A:$A,'Variance16-17'!$A143,'2015-16 12 Mnths'!I:I)-SUMIF('Budget 12 Mnths'!$A:$A,'Variance16-17'!$A143,'Budget 12 Mnths'!J:J)</f>
        <v>0</v>
      </c>
      <c r="K143" s="56">
        <f>SUMIF('2015-16 12 Mnths'!$A:$A,'Variance16-17'!$A143,'2015-16 12 Mnths'!J:J)-SUMIF('Budget 12 Mnths'!$A:$A,'Variance16-17'!$A143,'Budget 12 Mnths'!K:K)</f>
        <v>0</v>
      </c>
      <c r="L143" s="56">
        <f>SUMIF('2015-16 12 Mnths'!$A:$A,'Variance16-17'!$A143,'2015-16 12 Mnths'!K:K)-SUMIF('Budget 12 Mnths'!$A:$A,'Variance16-17'!$A143,'Budget 12 Mnths'!L:L)</f>
        <v>0</v>
      </c>
      <c r="M143" s="56"/>
      <c r="N143" s="56"/>
      <c r="O143" s="56"/>
      <c r="P143" s="56">
        <f t="shared" si="1"/>
        <v>0</v>
      </c>
      <c r="Q143" s="14" t="str">
        <f>+VLOOKUP(A143,Mapping!$A$1:$E$443,5,FALSE)</f>
        <v>Payroll Taxes</v>
      </c>
      <c r="R143" s="26">
        <f>+SUMIF('Budget 12 Mnths'!$A:$A,'Variance16-17'!$A143,'Budget 12 Mnths'!$P:$P)</f>
        <v>0</v>
      </c>
      <c r="S143" s="26">
        <f>+SUMIF('2015-16 12 Mnths'!$A:$A,'Variance16-17'!$A143,'2015-16 12 Mnths'!$O:$O)</f>
        <v>0</v>
      </c>
      <c r="T143" s="57">
        <f t="shared" si="2"/>
        <v>0</v>
      </c>
      <c r="U143" s="57">
        <f t="shared" si="3"/>
        <v>0</v>
      </c>
      <c r="W143" s="27"/>
      <c r="X143" s="27" t="str">
        <f t="shared" si="53"/>
        <v/>
      </c>
      <c r="Z143" s="57">
        <f t="shared" si="56"/>
        <v>0</v>
      </c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>
        <f t="shared" si="7"/>
        <v>0</v>
      </c>
    </row>
    <row r="144" ht="15.75" customHeight="1">
      <c r="A144" s="15" t="s">
        <v>469</v>
      </c>
      <c r="B144" s="15" t="s">
        <v>470</v>
      </c>
      <c r="C144" s="15" t="s">
        <v>119</v>
      </c>
      <c r="D144" s="56">
        <f>SUMIF('2015-16 12 Mnths'!$A:$A,'Variance16-17'!$A144,'2015-16 12 Mnths'!C:C)-SUMIF('Budget 12 Mnths'!$A:$A,'Variance16-17'!$A144,'Budget 12 Mnths'!D:D)</f>
        <v>0</v>
      </c>
      <c r="E144" s="56">
        <f>SUMIF('2015-16 12 Mnths'!$A:$A,'Variance16-17'!$A144,'2015-16 12 Mnths'!D:D)-SUMIF('Budget 12 Mnths'!$A:$A,'Variance16-17'!$A144,'Budget 12 Mnths'!E:E)</f>
        <v>0</v>
      </c>
      <c r="F144" s="56">
        <f>SUMIF('2015-16 12 Mnths'!$A:$A,'Variance16-17'!$A144,'2015-16 12 Mnths'!E:E)-SUMIF('Budget 12 Mnths'!$A:$A,'Variance16-17'!$A144,'Budget 12 Mnths'!F:F)</f>
        <v>0</v>
      </c>
      <c r="G144" s="56">
        <f>SUMIF('2015-16 12 Mnths'!$A:$A,'Variance16-17'!$A144,'2015-16 12 Mnths'!F:F)-SUMIF('Budget 12 Mnths'!$A:$A,'Variance16-17'!$A144,'Budget 12 Mnths'!G:G)</f>
        <v>0</v>
      </c>
      <c r="H144" s="56">
        <f>SUMIF('2015-16 12 Mnths'!$A:$A,'Variance16-17'!$A144,'2015-16 12 Mnths'!G:G)-SUMIF('Budget 12 Mnths'!$A:$A,'Variance16-17'!$A144,'Budget 12 Mnths'!H:H)</f>
        <v>0</v>
      </c>
      <c r="I144" s="56">
        <f>SUMIF('2015-16 12 Mnths'!$A:$A,'Variance16-17'!$A144,'2015-16 12 Mnths'!H:H)-SUMIF('Budget 12 Mnths'!$A:$A,'Variance16-17'!$A144,'Budget 12 Mnths'!I:I)</f>
        <v>0</v>
      </c>
      <c r="J144" s="56">
        <f>SUMIF('2015-16 12 Mnths'!$A:$A,'Variance16-17'!$A144,'2015-16 12 Mnths'!I:I)-SUMIF('Budget 12 Mnths'!$A:$A,'Variance16-17'!$A144,'Budget 12 Mnths'!J:J)</f>
        <v>0</v>
      </c>
      <c r="K144" s="56">
        <f>SUMIF('2015-16 12 Mnths'!$A:$A,'Variance16-17'!$A144,'2015-16 12 Mnths'!J:J)-SUMIF('Budget 12 Mnths'!$A:$A,'Variance16-17'!$A144,'Budget 12 Mnths'!K:K)</f>
        <v>0</v>
      </c>
      <c r="L144" s="56">
        <f>SUMIF('2015-16 12 Mnths'!$A:$A,'Variance16-17'!$A144,'2015-16 12 Mnths'!K:K)-SUMIF('Budget 12 Mnths'!$A:$A,'Variance16-17'!$A144,'Budget 12 Mnths'!L:L)</f>
        <v>0</v>
      </c>
      <c r="M144" s="56"/>
      <c r="N144" s="56"/>
      <c r="O144" s="56"/>
      <c r="P144" s="56">
        <f t="shared" si="1"/>
        <v>0</v>
      </c>
      <c r="Q144" s="14" t="str">
        <f>+VLOOKUP(A144,Mapping!$A$1:$E$443,5,FALSE)</f>
        <v>Legal &amp; Actg</v>
      </c>
      <c r="R144" s="26">
        <f>+SUMIF('Budget 12 Mnths'!$A:$A,'Variance16-17'!$A144,'Budget 12 Mnths'!$P:$P)</f>
        <v>0</v>
      </c>
      <c r="S144" s="26">
        <f>+SUMIF('2015-16 12 Mnths'!$A:$A,'Variance16-17'!$A144,'2015-16 12 Mnths'!$O:$O)</f>
        <v>0</v>
      </c>
      <c r="T144" s="57">
        <f t="shared" si="2"/>
        <v>0</v>
      </c>
      <c r="U144" s="57">
        <f t="shared" si="3"/>
        <v>0</v>
      </c>
      <c r="W144" s="27"/>
      <c r="X144" s="27" t="str">
        <f t="shared" si="53"/>
        <v/>
      </c>
      <c r="Z144" s="57">
        <f t="shared" si="56"/>
        <v>0</v>
      </c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>
        <f t="shared" si="7"/>
        <v>0</v>
      </c>
    </row>
    <row r="145" ht="15.75" customHeight="1">
      <c r="A145" s="15" t="s">
        <v>471</v>
      </c>
      <c r="B145" s="15" t="s">
        <v>472</v>
      </c>
      <c r="C145" s="15" t="s">
        <v>119</v>
      </c>
      <c r="D145" s="56">
        <f>SUMIF('2015-16 12 Mnths'!$A:$A,'Variance16-17'!$A145,'2015-16 12 Mnths'!C:C)-SUMIF('Budget 12 Mnths'!$A:$A,'Variance16-17'!$A145,'Budget 12 Mnths'!D:D)</f>
        <v>0</v>
      </c>
      <c r="E145" s="56">
        <f>SUMIF('2015-16 12 Mnths'!$A:$A,'Variance16-17'!$A145,'2015-16 12 Mnths'!D:D)-SUMIF('Budget 12 Mnths'!$A:$A,'Variance16-17'!$A145,'Budget 12 Mnths'!E:E)</f>
        <v>-1000</v>
      </c>
      <c r="F145" s="56">
        <f>SUMIF('2015-16 12 Mnths'!$A:$A,'Variance16-17'!$A145,'2015-16 12 Mnths'!E:E)-SUMIF('Budget 12 Mnths'!$A:$A,'Variance16-17'!$A145,'Budget 12 Mnths'!F:F)</f>
        <v>-1000</v>
      </c>
      <c r="G145" s="56">
        <f>SUMIF('2015-16 12 Mnths'!$A:$A,'Variance16-17'!$A145,'2015-16 12 Mnths'!F:F)-SUMIF('Budget 12 Mnths'!$A:$A,'Variance16-17'!$A145,'Budget 12 Mnths'!G:G)</f>
        <v>0</v>
      </c>
      <c r="H145" s="56">
        <f>SUMIF('2015-16 12 Mnths'!$A:$A,'Variance16-17'!$A145,'2015-16 12 Mnths'!G:G)-SUMIF('Budget 12 Mnths'!$A:$A,'Variance16-17'!$A145,'Budget 12 Mnths'!H:H)</f>
        <v>0</v>
      </c>
      <c r="I145" s="56">
        <f>SUMIF('2015-16 12 Mnths'!$A:$A,'Variance16-17'!$A145,'2015-16 12 Mnths'!H:H)-SUMIF('Budget 12 Mnths'!$A:$A,'Variance16-17'!$A145,'Budget 12 Mnths'!I:I)</f>
        <v>0</v>
      </c>
      <c r="J145" s="56">
        <f>SUMIF('2015-16 12 Mnths'!$A:$A,'Variance16-17'!$A145,'2015-16 12 Mnths'!I:I)-SUMIF('Budget 12 Mnths'!$A:$A,'Variance16-17'!$A145,'Budget 12 Mnths'!J:J)</f>
        <v>0</v>
      </c>
      <c r="K145" s="56">
        <f>SUMIF('2015-16 12 Mnths'!$A:$A,'Variance16-17'!$A145,'2015-16 12 Mnths'!J:J)-SUMIF('Budget 12 Mnths'!$A:$A,'Variance16-17'!$A145,'Budget 12 Mnths'!K:K)</f>
        <v>0</v>
      </c>
      <c r="L145" s="56">
        <f>SUMIF('2015-16 12 Mnths'!$A:$A,'Variance16-17'!$A145,'2015-16 12 Mnths'!K:K)-SUMIF('Budget 12 Mnths'!$A:$A,'Variance16-17'!$A145,'Budget 12 Mnths'!L:L)</f>
        <v>0</v>
      </c>
      <c r="M145" s="56"/>
      <c r="N145" s="56"/>
      <c r="O145" s="56"/>
      <c r="P145" s="56">
        <f t="shared" si="1"/>
        <v>-2000</v>
      </c>
      <c r="Q145" s="14" t="str">
        <f>+VLOOKUP(A145,Mapping!$A$1:$E$443,5,FALSE)</f>
        <v>Legal &amp; Actg</v>
      </c>
      <c r="R145" s="26">
        <f>+SUMIF('Budget 12 Mnths'!$A:$A,'Variance16-17'!$A145,'Budget 12 Mnths'!$P:$P)</f>
        <v>8000</v>
      </c>
      <c r="S145" s="26">
        <f>+SUMIF('2015-16 12 Mnths'!$A:$A,'Variance16-17'!$A145,'2015-16 12 Mnths'!$O:$O)</f>
        <v>6000</v>
      </c>
      <c r="T145" s="57">
        <f t="shared" si="2"/>
        <v>-0.25</v>
      </c>
      <c r="U145" s="57">
        <f t="shared" si="3"/>
        <v>-0.3333333333</v>
      </c>
      <c r="V145" s="8" t="s">
        <v>641</v>
      </c>
      <c r="W145" s="27">
        <v>8000.0</v>
      </c>
      <c r="X145" s="27">
        <f t="shared" si="53"/>
        <v>8000</v>
      </c>
      <c r="Z145" s="57">
        <v>8000.0</v>
      </c>
      <c r="AA145" s="27">
        <v>6000.0</v>
      </c>
      <c r="AB145" s="27">
        <v>2000.0</v>
      </c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>
        <f t="shared" si="7"/>
        <v>0</v>
      </c>
    </row>
    <row r="146" ht="15.75" customHeight="1">
      <c r="A146" s="15" t="s">
        <v>473</v>
      </c>
      <c r="B146" s="15" t="s">
        <v>474</v>
      </c>
      <c r="C146" s="15" t="s">
        <v>119</v>
      </c>
      <c r="D146" s="56">
        <f>SUMIF('2015-16 12 Mnths'!$A:$A,'Variance16-17'!$A146,'2015-16 12 Mnths'!C:C)-SUMIF('Budget 12 Mnths'!$A:$A,'Variance16-17'!$A146,'Budget 12 Mnths'!D:D)</f>
        <v>0</v>
      </c>
      <c r="E146" s="56">
        <f>SUMIF('2015-16 12 Mnths'!$A:$A,'Variance16-17'!$A146,'2015-16 12 Mnths'!D:D)-SUMIF('Budget 12 Mnths'!$A:$A,'Variance16-17'!$A146,'Budget 12 Mnths'!E:E)</f>
        <v>0</v>
      </c>
      <c r="F146" s="56">
        <f>SUMIF('2015-16 12 Mnths'!$A:$A,'Variance16-17'!$A146,'2015-16 12 Mnths'!E:E)-SUMIF('Budget 12 Mnths'!$A:$A,'Variance16-17'!$A146,'Budget 12 Mnths'!F:F)</f>
        <v>0</v>
      </c>
      <c r="G146" s="56">
        <f>SUMIF('2015-16 12 Mnths'!$A:$A,'Variance16-17'!$A146,'2015-16 12 Mnths'!F:F)-SUMIF('Budget 12 Mnths'!$A:$A,'Variance16-17'!$A146,'Budget 12 Mnths'!G:G)</f>
        <v>0</v>
      </c>
      <c r="H146" s="56">
        <f>SUMIF('2015-16 12 Mnths'!$A:$A,'Variance16-17'!$A146,'2015-16 12 Mnths'!G:G)-SUMIF('Budget 12 Mnths'!$A:$A,'Variance16-17'!$A146,'Budget 12 Mnths'!H:H)</f>
        <v>0</v>
      </c>
      <c r="I146" s="56">
        <f>SUMIF('2015-16 12 Mnths'!$A:$A,'Variance16-17'!$A146,'2015-16 12 Mnths'!H:H)-SUMIF('Budget 12 Mnths'!$A:$A,'Variance16-17'!$A146,'Budget 12 Mnths'!I:I)</f>
        <v>0</v>
      </c>
      <c r="J146" s="56">
        <f>SUMIF('2015-16 12 Mnths'!$A:$A,'Variance16-17'!$A146,'2015-16 12 Mnths'!I:I)-SUMIF('Budget 12 Mnths'!$A:$A,'Variance16-17'!$A146,'Budget 12 Mnths'!J:J)</f>
        <v>0</v>
      </c>
      <c r="K146" s="56">
        <f>SUMIF('2015-16 12 Mnths'!$A:$A,'Variance16-17'!$A146,'2015-16 12 Mnths'!J:J)-SUMIF('Budget 12 Mnths'!$A:$A,'Variance16-17'!$A146,'Budget 12 Mnths'!K:K)</f>
        <v>0</v>
      </c>
      <c r="L146" s="56">
        <f>SUMIF('2015-16 12 Mnths'!$A:$A,'Variance16-17'!$A146,'2015-16 12 Mnths'!K:K)-SUMIF('Budget 12 Mnths'!$A:$A,'Variance16-17'!$A146,'Budget 12 Mnths'!L:L)</f>
        <v>0</v>
      </c>
      <c r="M146" s="56"/>
      <c r="N146" s="56"/>
      <c r="O146" s="56"/>
      <c r="P146" s="56">
        <f t="shared" si="1"/>
        <v>0</v>
      </c>
      <c r="Q146" s="14" t="str">
        <f>+VLOOKUP(A146,Mapping!$A$1:$E$443,5,FALSE)</f>
        <v>Legal &amp; Actg</v>
      </c>
      <c r="R146" s="26">
        <f>+SUMIF('Budget 12 Mnths'!$A:$A,'Variance16-17'!$A146,'Budget 12 Mnths'!$P:$P)</f>
        <v>2000</v>
      </c>
      <c r="S146" s="26">
        <f>+SUMIF('2015-16 12 Mnths'!$A:$A,'Variance16-17'!$A146,'2015-16 12 Mnths'!$O:$O)</f>
        <v>2000</v>
      </c>
      <c r="T146" s="57">
        <f t="shared" si="2"/>
        <v>0</v>
      </c>
      <c r="U146" s="57">
        <f t="shared" si="3"/>
        <v>0</v>
      </c>
      <c r="V146" s="8" t="s">
        <v>641</v>
      </c>
      <c r="W146" s="27">
        <v>2000.0</v>
      </c>
      <c r="X146" s="27">
        <f t="shared" si="53"/>
        <v>2000</v>
      </c>
      <c r="Z146" s="57">
        <v>2000.0</v>
      </c>
      <c r="AA146" s="27"/>
      <c r="AB146" s="27"/>
      <c r="AC146" s="27"/>
      <c r="AD146" s="27"/>
      <c r="AE146" s="27">
        <v>2000.0</v>
      </c>
      <c r="AF146" s="27"/>
      <c r="AG146" s="27"/>
      <c r="AH146" s="27"/>
      <c r="AI146" s="27"/>
      <c r="AJ146" s="27"/>
      <c r="AK146" s="27"/>
      <c r="AL146" s="27"/>
      <c r="AM146" s="27">
        <f t="shared" si="7"/>
        <v>0</v>
      </c>
    </row>
    <row r="147" ht="15.75" customHeight="1">
      <c r="A147" s="15" t="s">
        <v>479</v>
      </c>
      <c r="B147" s="15" t="s">
        <v>480</v>
      </c>
      <c r="C147" s="15" t="s">
        <v>119</v>
      </c>
      <c r="D147" s="56">
        <f>SUMIF('2015-16 12 Mnths'!$A:$A,'Variance16-17'!$A147,'2015-16 12 Mnths'!C:C)-SUMIF('Budget 12 Mnths'!$A:$A,'Variance16-17'!$A147,'Budget 12 Mnths'!D:D)</f>
        <v>-36.05</v>
      </c>
      <c r="E147" s="56">
        <f>SUMIF('2015-16 12 Mnths'!$A:$A,'Variance16-17'!$A147,'2015-16 12 Mnths'!D:D)-SUMIF('Budget 12 Mnths'!$A:$A,'Variance16-17'!$A147,'Budget 12 Mnths'!E:E)</f>
        <v>-27.17</v>
      </c>
      <c r="F147" s="56">
        <f>SUMIF('2015-16 12 Mnths'!$A:$A,'Variance16-17'!$A147,'2015-16 12 Mnths'!E:E)-SUMIF('Budget 12 Mnths'!$A:$A,'Variance16-17'!$A147,'Budget 12 Mnths'!F:F)</f>
        <v>-17.67</v>
      </c>
      <c r="G147" s="56">
        <f>SUMIF('2015-16 12 Mnths'!$A:$A,'Variance16-17'!$A147,'2015-16 12 Mnths'!F:F)-SUMIF('Budget 12 Mnths'!$A:$A,'Variance16-17'!$A147,'Budget 12 Mnths'!G:G)</f>
        <v>-61.47</v>
      </c>
      <c r="H147" s="56">
        <f>SUMIF('2015-16 12 Mnths'!$A:$A,'Variance16-17'!$A147,'2015-16 12 Mnths'!G:G)-SUMIF('Budget 12 Mnths'!$A:$A,'Variance16-17'!$A147,'Budget 12 Mnths'!H:H)</f>
        <v>-43.71</v>
      </c>
      <c r="I147" s="56">
        <f>SUMIF('2015-16 12 Mnths'!$A:$A,'Variance16-17'!$A147,'2015-16 12 Mnths'!H:H)-SUMIF('Budget 12 Mnths'!$A:$A,'Variance16-17'!$A147,'Budget 12 Mnths'!I:I)</f>
        <v>176.07</v>
      </c>
      <c r="J147" s="56">
        <f>SUMIF('2015-16 12 Mnths'!$A:$A,'Variance16-17'!$A147,'2015-16 12 Mnths'!I:I)-SUMIF('Budget 12 Mnths'!$A:$A,'Variance16-17'!$A147,'Budget 12 Mnths'!J:J)</f>
        <v>-43.71</v>
      </c>
      <c r="K147" s="56">
        <f>SUMIF('2015-16 12 Mnths'!$A:$A,'Variance16-17'!$A147,'2015-16 12 Mnths'!J:J)-SUMIF('Budget 12 Mnths'!$A:$A,'Variance16-17'!$A147,'Budget 12 Mnths'!K:K)</f>
        <v>-48.39</v>
      </c>
      <c r="L147" s="56">
        <f>SUMIF('2015-16 12 Mnths'!$A:$A,'Variance16-17'!$A147,'2015-16 12 Mnths'!K:K)-SUMIF('Budget 12 Mnths'!$A:$A,'Variance16-17'!$A147,'Budget 12 Mnths'!L:L)</f>
        <v>-33.04</v>
      </c>
      <c r="M147" s="56"/>
      <c r="N147" s="56"/>
      <c r="O147" s="56"/>
      <c r="P147" s="56">
        <f t="shared" si="1"/>
        <v>-135.14</v>
      </c>
      <c r="Q147" s="14" t="str">
        <f>+VLOOKUP(A147,Mapping!$A$1:$E$443,5,FALSE)</f>
        <v>Legal &amp; Actg</v>
      </c>
      <c r="R147" s="26">
        <f>+SUMIF('Budget 12 Mnths'!$A:$A,'Variance16-17'!$A147,'Budget 12 Mnths'!$P:$P)</f>
        <v>2300.04</v>
      </c>
      <c r="S147" s="26">
        <f>+SUMIF('2015-16 12 Mnths'!$A:$A,'Variance16-17'!$A147,'2015-16 12 Mnths'!$O:$O)</f>
        <v>1664.28</v>
      </c>
      <c r="T147" s="57">
        <f t="shared" si="2"/>
        <v>-0.0587554999</v>
      </c>
      <c r="U147" s="57">
        <f t="shared" si="3"/>
        <v>-0.0812002788</v>
      </c>
      <c r="V147" s="8" t="s">
        <v>641</v>
      </c>
      <c r="W147" s="27">
        <v>2300.0</v>
      </c>
      <c r="X147" s="27">
        <f t="shared" si="53"/>
        <v>2300</v>
      </c>
      <c r="Z147" s="57">
        <f t="shared" ref="Z147:Z150" si="58">+X147/2</f>
        <v>1150</v>
      </c>
      <c r="AA147" s="57">
        <f t="shared" ref="AA147:AL147" si="57">+$X147/12</f>
        <v>191.6666667</v>
      </c>
      <c r="AB147" s="57">
        <f t="shared" si="57"/>
        <v>191.6666667</v>
      </c>
      <c r="AC147" s="57">
        <f t="shared" si="57"/>
        <v>191.6666667</v>
      </c>
      <c r="AD147" s="57">
        <f t="shared" si="57"/>
        <v>191.6666667</v>
      </c>
      <c r="AE147" s="57">
        <f t="shared" si="57"/>
        <v>191.6666667</v>
      </c>
      <c r="AF147" s="57">
        <f t="shared" si="57"/>
        <v>191.6666667</v>
      </c>
      <c r="AG147" s="57">
        <f t="shared" si="57"/>
        <v>191.6666667</v>
      </c>
      <c r="AH147" s="57">
        <f t="shared" si="57"/>
        <v>191.6666667</v>
      </c>
      <c r="AI147" s="57">
        <f t="shared" si="57"/>
        <v>191.6666667</v>
      </c>
      <c r="AJ147" s="57">
        <f t="shared" si="57"/>
        <v>191.6666667</v>
      </c>
      <c r="AK147" s="57">
        <f t="shared" si="57"/>
        <v>191.6666667</v>
      </c>
      <c r="AL147" s="57">
        <f t="shared" si="57"/>
        <v>191.6666667</v>
      </c>
      <c r="AM147" s="27">
        <f t="shared" si="7"/>
        <v>0</v>
      </c>
    </row>
    <row r="148" ht="15.75" customHeight="1">
      <c r="A148" s="15" t="s">
        <v>481</v>
      </c>
      <c r="B148" s="15" t="s">
        <v>482</v>
      </c>
      <c r="C148" s="15" t="s">
        <v>119</v>
      </c>
      <c r="D148" s="56">
        <f>SUMIF('2015-16 12 Mnths'!$A:$A,'Variance16-17'!$A148,'2015-16 12 Mnths'!C:C)-SUMIF('Budget 12 Mnths'!$A:$A,'Variance16-17'!$A148,'Budget 12 Mnths'!D:D)</f>
        <v>0</v>
      </c>
      <c r="E148" s="56">
        <f>SUMIF('2015-16 12 Mnths'!$A:$A,'Variance16-17'!$A148,'2015-16 12 Mnths'!D:D)-SUMIF('Budget 12 Mnths'!$A:$A,'Variance16-17'!$A148,'Budget 12 Mnths'!E:E)</f>
        <v>0</v>
      </c>
      <c r="F148" s="56">
        <f>SUMIF('2015-16 12 Mnths'!$A:$A,'Variance16-17'!$A148,'2015-16 12 Mnths'!E:E)-SUMIF('Budget 12 Mnths'!$A:$A,'Variance16-17'!$A148,'Budget 12 Mnths'!F:F)</f>
        <v>0</v>
      </c>
      <c r="G148" s="56">
        <f>SUMIF('2015-16 12 Mnths'!$A:$A,'Variance16-17'!$A148,'2015-16 12 Mnths'!F:F)-SUMIF('Budget 12 Mnths'!$A:$A,'Variance16-17'!$A148,'Budget 12 Mnths'!G:G)</f>
        <v>0</v>
      </c>
      <c r="H148" s="56">
        <f>SUMIF('2015-16 12 Mnths'!$A:$A,'Variance16-17'!$A148,'2015-16 12 Mnths'!G:G)-SUMIF('Budget 12 Mnths'!$A:$A,'Variance16-17'!$A148,'Budget 12 Mnths'!H:H)</f>
        <v>0</v>
      </c>
      <c r="I148" s="56">
        <f>SUMIF('2015-16 12 Mnths'!$A:$A,'Variance16-17'!$A148,'2015-16 12 Mnths'!H:H)-SUMIF('Budget 12 Mnths'!$A:$A,'Variance16-17'!$A148,'Budget 12 Mnths'!I:I)</f>
        <v>0</v>
      </c>
      <c r="J148" s="56">
        <f>SUMIF('2015-16 12 Mnths'!$A:$A,'Variance16-17'!$A148,'2015-16 12 Mnths'!I:I)-SUMIF('Budget 12 Mnths'!$A:$A,'Variance16-17'!$A148,'Budget 12 Mnths'!J:J)</f>
        <v>0</v>
      </c>
      <c r="K148" s="56">
        <f>SUMIF('2015-16 12 Mnths'!$A:$A,'Variance16-17'!$A148,'2015-16 12 Mnths'!J:J)-SUMIF('Budget 12 Mnths'!$A:$A,'Variance16-17'!$A148,'Budget 12 Mnths'!K:K)</f>
        <v>0</v>
      </c>
      <c r="L148" s="56">
        <f>SUMIF('2015-16 12 Mnths'!$A:$A,'Variance16-17'!$A148,'2015-16 12 Mnths'!K:K)-SUMIF('Budget 12 Mnths'!$A:$A,'Variance16-17'!$A148,'Budget 12 Mnths'!L:L)</f>
        <v>0</v>
      </c>
      <c r="M148" s="56"/>
      <c r="N148" s="56"/>
      <c r="O148" s="56"/>
      <c r="P148" s="56">
        <f t="shared" si="1"/>
        <v>0</v>
      </c>
      <c r="Q148" s="14" t="str">
        <f>+VLOOKUP(A148,Mapping!$A$1:$E$443,5,FALSE)</f>
        <v>Legal &amp; Actg</v>
      </c>
      <c r="R148" s="26">
        <f>+SUMIF('Budget 12 Mnths'!$A:$A,'Variance16-17'!$A148,'Budget 12 Mnths'!$P:$P)</f>
        <v>12000</v>
      </c>
      <c r="S148" s="26">
        <f>+SUMIF('2015-16 12 Mnths'!$A:$A,'Variance16-17'!$A148,'2015-16 12 Mnths'!$O:$O)</f>
        <v>10000</v>
      </c>
      <c r="T148" s="57">
        <f t="shared" si="2"/>
        <v>0</v>
      </c>
      <c r="U148" s="57">
        <f t="shared" si="3"/>
        <v>0</v>
      </c>
      <c r="V148" s="8" t="s">
        <v>641</v>
      </c>
      <c r="W148" s="27">
        <v>12000.0</v>
      </c>
      <c r="X148" s="27">
        <f t="shared" si="53"/>
        <v>12000</v>
      </c>
      <c r="Z148" s="57">
        <f t="shared" si="58"/>
        <v>6000</v>
      </c>
      <c r="AA148" s="57">
        <f t="shared" ref="AA148:AL148" si="59">+$X148/12</f>
        <v>1000</v>
      </c>
      <c r="AB148" s="57">
        <f t="shared" si="59"/>
        <v>1000</v>
      </c>
      <c r="AC148" s="57">
        <f t="shared" si="59"/>
        <v>1000</v>
      </c>
      <c r="AD148" s="57">
        <f t="shared" si="59"/>
        <v>1000</v>
      </c>
      <c r="AE148" s="57">
        <f t="shared" si="59"/>
        <v>1000</v>
      </c>
      <c r="AF148" s="57">
        <f t="shared" si="59"/>
        <v>1000</v>
      </c>
      <c r="AG148" s="57">
        <f t="shared" si="59"/>
        <v>1000</v>
      </c>
      <c r="AH148" s="57">
        <f t="shared" si="59"/>
        <v>1000</v>
      </c>
      <c r="AI148" s="57">
        <f t="shared" si="59"/>
        <v>1000</v>
      </c>
      <c r="AJ148" s="57">
        <f t="shared" si="59"/>
        <v>1000</v>
      </c>
      <c r="AK148" s="57">
        <f t="shared" si="59"/>
        <v>1000</v>
      </c>
      <c r="AL148" s="57">
        <f t="shared" si="59"/>
        <v>1000</v>
      </c>
      <c r="AM148" s="27">
        <f t="shared" si="7"/>
        <v>0</v>
      </c>
    </row>
    <row r="149" ht="15.75" customHeight="1">
      <c r="A149" s="15" t="s">
        <v>483</v>
      </c>
      <c r="B149" s="15" t="s">
        <v>484</v>
      </c>
      <c r="C149" s="15" t="s">
        <v>119</v>
      </c>
      <c r="D149" s="56">
        <f>SUMIF('2015-16 12 Mnths'!$A:$A,'Variance16-17'!$A149,'2015-16 12 Mnths'!C:C)-SUMIF('Budget 12 Mnths'!$A:$A,'Variance16-17'!$A149,'Budget 12 Mnths'!D:D)</f>
        <v>-291.67</v>
      </c>
      <c r="E149" s="56">
        <f>SUMIF('2015-16 12 Mnths'!$A:$A,'Variance16-17'!$A149,'2015-16 12 Mnths'!D:D)-SUMIF('Budget 12 Mnths'!$A:$A,'Variance16-17'!$A149,'Budget 12 Mnths'!E:E)</f>
        <v>2305.83</v>
      </c>
      <c r="F149" s="56">
        <f>SUMIF('2015-16 12 Mnths'!$A:$A,'Variance16-17'!$A149,'2015-16 12 Mnths'!E:E)-SUMIF('Budget 12 Mnths'!$A:$A,'Variance16-17'!$A149,'Budget 12 Mnths'!F:F)</f>
        <v>-291.67</v>
      </c>
      <c r="G149" s="56">
        <f>SUMIF('2015-16 12 Mnths'!$A:$A,'Variance16-17'!$A149,'2015-16 12 Mnths'!F:F)-SUMIF('Budget 12 Mnths'!$A:$A,'Variance16-17'!$A149,'Budget 12 Mnths'!G:G)</f>
        <v>69.58</v>
      </c>
      <c r="H149" s="56">
        <f>SUMIF('2015-16 12 Mnths'!$A:$A,'Variance16-17'!$A149,'2015-16 12 Mnths'!G:G)-SUMIF('Budget 12 Mnths'!$A:$A,'Variance16-17'!$A149,'Budget 12 Mnths'!H:H)</f>
        <v>-291.67</v>
      </c>
      <c r="I149" s="56">
        <f>SUMIF('2015-16 12 Mnths'!$A:$A,'Variance16-17'!$A149,'2015-16 12 Mnths'!H:H)-SUMIF('Budget 12 Mnths'!$A:$A,'Variance16-17'!$A149,'Budget 12 Mnths'!I:I)</f>
        <v>-15.42</v>
      </c>
      <c r="J149" s="56">
        <f>SUMIF('2015-16 12 Mnths'!$A:$A,'Variance16-17'!$A149,'2015-16 12 Mnths'!I:I)-SUMIF('Budget 12 Mnths'!$A:$A,'Variance16-17'!$A149,'Budget 12 Mnths'!J:J)</f>
        <v>-291.67</v>
      </c>
      <c r="K149" s="56">
        <f>SUMIF('2015-16 12 Mnths'!$A:$A,'Variance16-17'!$A149,'2015-16 12 Mnths'!J:J)-SUMIF('Budget 12 Mnths'!$A:$A,'Variance16-17'!$A149,'Budget 12 Mnths'!K:K)</f>
        <v>237.08</v>
      </c>
      <c r="L149" s="56">
        <f>SUMIF('2015-16 12 Mnths'!$A:$A,'Variance16-17'!$A149,'2015-16 12 Mnths'!K:K)-SUMIF('Budget 12 Mnths'!$A:$A,'Variance16-17'!$A149,'Budget 12 Mnths'!L:L)</f>
        <v>-291.67</v>
      </c>
      <c r="M149" s="56"/>
      <c r="N149" s="56"/>
      <c r="O149" s="56"/>
      <c r="P149" s="56">
        <f t="shared" si="1"/>
        <v>1138.72</v>
      </c>
      <c r="Q149" s="14" t="str">
        <f>+VLOOKUP(A149,Mapping!$A$1:$E$443,5,FALSE)</f>
        <v>Legal &amp; Actg</v>
      </c>
      <c r="R149" s="26">
        <f>+SUMIF('Budget 12 Mnths'!$A:$A,'Variance16-17'!$A149,'Budget 12 Mnths'!$P:$P)</f>
        <v>3500.04</v>
      </c>
      <c r="S149" s="26">
        <f>+SUMIF('2015-16 12 Mnths'!$A:$A,'Variance16-17'!$A149,'2015-16 12 Mnths'!$O:$O)</f>
        <v>3763.75</v>
      </c>
      <c r="T149" s="57">
        <f t="shared" si="2"/>
        <v>0.3253448532</v>
      </c>
      <c r="U149" s="57">
        <f t="shared" si="3"/>
        <v>0.3025493192</v>
      </c>
      <c r="V149" s="8" t="s">
        <v>641</v>
      </c>
      <c r="W149" s="27">
        <v>3500.0</v>
      </c>
      <c r="X149" s="27">
        <f t="shared" si="53"/>
        <v>3500</v>
      </c>
      <c r="Z149" s="57">
        <f t="shared" si="58"/>
        <v>1750</v>
      </c>
      <c r="AA149" s="57">
        <f t="shared" ref="AA149:AL149" si="60">+$X149/12</f>
        <v>291.6666667</v>
      </c>
      <c r="AB149" s="57">
        <f t="shared" si="60"/>
        <v>291.6666667</v>
      </c>
      <c r="AC149" s="57">
        <f t="shared" si="60"/>
        <v>291.6666667</v>
      </c>
      <c r="AD149" s="57">
        <f t="shared" si="60"/>
        <v>291.6666667</v>
      </c>
      <c r="AE149" s="57">
        <f t="shared" si="60"/>
        <v>291.6666667</v>
      </c>
      <c r="AF149" s="57">
        <f t="shared" si="60"/>
        <v>291.6666667</v>
      </c>
      <c r="AG149" s="57">
        <f t="shared" si="60"/>
        <v>291.6666667</v>
      </c>
      <c r="AH149" s="57">
        <f t="shared" si="60"/>
        <v>291.6666667</v>
      </c>
      <c r="AI149" s="57">
        <f t="shared" si="60"/>
        <v>291.6666667</v>
      </c>
      <c r="AJ149" s="57">
        <f t="shared" si="60"/>
        <v>291.6666667</v>
      </c>
      <c r="AK149" s="57">
        <f t="shared" si="60"/>
        <v>291.6666667</v>
      </c>
      <c r="AL149" s="57">
        <f t="shared" si="60"/>
        <v>291.6666667</v>
      </c>
      <c r="AM149" s="27">
        <f t="shared" si="7"/>
        <v>0</v>
      </c>
    </row>
    <row r="150" ht="15.75" customHeight="1">
      <c r="A150" s="15" t="s">
        <v>485</v>
      </c>
      <c r="B150" s="15" t="s">
        <v>486</v>
      </c>
      <c r="C150" s="15" t="s">
        <v>119</v>
      </c>
      <c r="D150" s="56">
        <f>SUMIF('2015-16 12 Mnths'!$A:$A,'Variance16-17'!$A150,'2015-16 12 Mnths'!C:C)-SUMIF('Budget 12 Mnths'!$A:$A,'Variance16-17'!$A150,'Budget 12 Mnths'!D:D)</f>
        <v>-291.67</v>
      </c>
      <c r="E150" s="56">
        <f>SUMIF('2015-16 12 Mnths'!$A:$A,'Variance16-17'!$A150,'2015-16 12 Mnths'!D:D)-SUMIF('Budget 12 Mnths'!$A:$A,'Variance16-17'!$A150,'Budget 12 Mnths'!E:E)</f>
        <v>-291.67</v>
      </c>
      <c r="F150" s="56">
        <f>SUMIF('2015-16 12 Mnths'!$A:$A,'Variance16-17'!$A150,'2015-16 12 Mnths'!E:E)-SUMIF('Budget 12 Mnths'!$A:$A,'Variance16-17'!$A150,'Budget 12 Mnths'!F:F)</f>
        <v>-291.67</v>
      </c>
      <c r="G150" s="56">
        <f>SUMIF('2015-16 12 Mnths'!$A:$A,'Variance16-17'!$A150,'2015-16 12 Mnths'!F:F)-SUMIF('Budget 12 Mnths'!$A:$A,'Variance16-17'!$A150,'Budget 12 Mnths'!G:G)</f>
        <v>-291.67</v>
      </c>
      <c r="H150" s="56">
        <f>SUMIF('2015-16 12 Mnths'!$A:$A,'Variance16-17'!$A150,'2015-16 12 Mnths'!G:G)-SUMIF('Budget 12 Mnths'!$A:$A,'Variance16-17'!$A150,'Budget 12 Mnths'!H:H)</f>
        <v>308.33</v>
      </c>
      <c r="I150" s="56">
        <f>SUMIF('2015-16 12 Mnths'!$A:$A,'Variance16-17'!$A150,'2015-16 12 Mnths'!H:H)-SUMIF('Budget 12 Mnths'!$A:$A,'Variance16-17'!$A150,'Budget 12 Mnths'!I:I)</f>
        <v>-291.67</v>
      </c>
      <c r="J150" s="56">
        <f>SUMIF('2015-16 12 Mnths'!$A:$A,'Variance16-17'!$A150,'2015-16 12 Mnths'!I:I)-SUMIF('Budget 12 Mnths'!$A:$A,'Variance16-17'!$A150,'Budget 12 Mnths'!J:J)</f>
        <v>-291.67</v>
      </c>
      <c r="K150" s="56">
        <f>SUMIF('2015-16 12 Mnths'!$A:$A,'Variance16-17'!$A150,'2015-16 12 Mnths'!J:J)-SUMIF('Budget 12 Mnths'!$A:$A,'Variance16-17'!$A150,'Budget 12 Mnths'!K:K)</f>
        <v>-291.67</v>
      </c>
      <c r="L150" s="56">
        <f>SUMIF('2015-16 12 Mnths'!$A:$A,'Variance16-17'!$A150,'2015-16 12 Mnths'!K:K)-SUMIF('Budget 12 Mnths'!$A:$A,'Variance16-17'!$A150,'Budget 12 Mnths'!L:L)</f>
        <v>-291.67</v>
      </c>
      <c r="M150" s="56"/>
      <c r="N150" s="56"/>
      <c r="O150" s="56"/>
      <c r="P150" s="56">
        <f t="shared" si="1"/>
        <v>-2025.03</v>
      </c>
      <c r="Q150" s="14" t="str">
        <f>+VLOOKUP(A150,Mapping!$A$1:$E$443,5,FALSE)</f>
        <v>Legal &amp; Actg</v>
      </c>
      <c r="R150" s="26">
        <f>+SUMIF('Budget 12 Mnths'!$A:$A,'Variance16-17'!$A150,'Budget 12 Mnths'!$P:$P)</f>
        <v>3500.04</v>
      </c>
      <c r="S150" s="26">
        <f>+SUMIF('2015-16 12 Mnths'!$A:$A,'Variance16-17'!$A150,'2015-16 12 Mnths'!$O:$O)</f>
        <v>600</v>
      </c>
      <c r="T150" s="57">
        <f t="shared" si="2"/>
        <v>-0.5785733877</v>
      </c>
      <c r="U150" s="57">
        <f t="shared" si="3"/>
        <v>-3.37505</v>
      </c>
      <c r="V150" s="8" t="s">
        <v>641</v>
      </c>
      <c r="W150" s="27">
        <v>8500.0</v>
      </c>
      <c r="X150" s="27">
        <f t="shared" si="53"/>
        <v>8500</v>
      </c>
      <c r="Z150" s="57">
        <f t="shared" si="58"/>
        <v>4250</v>
      </c>
      <c r="AA150" s="57">
        <f t="shared" ref="AA150:AL150" si="61">+$X150/12</f>
        <v>708.3333333</v>
      </c>
      <c r="AB150" s="57">
        <f t="shared" si="61"/>
        <v>708.3333333</v>
      </c>
      <c r="AC150" s="57">
        <f t="shared" si="61"/>
        <v>708.3333333</v>
      </c>
      <c r="AD150" s="57">
        <f t="shared" si="61"/>
        <v>708.3333333</v>
      </c>
      <c r="AE150" s="57">
        <f t="shared" si="61"/>
        <v>708.3333333</v>
      </c>
      <c r="AF150" s="57">
        <f t="shared" si="61"/>
        <v>708.3333333</v>
      </c>
      <c r="AG150" s="57">
        <f t="shared" si="61"/>
        <v>708.3333333</v>
      </c>
      <c r="AH150" s="57">
        <f t="shared" si="61"/>
        <v>708.3333333</v>
      </c>
      <c r="AI150" s="57">
        <f t="shared" si="61"/>
        <v>708.3333333</v>
      </c>
      <c r="AJ150" s="57">
        <f t="shared" si="61"/>
        <v>708.3333333</v>
      </c>
      <c r="AK150" s="57">
        <f t="shared" si="61"/>
        <v>708.3333333</v>
      </c>
      <c r="AL150" s="57">
        <f t="shared" si="61"/>
        <v>708.3333333</v>
      </c>
      <c r="AM150" s="27">
        <f t="shared" si="7"/>
        <v>0</v>
      </c>
    </row>
    <row r="151" ht="15.75" customHeight="1">
      <c r="A151" s="15" t="s">
        <v>489</v>
      </c>
      <c r="B151" s="15" t="s">
        <v>177</v>
      </c>
      <c r="C151" s="15" t="s">
        <v>119</v>
      </c>
      <c r="D151" s="56">
        <f>SUMIF('2015-16 12 Mnths'!$A:$A,'Variance16-17'!$A151,'2015-16 12 Mnths'!C:C)-SUMIF('Budget 12 Mnths'!$A:$A,'Variance16-17'!$A151,'Budget 12 Mnths'!D:D)</f>
        <v>-38.59</v>
      </c>
      <c r="E151" s="56">
        <f>SUMIF('2015-16 12 Mnths'!$A:$A,'Variance16-17'!$A151,'2015-16 12 Mnths'!D:D)-SUMIF('Budget 12 Mnths'!$A:$A,'Variance16-17'!$A151,'Budget 12 Mnths'!E:E)</f>
        <v>-123.88</v>
      </c>
      <c r="F151" s="56">
        <f>SUMIF('2015-16 12 Mnths'!$A:$A,'Variance16-17'!$A151,'2015-16 12 Mnths'!E:E)-SUMIF('Budget 12 Mnths'!$A:$A,'Variance16-17'!$A151,'Budget 12 Mnths'!F:F)</f>
        <v>-111.9</v>
      </c>
      <c r="G151" s="56">
        <f>SUMIF('2015-16 12 Mnths'!$A:$A,'Variance16-17'!$A151,'2015-16 12 Mnths'!F:F)-SUMIF('Budget 12 Mnths'!$A:$A,'Variance16-17'!$A151,'Budget 12 Mnths'!G:G)</f>
        <v>-13.43</v>
      </c>
      <c r="H151" s="56">
        <f>SUMIF('2015-16 12 Mnths'!$A:$A,'Variance16-17'!$A151,'2015-16 12 Mnths'!G:G)-SUMIF('Budget 12 Mnths'!$A:$A,'Variance16-17'!$A151,'Budget 12 Mnths'!H:H)</f>
        <v>-83.33</v>
      </c>
      <c r="I151" s="56">
        <f>SUMIF('2015-16 12 Mnths'!$A:$A,'Variance16-17'!$A151,'2015-16 12 Mnths'!H:H)-SUMIF('Budget 12 Mnths'!$A:$A,'Variance16-17'!$A151,'Budget 12 Mnths'!I:I)</f>
        <v>-54.05</v>
      </c>
      <c r="J151" s="56">
        <f>SUMIF('2015-16 12 Mnths'!$A:$A,'Variance16-17'!$A151,'2015-16 12 Mnths'!I:I)-SUMIF('Budget 12 Mnths'!$A:$A,'Variance16-17'!$A151,'Budget 12 Mnths'!J:J)</f>
        <v>-162.17</v>
      </c>
      <c r="K151" s="56">
        <f>SUMIF('2015-16 12 Mnths'!$A:$A,'Variance16-17'!$A151,'2015-16 12 Mnths'!J:J)-SUMIF('Budget 12 Mnths'!$A:$A,'Variance16-17'!$A151,'Budget 12 Mnths'!K:K)</f>
        <v>-150.72</v>
      </c>
      <c r="L151" s="56">
        <f>SUMIF('2015-16 12 Mnths'!$A:$A,'Variance16-17'!$A151,'2015-16 12 Mnths'!K:K)-SUMIF('Budget 12 Mnths'!$A:$A,'Variance16-17'!$A151,'Budget 12 Mnths'!L:L)</f>
        <v>-166.67</v>
      </c>
      <c r="M151" s="56"/>
      <c r="N151" s="56"/>
      <c r="O151" s="56"/>
      <c r="P151" s="56">
        <f t="shared" si="1"/>
        <v>-904.74</v>
      </c>
      <c r="Q151" s="14" t="str">
        <f>+VLOOKUP(A151,Mapping!$A$1:$E$443,5,FALSE)</f>
        <v>School Supplies</v>
      </c>
      <c r="R151" s="26">
        <f>+SUMIF('Budget 12 Mnths'!$A:$A,'Variance16-17'!$A151,'Budget 12 Mnths'!$P:$P)</f>
        <v>1999.98</v>
      </c>
      <c r="S151" s="26">
        <f>+SUMIF('2015-16 12 Mnths'!$A:$A,'Variance16-17'!$A151,'2015-16 12 Mnths'!$O:$O)</f>
        <v>845.25</v>
      </c>
      <c r="T151" s="57">
        <f t="shared" si="2"/>
        <v>-0.4523745237</v>
      </c>
      <c r="U151" s="57">
        <f t="shared" si="3"/>
        <v>-1.070381544</v>
      </c>
      <c r="V151" s="8" t="s">
        <v>641</v>
      </c>
      <c r="W151" s="27">
        <v>2000.0</v>
      </c>
      <c r="X151" s="27">
        <f t="shared" si="53"/>
        <v>2000</v>
      </c>
      <c r="Z151" s="57">
        <v>1500.0</v>
      </c>
      <c r="AA151" s="27">
        <v>1000.0</v>
      </c>
      <c r="AB151" s="27">
        <v>500.0</v>
      </c>
      <c r="AC151" s="27"/>
      <c r="AD151" s="27"/>
      <c r="AE151" s="27"/>
      <c r="AF151" s="27"/>
      <c r="AG151" s="27">
        <v>500.0</v>
      </c>
      <c r="AH151" s="27"/>
      <c r="AI151" s="27"/>
      <c r="AJ151" s="27"/>
      <c r="AK151" s="27"/>
      <c r="AL151" s="27"/>
      <c r="AM151" s="27">
        <f t="shared" si="7"/>
        <v>0</v>
      </c>
    </row>
    <row r="152" ht="15.75" customHeight="1">
      <c r="A152" s="15" t="s">
        <v>490</v>
      </c>
      <c r="B152" s="15" t="s">
        <v>491</v>
      </c>
      <c r="C152" s="15" t="s">
        <v>119</v>
      </c>
      <c r="D152" s="56">
        <f>SUMIF('2015-16 12 Mnths'!$A:$A,'Variance16-17'!$A152,'2015-16 12 Mnths'!C:C)-SUMIF('Budget 12 Mnths'!$A:$A,'Variance16-17'!$A152,'Budget 12 Mnths'!D:D)</f>
        <v>0</v>
      </c>
      <c r="E152" s="56">
        <f>SUMIF('2015-16 12 Mnths'!$A:$A,'Variance16-17'!$A152,'2015-16 12 Mnths'!D:D)-SUMIF('Budget 12 Mnths'!$A:$A,'Variance16-17'!$A152,'Budget 12 Mnths'!E:E)</f>
        <v>0</v>
      </c>
      <c r="F152" s="56">
        <f>SUMIF('2015-16 12 Mnths'!$A:$A,'Variance16-17'!$A152,'2015-16 12 Mnths'!E:E)-SUMIF('Budget 12 Mnths'!$A:$A,'Variance16-17'!$A152,'Budget 12 Mnths'!F:F)</f>
        <v>0</v>
      </c>
      <c r="G152" s="56">
        <f>SUMIF('2015-16 12 Mnths'!$A:$A,'Variance16-17'!$A152,'2015-16 12 Mnths'!F:F)-SUMIF('Budget 12 Mnths'!$A:$A,'Variance16-17'!$A152,'Budget 12 Mnths'!G:G)</f>
        <v>0</v>
      </c>
      <c r="H152" s="56">
        <f>SUMIF('2015-16 12 Mnths'!$A:$A,'Variance16-17'!$A152,'2015-16 12 Mnths'!G:G)-SUMIF('Budget 12 Mnths'!$A:$A,'Variance16-17'!$A152,'Budget 12 Mnths'!H:H)</f>
        <v>0</v>
      </c>
      <c r="I152" s="56">
        <f>SUMIF('2015-16 12 Mnths'!$A:$A,'Variance16-17'!$A152,'2015-16 12 Mnths'!H:H)-SUMIF('Budget 12 Mnths'!$A:$A,'Variance16-17'!$A152,'Budget 12 Mnths'!I:I)</f>
        <v>0</v>
      </c>
      <c r="J152" s="56">
        <f>SUMIF('2015-16 12 Mnths'!$A:$A,'Variance16-17'!$A152,'2015-16 12 Mnths'!I:I)-SUMIF('Budget 12 Mnths'!$A:$A,'Variance16-17'!$A152,'Budget 12 Mnths'!J:J)</f>
        <v>0</v>
      </c>
      <c r="K152" s="56">
        <f>SUMIF('2015-16 12 Mnths'!$A:$A,'Variance16-17'!$A152,'2015-16 12 Mnths'!J:J)-SUMIF('Budget 12 Mnths'!$A:$A,'Variance16-17'!$A152,'Budget 12 Mnths'!K:K)</f>
        <v>0</v>
      </c>
      <c r="L152" s="56">
        <f>SUMIF('2015-16 12 Mnths'!$A:$A,'Variance16-17'!$A152,'2015-16 12 Mnths'!K:K)-SUMIF('Budget 12 Mnths'!$A:$A,'Variance16-17'!$A152,'Budget 12 Mnths'!L:L)</f>
        <v>0</v>
      </c>
      <c r="M152" s="56"/>
      <c r="N152" s="56"/>
      <c r="O152" s="56"/>
      <c r="P152" s="56">
        <f t="shared" si="1"/>
        <v>0</v>
      </c>
      <c r="Q152" s="14" t="str">
        <f>+VLOOKUP(A152,Mapping!$A$1:$E$443,5,FALSE)</f>
        <v>School Supplies</v>
      </c>
      <c r="R152" s="26">
        <f>+SUMIF('Budget 12 Mnths'!$A:$A,'Variance16-17'!$A152,'Budget 12 Mnths'!$P:$P)</f>
        <v>0</v>
      </c>
      <c r="S152" s="26">
        <f>+SUMIF('2015-16 12 Mnths'!$A:$A,'Variance16-17'!$A152,'2015-16 12 Mnths'!$O:$O)</f>
        <v>0</v>
      </c>
      <c r="T152" s="57">
        <f t="shared" si="2"/>
        <v>0</v>
      </c>
      <c r="U152" s="57">
        <f t="shared" si="3"/>
        <v>0</v>
      </c>
      <c r="W152" s="27"/>
      <c r="X152" s="27" t="str">
        <f t="shared" si="53"/>
        <v/>
      </c>
      <c r="Z152" s="57">
        <f>+X152/2</f>
        <v>0</v>
      </c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>
        <f t="shared" si="7"/>
        <v>0</v>
      </c>
    </row>
    <row r="153" ht="15.75" customHeight="1">
      <c r="A153" s="15" t="s">
        <v>492</v>
      </c>
      <c r="B153" s="15" t="s">
        <v>146</v>
      </c>
      <c r="C153" s="15" t="s">
        <v>119</v>
      </c>
      <c r="D153" s="56">
        <f>SUMIF('2015-16 12 Mnths'!$A:$A,'Variance16-17'!$A153,'2015-16 12 Mnths'!C:C)-SUMIF('Budget 12 Mnths'!$A:$A,'Variance16-17'!$A153,'Budget 12 Mnths'!D:D)</f>
        <v>835.54</v>
      </c>
      <c r="E153" s="56">
        <f>SUMIF('2015-16 12 Mnths'!$A:$A,'Variance16-17'!$A153,'2015-16 12 Mnths'!D:D)-SUMIF('Budget 12 Mnths'!$A:$A,'Variance16-17'!$A153,'Budget 12 Mnths'!E:E)</f>
        <v>584.03</v>
      </c>
      <c r="F153" s="56">
        <f>SUMIF('2015-16 12 Mnths'!$A:$A,'Variance16-17'!$A153,'2015-16 12 Mnths'!E:E)-SUMIF('Budget 12 Mnths'!$A:$A,'Variance16-17'!$A153,'Budget 12 Mnths'!F:F)</f>
        <v>-71.63</v>
      </c>
      <c r="G153" s="56">
        <f>SUMIF('2015-16 12 Mnths'!$A:$A,'Variance16-17'!$A153,'2015-16 12 Mnths'!F:F)-SUMIF('Budget 12 Mnths'!$A:$A,'Variance16-17'!$A153,'Budget 12 Mnths'!G:G)</f>
        <v>10.95</v>
      </c>
      <c r="H153" s="56">
        <f>SUMIF('2015-16 12 Mnths'!$A:$A,'Variance16-17'!$A153,'2015-16 12 Mnths'!G:G)-SUMIF('Budget 12 Mnths'!$A:$A,'Variance16-17'!$A153,'Budget 12 Mnths'!H:H)</f>
        <v>-166.84</v>
      </c>
      <c r="I153" s="56">
        <f>SUMIF('2015-16 12 Mnths'!$A:$A,'Variance16-17'!$A153,'2015-16 12 Mnths'!H:H)-SUMIF('Budget 12 Mnths'!$A:$A,'Variance16-17'!$A153,'Budget 12 Mnths'!I:I)</f>
        <v>-97.93</v>
      </c>
      <c r="J153" s="56">
        <f>SUMIF('2015-16 12 Mnths'!$A:$A,'Variance16-17'!$A153,'2015-16 12 Mnths'!I:I)-SUMIF('Budget 12 Mnths'!$A:$A,'Variance16-17'!$A153,'Budget 12 Mnths'!J:J)</f>
        <v>218.18</v>
      </c>
      <c r="K153" s="56">
        <f>SUMIF('2015-16 12 Mnths'!$A:$A,'Variance16-17'!$A153,'2015-16 12 Mnths'!J:J)-SUMIF('Budget 12 Mnths'!$A:$A,'Variance16-17'!$A153,'Budget 12 Mnths'!K:K)</f>
        <v>323.25</v>
      </c>
      <c r="L153" s="56">
        <f>SUMIF('2015-16 12 Mnths'!$A:$A,'Variance16-17'!$A153,'2015-16 12 Mnths'!K:K)-SUMIF('Budget 12 Mnths'!$A:$A,'Variance16-17'!$A153,'Budget 12 Mnths'!L:L)</f>
        <v>-232.2</v>
      </c>
      <c r="M153" s="56"/>
      <c r="N153" s="56"/>
      <c r="O153" s="56"/>
      <c r="P153" s="56">
        <f t="shared" si="1"/>
        <v>1403.35</v>
      </c>
      <c r="Q153" s="14" t="str">
        <f>+VLOOKUP(A153,Mapping!$A$1:$E$443,5,FALSE)</f>
        <v>Office Supplies</v>
      </c>
      <c r="R153" s="26">
        <f>+SUMIF('Budget 12 Mnths'!$A:$A,'Variance16-17'!$A153,'Budget 12 Mnths'!$P:$P)</f>
        <v>2500.03</v>
      </c>
      <c r="S153" s="26">
        <f>+SUMIF('2015-16 12 Mnths'!$A:$A,'Variance16-17'!$A153,'2015-16 12 Mnths'!$O:$O)</f>
        <v>3722.69</v>
      </c>
      <c r="T153" s="57">
        <f t="shared" si="2"/>
        <v>0.561333264</v>
      </c>
      <c r="U153" s="57">
        <f t="shared" si="3"/>
        <v>0.3769720283</v>
      </c>
      <c r="V153" s="8" t="s">
        <v>451</v>
      </c>
      <c r="W153" s="27">
        <f t="shared" ref="W153:W154" si="62">+S153/9*12</f>
        <v>4963.586667</v>
      </c>
      <c r="X153" s="51">
        <f t="shared" si="53"/>
        <v>4963.586667</v>
      </c>
      <c r="Y153" s="8" t="s">
        <v>601</v>
      </c>
      <c r="Z153" s="57">
        <f t="shared" ref="Z153:Z154" si="63">+X153/0.75</f>
        <v>6618.115556</v>
      </c>
      <c r="AA153" s="57">
        <f t="shared" ref="AA153:AA154" si="64">+$X153*0.67*0.5</f>
        <v>1662.801533</v>
      </c>
      <c r="AB153" s="57">
        <f t="shared" ref="AB153:AB154" si="65">+$X153*0.33*0.5</f>
        <v>818.9918</v>
      </c>
      <c r="AC153" s="27"/>
      <c r="AD153" s="27"/>
      <c r="AE153" s="27"/>
      <c r="AF153" s="27"/>
      <c r="AG153" s="57">
        <f t="shared" ref="AG153:AG154" si="66">+$X153*0.67*0.5</f>
        <v>1662.801533</v>
      </c>
      <c r="AH153" s="57">
        <f t="shared" ref="AH153:AH154" si="67">+$X153*0.33*0.5</f>
        <v>818.9918</v>
      </c>
      <c r="AI153" s="27"/>
      <c r="AJ153" s="27"/>
      <c r="AK153" s="27"/>
      <c r="AL153" s="27"/>
      <c r="AM153" s="27">
        <f t="shared" si="7"/>
        <v>0</v>
      </c>
    </row>
    <row r="154" ht="15.75" customHeight="1">
      <c r="A154" s="15" t="s">
        <v>493</v>
      </c>
      <c r="B154" s="15" t="s">
        <v>146</v>
      </c>
      <c r="C154" s="15" t="s">
        <v>119</v>
      </c>
      <c r="D154" s="56">
        <f>SUMIF('2015-16 12 Mnths'!$A:$A,'Variance16-17'!$A154,'2015-16 12 Mnths'!C:C)-SUMIF('Budget 12 Mnths'!$A:$A,'Variance16-17'!$A154,'Budget 12 Mnths'!D:D)</f>
        <v>43</v>
      </c>
      <c r="E154" s="56">
        <f>SUMIF('2015-16 12 Mnths'!$A:$A,'Variance16-17'!$A154,'2015-16 12 Mnths'!D:D)-SUMIF('Budget 12 Mnths'!$A:$A,'Variance16-17'!$A154,'Budget 12 Mnths'!E:E)</f>
        <v>229.93</v>
      </c>
      <c r="F154" s="56">
        <f>SUMIF('2015-16 12 Mnths'!$A:$A,'Variance16-17'!$A154,'2015-16 12 Mnths'!E:E)-SUMIF('Budget 12 Mnths'!$A:$A,'Variance16-17'!$A154,'Budget 12 Mnths'!F:F)</f>
        <v>-45.96</v>
      </c>
      <c r="G154" s="56">
        <f>SUMIF('2015-16 12 Mnths'!$A:$A,'Variance16-17'!$A154,'2015-16 12 Mnths'!F:F)-SUMIF('Budget 12 Mnths'!$A:$A,'Variance16-17'!$A154,'Budget 12 Mnths'!G:G)</f>
        <v>-105.26</v>
      </c>
      <c r="H154" s="56">
        <f>SUMIF('2015-16 12 Mnths'!$A:$A,'Variance16-17'!$A154,'2015-16 12 Mnths'!G:G)-SUMIF('Budget 12 Mnths'!$A:$A,'Variance16-17'!$A154,'Budget 12 Mnths'!H:H)</f>
        <v>-105.26</v>
      </c>
      <c r="I154" s="56">
        <f>SUMIF('2015-16 12 Mnths'!$A:$A,'Variance16-17'!$A154,'2015-16 12 Mnths'!H:H)-SUMIF('Budget 12 Mnths'!$A:$A,'Variance16-17'!$A154,'Budget 12 Mnths'!I:I)</f>
        <v>-105.26</v>
      </c>
      <c r="J154" s="56">
        <f>SUMIF('2015-16 12 Mnths'!$A:$A,'Variance16-17'!$A154,'2015-16 12 Mnths'!I:I)-SUMIF('Budget 12 Mnths'!$A:$A,'Variance16-17'!$A154,'Budget 12 Mnths'!J:J)</f>
        <v>330.98</v>
      </c>
      <c r="K154" s="56">
        <f>SUMIF('2015-16 12 Mnths'!$A:$A,'Variance16-17'!$A154,'2015-16 12 Mnths'!J:J)-SUMIF('Budget 12 Mnths'!$A:$A,'Variance16-17'!$A154,'Budget 12 Mnths'!K:K)</f>
        <v>52.82</v>
      </c>
      <c r="L154" s="56">
        <f>SUMIF('2015-16 12 Mnths'!$A:$A,'Variance16-17'!$A154,'2015-16 12 Mnths'!K:K)-SUMIF('Budget 12 Mnths'!$A:$A,'Variance16-17'!$A154,'Budget 12 Mnths'!L:L)</f>
        <v>-105.26</v>
      </c>
      <c r="M154" s="56"/>
      <c r="N154" s="56"/>
      <c r="O154" s="56"/>
      <c r="P154" s="56">
        <f t="shared" si="1"/>
        <v>189.73</v>
      </c>
      <c r="Q154" s="14" t="str">
        <f>+VLOOKUP(A154,Mapping!$A$1:$E$443,5,FALSE)</f>
        <v>Office Supplies</v>
      </c>
      <c r="R154" s="26">
        <f>+SUMIF('Budget 12 Mnths'!$A:$A,'Variance16-17'!$A154,'Budget 12 Mnths'!$P:$P)</f>
        <v>1000</v>
      </c>
      <c r="S154" s="26">
        <f>+SUMIF('2015-16 12 Mnths'!$A:$A,'Variance16-17'!$A154,'2015-16 12 Mnths'!$O:$O)</f>
        <v>979.19</v>
      </c>
      <c r="T154" s="57">
        <f t="shared" si="2"/>
        <v>0.18973</v>
      </c>
      <c r="U154" s="57">
        <f t="shared" si="3"/>
        <v>0.1937621912</v>
      </c>
      <c r="V154" s="8" t="s">
        <v>451</v>
      </c>
      <c r="W154" s="27">
        <f t="shared" si="62"/>
        <v>1305.586667</v>
      </c>
      <c r="X154" s="51">
        <f t="shared" si="53"/>
        <v>1305.586667</v>
      </c>
      <c r="Y154" s="8" t="s">
        <v>601</v>
      </c>
      <c r="Z154" s="57">
        <f t="shared" si="63"/>
        <v>1740.782222</v>
      </c>
      <c r="AA154" s="57">
        <f t="shared" si="64"/>
        <v>437.3715333</v>
      </c>
      <c r="AB154" s="57">
        <f t="shared" si="65"/>
        <v>215.4218</v>
      </c>
      <c r="AC154" s="27"/>
      <c r="AD154" s="27"/>
      <c r="AE154" s="27"/>
      <c r="AF154" s="27"/>
      <c r="AG154" s="57">
        <f t="shared" si="66"/>
        <v>437.3715333</v>
      </c>
      <c r="AH154" s="57">
        <f t="shared" si="67"/>
        <v>215.4218</v>
      </c>
      <c r="AI154" s="27"/>
      <c r="AJ154" s="27"/>
      <c r="AK154" s="27"/>
      <c r="AL154" s="27"/>
      <c r="AM154" s="27">
        <f t="shared" si="7"/>
        <v>0</v>
      </c>
    </row>
    <row r="155" ht="15.75" customHeight="1">
      <c r="A155" s="15" t="s">
        <v>494</v>
      </c>
      <c r="B155" s="15" t="s">
        <v>146</v>
      </c>
      <c r="C155" s="15" t="s">
        <v>119</v>
      </c>
      <c r="D155" s="56">
        <f>SUMIF('2015-16 12 Mnths'!$A:$A,'Variance16-17'!$A155,'2015-16 12 Mnths'!C:C)-SUMIF('Budget 12 Mnths'!$A:$A,'Variance16-17'!$A155,'Budget 12 Mnths'!D:D)</f>
        <v>0</v>
      </c>
      <c r="E155" s="56">
        <f>SUMIF('2015-16 12 Mnths'!$A:$A,'Variance16-17'!$A155,'2015-16 12 Mnths'!D:D)-SUMIF('Budget 12 Mnths'!$A:$A,'Variance16-17'!$A155,'Budget 12 Mnths'!E:E)</f>
        <v>0</v>
      </c>
      <c r="F155" s="56">
        <f>SUMIF('2015-16 12 Mnths'!$A:$A,'Variance16-17'!$A155,'2015-16 12 Mnths'!E:E)-SUMIF('Budget 12 Mnths'!$A:$A,'Variance16-17'!$A155,'Budget 12 Mnths'!F:F)</f>
        <v>0</v>
      </c>
      <c r="G155" s="56">
        <f>SUMIF('2015-16 12 Mnths'!$A:$A,'Variance16-17'!$A155,'2015-16 12 Mnths'!F:F)-SUMIF('Budget 12 Mnths'!$A:$A,'Variance16-17'!$A155,'Budget 12 Mnths'!G:G)</f>
        <v>0</v>
      </c>
      <c r="H155" s="56">
        <f>SUMIF('2015-16 12 Mnths'!$A:$A,'Variance16-17'!$A155,'2015-16 12 Mnths'!G:G)-SUMIF('Budget 12 Mnths'!$A:$A,'Variance16-17'!$A155,'Budget 12 Mnths'!H:H)</f>
        <v>0</v>
      </c>
      <c r="I155" s="56">
        <f>SUMIF('2015-16 12 Mnths'!$A:$A,'Variance16-17'!$A155,'2015-16 12 Mnths'!H:H)-SUMIF('Budget 12 Mnths'!$A:$A,'Variance16-17'!$A155,'Budget 12 Mnths'!I:I)</f>
        <v>0</v>
      </c>
      <c r="J155" s="56">
        <f>SUMIF('2015-16 12 Mnths'!$A:$A,'Variance16-17'!$A155,'2015-16 12 Mnths'!I:I)-SUMIF('Budget 12 Mnths'!$A:$A,'Variance16-17'!$A155,'Budget 12 Mnths'!J:J)</f>
        <v>0</v>
      </c>
      <c r="K155" s="56">
        <f>SUMIF('2015-16 12 Mnths'!$A:$A,'Variance16-17'!$A155,'2015-16 12 Mnths'!J:J)-SUMIF('Budget 12 Mnths'!$A:$A,'Variance16-17'!$A155,'Budget 12 Mnths'!K:K)</f>
        <v>0</v>
      </c>
      <c r="L155" s="56">
        <f>SUMIF('2015-16 12 Mnths'!$A:$A,'Variance16-17'!$A155,'2015-16 12 Mnths'!K:K)-SUMIF('Budget 12 Mnths'!$A:$A,'Variance16-17'!$A155,'Budget 12 Mnths'!L:L)</f>
        <v>0</v>
      </c>
      <c r="M155" s="56"/>
      <c r="N155" s="56"/>
      <c r="O155" s="56"/>
      <c r="P155" s="56">
        <f t="shared" si="1"/>
        <v>0</v>
      </c>
      <c r="Q155" s="14" t="str">
        <f>+VLOOKUP(A155,Mapping!$A$1:$E$443,5,FALSE)</f>
        <v>Office Supplies</v>
      </c>
      <c r="R155" s="26">
        <f>+SUMIF('Budget 12 Mnths'!$A:$A,'Variance16-17'!$A155,'Budget 12 Mnths'!$P:$P)</f>
        <v>0</v>
      </c>
      <c r="S155" s="26">
        <f>+SUMIF('2015-16 12 Mnths'!$A:$A,'Variance16-17'!$A155,'2015-16 12 Mnths'!$O:$O)</f>
        <v>0</v>
      </c>
      <c r="T155" s="57">
        <f t="shared" si="2"/>
        <v>0</v>
      </c>
      <c r="U155" s="57">
        <f t="shared" si="3"/>
        <v>0</v>
      </c>
      <c r="W155" s="27"/>
      <c r="X155" s="27" t="str">
        <f t="shared" si="53"/>
        <v/>
      </c>
      <c r="Z155" s="57">
        <f t="shared" ref="Z155:Z168" si="68">+X155/2</f>
        <v>0</v>
      </c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>
        <f t="shared" si="7"/>
        <v>0</v>
      </c>
    </row>
    <row r="156" ht="15.75" customHeight="1">
      <c r="A156" s="15" t="s">
        <v>495</v>
      </c>
      <c r="B156" s="15" t="s">
        <v>496</v>
      </c>
      <c r="C156" s="15" t="s">
        <v>119</v>
      </c>
      <c r="D156" s="56">
        <f>SUMIF('2015-16 12 Mnths'!$A:$A,'Variance16-17'!$A156,'2015-16 12 Mnths'!C:C)-SUMIF('Budget 12 Mnths'!$A:$A,'Variance16-17'!$A156,'Budget 12 Mnths'!D:D)</f>
        <v>-70.67</v>
      </c>
      <c r="E156" s="56">
        <f>SUMIF('2015-16 12 Mnths'!$A:$A,'Variance16-17'!$A156,'2015-16 12 Mnths'!D:D)-SUMIF('Budget 12 Mnths'!$A:$A,'Variance16-17'!$A156,'Budget 12 Mnths'!E:E)</f>
        <v>199.33</v>
      </c>
      <c r="F156" s="56">
        <f>SUMIF('2015-16 12 Mnths'!$A:$A,'Variance16-17'!$A156,'2015-16 12 Mnths'!E:E)-SUMIF('Budget 12 Mnths'!$A:$A,'Variance16-17'!$A156,'Budget 12 Mnths'!F:F)</f>
        <v>-70.67</v>
      </c>
      <c r="G156" s="56">
        <f>SUMIF('2015-16 12 Mnths'!$A:$A,'Variance16-17'!$A156,'2015-16 12 Mnths'!F:F)-SUMIF('Budget 12 Mnths'!$A:$A,'Variance16-17'!$A156,'Budget 12 Mnths'!G:G)</f>
        <v>-70.67</v>
      </c>
      <c r="H156" s="56">
        <f>SUMIF('2015-16 12 Mnths'!$A:$A,'Variance16-17'!$A156,'2015-16 12 Mnths'!G:G)-SUMIF('Budget 12 Mnths'!$A:$A,'Variance16-17'!$A156,'Budget 12 Mnths'!H:H)</f>
        <v>-70.67</v>
      </c>
      <c r="I156" s="56">
        <f>SUMIF('2015-16 12 Mnths'!$A:$A,'Variance16-17'!$A156,'2015-16 12 Mnths'!H:H)-SUMIF('Budget 12 Mnths'!$A:$A,'Variance16-17'!$A156,'Budget 12 Mnths'!I:I)</f>
        <v>7.33</v>
      </c>
      <c r="J156" s="56">
        <f>SUMIF('2015-16 12 Mnths'!$A:$A,'Variance16-17'!$A156,'2015-16 12 Mnths'!I:I)-SUMIF('Budget 12 Mnths'!$A:$A,'Variance16-17'!$A156,'Budget 12 Mnths'!J:J)</f>
        <v>-70.67</v>
      </c>
      <c r="K156" s="56">
        <f>SUMIF('2015-16 12 Mnths'!$A:$A,'Variance16-17'!$A156,'2015-16 12 Mnths'!J:J)-SUMIF('Budget 12 Mnths'!$A:$A,'Variance16-17'!$A156,'Budget 12 Mnths'!K:K)</f>
        <v>-70.67</v>
      </c>
      <c r="L156" s="56">
        <f>SUMIF('2015-16 12 Mnths'!$A:$A,'Variance16-17'!$A156,'2015-16 12 Mnths'!K:K)-SUMIF('Budget 12 Mnths'!$A:$A,'Variance16-17'!$A156,'Budget 12 Mnths'!L:L)</f>
        <v>-45.67</v>
      </c>
      <c r="M156" s="56"/>
      <c r="N156" s="56"/>
      <c r="O156" s="56"/>
      <c r="P156" s="56">
        <f t="shared" si="1"/>
        <v>-263.03</v>
      </c>
      <c r="Q156" s="14" t="str">
        <f>+VLOOKUP(A156,Mapping!$A$1:$E$443,5,FALSE)</f>
        <v>Dues</v>
      </c>
      <c r="R156" s="26">
        <f>+SUMIF('Budget 12 Mnths'!$A:$A,'Variance16-17'!$A156,'Budget 12 Mnths'!$P:$P)</f>
        <v>2000.04</v>
      </c>
      <c r="S156" s="26">
        <f>+SUMIF('2015-16 12 Mnths'!$A:$A,'Variance16-17'!$A156,'2015-16 12 Mnths'!$O:$O)</f>
        <v>1237</v>
      </c>
      <c r="T156" s="57">
        <f t="shared" si="2"/>
        <v>-0.1315123698</v>
      </c>
      <c r="U156" s="57">
        <f t="shared" si="3"/>
        <v>-0.2126354082</v>
      </c>
      <c r="V156" s="8" t="s">
        <v>641</v>
      </c>
      <c r="W156" s="27">
        <v>2000.0</v>
      </c>
      <c r="X156" s="27">
        <f t="shared" si="53"/>
        <v>2000</v>
      </c>
      <c r="Z156" s="57">
        <f t="shared" si="68"/>
        <v>1000</v>
      </c>
      <c r="AA156" s="57">
        <f t="shared" ref="AA156:AL156" si="69">+$X156/12</f>
        <v>166.6666667</v>
      </c>
      <c r="AB156" s="57">
        <f t="shared" si="69"/>
        <v>166.6666667</v>
      </c>
      <c r="AC156" s="57">
        <f t="shared" si="69"/>
        <v>166.6666667</v>
      </c>
      <c r="AD156" s="57">
        <f t="shared" si="69"/>
        <v>166.6666667</v>
      </c>
      <c r="AE156" s="57">
        <f t="shared" si="69"/>
        <v>166.6666667</v>
      </c>
      <c r="AF156" s="57">
        <f t="shared" si="69"/>
        <v>166.6666667</v>
      </c>
      <c r="AG156" s="57">
        <f t="shared" si="69"/>
        <v>166.6666667</v>
      </c>
      <c r="AH156" s="57">
        <f t="shared" si="69"/>
        <v>166.6666667</v>
      </c>
      <c r="AI156" s="57">
        <f t="shared" si="69"/>
        <v>166.6666667</v>
      </c>
      <c r="AJ156" s="57">
        <f t="shared" si="69"/>
        <v>166.6666667</v>
      </c>
      <c r="AK156" s="57">
        <f t="shared" si="69"/>
        <v>166.6666667</v>
      </c>
      <c r="AL156" s="57">
        <f t="shared" si="69"/>
        <v>166.6666667</v>
      </c>
      <c r="AM156" s="27">
        <f t="shared" si="7"/>
        <v>0</v>
      </c>
    </row>
    <row r="157" ht="15.75" customHeight="1">
      <c r="A157" s="15" t="s">
        <v>497</v>
      </c>
      <c r="B157" s="15" t="s">
        <v>496</v>
      </c>
      <c r="C157" s="15" t="s">
        <v>119</v>
      </c>
      <c r="D157" s="56">
        <f>SUMIF('2015-16 12 Mnths'!$A:$A,'Variance16-17'!$A157,'2015-16 12 Mnths'!C:C)-SUMIF('Budget 12 Mnths'!$A:$A,'Variance16-17'!$A157,'Budget 12 Mnths'!D:D)</f>
        <v>-41.67</v>
      </c>
      <c r="E157" s="56">
        <f>SUMIF('2015-16 12 Mnths'!$A:$A,'Variance16-17'!$A157,'2015-16 12 Mnths'!D:D)-SUMIF('Budget 12 Mnths'!$A:$A,'Variance16-17'!$A157,'Budget 12 Mnths'!E:E)</f>
        <v>-41.67</v>
      </c>
      <c r="F157" s="56">
        <f>SUMIF('2015-16 12 Mnths'!$A:$A,'Variance16-17'!$A157,'2015-16 12 Mnths'!E:E)-SUMIF('Budget 12 Mnths'!$A:$A,'Variance16-17'!$A157,'Budget 12 Mnths'!F:F)</f>
        <v>-41.67</v>
      </c>
      <c r="G157" s="56">
        <f>SUMIF('2015-16 12 Mnths'!$A:$A,'Variance16-17'!$A157,'2015-16 12 Mnths'!F:F)-SUMIF('Budget 12 Mnths'!$A:$A,'Variance16-17'!$A157,'Budget 12 Mnths'!G:G)</f>
        <v>-41.67</v>
      </c>
      <c r="H157" s="56">
        <f>SUMIF('2015-16 12 Mnths'!$A:$A,'Variance16-17'!$A157,'2015-16 12 Mnths'!G:G)-SUMIF('Budget 12 Mnths'!$A:$A,'Variance16-17'!$A157,'Budget 12 Mnths'!H:H)</f>
        <v>-41.67</v>
      </c>
      <c r="I157" s="56">
        <f>SUMIF('2015-16 12 Mnths'!$A:$A,'Variance16-17'!$A157,'2015-16 12 Mnths'!H:H)-SUMIF('Budget 12 Mnths'!$A:$A,'Variance16-17'!$A157,'Budget 12 Mnths'!I:I)</f>
        <v>18.32</v>
      </c>
      <c r="J157" s="56">
        <f>SUMIF('2015-16 12 Mnths'!$A:$A,'Variance16-17'!$A157,'2015-16 12 Mnths'!I:I)-SUMIF('Budget 12 Mnths'!$A:$A,'Variance16-17'!$A157,'Budget 12 Mnths'!J:J)</f>
        <v>-41.67</v>
      </c>
      <c r="K157" s="56">
        <f>SUMIF('2015-16 12 Mnths'!$A:$A,'Variance16-17'!$A157,'2015-16 12 Mnths'!J:J)-SUMIF('Budget 12 Mnths'!$A:$A,'Variance16-17'!$A157,'Budget 12 Mnths'!K:K)</f>
        <v>18.32</v>
      </c>
      <c r="L157" s="56">
        <f>SUMIF('2015-16 12 Mnths'!$A:$A,'Variance16-17'!$A157,'2015-16 12 Mnths'!K:K)-SUMIF('Budget 12 Mnths'!$A:$A,'Variance16-17'!$A157,'Budget 12 Mnths'!L:L)</f>
        <v>-41.67</v>
      </c>
      <c r="M157" s="56"/>
      <c r="N157" s="56"/>
      <c r="O157" s="56"/>
      <c r="P157" s="56">
        <f t="shared" si="1"/>
        <v>-255.05</v>
      </c>
      <c r="Q157" s="14" t="str">
        <f>+VLOOKUP(A157,Mapping!$A$1:$E$443,5,FALSE)</f>
        <v>Dues</v>
      </c>
      <c r="R157" s="26">
        <f>+SUMIF('Budget 12 Mnths'!$A:$A,'Variance16-17'!$A157,'Budget 12 Mnths'!$P:$P)</f>
        <v>500.04</v>
      </c>
      <c r="S157" s="26">
        <f>+SUMIF('2015-16 12 Mnths'!$A:$A,'Variance16-17'!$A157,'2015-16 12 Mnths'!$O:$O)</f>
        <v>119.98</v>
      </c>
      <c r="T157" s="57">
        <f t="shared" si="2"/>
        <v>-0.5100591953</v>
      </c>
      <c r="U157" s="57">
        <f t="shared" si="3"/>
        <v>-2.125770962</v>
      </c>
      <c r="V157" s="8" t="s">
        <v>641</v>
      </c>
      <c r="W157" s="27">
        <v>500.0</v>
      </c>
      <c r="X157" s="27">
        <f t="shared" si="53"/>
        <v>500</v>
      </c>
      <c r="Z157" s="57">
        <f t="shared" si="68"/>
        <v>250</v>
      </c>
      <c r="AA157" s="57">
        <f t="shared" ref="AA157:AL157" si="70">+$X157/12</f>
        <v>41.66666667</v>
      </c>
      <c r="AB157" s="57">
        <f t="shared" si="70"/>
        <v>41.66666667</v>
      </c>
      <c r="AC157" s="57">
        <f t="shared" si="70"/>
        <v>41.66666667</v>
      </c>
      <c r="AD157" s="57">
        <f t="shared" si="70"/>
        <v>41.66666667</v>
      </c>
      <c r="AE157" s="57">
        <f t="shared" si="70"/>
        <v>41.66666667</v>
      </c>
      <c r="AF157" s="57">
        <f t="shared" si="70"/>
        <v>41.66666667</v>
      </c>
      <c r="AG157" s="57">
        <f t="shared" si="70"/>
        <v>41.66666667</v>
      </c>
      <c r="AH157" s="57">
        <f t="shared" si="70"/>
        <v>41.66666667</v>
      </c>
      <c r="AI157" s="57">
        <f t="shared" si="70"/>
        <v>41.66666667</v>
      </c>
      <c r="AJ157" s="57">
        <f t="shared" si="70"/>
        <v>41.66666667</v>
      </c>
      <c r="AK157" s="57">
        <f t="shared" si="70"/>
        <v>41.66666667</v>
      </c>
      <c r="AL157" s="57">
        <f t="shared" si="70"/>
        <v>41.66666667</v>
      </c>
      <c r="AM157" s="27">
        <f t="shared" si="7"/>
        <v>0</v>
      </c>
    </row>
    <row r="158" ht="15.75" customHeight="1">
      <c r="A158" s="15" t="s">
        <v>498</v>
      </c>
      <c r="B158" s="15" t="s">
        <v>496</v>
      </c>
      <c r="C158" s="15" t="s">
        <v>119</v>
      </c>
      <c r="D158" s="56">
        <f>SUMIF('2015-16 12 Mnths'!$A:$A,'Variance16-17'!$A158,'2015-16 12 Mnths'!C:C)-SUMIF('Budget 12 Mnths'!$A:$A,'Variance16-17'!$A158,'Budget 12 Mnths'!D:D)</f>
        <v>0</v>
      </c>
      <c r="E158" s="56">
        <f>SUMIF('2015-16 12 Mnths'!$A:$A,'Variance16-17'!$A158,'2015-16 12 Mnths'!D:D)-SUMIF('Budget 12 Mnths'!$A:$A,'Variance16-17'!$A158,'Budget 12 Mnths'!E:E)</f>
        <v>27</v>
      </c>
      <c r="F158" s="56">
        <f>SUMIF('2015-16 12 Mnths'!$A:$A,'Variance16-17'!$A158,'2015-16 12 Mnths'!E:E)-SUMIF('Budget 12 Mnths'!$A:$A,'Variance16-17'!$A158,'Budget 12 Mnths'!F:F)</f>
        <v>78</v>
      </c>
      <c r="G158" s="56">
        <f>SUMIF('2015-16 12 Mnths'!$A:$A,'Variance16-17'!$A158,'2015-16 12 Mnths'!F:F)-SUMIF('Budget 12 Mnths'!$A:$A,'Variance16-17'!$A158,'Budget 12 Mnths'!G:G)</f>
        <v>0</v>
      </c>
      <c r="H158" s="56">
        <f>SUMIF('2015-16 12 Mnths'!$A:$A,'Variance16-17'!$A158,'2015-16 12 Mnths'!G:G)-SUMIF('Budget 12 Mnths'!$A:$A,'Variance16-17'!$A158,'Budget 12 Mnths'!H:H)</f>
        <v>0</v>
      </c>
      <c r="I158" s="56">
        <f>SUMIF('2015-16 12 Mnths'!$A:$A,'Variance16-17'!$A158,'2015-16 12 Mnths'!H:H)-SUMIF('Budget 12 Mnths'!$A:$A,'Variance16-17'!$A158,'Budget 12 Mnths'!I:I)</f>
        <v>0</v>
      </c>
      <c r="J158" s="56">
        <f>SUMIF('2015-16 12 Mnths'!$A:$A,'Variance16-17'!$A158,'2015-16 12 Mnths'!I:I)-SUMIF('Budget 12 Mnths'!$A:$A,'Variance16-17'!$A158,'Budget 12 Mnths'!J:J)</f>
        <v>29.17</v>
      </c>
      <c r="K158" s="56">
        <f>SUMIF('2015-16 12 Mnths'!$A:$A,'Variance16-17'!$A158,'2015-16 12 Mnths'!J:J)-SUMIF('Budget 12 Mnths'!$A:$A,'Variance16-17'!$A158,'Budget 12 Mnths'!K:K)</f>
        <v>29.17</v>
      </c>
      <c r="L158" s="56">
        <f>SUMIF('2015-16 12 Mnths'!$A:$A,'Variance16-17'!$A158,'2015-16 12 Mnths'!K:K)-SUMIF('Budget 12 Mnths'!$A:$A,'Variance16-17'!$A158,'Budget 12 Mnths'!L:L)</f>
        <v>29.17</v>
      </c>
      <c r="M158" s="56"/>
      <c r="N158" s="56"/>
      <c r="O158" s="56"/>
      <c r="P158" s="56">
        <f t="shared" si="1"/>
        <v>192.51</v>
      </c>
      <c r="Q158" s="14" t="str">
        <f>+VLOOKUP(A158,Mapping!$A$1:$E$443,5,FALSE)</f>
        <v>Dues</v>
      </c>
      <c r="R158" s="26">
        <f>+SUMIF('Budget 12 Mnths'!$A:$A,'Variance16-17'!$A158,'Budget 12 Mnths'!$P:$P)</f>
        <v>0</v>
      </c>
      <c r="S158" s="26">
        <f>+SUMIF('2015-16 12 Mnths'!$A:$A,'Variance16-17'!$A158,'2015-16 12 Mnths'!$O:$O)</f>
        <v>192.51</v>
      </c>
      <c r="T158" s="57">
        <f t="shared" si="2"/>
        <v>0</v>
      </c>
      <c r="U158" s="57">
        <f t="shared" si="3"/>
        <v>1</v>
      </c>
      <c r="W158" s="27"/>
      <c r="X158" s="27" t="str">
        <f t="shared" si="53"/>
        <v/>
      </c>
      <c r="Z158" s="57">
        <f t="shared" si="68"/>
        <v>0</v>
      </c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>
        <f t="shared" si="7"/>
        <v>0</v>
      </c>
    </row>
    <row r="159" ht="15.75" customHeight="1">
      <c r="A159" s="15" t="s">
        <v>499</v>
      </c>
      <c r="B159" s="15" t="s">
        <v>500</v>
      </c>
      <c r="C159" s="15" t="s">
        <v>119</v>
      </c>
      <c r="D159" s="56">
        <f>SUMIF('2015-16 12 Mnths'!$A:$A,'Variance16-17'!$A159,'2015-16 12 Mnths'!C:C)-SUMIF('Budget 12 Mnths'!$A:$A,'Variance16-17'!$A159,'Budget 12 Mnths'!D:D)</f>
        <v>0</v>
      </c>
      <c r="E159" s="56">
        <f>SUMIF('2015-16 12 Mnths'!$A:$A,'Variance16-17'!$A159,'2015-16 12 Mnths'!D:D)-SUMIF('Budget 12 Mnths'!$A:$A,'Variance16-17'!$A159,'Budget 12 Mnths'!E:E)</f>
        <v>261.79</v>
      </c>
      <c r="F159" s="56">
        <f>SUMIF('2015-16 12 Mnths'!$A:$A,'Variance16-17'!$A159,'2015-16 12 Mnths'!E:E)-SUMIF('Budget 12 Mnths'!$A:$A,'Variance16-17'!$A159,'Budget 12 Mnths'!F:F)</f>
        <v>0</v>
      </c>
      <c r="G159" s="56">
        <f>SUMIF('2015-16 12 Mnths'!$A:$A,'Variance16-17'!$A159,'2015-16 12 Mnths'!F:F)-SUMIF('Budget 12 Mnths'!$A:$A,'Variance16-17'!$A159,'Budget 12 Mnths'!G:G)</f>
        <v>0</v>
      </c>
      <c r="H159" s="56">
        <f>SUMIF('2015-16 12 Mnths'!$A:$A,'Variance16-17'!$A159,'2015-16 12 Mnths'!G:G)-SUMIF('Budget 12 Mnths'!$A:$A,'Variance16-17'!$A159,'Budget 12 Mnths'!H:H)</f>
        <v>0</v>
      </c>
      <c r="I159" s="56">
        <f>SUMIF('2015-16 12 Mnths'!$A:$A,'Variance16-17'!$A159,'2015-16 12 Mnths'!H:H)-SUMIF('Budget 12 Mnths'!$A:$A,'Variance16-17'!$A159,'Budget 12 Mnths'!I:I)</f>
        <v>0</v>
      </c>
      <c r="J159" s="56">
        <f>SUMIF('2015-16 12 Mnths'!$A:$A,'Variance16-17'!$A159,'2015-16 12 Mnths'!I:I)-SUMIF('Budget 12 Mnths'!$A:$A,'Variance16-17'!$A159,'Budget 12 Mnths'!J:J)</f>
        <v>-33.33</v>
      </c>
      <c r="K159" s="56">
        <f>SUMIF('2015-16 12 Mnths'!$A:$A,'Variance16-17'!$A159,'2015-16 12 Mnths'!J:J)-SUMIF('Budget 12 Mnths'!$A:$A,'Variance16-17'!$A159,'Budget 12 Mnths'!K:K)</f>
        <v>-33.33</v>
      </c>
      <c r="L159" s="56">
        <f>SUMIF('2015-16 12 Mnths'!$A:$A,'Variance16-17'!$A159,'2015-16 12 Mnths'!K:K)-SUMIF('Budget 12 Mnths'!$A:$A,'Variance16-17'!$A159,'Budget 12 Mnths'!L:L)</f>
        <v>-33.33</v>
      </c>
      <c r="M159" s="56"/>
      <c r="N159" s="56"/>
      <c r="O159" s="56"/>
      <c r="P159" s="56">
        <f t="shared" si="1"/>
        <v>161.8</v>
      </c>
      <c r="Q159" s="14" t="str">
        <f>+VLOOKUP(A159,Mapping!$A$1:$E$443,5,FALSE)</f>
        <v>Taxes</v>
      </c>
      <c r="R159" s="26">
        <f>+SUMIF('Budget 12 Mnths'!$A:$A,'Variance16-17'!$A159,'Budget 12 Mnths'!$P:$P)</f>
        <v>99.99</v>
      </c>
      <c r="S159" s="26">
        <f>+SUMIF('2015-16 12 Mnths'!$A:$A,'Variance16-17'!$A159,'2015-16 12 Mnths'!$O:$O)</f>
        <v>313.54</v>
      </c>
      <c r="T159" s="57">
        <f t="shared" si="2"/>
        <v>1.618161816</v>
      </c>
      <c r="U159" s="57">
        <f t="shared" si="3"/>
        <v>0.5160426102</v>
      </c>
      <c r="V159" s="8" t="s">
        <v>641</v>
      </c>
      <c r="W159" s="27">
        <v>100.0</v>
      </c>
      <c r="X159" s="27">
        <f t="shared" si="53"/>
        <v>100</v>
      </c>
      <c r="Z159" s="57">
        <f t="shared" si="68"/>
        <v>50</v>
      </c>
      <c r="AA159" s="57">
        <f t="shared" ref="AA159:AL159" si="71">+$X159/12</f>
        <v>8.333333333</v>
      </c>
      <c r="AB159" s="57">
        <f t="shared" si="71"/>
        <v>8.333333333</v>
      </c>
      <c r="AC159" s="57">
        <f t="shared" si="71"/>
        <v>8.333333333</v>
      </c>
      <c r="AD159" s="57">
        <f t="shared" si="71"/>
        <v>8.333333333</v>
      </c>
      <c r="AE159" s="57">
        <f t="shared" si="71"/>
        <v>8.333333333</v>
      </c>
      <c r="AF159" s="57">
        <f t="shared" si="71"/>
        <v>8.333333333</v>
      </c>
      <c r="AG159" s="57">
        <f t="shared" si="71"/>
        <v>8.333333333</v>
      </c>
      <c r="AH159" s="57">
        <f t="shared" si="71"/>
        <v>8.333333333</v>
      </c>
      <c r="AI159" s="57">
        <f t="shared" si="71"/>
        <v>8.333333333</v>
      </c>
      <c r="AJ159" s="57">
        <f t="shared" si="71"/>
        <v>8.333333333</v>
      </c>
      <c r="AK159" s="57">
        <f t="shared" si="71"/>
        <v>8.333333333</v>
      </c>
      <c r="AL159" s="57">
        <f t="shared" si="71"/>
        <v>8.333333333</v>
      </c>
      <c r="AM159" s="27">
        <f t="shared" si="7"/>
        <v>0</v>
      </c>
    </row>
    <row r="160" ht="15.75" customHeight="1">
      <c r="A160" s="15" t="s">
        <v>501</v>
      </c>
      <c r="B160" s="15" t="s">
        <v>196</v>
      </c>
      <c r="C160" s="15" t="s">
        <v>119</v>
      </c>
      <c r="D160" s="56">
        <f>SUMIF('2015-16 12 Mnths'!$A:$A,'Variance16-17'!$A160,'2015-16 12 Mnths'!C:C)-SUMIF('Budget 12 Mnths'!$A:$A,'Variance16-17'!$A160,'Budget 12 Mnths'!D:D)</f>
        <v>-36.72</v>
      </c>
      <c r="E160" s="56">
        <f>SUMIF('2015-16 12 Mnths'!$A:$A,'Variance16-17'!$A160,'2015-16 12 Mnths'!D:D)-SUMIF('Budget 12 Mnths'!$A:$A,'Variance16-17'!$A160,'Budget 12 Mnths'!E:E)</f>
        <v>25.75</v>
      </c>
      <c r="F160" s="56">
        <f>SUMIF('2015-16 12 Mnths'!$A:$A,'Variance16-17'!$A160,'2015-16 12 Mnths'!E:E)-SUMIF('Budget 12 Mnths'!$A:$A,'Variance16-17'!$A160,'Budget 12 Mnths'!F:F)</f>
        <v>-109.36</v>
      </c>
      <c r="G160" s="56">
        <f>SUMIF('2015-16 12 Mnths'!$A:$A,'Variance16-17'!$A160,'2015-16 12 Mnths'!F:F)-SUMIF('Budget 12 Mnths'!$A:$A,'Variance16-17'!$A160,'Budget 12 Mnths'!G:G)</f>
        <v>401.27</v>
      </c>
      <c r="H160" s="56">
        <f>SUMIF('2015-16 12 Mnths'!$A:$A,'Variance16-17'!$A160,'2015-16 12 Mnths'!G:G)-SUMIF('Budget 12 Mnths'!$A:$A,'Variance16-17'!$A160,'Budget 12 Mnths'!H:H)</f>
        <v>0</v>
      </c>
      <c r="I160" s="56">
        <f>SUMIF('2015-16 12 Mnths'!$A:$A,'Variance16-17'!$A160,'2015-16 12 Mnths'!H:H)-SUMIF('Budget 12 Mnths'!$A:$A,'Variance16-17'!$A160,'Budget 12 Mnths'!I:I)</f>
        <v>0</v>
      </c>
      <c r="J160" s="56">
        <f>SUMIF('2015-16 12 Mnths'!$A:$A,'Variance16-17'!$A160,'2015-16 12 Mnths'!I:I)-SUMIF('Budget 12 Mnths'!$A:$A,'Variance16-17'!$A160,'Budget 12 Mnths'!J:J)</f>
        <v>-335.29</v>
      </c>
      <c r="K160" s="56">
        <f>SUMIF('2015-16 12 Mnths'!$A:$A,'Variance16-17'!$A160,'2015-16 12 Mnths'!J:J)-SUMIF('Budget 12 Mnths'!$A:$A,'Variance16-17'!$A160,'Budget 12 Mnths'!K:K)</f>
        <v>-416.67</v>
      </c>
      <c r="L160" s="56">
        <f>SUMIF('2015-16 12 Mnths'!$A:$A,'Variance16-17'!$A160,'2015-16 12 Mnths'!K:K)-SUMIF('Budget 12 Mnths'!$A:$A,'Variance16-17'!$A160,'Budget 12 Mnths'!L:L)</f>
        <v>-412.3</v>
      </c>
      <c r="M160" s="56"/>
      <c r="N160" s="56"/>
      <c r="O160" s="56"/>
      <c r="P160" s="56">
        <f t="shared" si="1"/>
        <v>-883.32</v>
      </c>
      <c r="Q160" s="14" t="str">
        <f>+VLOOKUP(A160,Mapping!$A$1:$E$443,5,FALSE)</f>
        <v>Textbooks</v>
      </c>
      <c r="R160" s="26">
        <f>+SUMIF('Budget 12 Mnths'!$A:$A,'Variance16-17'!$A160,'Budget 12 Mnths'!$P:$P)</f>
        <v>5000.01</v>
      </c>
      <c r="S160" s="26">
        <f>+SUMIF('2015-16 12 Mnths'!$A:$A,'Variance16-17'!$A160,'2015-16 12 Mnths'!$O:$O)</f>
        <v>1616.7</v>
      </c>
      <c r="T160" s="57">
        <f t="shared" si="2"/>
        <v>-0.1766636467</v>
      </c>
      <c r="U160" s="57">
        <f t="shared" si="3"/>
        <v>-0.5463722397</v>
      </c>
      <c r="V160" s="8" t="s">
        <v>641</v>
      </c>
      <c r="W160" s="27">
        <v>0.0</v>
      </c>
      <c r="X160" s="27">
        <v>5000.0</v>
      </c>
      <c r="Z160" s="57">
        <f t="shared" si="68"/>
        <v>2500</v>
      </c>
      <c r="AA160" s="27">
        <v>1250.0</v>
      </c>
      <c r="AB160" s="27">
        <v>1250.0</v>
      </c>
      <c r="AC160" s="27"/>
      <c r="AD160" s="27"/>
      <c r="AE160" s="27"/>
      <c r="AF160" s="27"/>
      <c r="AG160" s="27">
        <v>1250.0</v>
      </c>
      <c r="AH160" s="27">
        <v>1250.0</v>
      </c>
      <c r="AI160" s="27"/>
      <c r="AJ160" s="27"/>
      <c r="AK160" s="27"/>
      <c r="AL160" s="27"/>
      <c r="AM160" s="27">
        <f t="shared" si="7"/>
        <v>0</v>
      </c>
    </row>
    <row r="161" ht="15.75" customHeight="1">
      <c r="A161" s="15" t="s">
        <v>502</v>
      </c>
      <c r="B161" s="15" t="s">
        <v>503</v>
      </c>
      <c r="C161" s="15" t="s">
        <v>119</v>
      </c>
      <c r="D161" s="56">
        <f>SUMIF('2015-16 12 Mnths'!$A:$A,'Variance16-17'!$A161,'2015-16 12 Mnths'!C:C)-SUMIF('Budget 12 Mnths'!$A:$A,'Variance16-17'!$A161,'Budget 12 Mnths'!D:D)</f>
        <v>-691.59</v>
      </c>
      <c r="E161" s="56">
        <f>SUMIF('2015-16 12 Mnths'!$A:$A,'Variance16-17'!$A161,'2015-16 12 Mnths'!D:D)-SUMIF('Budget 12 Mnths'!$A:$A,'Variance16-17'!$A161,'Budget 12 Mnths'!E:E)</f>
        <v>-691.59</v>
      </c>
      <c r="F161" s="56">
        <f>SUMIF('2015-16 12 Mnths'!$A:$A,'Variance16-17'!$A161,'2015-16 12 Mnths'!E:E)-SUMIF('Budget 12 Mnths'!$A:$A,'Variance16-17'!$A161,'Budget 12 Mnths'!F:F)</f>
        <v>-691.59</v>
      </c>
      <c r="G161" s="56">
        <f>SUMIF('2015-16 12 Mnths'!$A:$A,'Variance16-17'!$A161,'2015-16 12 Mnths'!F:F)-SUMIF('Budget 12 Mnths'!$A:$A,'Variance16-17'!$A161,'Budget 12 Mnths'!G:G)</f>
        <v>-691.59</v>
      </c>
      <c r="H161" s="56">
        <f>SUMIF('2015-16 12 Mnths'!$A:$A,'Variance16-17'!$A161,'2015-16 12 Mnths'!G:G)-SUMIF('Budget 12 Mnths'!$A:$A,'Variance16-17'!$A161,'Budget 12 Mnths'!H:H)</f>
        <v>-691.59</v>
      </c>
      <c r="I161" s="56">
        <f>SUMIF('2015-16 12 Mnths'!$A:$A,'Variance16-17'!$A161,'2015-16 12 Mnths'!H:H)-SUMIF('Budget 12 Mnths'!$A:$A,'Variance16-17'!$A161,'Budget 12 Mnths'!I:I)</f>
        <v>-691.59</v>
      </c>
      <c r="J161" s="56">
        <f>SUMIF('2015-16 12 Mnths'!$A:$A,'Variance16-17'!$A161,'2015-16 12 Mnths'!I:I)-SUMIF('Budget 12 Mnths'!$A:$A,'Variance16-17'!$A161,'Budget 12 Mnths'!J:J)</f>
        <v>-691.59</v>
      </c>
      <c r="K161" s="56">
        <f>SUMIF('2015-16 12 Mnths'!$A:$A,'Variance16-17'!$A161,'2015-16 12 Mnths'!J:J)-SUMIF('Budget 12 Mnths'!$A:$A,'Variance16-17'!$A161,'Budget 12 Mnths'!K:K)</f>
        <v>-691.59</v>
      </c>
      <c r="L161" s="56">
        <f>SUMIF('2015-16 12 Mnths'!$A:$A,'Variance16-17'!$A161,'2015-16 12 Mnths'!K:K)-SUMIF('Budget 12 Mnths'!$A:$A,'Variance16-17'!$A161,'Budget 12 Mnths'!L:L)</f>
        <v>-691.59</v>
      </c>
      <c r="M161" s="56"/>
      <c r="N161" s="56"/>
      <c r="O161" s="56"/>
      <c r="P161" s="56">
        <f t="shared" si="1"/>
        <v>-6224.31</v>
      </c>
      <c r="Q161" s="14" t="str">
        <f>+VLOOKUP(A161,Mapping!$A$1:$E$443,5,FALSE)</f>
        <v>Insurance</v>
      </c>
      <c r="R161" s="26">
        <f>+SUMIF('Budget 12 Mnths'!$A:$A,'Variance16-17'!$A161,'Budget 12 Mnths'!$P:$P)</f>
        <v>14000.04</v>
      </c>
      <c r="S161" s="26">
        <f>+SUMIF('2015-16 12 Mnths'!$A:$A,'Variance16-17'!$A161,'2015-16 12 Mnths'!$O:$O)</f>
        <v>4275.72</v>
      </c>
      <c r="T161" s="57">
        <f t="shared" si="2"/>
        <v>-0.4445923012</v>
      </c>
      <c r="U161" s="57">
        <f t="shared" si="3"/>
        <v>-1.455733771</v>
      </c>
      <c r="V161" s="8" t="s">
        <v>641</v>
      </c>
      <c r="W161" s="27">
        <v>14000.0</v>
      </c>
      <c r="X161" s="27">
        <f t="shared" ref="X161:X175" si="73">+W161</f>
        <v>14000</v>
      </c>
      <c r="Z161" s="57">
        <f t="shared" si="68"/>
        <v>7000</v>
      </c>
      <c r="AA161" s="57">
        <f t="shared" ref="AA161:AL161" si="72">+$X161/12</f>
        <v>1166.666667</v>
      </c>
      <c r="AB161" s="57">
        <f t="shared" si="72"/>
        <v>1166.666667</v>
      </c>
      <c r="AC161" s="57">
        <f t="shared" si="72"/>
        <v>1166.666667</v>
      </c>
      <c r="AD161" s="57">
        <f t="shared" si="72"/>
        <v>1166.666667</v>
      </c>
      <c r="AE161" s="57">
        <f t="shared" si="72"/>
        <v>1166.666667</v>
      </c>
      <c r="AF161" s="57">
        <f t="shared" si="72"/>
        <v>1166.666667</v>
      </c>
      <c r="AG161" s="57">
        <f t="shared" si="72"/>
        <v>1166.666667</v>
      </c>
      <c r="AH161" s="57">
        <f t="shared" si="72"/>
        <v>1166.666667</v>
      </c>
      <c r="AI161" s="57">
        <f t="shared" si="72"/>
        <v>1166.666667</v>
      </c>
      <c r="AJ161" s="57">
        <f t="shared" si="72"/>
        <v>1166.666667</v>
      </c>
      <c r="AK161" s="57">
        <f t="shared" si="72"/>
        <v>1166.666667</v>
      </c>
      <c r="AL161" s="57">
        <f t="shared" si="72"/>
        <v>1166.666667</v>
      </c>
      <c r="AM161" s="27">
        <f t="shared" si="7"/>
        <v>0</v>
      </c>
    </row>
    <row r="162" ht="15.75" customHeight="1">
      <c r="A162" s="15" t="s">
        <v>504</v>
      </c>
      <c r="B162" s="15" t="s">
        <v>505</v>
      </c>
      <c r="C162" s="15" t="s">
        <v>119</v>
      </c>
      <c r="D162" s="56">
        <f>SUMIF('2015-16 12 Mnths'!$A:$A,'Variance16-17'!$A162,'2015-16 12 Mnths'!C:C)-SUMIF('Budget 12 Mnths'!$A:$A,'Variance16-17'!$A162,'Budget 12 Mnths'!D:D)</f>
        <v>0</v>
      </c>
      <c r="E162" s="56">
        <f>SUMIF('2015-16 12 Mnths'!$A:$A,'Variance16-17'!$A162,'2015-16 12 Mnths'!D:D)-SUMIF('Budget 12 Mnths'!$A:$A,'Variance16-17'!$A162,'Budget 12 Mnths'!E:E)</f>
        <v>0</v>
      </c>
      <c r="F162" s="56">
        <f>SUMIF('2015-16 12 Mnths'!$A:$A,'Variance16-17'!$A162,'2015-16 12 Mnths'!E:E)-SUMIF('Budget 12 Mnths'!$A:$A,'Variance16-17'!$A162,'Budget 12 Mnths'!F:F)</f>
        <v>0</v>
      </c>
      <c r="G162" s="56">
        <f>SUMIF('2015-16 12 Mnths'!$A:$A,'Variance16-17'!$A162,'2015-16 12 Mnths'!F:F)-SUMIF('Budget 12 Mnths'!$A:$A,'Variance16-17'!$A162,'Budget 12 Mnths'!G:G)</f>
        <v>0</v>
      </c>
      <c r="H162" s="56">
        <f>SUMIF('2015-16 12 Mnths'!$A:$A,'Variance16-17'!$A162,'2015-16 12 Mnths'!G:G)-SUMIF('Budget 12 Mnths'!$A:$A,'Variance16-17'!$A162,'Budget 12 Mnths'!H:H)</f>
        <v>0</v>
      </c>
      <c r="I162" s="56">
        <f>SUMIF('2015-16 12 Mnths'!$A:$A,'Variance16-17'!$A162,'2015-16 12 Mnths'!H:H)-SUMIF('Budget 12 Mnths'!$A:$A,'Variance16-17'!$A162,'Budget 12 Mnths'!I:I)</f>
        <v>0</v>
      </c>
      <c r="J162" s="56">
        <f>SUMIF('2015-16 12 Mnths'!$A:$A,'Variance16-17'!$A162,'2015-16 12 Mnths'!I:I)-SUMIF('Budget 12 Mnths'!$A:$A,'Variance16-17'!$A162,'Budget 12 Mnths'!J:J)</f>
        <v>0</v>
      </c>
      <c r="K162" s="56">
        <f>SUMIF('2015-16 12 Mnths'!$A:$A,'Variance16-17'!$A162,'2015-16 12 Mnths'!J:J)-SUMIF('Budget 12 Mnths'!$A:$A,'Variance16-17'!$A162,'Budget 12 Mnths'!K:K)</f>
        <v>0</v>
      </c>
      <c r="L162" s="56">
        <f>SUMIF('2015-16 12 Mnths'!$A:$A,'Variance16-17'!$A162,'2015-16 12 Mnths'!K:K)-SUMIF('Budget 12 Mnths'!$A:$A,'Variance16-17'!$A162,'Budget 12 Mnths'!L:L)</f>
        <v>0</v>
      </c>
      <c r="M162" s="56"/>
      <c r="N162" s="56"/>
      <c r="O162" s="56"/>
      <c r="P162" s="56">
        <f t="shared" si="1"/>
        <v>0</v>
      </c>
      <c r="Q162" s="14" t="str">
        <f>+VLOOKUP(A162,Mapping!$A$1:$E$443,5,FALSE)</f>
        <v>Insurance</v>
      </c>
      <c r="R162" s="26">
        <f>+SUMIF('Budget 12 Mnths'!$A:$A,'Variance16-17'!$A162,'Budget 12 Mnths'!$P:$P)</f>
        <v>0</v>
      </c>
      <c r="S162" s="26">
        <f>+SUMIF('2015-16 12 Mnths'!$A:$A,'Variance16-17'!$A162,'2015-16 12 Mnths'!$O:$O)</f>
        <v>0</v>
      </c>
      <c r="T162" s="57">
        <f t="shared" si="2"/>
        <v>0</v>
      </c>
      <c r="U162" s="57">
        <f t="shared" si="3"/>
        <v>0</v>
      </c>
      <c r="W162" s="27"/>
      <c r="X162" s="27" t="str">
        <f t="shared" si="73"/>
        <v/>
      </c>
      <c r="Z162" s="57">
        <f t="shared" si="68"/>
        <v>0</v>
      </c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>
        <f t="shared" si="7"/>
        <v>0</v>
      </c>
    </row>
    <row r="163" ht="15.75" customHeight="1">
      <c r="A163" s="15" t="s">
        <v>506</v>
      </c>
      <c r="B163" s="15" t="s">
        <v>507</v>
      </c>
      <c r="C163" s="15" t="s">
        <v>119</v>
      </c>
      <c r="D163" s="56">
        <f>SUMIF('2015-16 12 Mnths'!$A:$A,'Variance16-17'!$A163,'2015-16 12 Mnths'!C:C)-SUMIF('Budget 12 Mnths'!$A:$A,'Variance16-17'!$A163,'Budget 12 Mnths'!D:D)</f>
        <v>270.75</v>
      </c>
      <c r="E163" s="56">
        <f>SUMIF('2015-16 12 Mnths'!$A:$A,'Variance16-17'!$A163,'2015-16 12 Mnths'!D:D)-SUMIF('Budget 12 Mnths'!$A:$A,'Variance16-17'!$A163,'Budget 12 Mnths'!E:E)</f>
        <v>291.17</v>
      </c>
      <c r="F163" s="56">
        <f>SUMIF('2015-16 12 Mnths'!$A:$A,'Variance16-17'!$A163,'2015-16 12 Mnths'!E:E)-SUMIF('Budget 12 Mnths'!$A:$A,'Variance16-17'!$A163,'Budget 12 Mnths'!F:F)</f>
        <v>291.17</v>
      </c>
      <c r="G163" s="56">
        <f>SUMIF('2015-16 12 Mnths'!$A:$A,'Variance16-17'!$A163,'2015-16 12 Mnths'!F:F)-SUMIF('Budget 12 Mnths'!$A:$A,'Variance16-17'!$A163,'Budget 12 Mnths'!G:G)</f>
        <v>607.67</v>
      </c>
      <c r="H163" s="56">
        <f>SUMIF('2015-16 12 Mnths'!$A:$A,'Variance16-17'!$A163,'2015-16 12 Mnths'!G:G)-SUMIF('Budget 12 Mnths'!$A:$A,'Variance16-17'!$A163,'Budget 12 Mnths'!H:H)</f>
        <v>607.67</v>
      </c>
      <c r="I163" s="56">
        <f>SUMIF('2015-16 12 Mnths'!$A:$A,'Variance16-17'!$A163,'2015-16 12 Mnths'!H:H)-SUMIF('Budget 12 Mnths'!$A:$A,'Variance16-17'!$A163,'Budget 12 Mnths'!I:I)</f>
        <v>607.67</v>
      </c>
      <c r="J163" s="56">
        <f>SUMIF('2015-16 12 Mnths'!$A:$A,'Variance16-17'!$A163,'2015-16 12 Mnths'!I:I)-SUMIF('Budget 12 Mnths'!$A:$A,'Variance16-17'!$A163,'Budget 12 Mnths'!J:J)</f>
        <v>607.67</v>
      </c>
      <c r="K163" s="56">
        <f>SUMIF('2015-16 12 Mnths'!$A:$A,'Variance16-17'!$A163,'2015-16 12 Mnths'!J:J)-SUMIF('Budget 12 Mnths'!$A:$A,'Variance16-17'!$A163,'Budget 12 Mnths'!K:K)</f>
        <v>607.67</v>
      </c>
      <c r="L163" s="56">
        <f>SUMIF('2015-16 12 Mnths'!$A:$A,'Variance16-17'!$A163,'2015-16 12 Mnths'!K:K)-SUMIF('Budget 12 Mnths'!$A:$A,'Variance16-17'!$A163,'Budget 12 Mnths'!L:L)</f>
        <v>607.67</v>
      </c>
      <c r="M163" s="56"/>
      <c r="N163" s="56"/>
      <c r="O163" s="56"/>
      <c r="P163" s="56">
        <f t="shared" si="1"/>
        <v>4499.11</v>
      </c>
      <c r="Q163" s="14" t="str">
        <f>+VLOOKUP(A163,Mapping!$A$1:$E$443,5,FALSE)</f>
        <v>Insurance</v>
      </c>
      <c r="R163" s="26">
        <f>+SUMIF('Budget 12 Mnths'!$A:$A,'Variance16-17'!$A163,'Budget 12 Mnths'!$P:$P)</f>
        <v>0</v>
      </c>
      <c r="S163" s="26">
        <f>+SUMIF('2015-16 12 Mnths'!$A:$A,'Variance16-17'!$A163,'2015-16 12 Mnths'!$O:$O)</f>
        <v>4499.11</v>
      </c>
      <c r="T163" s="57">
        <f t="shared" si="2"/>
        <v>0</v>
      </c>
      <c r="U163" s="57">
        <f t="shared" si="3"/>
        <v>1</v>
      </c>
      <c r="W163" s="27"/>
      <c r="X163" s="27" t="str">
        <f t="shared" si="73"/>
        <v/>
      </c>
      <c r="Z163" s="57">
        <f t="shared" si="68"/>
        <v>0</v>
      </c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>
        <f t="shared" si="7"/>
        <v>0</v>
      </c>
    </row>
    <row r="164" ht="15.75" customHeight="1">
      <c r="A164" s="15" t="s">
        <v>508</v>
      </c>
      <c r="B164" s="15" t="s">
        <v>509</v>
      </c>
      <c r="C164" s="15" t="s">
        <v>119</v>
      </c>
      <c r="D164" s="56">
        <f>SUMIF('2015-16 12 Mnths'!$A:$A,'Variance16-17'!$A164,'2015-16 12 Mnths'!C:C)-SUMIF('Budget 12 Mnths'!$A:$A,'Variance16-17'!$A164,'Budget 12 Mnths'!D:D)</f>
        <v>543.87</v>
      </c>
      <c r="E164" s="56">
        <f>SUMIF('2015-16 12 Mnths'!$A:$A,'Variance16-17'!$A164,'2015-16 12 Mnths'!D:D)-SUMIF('Budget 12 Mnths'!$A:$A,'Variance16-17'!$A164,'Budget 12 Mnths'!E:E)</f>
        <v>364</v>
      </c>
      <c r="F164" s="56">
        <f>SUMIF('2015-16 12 Mnths'!$A:$A,'Variance16-17'!$A164,'2015-16 12 Mnths'!E:E)-SUMIF('Budget 12 Mnths'!$A:$A,'Variance16-17'!$A164,'Budget 12 Mnths'!F:F)</f>
        <v>364</v>
      </c>
      <c r="G164" s="56">
        <f>SUMIF('2015-16 12 Mnths'!$A:$A,'Variance16-17'!$A164,'2015-16 12 Mnths'!F:F)-SUMIF('Budget 12 Mnths'!$A:$A,'Variance16-17'!$A164,'Budget 12 Mnths'!G:G)</f>
        <v>364</v>
      </c>
      <c r="H164" s="56">
        <f>SUMIF('2015-16 12 Mnths'!$A:$A,'Variance16-17'!$A164,'2015-16 12 Mnths'!G:G)-SUMIF('Budget 12 Mnths'!$A:$A,'Variance16-17'!$A164,'Budget 12 Mnths'!H:H)</f>
        <v>364</v>
      </c>
      <c r="I164" s="56">
        <f>SUMIF('2015-16 12 Mnths'!$A:$A,'Variance16-17'!$A164,'2015-16 12 Mnths'!H:H)-SUMIF('Budget 12 Mnths'!$A:$A,'Variance16-17'!$A164,'Budget 12 Mnths'!I:I)</f>
        <v>364</v>
      </c>
      <c r="J164" s="56">
        <f>SUMIF('2015-16 12 Mnths'!$A:$A,'Variance16-17'!$A164,'2015-16 12 Mnths'!I:I)-SUMIF('Budget 12 Mnths'!$A:$A,'Variance16-17'!$A164,'Budget 12 Mnths'!J:J)</f>
        <v>364</v>
      </c>
      <c r="K164" s="56">
        <f>SUMIF('2015-16 12 Mnths'!$A:$A,'Variance16-17'!$A164,'2015-16 12 Mnths'!J:J)-SUMIF('Budget 12 Mnths'!$A:$A,'Variance16-17'!$A164,'Budget 12 Mnths'!K:K)</f>
        <v>364</v>
      </c>
      <c r="L164" s="56">
        <f>SUMIF('2015-16 12 Mnths'!$A:$A,'Variance16-17'!$A164,'2015-16 12 Mnths'!K:K)-SUMIF('Budget 12 Mnths'!$A:$A,'Variance16-17'!$A164,'Budget 12 Mnths'!L:L)</f>
        <v>364</v>
      </c>
      <c r="M164" s="56"/>
      <c r="N164" s="56"/>
      <c r="O164" s="56"/>
      <c r="P164" s="56">
        <f t="shared" si="1"/>
        <v>3455.87</v>
      </c>
      <c r="Q164" s="14" t="str">
        <f>+VLOOKUP(A164,Mapping!$A$1:$E$443,5,FALSE)</f>
        <v>Insurance</v>
      </c>
      <c r="R164" s="26">
        <f>+SUMIF('Budget 12 Mnths'!$A:$A,'Variance16-17'!$A164,'Budget 12 Mnths'!$P:$P)</f>
        <v>0</v>
      </c>
      <c r="S164" s="26">
        <f>+SUMIF('2015-16 12 Mnths'!$A:$A,'Variance16-17'!$A164,'2015-16 12 Mnths'!$O:$O)</f>
        <v>3455.87</v>
      </c>
      <c r="T164" s="57">
        <f t="shared" si="2"/>
        <v>0</v>
      </c>
      <c r="U164" s="57">
        <f t="shared" si="3"/>
        <v>1</v>
      </c>
      <c r="W164" s="27"/>
      <c r="X164" s="27" t="str">
        <f t="shared" si="73"/>
        <v/>
      </c>
      <c r="Z164" s="57">
        <f t="shared" si="68"/>
        <v>0</v>
      </c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>
        <f t="shared" si="7"/>
        <v>0</v>
      </c>
    </row>
    <row r="165" ht="15.75" customHeight="1">
      <c r="A165" s="15" t="s">
        <v>510</v>
      </c>
      <c r="B165" s="15" t="s">
        <v>56</v>
      </c>
      <c r="C165" s="15" t="s">
        <v>119</v>
      </c>
      <c r="D165" s="56">
        <f>SUMIF('2015-16 12 Mnths'!$A:$A,'Variance16-17'!$A165,'2015-16 12 Mnths'!C:C)-SUMIF('Budget 12 Mnths'!$A:$A,'Variance16-17'!$A165,'Budget 12 Mnths'!D:D)</f>
        <v>0</v>
      </c>
      <c r="E165" s="56">
        <f>SUMIF('2015-16 12 Mnths'!$A:$A,'Variance16-17'!$A165,'2015-16 12 Mnths'!D:D)-SUMIF('Budget 12 Mnths'!$A:$A,'Variance16-17'!$A165,'Budget 12 Mnths'!E:E)</f>
        <v>132.42</v>
      </c>
      <c r="F165" s="56">
        <f>SUMIF('2015-16 12 Mnths'!$A:$A,'Variance16-17'!$A165,'2015-16 12 Mnths'!E:E)-SUMIF('Budget 12 Mnths'!$A:$A,'Variance16-17'!$A165,'Budget 12 Mnths'!F:F)</f>
        <v>-263.16</v>
      </c>
      <c r="G165" s="56">
        <f>SUMIF('2015-16 12 Mnths'!$A:$A,'Variance16-17'!$A165,'2015-16 12 Mnths'!F:F)-SUMIF('Budget 12 Mnths'!$A:$A,'Variance16-17'!$A165,'Budget 12 Mnths'!G:G)</f>
        <v>10.84</v>
      </c>
      <c r="H165" s="56">
        <f>SUMIF('2015-16 12 Mnths'!$A:$A,'Variance16-17'!$A165,'2015-16 12 Mnths'!G:G)-SUMIF('Budget 12 Mnths'!$A:$A,'Variance16-17'!$A165,'Budget 12 Mnths'!H:H)</f>
        <v>-15.16</v>
      </c>
      <c r="I165" s="56">
        <f>SUMIF('2015-16 12 Mnths'!$A:$A,'Variance16-17'!$A165,'2015-16 12 Mnths'!H:H)-SUMIF('Budget 12 Mnths'!$A:$A,'Variance16-17'!$A165,'Budget 12 Mnths'!I:I)</f>
        <v>-89.17</v>
      </c>
      <c r="J165" s="56">
        <f>SUMIF('2015-16 12 Mnths'!$A:$A,'Variance16-17'!$A165,'2015-16 12 Mnths'!I:I)-SUMIF('Budget 12 Mnths'!$A:$A,'Variance16-17'!$A165,'Budget 12 Mnths'!J:J)</f>
        <v>775.84</v>
      </c>
      <c r="K165" s="56">
        <f>SUMIF('2015-16 12 Mnths'!$A:$A,'Variance16-17'!$A165,'2015-16 12 Mnths'!J:J)-SUMIF('Budget 12 Mnths'!$A:$A,'Variance16-17'!$A165,'Budget 12 Mnths'!K:K)</f>
        <v>266.28</v>
      </c>
      <c r="L165" s="56">
        <f>SUMIF('2015-16 12 Mnths'!$A:$A,'Variance16-17'!$A165,'2015-16 12 Mnths'!K:K)-SUMIF('Budget 12 Mnths'!$A:$A,'Variance16-17'!$A165,'Budget 12 Mnths'!L:L)</f>
        <v>-263.16</v>
      </c>
      <c r="M165" s="56"/>
      <c r="N165" s="56"/>
      <c r="O165" s="56"/>
      <c r="P165" s="56">
        <f t="shared" si="1"/>
        <v>554.73</v>
      </c>
      <c r="Q165" s="14" t="str">
        <f>+VLOOKUP(A165,Mapping!$A$1:$E$443,5,FALSE)</f>
        <v>Student Act Exp</v>
      </c>
      <c r="R165" s="26">
        <f>+SUMIF('Budget 12 Mnths'!$A:$A,'Variance16-17'!$A165,'Budget 12 Mnths'!$P:$P)</f>
        <v>2500</v>
      </c>
      <c r="S165" s="26">
        <f>+SUMIF('2015-16 12 Mnths'!$A:$A,'Variance16-17'!$A165,'2015-16 12 Mnths'!$O:$O)</f>
        <v>2536.43</v>
      </c>
      <c r="T165" s="57">
        <f t="shared" si="2"/>
        <v>0.221892</v>
      </c>
      <c r="U165" s="57">
        <f t="shared" si="3"/>
        <v>0.2187050303</v>
      </c>
      <c r="V165" s="8" t="s">
        <v>641</v>
      </c>
      <c r="W165" s="27">
        <v>0.0</v>
      </c>
      <c r="X165" s="27">
        <f t="shared" si="73"/>
        <v>0</v>
      </c>
      <c r="Z165" s="57">
        <f t="shared" si="68"/>
        <v>0</v>
      </c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>
        <f t="shared" si="7"/>
        <v>0</v>
      </c>
    </row>
    <row r="166" ht="15.75" customHeight="1">
      <c r="A166" s="15" t="s">
        <v>511</v>
      </c>
      <c r="B166" s="15" t="s">
        <v>512</v>
      </c>
      <c r="C166" s="15" t="s">
        <v>119</v>
      </c>
      <c r="D166" s="56">
        <f>SUMIF('2015-16 12 Mnths'!$A:$A,'Variance16-17'!$A166,'2015-16 12 Mnths'!C:C)-SUMIF('Budget 12 Mnths'!$A:$A,'Variance16-17'!$A166,'Budget 12 Mnths'!D:D)</f>
        <v>-225</v>
      </c>
      <c r="E166" s="56">
        <f>SUMIF('2015-16 12 Mnths'!$A:$A,'Variance16-17'!$A166,'2015-16 12 Mnths'!D:D)-SUMIF('Budget 12 Mnths'!$A:$A,'Variance16-17'!$A166,'Budget 12 Mnths'!E:E)</f>
        <v>-125</v>
      </c>
      <c r="F166" s="56">
        <f>SUMIF('2015-16 12 Mnths'!$A:$A,'Variance16-17'!$A166,'2015-16 12 Mnths'!E:E)-SUMIF('Budget 12 Mnths'!$A:$A,'Variance16-17'!$A166,'Budget 12 Mnths'!F:F)</f>
        <v>-225</v>
      </c>
      <c r="G166" s="56">
        <f>SUMIF('2015-16 12 Mnths'!$A:$A,'Variance16-17'!$A166,'2015-16 12 Mnths'!F:F)-SUMIF('Budget 12 Mnths'!$A:$A,'Variance16-17'!$A166,'Budget 12 Mnths'!G:G)</f>
        <v>-450</v>
      </c>
      <c r="H166" s="56">
        <f>SUMIF('2015-16 12 Mnths'!$A:$A,'Variance16-17'!$A166,'2015-16 12 Mnths'!G:G)-SUMIF('Budget 12 Mnths'!$A:$A,'Variance16-17'!$A166,'Budget 12 Mnths'!H:H)</f>
        <v>1030.25</v>
      </c>
      <c r="I166" s="56">
        <f>SUMIF('2015-16 12 Mnths'!$A:$A,'Variance16-17'!$A166,'2015-16 12 Mnths'!H:H)-SUMIF('Budget 12 Mnths'!$A:$A,'Variance16-17'!$A166,'Budget 12 Mnths'!I:I)</f>
        <v>-450</v>
      </c>
      <c r="J166" s="56">
        <f>SUMIF('2015-16 12 Mnths'!$A:$A,'Variance16-17'!$A166,'2015-16 12 Mnths'!I:I)-SUMIF('Budget 12 Mnths'!$A:$A,'Variance16-17'!$A166,'Budget 12 Mnths'!J:J)</f>
        <v>-225</v>
      </c>
      <c r="K166" s="56">
        <f>SUMIF('2015-16 12 Mnths'!$A:$A,'Variance16-17'!$A166,'2015-16 12 Mnths'!J:J)-SUMIF('Budget 12 Mnths'!$A:$A,'Variance16-17'!$A166,'Budget 12 Mnths'!K:K)</f>
        <v>-225</v>
      </c>
      <c r="L166" s="56">
        <f>SUMIF('2015-16 12 Mnths'!$A:$A,'Variance16-17'!$A166,'2015-16 12 Mnths'!K:K)-SUMIF('Budget 12 Mnths'!$A:$A,'Variance16-17'!$A166,'Budget 12 Mnths'!L:L)</f>
        <v>-225</v>
      </c>
      <c r="M166" s="56"/>
      <c r="N166" s="56"/>
      <c r="O166" s="56"/>
      <c r="P166" s="56">
        <f t="shared" si="1"/>
        <v>-1119.75</v>
      </c>
      <c r="Q166" s="14" t="str">
        <f>+VLOOKUP(A166,Mapping!$A$1:$E$443,5,FALSE)</f>
        <v>Student Act Exp</v>
      </c>
      <c r="R166" s="26">
        <f>+SUMIF('Budget 12 Mnths'!$A:$A,'Variance16-17'!$A166,'Budget 12 Mnths'!$P:$P)</f>
        <v>2700</v>
      </c>
      <c r="S166" s="26">
        <f>+SUMIF('2015-16 12 Mnths'!$A:$A,'Variance16-17'!$A166,'2015-16 12 Mnths'!$O:$O)</f>
        <v>1580.25</v>
      </c>
      <c r="T166" s="57">
        <f t="shared" si="2"/>
        <v>-0.4147222222</v>
      </c>
      <c r="U166" s="57">
        <f t="shared" si="3"/>
        <v>-0.7085904129</v>
      </c>
      <c r="V166" s="8" t="s">
        <v>641</v>
      </c>
      <c r="W166" s="27">
        <v>0.0</v>
      </c>
      <c r="X166" s="27">
        <f t="shared" si="73"/>
        <v>0</v>
      </c>
      <c r="Z166" s="57">
        <f t="shared" si="68"/>
        <v>0</v>
      </c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>
        <f t="shared" si="7"/>
        <v>0</v>
      </c>
    </row>
    <row r="167" ht="15.75" customHeight="1">
      <c r="A167" s="15" t="s">
        <v>513</v>
      </c>
      <c r="B167" s="15" t="s">
        <v>514</v>
      </c>
      <c r="C167" s="15" t="s">
        <v>119</v>
      </c>
      <c r="D167" s="56">
        <f>SUMIF('2015-16 12 Mnths'!$A:$A,'Variance16-17'!$A167,'2015-16 12 Mnths'!C:C)-SUMIF('Budget 12 Mnths'!$A:$A,'Variance16-17'!$A167,'Budget 12 Mnths'!D:D)</f>
        <v>0</v>
      </c>
      <c r="E167" s="56">
        <f>SUMIF('2015-16 12 Mnths'!$A:$A,'Variance16-17'!$A167,'2015-16 12 Mnths'!D:D)-SUMIF('Budget 12 Mnths'!$A:$A,'Variance16-17'!$A167,'Budget 12 Mnths'!E:E)</f>
        <v>0</v>
      </c>
      <c r="F167" s="56">
        <f>SUMIF('2015-16 12 Mnths'!$A:$A,'Variance16-17'!$A167,'2015-16 12 Mnths'!E:E)-SUMIF('Budget 12 Mnths'!$A:$A,'Variance16-17'!$A167,'Budget 12 Mnths'!F:F)</f>
        <v>1356.75</v>
      </c>
      <c r="G167" s="56">
        <f>SUMIF('2015-16 12 Mnths'!$A:$A,'Variance16-17'!$A167,'2015-16 12 Mnths'!F:F)-SUMIF('Budget 12 Mnths'!$A:$A,'Variance16-17'!$A167,'Budget 12 Mnths'!G:G)</f>
        <v>0</v>
      </c>
      <c r="H167" s="56">
        <f>SUMIF('2015-16 12 Mnths'!$A:$A,'Variance16-17'!$A167,'2015-16 12 Mnths'!G:G)-SUMIF('Budget 12 Mnths'!$A:$A,'Variance16-17'!$A167,'Budget 12 Mnths'!H:H)</f>
        <v>89.14</v>
      </c>
      <c r="I167" s="56">
        <f>SUMIF('2015-16 12 Mnths'!$A:$A,'Variance16-17'!$A167,'2015-16 12 Mnths'!H:H)-SUMIF('Budget 12 Mnths'!$A:$A,'Variance16-17'!$A167,'Budget 12 Mnths'!I:I)</f>
        <v>-56.73</v>
      </c>
      <c r="J167" s="56">
        <f>SUMIF('2015-16 12 Mnths'!$A:$A,'Variance16-17'!$A167,'2015-16 12 Mnths'!I:I)-SUMIF('Budget 12 Mnths'!$A:$A,'Variance16-17'!$A167,'Budget 12 Mnths'!J:J)</f>
        <v>25</v>
      </c>
      <c r="K167" s="56">
        <f>SUMIF('2015-16 12 Mnths'!$A:$A,'Variance16-17'!$A167,'2015-16 12 Mnths'!J:J)-SUMIF('Budget 12 Mnths'!$A:$A,'Variance16-17'!$A167,'Budget 12 Mnths'!K:K)</f>
        <v>106.53</v>
      </c>
      <c r="L167" s="56">
        <f>SUMIF('2015-16 12 Mnths'!$A:$A,'Variance16-17'!$A167,'2015-16 12 Mnths'!K:K)-SUMIF('Budget 12 Mnths'!$A:$A,'Variance16-17'!$A167,'Budget 12 Mnths'!L:L)</f>
        <v>0</v>
      </c>
      <c r="M167" s="56"/>
      <c r="N167" s="56"/>
      <c r="O167" s="56"/>
      <c r="P167" s="56">
        <f t="shared" si="1"/>
        <v>1520.69</v>
      </c>
      <c r="Q167" s="14" t="str">
        <f>+VLOOKUP(A167,Mapping!$A$1:$E$443,5,FALSE)</f>
        <v>Student Act Exp</v>
      </c>
      <c r="R167" s="26">
        <f>+SUMIF('Budget 12 Mnths'!$A:$A,'Variance16-17'!$A167,'Budget 12 Mnths'!$P:$P)</f>
        <v>0</v>
      </c>
      <c r="S167" s="26">
        <f>+SUMIF('2015-16 12 Mnths'!$A:$A,'Variance16-17'!$A167,'2015-16 12 Mnths'!$O:$O)</f>
        <v>1754.69</v>
      </c>
      <c r="T167" s="57">
        <f t="shared" si="2"/>
        <v>0</v>
      </c>
      <c r="U167" s="57">
        <f t="shared" si="3"/>
        <v>0.8666431107</v>
      </c>
      <c r="W167" s="27"/>
      <c r="X167" s="27" t="str">
        <f t="shared" si="73"/>
        <v/>
      </c>
      <c r="Z167" s="57">
        <f t="shared" si="68"/>
        <v>0</v>
      </c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>
        <f t="shared" si="7"/>
        <v>0</v>
      </c>
    </row>
    <row r="168" ht="15.75" customHeight="1">
      <c r="A168" s="15" t="s">
        <v>515</v>
      </c>
      <c r="B168" s="15" t="s">
        <v>516</v>
      </c>
      <c r="C168" s="15" t="s">
        <v>119</v>
      </c>
      <c r="D168" s="56">
        <f>SUMIF('2015-16 12 Mnths'!$A:$A,'Variance16-17'!$A168,'2015-16 12 Mnths'!C:C)-SUMIF('Budget 12 Mnths'!$A:$A,'Variance16-17'!$A168,'Budget 12 Mnths'!D:D)</f>
        <v>0</v>
      </c>
      <c r="E168" s="56">
        <f>SUMIF('2015-16 12 Mnths'!$A:$A,'Variance16-17'!$A168,'2015-16 12 Mnths'!D:D)-SUMIF('Budget 12 Mnths'!$A:$A,'Variance16-17'!$A168,'Budget 12 Mnths'!E:E)</f>
        <v>0</v>
      </c>
      <c r="F168" s="56">
        <f>SUMIF('2015-16 12 Mnths'!$A:$A,'Variance16-17'!$A168,'2015-16 12 Mnths'!E:E)-SUMIF('Budget 12 Mnths'!$A:$A,'Variance16-17'!$A168,'Budget 12 Mnths'!F:F)</f>
        <v>0</v>
      </c>
      <c r="G168" s="56">
        <f>SUMIF('2015-16 12 Mnths'!$A:$A,'Variance16-17'!$A168,'2015-16 12 Mnths'!F:F)-SUMIF('Budget 12 Mnths'!$A:$A,'Variance16-17'!$A168,'Budget 12 Mnths'!G:G)</f>
        <v>-100</v>
      </c>
      <c r="H168" s="56">
        <f>SUMIF('2015-16 12 Mnths'!$A:$A,'Variance16-17'!$A168,'2015-16 12 Mnths'!G:G)-SUMIF('Budget 12 Mnths'!$A:$A,'Variance16-17'!$A168,'Budget 12 Mnths'!H:H)</f>
        <v>0</v>
      </c>
      <c r="I168" s="56">
        <f>SUMIF('2015-16 12 Mnths'!$A:$A,'Variance16-17'!$A168,'2015-16 12 Mnths'!H:H)-SUMIF('Budget 12 Mnths'!$A:$A,'Variance16-17'!$A168,'Budget 12 Mnths'!I:I)</f>
        <v>0</v>
      </c>
      <c r="J168" s="56">
        <f>SUMIF('2015-16 12 Mnths'!$A:$A,'Variance16-17'!$A168,'2015-16 12 Mnths'!I:I)-SUMIF('Budget 12 Mnths'!$A:$A,'Variance16-17'!$A168,'Budget 12 Mnths'!J:J)</f>
        <v>-100</v>
      </c>
      <c r="K168" s="56">
        <f>SUMIF('2015-16 12 Mnths'!$A:$A,'Variance16-17'!$A168,'2015-16 12 Mnths'!J:J)-SUMIF('Budget 12 Mnths'!$A:$A,'Variance16-17'!$A168,'Budget 12 Mnths'!K:K)</f>
        <v>150</v>
      </c>
      <c r="L168" s="56">
        <f>SUMIF('2015-16 12 Mnths'!$A:$A,'Variance16-17'!$A168,'2015-16 12 Mnths'!K:K)-SUMIF('Budget 12 Mnths'!$A:$A,'Variance16-17'!$A168,'Budget 12 Mnths'!L:L)</f>
        <v>-100</v>
      </c>
      <c r="M168" s="56"/>
      <c r="N168" s="56"/>
      <c r="O168" s="56"/>
      <c r="P168" s="56">
        <f t="shared" si="1"/>
        <v>-150</v>
      </c>
      <c r="Q168" s="14" t="str">
        <f>+VLOOKUP(A168,Mapping!$A$1:$E$443,5,FALSE)</f>
        <v>Student Act Exp</v>
      </c>
      <c r="R168" s="26">
        <f>+SUMIF('Budget 12 Mnths'!$A:$A,'Variance16-17'!$A168,'Budget 12 Mnths'!$P:$P)</f>
        <v>600</v>
      </c>
      <c r="S168" s="26">
        <f>+SUMIF('2015-16 12 Mnths'!$A:$A,'Variance16-17'!$A168,'2015-16 12 Mnths'!$O:$O)</f>
        <v>450</v>
      </c>
      <c r="T168" s="57">
        <f t="shared" si="2"/>
        <v>-0.25</v>
      </c>
      <c r="U168" s="57">
        <f t="shared" si="3"/>
        <v>-0.3333333333</v>
      </c>
      <c r="V168" s="8" t="s">
        <v>641</v>
      </c>
      <c r="W168" s="27">
        <v>600.0</v>
      </c>
      <c r="X168" s="27">
        <f t="shared" si="73"/>
        <v>600</v>
      </c>
      <c r="Z168" s="57">
        <f t="shared" si="68"/>
        <v>300</v>
      </c>
      <c r="AA168" s="27"/>
      <c r="AB168" s="27"/>
      <c r="AC168" s="27">
        <v>100.0</v>
      </c>
      <c r="AD168" s="27">
        <v>100.0</v>
      </c>
      <c r="AE168" s="27">
        <v>100.0</v>
      </c>
      <c r="AF168" s="27">
        <v>100.0</v>
      </c>
      <c r="AG168" s="27">
        <v>100.0</v>
      </c>
      <c r="AH168" s="27">
        <v>100.0</v>
      </c>
      <c r="AI168" s="27"/>
      <c r="AJ168" s="27"/>
      <c r="AK168" s="27"/>
      <c r="AL168" s="27"/>
      <c r="AM168" s="27">
        <f t="shared" si="7"/>
        <v>0</v>
      </c>
    </row>
    <row r="169" ht="15.75" customHeight="1">
      <c r="A169" s="15" t="s">
        <v>517</v>
      </c>
      <c r="B169" s="15" t="s">
        <v>518</v>
      </c>
      <c r="C169" s="15" t="s">
        <v>119</v>
      </c>
      <c r="D169" s="56">
        <f>SUMIF('2015-16 12 Mnths'!$A:$A,'Variance16-17'!$A169,'2015-16 12 Mnths'!C:C)-SUMIF('Budget 12 Mnths'!$A:$A,'Variance16-17'!$A169,'Budget 12 Mnths'!D:D)</f>
        <v>0</v>
      </c>
      <c r="E169" s="56">
        <f>SUMIF('2015-16 12 Mnths'!$A:$A,'Variance16-17'!$A169,'2015-16 12 Mnths'!D:D)-SUMIF('Budget 12 Mnths'!$A:$A,'Variance16-17'!$A169,'Budget 12 Mnths'!E:E)</f>
        <v>0</v>
      </c>
      <c r="F169" s="56">
        <f>SUMIF('2015-16 12 Mnths'!$A:$A,'Variance16-17'!$A169,'2015-16 12 Mnths'!E:E)-SUMIF('Budget 12 Mnths'!$A:$A,'Variance16-17'!$A169,'Budget 12 Mnths'!F:F)</f>
        <v>0</v>
      </c>
      <c r="G169" s="56">
        <f>SUMIF('2015-16 12 Mnths'!$A:$A,'Variance16-17'!$A169,'2015-16 12 Mnths'!F:F)-SUMIF('Budget 12 Mnths'!$A:$A,'Variance16-17'!$A169,'Budget 12 Mnths'!G:G)</f>
        <v>0</v>
      </c>
      <c r="H169" s="56">
        <f>SUMIF('2015-16 12 Mnths'!$A:$A,'Variance16-17'!$A169,'2015-16 12 Mnths'!G:G)-SUMIF('Budget 12 Mnths'!$A:$A,'Variance16-17'!$A169,'Budget 12 Mnths'!H:H)</f>
        <v>0</v>
      </c>
      <c r="I169" s="56">
        <f>SUMIF('2015-16 12 Mnths'!$A:$A,'Variance16-17'!$A169,'2015-16 12 Mnths'!H:H)-SUMIF('Budget 12 Mnths'!$A:$A,'Variance16-17'!$A169,'Budget 12 Mnths'!I:I)</f>
        <v>0</v>
      </c>
      <c r="J169" s="56">
        <f>SUMIF('2015-16 12 Mnths'!$A:$A,'Variance16-17'!$A169,'2015-16 12 Mnths'!I:I)-SUMIF('Budget 12 Mnths'!$A:$A,'Variance16-17'!$A169,'Budget 12 Mnths'!J:J)</f>
        <v>0</v>
      </c>
      <c r="K169" s="56">
        <f>SUMIF('2015-16 12 Mnths'!$A:$A,'Variance16-17'!$A169,'2015-16 12 Mnths'!J:J)-SUMIF('Budget 12 Mnths'!$A:$A,'Variance16-17'!$A169,'Budget 12 Mnths'!K:K)</f>
        <v>0</v>
      </c>
      <c r="L169" s="56">
        <f>SUMIF('2015-16 12 Mnths'!$A:$A,'Variance16-17'!$A169,'2015-16 12 Mnths'!K:K)-SUMIF('Budget 12 Mnths'!$A:$A,'Variance16-17'!$A169,'Budget 12 Mnths'!L:L)</f>
        <v>478.25</v>
      </c>
      <c r="M169" s="56"/>
      <c r="N169" s="56"/>
      <c r="O169" s="56"/>
      <c r="P169" s="56">
        <f t="shared" si="1"/>
        <v>478.25</v>
      </c>
      <c r="Q169" s="14" t="str">
        <f>+VLOOKUP(A169,Mapping!$A$1:$E$443,5,FALSE)</f>
        <v>Student Act Exp</v>
      </c>
      <c r="R169" s="26">
        <f>+SUMIF('Budget 12 Mnths'!$A:$A,'Variance16-17'!$A169,'Budget 12 Mnths'!$P:$P)</f>
        <v>2499.99</v>
      </c>
      <c r="S169" s="26">
        <f>+SUMIF('2015-16 12 Mnths'!$A:$A,'Variance16-17'!$A169,'2015-16 12 Mnths'!$O:$O)</f>
        <v>1071.51</v>
      </c>
      <c r="T169" s="57">
        <f t="shared" si="2"/>
        <v>0.1913007652</v>
      </c>
      <c r="U169" s="57">
        <f t="shared" si="3"/>
        <v>0.4463327454</v>
      </c>
      <c r="V169" s="8" t="s">
        <v>641</v>
      </c>
      <c r="W169" s="27">
        <v>800.0</v>
      </c>
      <c r="X169" s="27">
        <f t="shared" si="73"/>
        <v>800</v>
      </c>
      <c r="Z169" s="57">
        <v>0.0</v>
      </c>
      <c r="AA169" s="27"/>
      <c r="AB169" s="27"/>
      <c r="AC169" s="27"/>
      <c r="AD169" s="27"/>
      <c r="AE169" s="27"/>
      <c r="AF169" s="27"/>
      <c r="AG169" s="27"/>
      <c r="AH169" s="27"/>
      <c r="AI169" s="27"/>
      <c r="AJ169" s="27">
        <v>800.0</v>
      </c>
      <c r="AK169" s="27"/>
      <c r="AL169" s="27"/>
      <c r="AM169" s="27">
        <f t="shared" si="7"/>
        <v>0</v>
      </c>
    </row>
    <row r="170" ht="15.75" customHeight="1">
      <c r="A170" s="15" t="s">
        <v>519</v>
      </c>
      <c r="B170" s="15" t="s">
        <v>520</v>
      </c>
      <c r="C170" s="15" t="s">
        <v>119</v>
      </c>
      <c r="D170" s="56">
        <f>SUMIF('2015-16 12 Mnths'!$A:$A,'Variance16-17'!$A170,'2015-16 12 Mnths'!C:C)-SUMIF('Budget 12 Mnths'!$A:$A,'Variance16-17'!$A170,'Budget 12 Mnths'!D:D)</f>
        <v>0</v>
      </c>
      <c r="E170" s="56">
        <f>SUMIF('2015-16 12 Mnths'!$A:$A,'Variance16-17'!$A170,'2015-16 12 Mnths'!D:D)-SUMIF('Budget 12 Mnths'!$A:$A,'Variance16-17'!$A170,'Budget 12 Mnths'!E:E)</f>
        <v>0</v>
      </c>
      <c r="F170" s="56">
        <f>SUMIF('2015-16 12 Mnths'!$A:$A,'Variance16-17'!$A170,'2015-16 12 Mnths'!E:E)-SUMIF('Budget 12 Mnths'!$A:$A,'Variance16-17'!$A170,'Budget 12 Mnths'!F:F)</f>
        <v>0</v>
      </c>
      <c r="G170" s="56">
        <f>SUMIF('2015-16 12 Mnths'!$A:$A,'Variance16-17'!$A170,'2015-16 12 Mnths'!F:F)-SUMIF('Budget 12 Mnths'!$A:$A,'Variance16-17'!$A170,'Budget 12 Mnths'!G:G)</f>
        <v>0</v>
      </c>
      <c r="H170" s="56">
        <f>SUMIF('2015-16 12 Mnths'!$A:$A,'Variance16-17'!$A170,'2015-16 12 Mnths'!G:G)-SUMIF('Budget 12 Mnths'!$A:$A,'Variance16-17'!$A170,'Budget 12 Mnths'!H:H)</f>
        <v>0</v>
      </c>
      <c r="I170" s="56">
        <f>SUMIF('2015-16 12 Mnths'!$A:$A,'Variance16-17'!$A170,'2015-16 12 Mnths'!H:H)-SUMIF('Budget 12 Mnths'!$A:$A,'Variance16-17'!$A170,'Budget 12 Mnths'!I:I)</f>
        <v>0</v>
      </c>
      <c r="J170" s="56">
        <f>SUMIF('2015-16 12 Mnths'!$A:$A,'Variance16-17'!$A170,'2015-16 12 Mnths'!I:I)-SUMIF('Budget 12 Mnths'!$A:$A,'Variance16-17'!$A170,'Budget 12 Mnths'!J:J)</f>
        <v>0</v>
      </c>
      <c r="K170" s="56">
        <f>SUMIF('2015-16 12 Mnths'!$A:$A,'Variance16-17'!$A170,'2015-16 12 Mnths'!J:J)-SUMIF('Budget 12 Mnths'!$A:$A,'Variance16-17'!$A170,'Budget 12 Mnths'!K:K)</f>
        <v>0</v>
      </c>
      <c r="L170" s="56">
        <f>SUMIF('2015-16 12 Mnths'!$A:$A,'Variance16-17'!$A170,'2015-16 12 Mnths'!K:K)-SUMIF('Budget 12 Mnths'!$A:$A,'Variance16-17'!$A170,'Budget 12 Mnths'!L:L)</f>
        <v>0</v>
      </c>
      <c r="M170" s="56"/>
      <c r="N170" s="56"/>
      <c r="O170" s="56"/>
      <c r="P170" s="56">
        <f t="shared" si="1"/>
        <v>0</v>
      </c>
      <c r="Q170" s="14" t="str">
        <f>+VLOOKUP(A170,Mapping!$A$1:$E$443,5,FALSE)</f>
        <v>Student Act Exp</v>
      </c>
      <c r="R170" s="26">
        <f>+SUMIF('Budget 12 Mnths'!$A:$A,'Variance16-17'!$A170,'Budget 12 Mnths'!$P:$P)</f>
        <v>0</v>
      </c>
      <c r="S170" s="26">
        <f>+SUMIF('2015-16 12 Mnths'!$A:$A,'Variance16-17'!$A170,'2015-16 12 Mnths'!$O:$O)</f>
        <v>0</v>
      </c>
      <c r="T170" s="57">
        <f t="shared" si="2"/>
        <v>0</v>
      </c>
      <c r="U170" s="57">
        <f t="shared" si="3"/>
        <v>0</v>
      </c>
      <c r="W170" s="27"/>
      <c r="X170" s="27" t="str">
        <f t="shared" si="73"/>
        <v/>
      </c>
      <c r="Z170" s="57">
        <f>+X170/2</f>
        <v>0</v>
      </c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>
        <f t="shared" si="7"/>
        <v>0</v>
      </c>
    </row>
    <row r="171" ht="15.75" customHeight="1">
      <c r="A171" s="15" t="s">
        <v>521</v>
      </c>
      <c r="B171" s="15" t="s">
        <v>522</v>
      </c>
      <c r="C171" s="15" t="s">
        <v>119</v>
      </c>
      <c r="D171" s="56">
        <f>SUMIF('2015-16 12 Mnths'!$A:$A,'Variance16-17'!$A171,'2015-16 12 Mnths'!C:C)-SUMIF('Budget 12 Mnths'!$A:$A,'Variance16-17'!$A171,'Budget 12 Mnths'!D:D)</f>
        <v>0</v>
      </c>
      <c r="E171" s="56">
        <f>SUMIF('2015-16 12 Mnths'!$A:$A,'Variance16-17'!$A171,'2015-16 12 Mnths'!D:D)-SUMIF('Budget 12 Mnths'!$A:$A,'Variance16-17'!$A171,'Budget 12 Mnths'!E:E)</f>
        <v>0</v>
      </c>
      <c r="F171" s="56">
        <f>SUMIF('2015-16 12 Mnths'!$A:$A,'Variance16-17'!$A171,'2015-16 12 Mnths'!E:E)-SUMIF('Budget 12 Mnths'!$A:$A,'Variance16-17'!$A171,'Budget 12 Mnths'!F:F)</f>
        <v>0</v>
      </c>
      <c r="G171" s="56">
        <f>SUMIF('2015-16 12 Mnths'!$A:$A,'Variance16-17'!$A171,'2015-16 12 Mnths'!F:F)-SUMIF('Budget 12 Mnths'!$A:$A,'Variance16-17'!$A171,'Budget 12 Mnths'!G:G)</f>
        <v>0</v>
      </c>
      <c r="H171" s="56">
        <f>SUMIF('2015-16 12 Mnths'!$A:$A,'Variance16-17'!$A171,'2015-16 12 Mnths'!G:G)-SUMIF('Budget 12 Mnths'!$A:$A,'Variance16-17'!$A171,'Budget 12 Mnths'!H:H)</f>
        <v>0</v>
      </c>
      <c r="I171" s="56">
        <f>SUMIF('2015-16 12 Mnths'!$A:$A,'Variance16-17'!$A171,'2015-16 12 Mnths'!H:H)-SUMIF('Budget 12 Mnths'!$A:$A,'Variance16-17'!$A171,'Budget 12 Mnths'!I:I)</f>
        <v>0</v>
      </c>
      <c r="J171" s="56">
        <f>SUMIF('2015-16 12 Mnths'!$A:$A,'Variance16-17'!$A171,'2015-16 12 Mnths'!I:I)-SUMIF('Budget 12 Mnths'!$A:$A,'Variance16-17'!$A171,'Budget 12 Mnths'!J:J)</f>
        <v>0</v>
      </c>
      <c r="K171" s="56">
        <f>SUMIF('2015-16 12 Mnths'!$A:$A,'Variance16-17'!$A171,'2015-16 12 Mnths'!J:J)-SUMIF('Budget 12 Mnths'!$A:$A,'Variance16-17'!$A171,'Budget 12 Mnths'!K:K)</f>
        <v>0</v>
      </c>
      <c r="L171" s="56">
        <f>SUMIF('2015-16 12 Mnths'!$A:$A,'Variance16-17'!$A171,'2015-16 12 Mnths'!K:K)-SUMIF('Budget 12 Mnths'!$A:$A,'Variance16-17'!$A171,'Budget 12 Mnths'!L:L)</f>
        <v>-40.5</v>
      </c>
      <c r="M171" s="56"/>
      <c r="N171" s="56"/>
      <c r="O171" s="56"/>
      <c r="P171" s="56">
        <f t="shared" si="1"/>
        <v>-40.5</v>
      </c>
      <c r="Q171" s="14" t="str">
        <f>+VLOOKUP(A171,Mapping!$A$1:$E$443,5,FALSE)</f>
        <v>Student Act Exp</v>
      </c>
      <c r="R171" s="26">
        <f>+SUMIF('Budget 12 Mnths'!$A:$A,'Variance16-17'!$A171,'Budget 12 Mnths'!$P:$P)</f>
        <v>1200</v>
      </c>
      <c r="S171" s="26">
        <f>+SUMIF('2015-16 12 Mnths'!$A:$A,'Variance16-17'!$A171,'2015-16 12 Mnths'!$O:$O)</f>
        <v>68.84</v>
      </c>
      <c r="T171" s="57">
        <f t="shared" si="2"/>
        <v>-0.03375</v>
      </c>
      <c r="U171" s="57">
        <f t="shared" si="3"/>
        <v>-0.5883207438</v>
      </c>
      <c r="V171" s="8" t="s">
        <v>641</v>
      </c>
      <c r="W171" s="27">
        <v>1200.0</v>
      </c>
      <c r="X171" s="27">
        <f t="shared" si="73"/>
        <v>1200</v>
      </c>
      <c r="Z171" s="57">
        <v>0.0</v>
      </c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>
        <v>1200.0</v>
      </c>
      <c r="AL171" s="27"/>
      <c r="AM171" s="27">
        <f t="shared" si="7"/>
        <v>0</v>
      </c>
    </row>
    <row r="172" ht="15.75" customHeight="1">
      <c r="A172" s="15" t="s">
        <v>523</v>
      </c>
      <c r="B172" s="15" t="s">
        <v>524</v>
      </c>
      <c r="C172" s="15" t="s">
        <v>119</v>
      </c>
      <c r="D172" s="56">
        <f>SUMIF('2015-16 12 Mnths'!$A:$A,'Variance16-17'!$A172,'2015-16 12 Mnths'!C:C)-SUMIF('Budget 12 Mnths'!$A:$A,'Variance16-17'!$A172,'Budget 12 Mnths'!D:D)</f>
        <v>0</v>
      </c>
      <c r="E172" s="56">
        <f>SUMIF('2015-16 12 Mnths'!$A:$A,'Variance16-17'!$A172,'2015-16 12 Mnths'!D:D)-SUMIF('Budget 12 Mnths'!$A:$A,'Variance16-17'!$A172,'Budget 12 Mnths'!E:E)</f>
        <v>0</v>
      </c>
      <c r="F172" s="56">
        <f>SUMIF('2015-16 12 Mnths'!$A:$A,'Variance16-17'!$A172,'2015-16 12 Mnths'!E:E)-SUMIF('Budget 12 Mnths'!$A:$A,'Variance16-17'!$A172,'Budget 12 Mnths'!F:F)</f>
        <v>0</v>
      </c>
      <c r="G172" s="56">
        <f>SUMIF('2015-16 12 Mnths'!$A:$A,'Variance16-17'!$A172,'2015-16 12 Mnths'!F:F)-SUMIF('Budget 12 Mnths'!$A:$A,'Variance16-17'!$A172,'Budget 12 Mnths'!G:G)</f>
        <v>0</v>
      </c>
      <c r="H172" s="56">
        <f>SUMIF('2015-16 12 Mnths'!$A:$A,'Variance16-17'!$A172,'2015-16 12 Mnths'!G:G)-SUMIF('Budget 12 Mnths'!$A:$A,'Variance16-17'!$A172,'Budget 12 Mnths'!H:H)</f>
        <v>0</v>
      </c>
      <c r="I172" s="56">
        <f>SUMIF('2015-16 12 Mnths'!$A:$A,'Variance16-17'!$A172,'2015-16 12 Mnths'!H:H)-SUMIF('Budget 12 Mnths'!$A:$A,'Variance16-17'!$A172,'Budget 12 Mnths'!I:I)</f>
        <v>0</v>
      </c>
      <c r="J172" s="56">
        <f>SUMIF('2015-16 12 Mnths'!$A:$A,'Variance16-17'!$A172,'2015-16 12 Mnths'!I:I)-SUMIF('Budget 12 Mnths'!$A:$A,'Variance16-17'!$A172,'Budget 12 Mnths'!J:J)</f>
        <v>-33.33</v>
      </c>
      <c r="K172" s="56">
        <f>SUMIF('2015-16 12 Mnths'!$A:$A,'Variance16-17'!$A172,'2015-16 12 Mnths'!J:J)-SUMIF('Budget 12 Mnths'!$A:$A,'Variance16-17'!$A172,'Budget 12 Mnths'!K:K)</f>
        <v>-33.33</v>
      </c>
      <c r="L172" s="56">
        <f>SUMIF('2015-16 12 Mnths'!$A:$A,'Variance16-17'!$A172,'2015-16 12 Mnths'!K:K)-SUMIF('Budget 12 Mnths'!$A:$A,'Variance16-17'!$A172,'Budget 12 Mnths'!L:L)</f>
        <v>-33.33</v>
      </c>
      <c r="M172" s="56"/>
      <c r="N172" s="56"/>
      <c r="O172" s="56"/>
      <c r="P172" s="56">
        <f t="shared" si="1"/>
        <v>-99.99</v>
      </c>
      <c r="Q172" s="14" t="str">
        <f>+VLOOKUP(A172,Mapping!$A$1:$E$443,5,FALSE)</f>
        <v>Student Act Exp</v>
      </c>
      <c r="R172" s="26">
        <f>+SUMIF('Budget 12 Mnths'!$A:$A,'Variance16-17'!$A172,'Budget 12 Mnths'!$P:$P)</f>
        <v>399.99</v>
      </c>
      <c r="S172" s="26">
        <f>+SUMIF('2015-16 12 Mnths'!$A:$A,'Variance16-17'!$A172,'2015-16 12 Mnths'!$O:$O)</f>
        <v>87.5</v>
      </c>
      <c r="T172" s="57">
        <f t="shared" si="2"/>
        <v>-0.2499812495</v>
      </c>
      <c r="U172" s="57">
        <f t="shared" si="3"/>
        <v>-1.142742857</v>
      </c>
      <c r="V172" s="8" t="s">
        <v>641</v>
      </c>
      <c r="W172" s="27">
        <v>400.0</v>
      </c>
      <c r="X172" s="27">
        <f t="shared" si="73"/>
        <v>400</v>
      </c>
      <c r="Z172" s="57">
        <v>0.0</v>
      </c>
      <c r="AA172" s="27"/>
      <c r="AB172" s="27"/>
      <c r="AC172" s="27"/>
      <c r="AD172" s="27"/>
      <c r="AE172" s="27"/>
      <c r="AF172" s="27"/>
      <c r="AG172" s="27">
        <v>100.0</v>
      </c>
      <c r="AH172" s="27">
        <v>100.0</v>
      </c>
      <c r="AI172" s="27">
        <v>100.0</v>
      </c>
      <c r="AJ172" s="27">
        <v>100.0</v>
      </c>
      <c r="AK172" s="27"/>
      <c r="AL172" s="27"/>
      <c r="AM172" s="27">
        <f t="shared" si="7"/>
        <v>0</v>
      </c>
    </row>
    <row r="173" ht="15.75" customHeight="1">
      <c r="A173" s="15" t="s">
        <v>525</v>
      </c>
      <c r="B173" s="15" t="s">
        <v>526</v>
      </c>
      <c r="C173" s="15" t="s">
        <v>119</v>
      </c>
      <c r="D173" s="56">
        <f>SUMIF('2015-16 12 Mnths'!$A:$A,'Variance16-17'!$A173,'2015-16 12 Mnths'!C:C)-SUMIF('Budget 12 Mnths'!$A:$A,'Variance16-17'!$A173,'Budget 12 Mnths'!D:D)</f>
        <v>0</v>
      </c>
      <c r="E173" s="56">
        <f>SUMIF('2015-16 12 Mnths'!$A:$A,'Variance16-17'!$A173,'2015-16 12 Mnths'!D:D)-SUMIF('Budget 12 Mnths'!$A:$A,'Variance16-17'!$A173,'Budget 12 Mnths'!E:E)</f>
        <v>0</v>
      </c>
      <c r="F173" s="56">
        <f>SUMIF('2015-16 12 Mnths'!$A:$A,'Variance16-17'!$A173,'2015-16 12 Mnths'!E:E)-SUMIF('Budget 12 Mnths'!$A:$A,'Variance16-17'!$A173,'Budget 12 Mnths'!F:F)</f>
        <v>0</v>
      </c>
      <c r="G173" s="56">
        <f>SUMIF('2015-16 12 Mnths'!$A:$A,'Variance16-17'!$A173,'2015-16 12 Mnths'!F:F)-SUMIF('Budget 12 Mnths'!$A:$A,'Variance16-17'!$A173,'Budget 12 Mnths'!G:G)</f>
        <v>0</v>
      </c>
      <c r="H173" s="56">
        <f>SUMIF('2015-16 12 Mnths'!$A:$A,'Variance16-17'!$A173,'2015-16 12 Mnths'!G:G)-SUMIF('Budget 12 Mnths'!$A:$A,'Variance16-17'!$A173,'Budget 12 Mnths'!H:H)</f>
        <v>0</v>
      </c>
      <c r="I173" s="56">
        <f>SUMIF('2015-16 12 Mnths'!$A:$A,'Variance16-17'!$A173,'2015-16 12 Mnths'!H:H)-SUMIF('Budget 12 Mnths'!$A:$A,'Variance16-17'!$A173,'Budget 12 Mnths'!I:I)</f>
        <v>0</v>
      </c>
      <c r="J173" s="56">
        <f>SUMIF('2015-16 12 Mnths'!$A:$A,'Variance16-17'!$A173,'2015-16 12 Mnths'!I:I)-SUMIF('Budget 12 Mnths'!$A:$A,'Variance16-17'!$A173,'Budget 12 Mnths'!J:J)</f>
        <v>-50</v>
      </c>
      <c r="K173" s="56">
        <f>SUMIF('2015-16 12 Mnths'!$A:$A,'Variance16-17'!$A173,'2015-16 12 Mnths'!J:J)-SUMIF('Budget 12 Mnths'!$A:$A,'Variance16-17'!$A173,'Budget 12 Mnths'!K:K)</f>
        <v>-50</v>
      </c>
      <c r="L173" s="56">
        <f>SUMIF('2015-16 12 Mnths'!$A:$A,'Variance16-17'!$A173,'2015-16 12 Mnths'!K:K)-SUMIF('Budget 12 Mnths'!$A:$A,'Variance16-17'!$A173,'Budget 12 Mnths'!L:L)</f>
        <v>60</v>
      </c>
      <c r="M173" s="56"/>
      <c r="N173" s="56"/>
      <c r="O173" s="56"/>
      <c r="P173" s="56">
        <f t="shared" si="1"/>
        <v>-40</v>
      </c>
      <c r="Q173" s="14" t="str">
        <f>+VLOOKUP(A173,Mapping!$A$1:$E$443,5,FALSE)</f>
        <v>Student Act Exp</v>
      </c>
      <c r="R173" s="26">
        <f>+SUMIF('Budget 12 Mnths'!$A:$A,'Variance16-17'!$A173,'Budget 12 Mnths'!$P:$P)</f>
        <v>600</v>
      </c>
      <c r="S173" s="26">
        <f>+SUMIF('2015-16 12 Mnths'!$A:$A,'Variance16-17'!$A173,'2015-16 12 Mnths'!$O:$O)</f>
        <v>110</v>
      </c>
      <c r="T173" s="57">
        <f t="shared" si="2"/>
        <v>-0.06666666667</v>
      </c>
      <c r="U173" s="57">
        <f t="shared" si="3"/>
        <v>-0.3636363636</v>
      </c>
      <c r="V173" s="8" t="s">
        <v>641</v>
      </c>
      <c r="W173" s="27">
        <v>600.0</v>
      </c>
      <c r="X173" s="27">
        <f t="shared" si="73"/>
        <v>600</v>
      </c>
      <c r="Z173" s="57">
        <v>0.0</v>
      </c>
      <c r="AA173" s="27"/>
      <c r="AB173" s="27"/>
      <c r="AC173" s="27"/>
      <c r="AD173" s="27"/>
      <c r="AE173" s="27"/>
      <c r="AF173" s="27"/>
      <c r="AG173" s="27">
        <v>150.0</v>
      </c>
      <c r="AH173" s="27">
        <v>150.0</v>
      </c>
      <c r="AI173" s="27">
        <v>150.0</v>
      </c>
      <c r="AJ173" s="27">
        <v>150.0</v>
      </c>
      <c r="AK173" s="27"/>
      <c r="AL173" s="27"/>
      <c r="AM173" s="27">
        <f t="shared" si="7"/>
        <v>0</v>
      </c>
    </row>
    <row r="174" ht="15.75" customHeight="1">
      <c r="A174" s="15" t="s">
        <v>527</v>
      </c>
      <c r="B174" s="15" t="s">
        <v>528</v>
      </c>
      <c r="C174" s="15" t="s">
        <v>119</v>
      </c>
      <c r="D174" s="56">
        <f>SUMIF('2015-16 12 Mnths'!$A:$A,'Variance16-17'!$A174,'2015-16 12 Mnths'!C:C)-SUMIF('Budget 12 Mnths'!$A:$A,'Variance16-17'!$A174,'Budget 12 Mnths'!D:D)</f>
        <v>0</v>
      </c>
      <c r="E174" s="56">
        <f>SUMIF('2015-16 12 Mnths'!$A:$A,'Variance16-17'!$A174,'2015-16 12 Mnths'!D:D)-SUMIF('Budget 12 Mnths'!$A:$A,'Variance16-17'!$A174,'Budget 12 Mnths'!E:E)</f>
        <v>0</v>
      </c>
      <c r="F174" s="56">
        <f>SUMIF('2015-16 12 Mnths'!$A:$A,'Variance16-17'!$A174,'2015-16 12 Mnths'!E:E)-SUMIF('Budget 12 Mnths'!$A:$A,'Variance16-17'!$A174,'Budget 12 Mnths'!F:F)</f>
        <v>0</v>
      </c>
      <c r="G174" s="56">
        <f>SUMIF('2015-16 12 Mnths'!$A:$A,'Variance16-17'!$A174,'2015-16 12 Mnths'!F:F)-SUMIF('Budget 12 Mnths'!$A:$A,'Variance16-17'!$A174,'Budget 12 Mnths'!G:G)</f>
        <v>0</v>
      </c>
      <c r="H174" s="56">
        <f>SUMIF('2015-16 12 Mnths'!$A:$A,'Variance16-17'!$A174,'2015-16 12 Mnths'!G:G)-SUMIF('Budget 12 Mnths'!$A:$A,'Variance16-17'!$A174,'Budget 12 Mnths'!H:H)</f>
        <v>0</v>
      </c>
      <c r="I174" s="56">
        <f>SUMIF('2015-16 12 Mnths'!$A:$A,'Variance16-17'!$A174,'2015-16 12 Mnths'!H:H)-SUMIF('Budget 12 Mnths'!$A:$A,'Variance16-17'!$A174,'Budget 12 Mnths'!I:I)</f>
        <v>0</v>
      </c>
      <c r="J174" s="56">
        <f>SUMIF('2015-16 12 Mnths'!$A:$A,'Variance16-17'!$A174,'2015-16 12 Mnths'!I:I)-SUMIF('Budget 12 Mnths'!$A:$A,'Variance16-17'!$A174,'Budget 12 Mnths'!J:J)</f>
        <v>0</v>
      </c>
      <c r="K174" s="56">
        <f>SUMIF('2015-16 12 Mnths'!$A:$A,'Variance16-17'!$A174,'2015-16 12 Mnths'!J:J)-SUMIF('Budget 12 Mnths'!$A:$A,'Variance16-17'!$A174,'Budget 12 Mnths'!K:K)</f>
        <v>0</v>
      </c>
      <c r="L174" s="56">
        <f>SUMIF('2015-16 12 Mnths'!$A:$A,'Variance16-17'!$A174,'2015-16 12 Mnths'!K:K)-SUMIF('Budget 12 Mnths'!$A:$A,'Variance16-17'!$A174,'Budget 12 Mnths'!L:L)</f>
        <v>0</v>
      </c>
      <c r="M174" s="56"/>
      <c r="N174" s="56"/>
      <c r="O174" s="56"/>
      <c r="P174" s="56">
        <f t="shared" si="1"/>
        <v>0</v>
      </c>
      <c r="Q174" s="14" t="str">
        <f>+VLOOKUP(A174,Mapping!$A$1:$E$443,5,FALSE)</f>
        <v>Student Act Exp</v>
      </c>
      <c r="R174" s="26">
        <f>+SUMIF('Budget 12 Mnths'!$A:$A,'Variance16-17'!$A174,'Budget 12 Mnths'!$P:$P)</f>
        <v>0</v>
      </c>
      <c r="S174" s="26">
        <f>+SUMIF('2015-16 12 Mnths'!$A:$A,'Variance16-17'!$A174,'2015-16 12 Mnths'!$O:$O)</f>
        <v>0</v>
      </c>
      <c r="T174" s="57">
        <f t="shared" si="2"/>
        <v>0</v>
      </c>
      <c r="U174" s="57">
        <f t="shared" si="3"/>
        <v>0</v>
      </c>
      <c r="W174" s="27"/>
      <c r="X174" s="27" t="str">
        <f t="shared" si="73"/>
        <v/>
      </c>
      <c r="Z174" s="57">
        <f t="shared" ref="Z174:Z185" si="74">+X174/2</f>
        <v>0</v>
      </c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>
        <f t="shared" si="7"/>
        <v>0</v>
      </c>
    </row>
    <row r="175" ht="15.75" customHeight="1">
      <c r="A175" s="15" t="s">
        <v>529</v>
      </c>
      <c r="B175" s="15" t="s">
        <v>530</v>
      </c>
      <c r="C175" s="15" t="s">
        <v>119</v>
      </c>
      <c r="D175" s="56">
        <f>SUMIF('2015-16 12 Mnths'!$A:$A,'Variance16-17'!$A175,'2015-16 12 Mnths'!C:C)-SUMIF('Budget 12 Mnths'!$A:$A,'Variance16-17'!$A175,'Budget 12 Mnths'!D:D)</f>
        <v>0</v>
      </c>
      <c r="E175" s="56">
        <f>SUMIF('2015-16 12 Mnths'!$A:$A,'Variance16-17'!$A175,'2015-16 12 Mnths'!D:D)-SUMIF('Budget 12 Mnths'!$A:$A,'Variance16-17'!$A175,'Budget 12 Mnths'!E:E)</f>
        <v>0</v>
      </c>
      <c r="F175" s="56">
        <f>SUMIF('2015-16 12 Mnths'!$A:$A,'Variance16-17'!$A175,'2015-16 12 Mnths'!E:E)-SUMIF('Budget 12 Mnths'!$A:$A,'Variance16-17'!$A175,'Budget 12 Mnths'!F:F)</f>
        <v>82.91</v>
      </c>
      <c r="G175" s="56">
        <f>SUMIF('2015-16 12 Mnths'!$A:$A,'Variance16-17'!$A175,'2015-16 12 Mnths'!F:F)-SUMIF('Budget 12 Mnths'!$A:$A,'Variance16-17'!$A175,'Budget 12 Mnths'!G:G)</f>
        <v>92.92</v>
      </c>
      <c r="H175" s="56">
        <f>SUMIF('2015-16 12 Mnths'!$A:$A,'Variance16-17'!$A175,'2015-16 12 Mnths'!G:G)-SUMIF('Budget 12 Mnths'!$A:$A,'Variance16-17'!$A175,'Budget 12 Mnths'!H:H)</f>
        <v>0</v>
      </c>
      <c r="I175" s="56">
        <f>SUMIF('2015-16 12 Mnths'!$A:$A,'Variance16-17'!$A175,'2015-16 12 Mnths'!H:H)-SUMIF('Budget 12 Mnths'!$A:$A,'Variance16-17'!$A175,'Budget 12 Mnths'!I:I)</f>
        <v>0</v>
      </c>
      <c r="J175" s="56">
        <f>SUMIF('2015-16 12 Mnths'!$A:$A,'Variance16-17'!$A175,'2015-16 12 Mnths'!I:I)-SUMIF('Budget 12 Mnths'!$A:$A,'Variance16-17'!$A175,'Budget 12 Mnths'!J:J)</f>
        <v>0</v>
      </c>
      <c r="K175" s="56">
        <f>SUMIF('2015-16 12 Mnths'!$A:$A,'Variance16-17'!$A175,'2015-16 12 Mnths'!J:J)-SUMIF('Budget 12 Mnths'!$A:$A,'Variance16-17'!$A175,'Budget 12 Mnths'!K:K)</f>
        <v>0</v>
      </c>
      <c r="L175" s="56">
        <f>SUMIF('2015-16 12 Mnths'!$A:$A,'Variance16-17'!$A175,'2015-16 12 Mnths'!K:K)-SUMIF('Budget 12 Mnths'!$A:$A,'Variance16-17'!$A175,'Budget 12 Mnths'!L:L)</f>
        <v>77.57</v>
      </c>
      <c r="M175" s="56"/>
      <c r="N175" s="56"/>
      <c r="O175" s="56"/>
      <c r="P175" s="56">
        <f t="shared" si="1"/>
        <v>253.4</v>
      </c>
      <c r="Q175" s="14" t="str">
        <f>+VLOOKUP(A175,Mapping!$A$1:$E$443,5,FALSE)</f>
        <v>Student Act Exp</v>
      </c>
      <c r="R175" s="26">
        <f>+SUMIF('Budget 12 Mnths'!$A:$A,'Variance16-17'!$A175,'Budget 12 Mnths'!$P:$P)</f>
        <v>0</v>
      </c>
      <c r="S175" s="26">
        <f>+SUMIF('2015-16 12 Mnths'!$A:$A,'Variance16-17'!$A175,'2015-16 12 Mnths'!$O:$O)</f>
        <v>253.4</v>
      </c>
      <c r="T175" s="57">
        <f t="shared" si="2"/>
        <v>0</v>
      </c>
      <c r="U175" s="57">
        <f t="shared" si="3"/>
        <v>1</v>
      </c>
      <c r="W175" s="27"/>
      <c r="X175" s="27" t="str">
        <f t="shared" si="73"/>
        <v/>
      </c>
      <c r="Z175" s="57">
        <f t="shared" si="74"/>
        <v>0</v>
      </c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>
        <f t="shared" si="7"/>
        <v>0</v>
      </c>
    </row>
    <row r="176" ht="15.75" customHeight="1">
      <c r="A176" s="15" t="s">
        <v>531</v>
      </c>
      <c r="B176" s="15" t="s">
        <v>532</v>
      </c>
      <c r="C176" s="15" t="s">
        <v>119</v>
      </c>
      <c r="D176" s="56">
        <f>SUMIF('2015-16 12 Mnths'!$A:$A,'Variance16-17'!$A176,'2015-16 12 Mnths'!C:C)-SUMIF('Budget 12 Mnths'!$A:$A,'Variance16-17'!$A176,'Budget 12 Mnths'!D:D)</f>
        <v>0</v>
      </c>
      <c r="E176" s="56">
        <f>SUMIF('2015-16 12 Mnths'!$A:$A,'Variance16-17'!$A176,'2015-16 12 Mnths'!D:D)-SUMIF('Budget 12 Mnths'!$A:$A,'Variance16-17'!$A176,'Budget 12 Mnths'!E:E)</f>
        <v>-684.21</v>
      </c>
      <c r="F176" s="56">
        <f>SUMIF('2015-16 12 Mnths'!$A:$A,'Variance16-17'!$A176,'2015-16 12 Mnths'!E:E)-SUMIF('Budget 12 Mnths'!$A:$A,'Variance16-17'!$A176,'Budget 12 Mnths'!F:F)</f>
        <v>-1368.42</v>
      </c>
      <c r="G176" s="56">
        <f>SUMIF('2015-16 12 Mnths'!$A:$A,'Variance16-17'!$A176,'2015-16 12 Mnths'!F:F)-SUMIF('Budget 12 Mnths'!$A:$A,'Variance16-17'!$A176,'Budget 12 Mnths'!G:G)</f>
        <v>-1368.42</v>
      </c>
      <c r="H176" s="56">
        <f>SUMIF('2015-16 12 Mnths'!$A:$A,'Variance16-17'!$A176,'2015-16 12 Mnths'!G:G)-SUMIF('Budget 12 Mnths'!$A:$A,'Variance16-17'!$A176,'Budget 12 Mnths'!H:H)</f>
        <v>-1368.42</v>
      </c>
      <c r="I176" s="56">
        <f>SUMIF('2015-16 12 Mnths'!$A:$A,'Variance16-17'!$A176,'2015-16 12 Mnths'!H:H)-SUMIF('Budget 12 Mnths'!$A:$A,'Variance16-17'!$A176,'Budget 12 Mnths'!I:I)</f>
        <v>-1368.42</v>
      </c>
      <c r="J176" s="56">
        <f>SUMIF('2015-16 12 Mnths'!$A:$A,'Variance16-17'!$A176,'2015-16 12 Mnths'!I:I)-SUMIF('Budget 12 Mnths'!$A:$A,'Variance16-17'!$A176,'Budget 12 Mnths'!J:J)</f>
        <v>-1368.42</v>
      </c>
      <c r="K176" s="56">
        <f>SUMIF('2015-16 12 Mnths'!$A:$A,'Variance16-17'!$A176,'2015-16 12 Mnths'!J:J)-SUMIF('Budget 12 Mnths'!$A:$A,'Variance16-17'!$A176,'Budget 12 Mnths'!K:K)</f>
        <v>-1368.42</v>
      </c>
      <c r="L176" s="56">
        <f>SUMIF('2015-16 12 Mnths'!$A:$A,'Variance16-17'!$A176,'2015-16 12 Mnths'!K:K)-SUMIF('Budget 12 Mnths'!$A:$A,'Variance16-17'!$A176,'Budget 12 Mnths'!L:L)</f>
        <v>-1368.42</v>
      </c>
      <c r="M176" s="56"/>
      <c r="N176" s="56"/>
      <c r="O176" s="56"/>
      <c r="P176" s="56">
        <f t="shared" si="1"/>
        <v>-10263.15</v>
      </c>
      <c r="Q176" s="14" t="str">
        <f>+VLOOKUP(A176,Mapping!$A$1:$E$443,5,FALSE)</f>
        <v>Student Act Exp</v>
      </c>
      <c r="R176" s="26">
        <f>+SUMIF('Budget 12 Mnths'!$A:$A,'Variance16-17'!$A176,'Budget 12 Mnths'!$P:$P)</f>
        <v>12999.99</v>
      </c>
      <c r="S176" s="26">
        <f>+SUMIF('2015-16 12 Mnths'!$A:$A,'Variance16-17'!$A176,'2015-16 12 Mnths'!$O:$O)</f>
        <v>0</v>
      </c>
      <c r="T176" s="57">
        <f t="shared" si="2"/>
        <v>-0.7894736842</v>
      </c>
      <c r="U176" s="57">
        <f t="shared" si="3"/>
        <v>0</v>
      </c>
      <c r="V176" s="8" t="s">
        <v>594</v>
      </c>
      <c r="W176" s="27">
        <v>0.0</v>
      </c>
      <c r="X176" s="27">
        <f>9000-1000-1100</f>
        <v>6900</v>
      </c>
      <c r="Z176" s="57">
        <f t="shared" si="74"/>
        <v>3450</v>
      </c>
      <c r="AA176" s="51"/>
      <c r="AB176" s="51"/>
      <c r="AC176" s="51"/>
      <c r="AD176" s="51"/>
      <c r="AE176" s="51"/>
      <c r="AF176" s="51"/>
      <c r="AG176" s="51">
        <v>1725.0</v>
      </c>
      <c r="AH176" s="51">
        <v>1725.0</v>
      </c>
      <c r="AI176" s="51">
        <v>1725.0</v>
      </c>
      <c r="AJ176" s="51">
        <v>1725.0</v>
      </c>
      <c r="AK176" s="51"/>
      <c r="AL176" s="51"/>
      <c r="AM176" s="27">
        <f t="shared" si="7"/>
        <v>0</v>
      </c>
    </row>
    <row r="177" ht="15.75" customHeight="1">
      <c r="A177" s="15" t="s">
        <v>533</v>
      </c>
      <c r="B177" s="15" t="s">
        <v>534</v>
      </c>
      <c r="C177" s="15" t="s">
        <v>119</v>
      </c>
      <c r="D177" s="56">
        <f>SUMIF('2015-16 12 Mnths'!$A:$A,'Variance16-17'!$A177,'2015-16 12 Mnths'!C:C)-SUMIF('Budget 12 Mnths'!$A:$A,'Variance16-17'!$A177,'Budget 12 Mnths'!D:D)</f>
        <v>0</v>
      </c>
      <c r="E177" s="56">
        <f>SUMIF('2015-16 12 Mnths'!$A:$A,'Variance16-17'!$A177,'2015-16 12 Mnths'!D:D)-SUMIF('Budget 12 Mnths'!$A:$A,'Variance16-17'!$A177,'Budget 12 Mnths'!E:E)</f>
        <v>0</v>
      </c>
      <c r="F177" s="56">
        <f>SUMIF('2015-16 12 Mnths'!$A:$A,'Variance16-17'!$A177,'2015-16 12 Mnths'!E:E)-SUMIF('Budget 12 Mnths'!$A:$A,'Variance16-17'!$A177,'Budget 12 Mnths'!F:F)</f>
        <v>0</v>
      </c>
      <c r="G177" s="56">
        <f>SUMIF('2015-16 12 Mnths'!$A:$A,'Variance16-17'!$A177,'2015-16 12 Mnths'!F:F)-SUMIF('Budget 12 Mnths'!$A:$A,'Variance16-17'!$A177,'Budget 12 Mnths'!G:G)</f>
        <v>0</v>
      </c>
      <c r="H177" s="56">
        <f>SUMIF('2015-16 12 Mnths'!$A:$A,'Variance16-17'!$A177,'2015-16 12 Mnths'!G:G)-SUMIF('Budget 12 Mnths'!$A:$A,'Variance16-17'!$A177,'Budget 12 Mnths'!H:H)</f>
        <v>0</v>
      </c>
      <c r="I177" s="56">
        <f>SUMIF('2015-16 12 Mnths'!$A:$A,'Variance16-17'!$A177,'2015-16 12 Mnths'!H:H)-SUMIF('Budget 12 Mnths'!$A:$A,'Variance16-17'!$A177,'Budget 12 Mnths'!I:I)</f>
        <v>0</v>
      </c>
      <c r="J177" s="56">
        <f>SUMIF('2015-16 12 Mnths'!$A:$A,'Variance16-17'!$A177,'2015-16 12 Mnths'!I:I)-SUMIF('Budget 12 Mnths'!$A:$A,'Variance16-17'!$A177,'Budget 12 Mnths'!J:J)</f>
        <v>0</v>
      </c>
      <c r="K177" s="56">
        <f>SUMIF('2015-16 12 Mnths'!$A:$A,'Variance16-17'!$A177,'2015-16 12 Mnths'!J:J)-SUMIF('Budget 12 Mnths'!$A:$A,'Variance16-17'!$A177,'Budget 12 Mnths'!K:K)</f>
        <v>0</v>
      </c>
      <c r="L177" s="56">
        <f>SUMIF('2015-16 12 Mnths'!$A:$A,'Variance16-17'!$A177,'2015-16 12 Mnths'!K:K)-SUMIF('Budget 12 Mnths'!$A:$A,'Variance16-17'!$A177,'Budget 12 Mnths'!L:L)</f>
        <v>78</v>
      </c>
      <c r="M177" s="56"/>
      <c r="N177" s="56"/>
      <c r="O177" s="56"/>
      <c r="P177" s="56">
        <f t="shared" si="1"/>
        <v>78</v>
      </c>
      <c r="Q177" s="14" t="str">
        <f>+VLOOKUP(A177,Mapping!$A$1:$E$443,5,FALSE)</f>
        <v>Student Act Exp</v>
      </c>
      <c r="R177" s="26">
        <f>+SUMIF('Budget 12 Mnths'!$A:$A,'Variance16-17'!$A177,'Budget 12 Mnths'!$P:$P)</f>
        <v>0</v>
      </c>
      <c r="S177" s="26">
        <f>+SUMIF('2015-16 12 Mnths'!$A:$A,'Variance16-17'!$A177,'2015-16 12 Mnths'!$O:$O)</f>
        <v>78</v>
      </c>
      <c r="T177" s="57">
        <f t="shared" si="2"/>
        <v>0</v>
      </c>
      <c r="U177" s="57">
        <f t="shared" si="3"/>
        <v>1</v>
      </c>
      <c r="W177" s="27"/>
      <c r="X177" s="27" t="str">
        <f t="shared" ref="X177:X181" si="75">+W177</f>
        <v/>
      </c>
      <c r="Z177" s="57">
        <f t="shared" si="74"/>
        <v>0</v>
      </c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>
        <f t="shared" si="7"/>
        <v>0</v>
      </c>
    </row>
    <row r="178" ht="15.75" customHeight="1">
      <c r="A178" s="15" t="s">
        <v>535</v>
      </c>
      <c r="B178" s="15" t="s">
        <v>536</v>
      </c>
      <c r="C178" s="15" t="s">
        <v>119</v>
      </c>
      <c r="D178" s="56">
        <f>SUMIF('2015-16 12 Mnths'!$A:$A,'Variance16-17'!$A178,'2015-16 12 Mnths'!C:C)-SUMIF('Budget 12 Mnths'!$A:$A,'Variance16-17'!$A178,'Budget 12 Mnths'!D:D)</f>
        <v>0</v>
      </c>
      <c r="E178" s="56">
        <f>SUMIF('2015-16 12 Mnths'!$A:$A,'Variance16-17'!$A178,'2015-16 12 Mnths'!D:D)-SUMIF('Budget 12 Mnths'!$A:$A,'Variance16-17'!$A178,'Budget 12 Mnths'!E:E)</f>
        <v>0</v>
      </c>
      <c r="F178" s="56">
        <f>SUMIF('2015-16 12 Mnths'!$A:$A,'Variance16-17'!$A178,'2015-16 12 Mnths'!E:E)-SUMIF('Budget 12 Mnths'!$A:$A,'Variance16-17'!$A178,'Budget 12 Mnths'!F:F)</f>
        <v>0</v>
      </c>
      <c r="G178" s="56">
        <f>SUMIF('2015-16 12 Mnths'!$A:$A,'Variance16-17'!$A178,'2015-16 12 Mnths'!F:F)-SUMIF('Budget 12 Mnths'!$A:$A,'Variance16-17'!$A178,'Budget 12 Mnths'!G:G)</f>
        <v>0</v>
      </c>
      <c r="H178" s="56">
        <f>SUMIF('2015-16 12 Mnths'!$A:$A,'Variance16-17'!$A178,'2015-16 12 Mnths'!G:G)-SUMIF('Budget 12 Mnths'!$A:$A,'Variance16-17'!$A178,'Budget 12 Mnths'!H:H)</f>
        <v>0</v>
      </c>
      <c r="I178" s="56">
        <f>SUMIF('2015-16 12 Mnths'!$A:$A,'Variance16-17'!$A178,'2015-16 12 Mnths'!H:H)-SUMIF('Budget 12 Mnths'!$A:$A,'Variance16-17'!$A178,'Budget 12 Mnths'!I:I)</f>
        <v>0</v>
      </c>
      <c r="J178" s="56">
        <f>SUMIF('2015-16 12 Mnths'!$A:$A,'Variance16-17'!$A178,'2015-16 12 Mnths'!I:I)-SUMIF('Budget 12 Mnths'!$A:$A,'Variance16-17'!$A178,'Budget 12 Mnths'!J:J)</f>
        <v>0</v>
      </c>
      <c r="K178" s="56">
        <f>SUMIF('2015-16 12 Mnths'!$A:$A,'Variance16-17'!$A178,'2015-16 12 Mnths'!J:J)-SUMIF('Budget 12 Mnths'!$A:$A,'Variance16-17'!$A178,'Budget 12 Mnths'!K:K)</f>
        <v>0</v>
      </c>
      <c r="L178" s="56">
        <f>SUMIF('2015-16 12 Mnths'!$A:$A,'Variance16-17'!$A178,'2015-16 12 Mnths'!K:K)-SUMIF('Budget 12 Mnths'!$A:$A,'Variance16-17'!$A178,'Budget 12 Mnths'!L:L)</f>
        <v>0</v>
      </c>
      <c r="M178" s="56"/>
      <c r="N178" s="56"/>
      <c r="O178" s="56"/>
      <c r="P178" s="56">
        <f t="shared" si="1"/>
        <v>0</v>
      </c>
      <c r="Q178" s="14" t="str">
        <f>+VLOOKUP(A178,Mapping!$A$1:$E$443,5,FALSE)</f>
        <v>Student Act Exp</v>
      </c>
      <c r="R178" s="26">
        <f>+SUMIF('Budget 12 Mnths'!$A:$A,'Variance16-17'!$A178,'Budget 12 Mnths'!$P:$P)</f>
        <v>0</v>
      </c>
      <c r="S178" s="26">
        <f>+SUMIF('2015-16 12 Mnths'!$A:$A,'Variance16-17'!$A178,'2015-16 12 Mnths'!$O:$O)</f>
        <v>0</v>
      </c>
      <c r="T178" s="57">
        <f t="shared" si="2"/>
        <v>0</v>
      </c>
      <c r="U178" s="57">
        <f t="shared" si="3"/>
        <v>0</v>
      </c>
      <c r="W178" s="27"/>
      <c r="X178" s="27" t="str">
        <f t="shared" si="75"/>
        <v/>
      </c>
      <c r="Z178" s="57">
        <f t="shared" si="74"/>
        <v>0</v>
      </c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>
        <f t="shared" si="7"/>
        <v>0</v>
      </c>
    </row>
    <row r="179" ht="15.75" customHeight="1">
      <c r="A179" s="15" t="s">
        <v>537</v>
      </c>
      <c r="B179" s="15" t="s">
        <v>538</v>
      </c>
      <c r="C179" s="15" t="s">
        <v>119</v>
      </c>
      <c r="D179" s="56">
        <f>SUMIF('2015-16 12 Mnths'!$A:$A,'Variance16-17'!$A179,'2015-16 12 Mnths'!C:C)-SUMIF('Budget 12 Mnths'!$A:$A,'Variance16-17'!$A179,'Budget 12 Mnths'!D:D)</f>
        <v>0</v>
      </c>
      <c r="E179" s="56">
        <f>SUMIF('2015-16 12 Mnths'!$A:$A,'Variance16-17'!$A179,'2015-16 12 Mnths'!D:D)-SUMIF('Budget 12 Mnths'!$A:$A,'Variance16-17'!$A179,'Budget 12 Mnths'!E:E)</f>
        <v>0</v>
      </c>
      <c r="F179" s="56">
        <f>SUMIF('2015-16 12 Mnths'!$A:$A,'Variance16-17'!$A179,'2015-16 12 Mnths'!E:E)-SUMIF('Budget 12 Mnths'!$A:$A,'Variance16-17'!$A179,'Budget 12 Mnths'!F:F)</f>
        <v>0</v>
      </c>
      <c r="G179" s="56">
        <f>SUMIF('2015-16 12 Mnths'!$A:$A,'Variance16-17'!$A179,'2015-16 12 Mnths'!F:F)-SUMIF('Budget 12 Mnths'!$A:$A,'Variance16-17'!$A179,'Budget 12 Mnths'!G:G)</f>
        <v>-8.33</v>
      </c>
      <c r="H179" s="56">
        <f>SUMIF('2015-16 12 Mnths'!$A:$A,'Variance16-17'!$A179,'2015-16 12 Mnths'!G:G)-SUMIF('Budget 12 Mnths'!$A:$A,'Variance16-17'!$A179,'Budget 12 Mnths'!H:H)</f>
        <v>-8.33</v>
      </c>
      <c r="I179" s="56">
        <f>SUMIF('2015-16 12 Mnths'!$A:$A,'Variance16-17'!$A179,'2015-16 12 Mnths'!H:H)-SUMIF('Budget 12 Mnths'!$A:$A,'Variance16-17'!$A179,'Budget 12 Mnths'!I:I)</f>
        <v>-8.33</v>
      </c>
      <c r="J179" s="56">
        <f>SUMIF('2015-16 12 Mnths'!$A:$A,'Variance16-17'!$A179,'2015-16 12 Mnths'!I:I)-SUMIF('Budget 12 Mnths'!$A:$A,'Variance16-17'!$A179,'Budget 12 Mnths'!J:J)</f>
        <v>-8.33</v>
      </c>
      <c r="K179" s="56">
        <f>SUMIF('2015-16 12 Mnths'!$A:$A,'Variance16-17'!$A179,'2015-16 12 Mnths'!J:J)-SUMIF('Budget 12 Mnths'!$A:$A,'Variance16-17'!$A179,'Budget 12 Mnths'!K:K)</f>
        <v>-8.33</v>
      </c>
      <c r="L179" s="56">
        <f>SUMIF('2015-16 12 Mnths'!$A:$A,'Variance16-17'!$A179,'2015-16 12 Mnths'!K:K)-SUMIF('Budget 12 Mnths'!$A:$A,'Variance16-17'!$A179,'Budget 12 Mnths'!L:L)</f>
        <v>-8.33</v>
      </c>
      <c r="M179" s="56"/>
      <c r="N179" s="56"/>
      <c r="O179" s="56"/>
      <c r="P179" s="56">
        <f t="shared" si="1"/>
        <v>-49.98</v>
      </c>
      <c r="Q179" s="14" t="str">
        <f>+VLOOKUP(A179,Mapping!$A$1:$E$443,5,FALSE)</f>
        <v>Student Act Exp</v>
      </c>
      <c r="R179" s="26">
        <f>+SUMIF('Budget 12 Mnths'!$A:$A,'Variance16-17'!$A179,'Budget 12 Mnths'!$P:$P)</f>
        <v>49.98</v>
      </c>
      <c r="S179" s="26">
        <f>+SUMIF('2015-16 12 Mnths'!$A:$A,'Variance16-17'!$A179,'2015-16 12 Mnths'!$O:$O)</f>
        <v>0</v>
      </c>
      <c r="T179" s="57">
        <f t="shared" si="2"/>
        <v>-1</v>
      </c>
      <c r="U179" s="57">
        <f t="shared" si="3"/>
        <v>0</v>
      </c>
      <c r="W179" s="27"/>
      <c r="X179" s="27" t="str">
        <f t="shared" si="75"/>
        <v/>
      </c>
      <c r="Z179" s="57">
        <f t="shared" si="74"/>
        <v>0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>
        <f t="shared" si="7"/>
        <v>0</v>
      </c>
    </row>
    <row r="180" ht="15.75" customHeight="1">
      <c r="A180" s="15" t="s">
        <v>539</v>
      </c>
      <c r="B180" s="15" t="s">
        <v>540</v>
      </c>
      <c r="C180" s="15" t="s">
        <v>119</v>
      </c>
      <c r="D180" s="56">
        <f>SUMIF('2015-16 12 Mnths'!$A:$A,'Variance16-17'!$A180,'2015-16 12 Mnths'!C:C)-SUMIF('Budget 12 Mnths'!$A:$A,'Variance16-17'!$A180,'Budget 12 Mnths'!D:D)</f>
        <v>0</v>
      </c>
      <c r="E180" s="56">
        <f>SUMIF('2015-16 12 Mnths'!$A:$A,'Variance16-17'!$A180,'2015-16 12 Mnths'!D:D)-SUMIF('Budget 12 Mnths'!$A:$A,'Variance16-17'!$A180,'Budget 12 Mnths'!E:E)</f>
        <v>0</v>
      </c>
      <c r="F180" s="56">
        <f>SUMIF('2015-16 12 Mnths'!$A:$A,'Variance16-17'!$A180,'2015-16 12 Mnths'!E:E)-SUMIF('Budget 12 Mnths'!$A:$A,'Variance16-17'!$A180,'Budget 12 Mnths'!F:F)</f>
        <v>0</v>
      </c>
      <c r="G180" s="56">
        <f>SUMIF('2015-16 12 Mnths'!$A:$A,'Variance16-17'!$A180,'2015-16 12 Mnths'!F:F)-SUMIF('Budget 12 Mnths'!$A:$A,'Variance16-17'!$A180,'Budget 12 Mnths'!G:G)</f>
        <v>0</v>
      </c>
      <c r="H180" s="56">
        <f>SUMIF('2015-16 12 Mnths'!$A:$A,'Variance16-17'!$A180,'2015-16 12 Mnths'!G:G)-SUMIF('Budget 12 Mnths'!$A:$A,'Variance16-17'!$A180,'Budget 12 Mnths'!H:H)</f>
        <v>0</v>
      </c>
      <c r="I180" s="56">
        <f>SUMIF('2015-16 12 Mnths'!$A:$A,'Variance16-17'!$A180,'2015-16 12 Mnths'!H:H)-SUMIF('Budget 12 Mnths'!$A:$A,'Variance16-17'!$A180,'Budget 12 Mnths'!I:I)</f>
        <v>0</v>
      </c>
      <c r="J180" s="56">
        <f>SUMIF('2015-16 12 Mnths'!$A:$A,'Variance16-17'!$A180,'2015-16 12 Mnths'!I:I)-SUMIF('Budget 12 Mnths'!$A:$A,'Variance16-17'!$A180,'Budget 12 Mnths'!J:J)</f>
        <v>0</v>
      </c>
      <c r="K180" s="56">
        <f>SUMIF('2015-16 12 Mnths'!$A:$A,'Variance16-17'!$A180,'2015-16 12 Mnths'!J:J)-SUMIF('Budget 12 Mnths'!$A:$A,'Variance16-17'!$A180,'Budget 12 Mnths'!K:K)</f>
        <v>0</v>
      </c>
      <c r="L180" s="56">
        <f>SUMIF('2015-16 12 Mnths'!$A:$A,'Variance16-17'!$A180,'2015-16 12 Mnths'!K:K)-SUMIF('Budget 12 Mnths'!$A:$A,'Variance16-17'!$A180,'Budget 12 Mnths'!L:L)</f>
        <v>0</v>
      </c>
      <c r="M180" s="56"/>
      <c r="N180" s="56"/>
      <c r="O180" s="56"/>
      <c r="P180" s="56">
        <f t="shared" si="1"/>
        <v>0</v>
      </c>
      <c r="Q180" s="14" t="str">
        <f>+VLOOKUP(A180,Mapping!$A$1:$E$443,5,FALSE)</f>
        <v>Student Act Exp</v>
      </c>
      <c r="R180" s="26">
        <f>+SUMIF('Budget 12 Mnths'!$A:$A,'Variance16-17'!$A180,'Budget 12 Mnths'!$P:$P)</f>
        <v>0</v>
      </c>
      <c r="S180" s="26">
        <f>+SUMIF('2015-16 12 Mnths'!$A:$A,'Variance16-17'!$A180,'2015-16 12 Mnths'!$O:$O)</f>
        <v>0</v>
      </c>
      <c r="T180" s="57">
        <f t="shared" si="2"/>
        <v>0</v>
      </c>
      <c r="U180" s="57">
        <f t="shared" si="3"/>
        <v>0</v>
      </c>
      <c r="W180" s="27"/>
      <c r="X180" s="27" t="str">
        <f t="shared" si="75"/>
        <v/>
      </c>
      <c r="Z180" s="57">
        <f t="shared" si="74"/>
        <v>0</v>
      </c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>
        <f t="shared" si="7"/>
        <v>0</v>
      </c>
    </row>
    <row r="181" ht="15.75" customHeight="1">
      <c r="A181" s="15" t="s">
        <v>541</v>
      </c>
      <c r="B181" s="15" t="s">
        <v>542</v>
      </c>
      <c r="C181" s="15" t="s">
        <v>119</v>
      </c>
      <c r="D181" s="56">
        <f>SUMIF('2015-16 12 Mnths'!$A:$A,'Variance16-17'!$A181,'2015-16 12 Mnths'!C:C)-SUMIF('Budget 12 Mnths'!$A:$A,'Variance16-17'!$A181,'Budget 12 Mnths'!D:D)</f>
        <v>-133.33</v>
      </c>
      <c r="E181" s="56">
        <f>SUMIF('2015-16 12 Mnths'!$A:$A,'Variance16-17'!$A181,'2015-16 12 Mnths'!D:D)-SUMIF('Budget 12 Mnths'!$A:$A,'Variance16-17'!$A181,'Budget 12 Mnths'!E:E)</f>
        <v>841.67</v>
      </c>
      <c r="F181" s="56">
        <f>SUMIF('2015-16 12 Mnths'!$A:$A,'Variance16-17'!$A181,'2015-16 12 Mnths'!E:E)-SUMIF('Budget 12 Mnths'!$A:$A,'Variance16-17'!$A181,'Budget 12 Mnths'!F:F)</f>
        <v>766.67</v>
      </c>
      <c r="G181" s="56">
        <f>SUMIF('2015-16 12 Mnths'!$A:$A,'Variance16-17'!$A181,'2015-16 12 Mnths'!F:F)-SUMIF('Budget 12 Mnths'!$A:$A,'Variance16-17'!$A181,'Budget 12 Mnths'!G:G)</f>
        <v>541.67</v>
      </c>
      <c r="H181" s="56">
        <f>SUMIF('2015-16 12 Mnths'!$A:$A,'Variance16-17'!$A181,'2015-16 12 Mnths'!G:G)-SUMIF('Budget 12 Mnths'!$A:$A,'Variance16-17'!$A181,'Budget 12 Mnths'!H:H)</f>
        <v>541.67</v>
      </c>
      <c r="I181" s="56">
        <f>SUMIF('2015-16 12 Mnths'!$A:$A,'Variance16-17'!$A181,'2015-16 12 Mnths'!H:H)-SUMIF('Budget 12 Mnths'!$A:$A,'Variance16-17'!$A181,'Budget 12 Mnths'!I:I)</f>
        <v>-133.33</v>
      </c>
      <c r="J181" s="56">
        <f>SUMIF('2015-16 12 Mnths'!$A:$A,'Variance16-17'!$A181,'2015-16 12 Mnths'!I:I)-SUMIF('Budget 12 Mnths'!$A:$A,'Variance16-17'!$A181,'Budget 12 Mnths'!J:J)</f>
        <v>541.67</v>
      </c>
      <c r="K181" s="56">
        <f>SUMIF('2015-16 12 Mnths'!$A:$A,'Variance16-17'!$A181,'2015-16 12 Mnths'!J:J)-SUMIF('Budget 12 Mnths'!$A:$A,'Variance16-17'!$A181,'Budget 12 Mnths'!K:K)</f>
        <v>541.67</v>
      </c>
      <c r="L181" s="56">
        <f>SUMIF('2015-16 12 Mnths'!$A:$A,'Variance16-17'!$A181,'2015-16 12 Mnths'!K:K)-SUMIF('Budget 12 Mnths'!$A:$A,'Variance16-17'!$A181,'Budget 12 Mnths'!L:L)</f>
        <v>1908.67</v>
      </c>
      <c r="M181" s="56"/>
      <c r="N181" s="56"/>
      <c r="O181" s="56"/>
      <c r="P181" s="56">
        <f t="shared" si="1"/>
        <v>5417.03</v>
      </c>
      <c r="Q181" s="14" t="str">
        <f>+VLOOKUP(A181,Mapping!$A$1:$E$443,5,FALSE)</f>
        <v>Student Act Exp</v>
      </c>
      <c r="R181" s="26">
        <f>+SUMIF('Budget 12 Mnths'!$A:$A,'Variance16-17'!$A181,'Budget 12 Mnths'!$P:$P)</f>
        <v>1599.96</v>
      </c>
      <c r="S181" s="26">
        <f>+SUMIF('2015-16 12 Mnths'!$A:$A,'Variance16-17'!$A181,'2015-16 12 Mnths'!$O:$O)</f>
        <v>6617</v>
      </c>
      <c r="T181" s="57">
        <f t="shared" si="2"/>
        <v>3.385728393</v>
      </c>
      <c r="U181" s="57">
        <f t="shared" si="3"/>
        <v>0.8186534683</v>
      </c>
      <c r="V181" s="8" t="s">
        <v>451</v>
      </c>
      <c r="W181" s="27">
        <f>+S181/8*10</f>
        <v>8271.25</v>
      </c>
      <c r="X181" s="27">
        <f t="shared" si="75"/>
        <v>8271.25</v>
      </c>
      <c r="Z181" s="57">
        <f t="shared" si="74"/>
        <v>4135.625</v>
      </c>
      <c r="AA181" s="27"/>
      <c r="AB181" s="27"/>
      <c r="AC181" s="27">
        <v>1500.0</v>
      </c>
      <c r="AD181" s="27">
        <v>1500.0</v>
      </c>
      <c r="AE181" s="27">
        <f>1500-364.37</f>
        <v>1135.63</v>
      </c>
      <c r="AF181" s="27"/>
      <c r="AG181" s="27">
        <v>1500.0</v>
      </c>
      <c r="AH181" s="27">
        <v>1500.0</v>
      </c>
      <c r="AI181" s="27">
        <f>1500-364.38</f>
        <v>1135.62</v>
      </c>
      <c r="AJ181" s="27"/>
      <c r="AK181" s="27"/>
      <c r="AL181" s="27"/>
      <c r="AM181" s="27">
        <f t="shared" si="7"/>
        <v>0</v>
      </c>
    </row>
    <row r="182" ht="15.75" customHeight="1">
      <c r="A182" s="15" t="s">
        <v>543</v>
      </c>
      <c r="B182" s="15" t="s">
        <v>544</v>
      </c>
      <c r="C182" s="15" t="s">
        <v>119</v>
      </c>
      <c r="D182" s="56">
        <f>SUMIF('2015-16 12 Mnths'!$A:$A,'Variance16-17'!$A182,'2015-16 12 Mnths'!C:C)-SUMIF('Budget 12 Mnths'!$A:$A,'Variance16-17'!$A182,'Budget 12 Mnths'!D:D)</f>
        <v>-2500</v>
      </c>
      <c r="E182" s="56">
        <f>SUMIF('2015-16 12 Mnths'!$A:$A,'Variance16-17'!$A182,'2015-16 12 Mnths'!D:D)-SUMIF('Budget 12 Mnths'!$A:$A,'Variance16-17'!$A182,'Budget 12 Mnths'!E:E)</f>
        <v>0</v>
      </c>
      <c r="F182" s="56">
        <f>SUMIF('2015-16 12 Mnths'!$A:$A,'Variance16-17'!$A182,'2015-16 12 Mnths'!E:E)-SUMIF('Budget 12 Mnths'!$A:$A,'Variance16-17'!$A182,'Budget 12 Mnths'!F:F)</f>
        <v>0</v>
      </c>
      <c r="G182" s="56">
        <f>SUMIF('2015-16 12 Mnths'!$A:$A,'Variance16-17'!$A182,'2015-16 12 Mnths'!F:F)-SUMIF('Budget 12 Mnths'!$A:$A,'Variance16-17'!$A182,'Budget 12 Mnths'!G:G)</f>
        <v>0</v>
      </c>
      <c r="H182" s="56">
        <f>SUMIF('2015-16 12 Mnths'!$A:$A,'Variance16-17'!$A182,'2015-16 12 Mnths'!G:G)-SUMIF('Budget 12 Mnths'!$A:$A,'Variance16-17'!$A182,'Budget 12 Mnths'!H:H)</f>
        <v>0</v>
      </c>
      <c r="I182" s="56">
        <f>SUMIF('2015-16 12 Mnths'!$A:$A,'Variance16-17'!$A182,'2015-16 12 Mnths'!H:H)-SUMIF('Budget 12 Mnths'!$A:$A,'Variance16-17'!$A182,'Budget 12 Mnths'!I:I)</f>
        <v>0</v>
      </c>
      <c r="J182" s="56">
        <f>SUMIF('2015-16 12 Mnths'!$A:$A,'Variance16-17'!$A182,'2015-16 12 Mnths'!I:I)-SUMIF('Budget 12 Mnths'!$A:$A,'Variance16-17'!$A182,'Budget 12 Mnths'!J:J)</f>
        <v>0</v>
      </c>
      <c r="K182" s="56">
        <f>SUMIF('2015-16 12 Mnths'!$A:$A,'Variance16-17'!$A182,'2015-16 12 Mnths'!J:J)-SUMIF('Budget 12 Mnths'!$A:$A,'Variance16-17'!$A182,'Budget 12 Mnths'!K:K)</f>
        <v>0</v>
      </c>
      <c r="L182" s="56">
        <f>SUMIF('2015-16 12 Mnths'!$A:$A,'Variance16-17'!$A182,'2015-16 12 Mnths'!K:K)-SUMIF('Budget 12 Mnths'!$A:$A,'Variance16-17'!$A182,'Budget 12 Mnths'!L:L)</f>
        <v>0</v>
      </c>
      <c r="M182" s="56"/>
      <c r="N182" s="56"/>
      <c r="O182" s="56"/>
      <c r="P182" s="56">
        <f t="shared" si="1"/>
        <v>-2500</v>
      </c>
      <c r="Q182" s="14" t="str">
        <f>+VLOOKUP(A182,Mapping!$A$1:$E$443,5,FALSE)</f>
        <v>Summer Program</v>
      </c>
      <c r="R182" s="26">
        <f>+SUMIF('Budget 12 Mnths'!$A:$A,'Variance16-17'!$A182,'Budget 12 Mnths'!$P:$P)</f>
        <v>5000</v>
      </c>
      <c r="S182" s="26">
        <f>+SUMIF('2015-16 12 Mnths'!$A:$A,'Variance16-17'!$A182,'2015-16 12 Mnths'!$O:$O)</f>
        <v>0</v>
      </c>
      <c r="T182" s="57">
        <f t="shared" si="2"/>
        <v>-0.5</v>
      </c>
      <c r="U182" s="57">
        <f t="shared" si="3"/>
        <v>0</v>
      </c>
      <c r="V182" s="8" t="s">
        <v>641</v>
      </c>
      <c r="W182" s="27">
        <v>0.0</v>
      </c>
      <c r="X182" s="27">
        <v>5000.0</v>
      </c>
      <c r="Z182" s="57">
        <f t="shared" si="74"/>
        <v>2500</v>
      </c>
      <c r="AA182" s="27">
        <v>2500.0</v>
      </c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>
        <v>2500.0</v>
      </c>
      <c r="AM182" s="27">
        <f t="shared" si="7"/>
        <v>0</v>
      </c>
    </row>
    <row r="183" ht="15.75" customHeight="1">
      <c r="A183" s="15" t="s">
        <v>545</v>
      </c>
      <c r="B183" s="15" t="s">
        <v>161</v>
      </c>
      <c r="C183" s="15" t="s">
        <v>119</v>
      </c>
      <c r="D183" s="56">
        <f>SUMIF('2015-16 12 Mnths'!$A:$A,'Variance16-17'!$A183,'2015-16 12 Mnths'!C:C)-SUMIF('Budget 12 Mnths'!$A:$A,'Variance16-17'!$A183,'Budget 12 Mnths'!D:D)</f>
        <v>-166.67</v>
      </c>
      <c r="E183" s="56">
        <f>SUMIF('2015-16 12 Mnths'!$A:$A,'Variance16-17'!$A183,'2015-16 12 Mnths'!D:D)-SUMIF('Budget 12 Mnths'!$A:$A,'Variance16-17'!$A183,'Budget 12 Mnths'!E:E)</f>
        <v>-166.67</v>
      </c>
      <c r="F183" s="56">
        <f>SUMIF('2015-16 12 Mnths'!$A:$A,'Variance16-17'!$A183,'2015-16 12 Mnths'!E:E)-SUMIF('Budget 12 Mnths'!$A:$A,'Variance16-17'!$A183,'Budget 12 Mnths'!F:F)</f>
        <v>-166.67</v>
      </c>
      <c r="G183" s="56">
        <f>SUMIF('2015-16 12 Mnths'!$A:$A,'Variance16-17'!$A183,'2015-16 12 Mnths'!F:F)-SUMIF('Budget 12 Mnths'!$A:$A,'Variance16-17'!$A183,'Budget 12 Mnths'!G:G)</f>
        <v>-166.67</v>
      </c>
      <c r="H183" s="56">
        <f>SUMIF('2015-16 12 Mnths'!$A:$A,'Variance16-17'!$A183,'2015-16 12 Mnths'!G:G)-SUMIF('Budget 12 Mnths'!$A:$A,'Variance16-17'!$A183,'Budget 12 Mnths'!H:H)</f>
        <v>-166.67</v>
      </c>
      <c r="I183" s="56">
        <f>SUMIF('2015-16 12 Mnths'!$A:$A,'Variance16-17'!$A183,'2015-16 12 Mnths'!H:H)-SUMIF('Budget 12 Mnths'!$A:$A,'Variance16-17'!$A183,'Budget 12 Mnths'!I:I)</f>
        <v>-166.67</v>
      </c>
      <c r="J183" s="56">
        <f>SUMIF('2015-16 12 Mnths'!$A:$A,'Variance16-17'!$A183,'2015-16 12 Mnths'!I:I)-SUMIF('Budget 12 Mnths'!$A:$A,'Variance16-17'!$A183,'Budget 12 Mnths'!J:J)</f>
        <v>-135.17</v>
      </c>
      <c r="K183" s="56">
        <f>SUMIF('2015-16 12 Mnths'!$A:$A,'Variance16-17'!$A183,'2015-16 12 Mnths'!J:J)-SUMIF('Budget 12 Mnths'!$A:$A,'Variance16-17'!$A183,'Budget 12 Mnths'!K:K)</f>
        <v>-120.54</v>
      </c>
      <c r="L183" s="56">
        <f>SUMIF('2015-16 12 Mnths'!$A:$A,'Variance16-17'!$A183,'2015-16 12 Mnths'!K:K)-SUMIF('Budget 12 Mnths'!$A:$A,'Variance16-17'!$A183,'Budget 12 Mnths'!L:L)</f>
        <v>-187.44</v>
      </c>
      <c r="M183" s="56"/>
      <c r="N183" s="56"/>
      <c r="O183" s="56"/>
      <c r="P183" s="56">
        <f t="shared" si="1"/>
        <v>-1443.17</v>
      </c>
      <c r="Q183" s="14" t="str">
        <f>+VLOOKUP(A183,Mapping!$A$1:$E$443,5,FALSE)</f>
        <v>Computer Exp</v>
      </c>
      <c r="R183" s="26">
        <f>+SUMIF('Budget 12 Mnths'!$A:$A,'Variance16-17'!$A183,'Budget 12 Mnths'!$P:$P)</f>
        <v>2000.04</v>
      </c>
      <c r="S183" s="26">
        <f>+SUMIF('2015-16 12 Mnths'!$A:$A,'Variance16-17'!$A183,'2015-16 12 Mnths'!$O:$O)</f>
        <v>332.61</v>
      </c>
      <c r="T183" s="57">
        <f t="shared" si="2"/>
        <v>-0.7215705686</v>
      </c>
      <c r="U183" s="57">
        <f t="shared" si="3"/>
        <v>-4.338925468</v>
      </c>
      <c r="V183" s="8" t="s">
        <v>641</v>
      </c>
      <c r="W183" s="27">
        <v>2000.0</v>
      </c>
      <c r="X183" s="27">
        <f t="shared" ref="X183:X276" si="77">+W183</f>
        <v>2000</v>
      </c>
      <c r="Z183" s="57">
        <f t="shared" si="74"/>
        <v>1000</v>
      </c>
      <c r="AA183" s="57">
        <f t="shared" ref="AA183:AL183" si="76">+$X183/12</f>
        <v>166.6666667</v>
      </c>
      <c r="AB183" s="57">
        <f t="shared" si="76"/>
        <v>166.6666667</v>
      </c>
      <c r="AC183" s="57">
        <f t="shared" si="76"/>
        <v>166.6666667</v>
      </c>
      <c r="AD183" s="57">
        <f t="shared" si="76"/>
        <v>166.6666667</v>
      </c>
      <c r="AE183" s="57">
        <f t="shared" si="76"/>
        <v>166.6666667</v>
      </c>
      <c r="AF183" s="57">
        <f t="shared" si="76"/>
        <v>166.6666667</v>
      </c>
      <c r="AG183" s="57">
        <f t="shared" si="76"/>
        <v>166.6666667</v>
      </c>
      <c r="AH183" s="57">
        <f t="shared" si="76"/>
        <v>166.6666667</v>
      </c>
      <c r="AI183" s="57">
        <f t="shared" si="76"/>
        <v>166.6666667</v>
      </c>
      <c r="AJ183" s="57">
        <f t="shared" si="76"/>
        <v>166.6666667</v>
      </c>
      <c r="AK183" s="57">
        <f t="shared" si="76"/>
        <v>166.6666667</v>
      </c>
      <c r="AL183" s="57">
        <f t="shared" si="76"/>
        <v>166.6666667</v>
      </c>
      <c r="AM183" s="27">
        <f t="shared" si="7"/>
        <v>0</v>
      </c>
    </row>
    <row r="184" ht="15.75" customHeight="1">
      <c r="A184" s="15" t="s">
        <v>546</v>
      </c>
      <c r="B184" s="15" t="s">
        <v>161</v>
      </c>
      <c r="C184" s="15" t="s">
        <v>119</v>
      </c>
      <c r="D184" s="56">
        <f>SUMIF('2015-16 12 Mnths'!$A:$A,'Variance16-17'!$A184,'2015-16 12 Mnths'!C:C)-SUMIF('Budget 12 Mnths'!$A:$A,'Variance16-17'!$A184,'Budget 12 Mnths'!D:D)</f>
        <v>-41.67</v>
      </c>
      <c r="E184" s="56">
        <f>SUMIF('2015-16 12 Mnths'!$A:$A,'Variance16-17'!$A184,'2015-16 12 Mnths'!D:D)-SUMIF('Budget 12 Mnths'!$A:$A,'Variance16-17'!$A184,'Budget 12 Mnths'!E:E)</f>
        <v>-41.67</v>
      </c>
      <c r="F184" s="56">
        <f>SUMIF('2015-16 12 Mnths'!$A:$A,'Variance16-17'!$A184,'2015-16 12 Mnths'!E:E)-SUMIF('Budget 12 Mnths'!$A:$A,'Variance16-17'!$A184,'Budget 12 Mnths'!F:F)</f>
        <v>58.33</v>
      </c>
      <c r="G184" s="56">
        <f>SUMIF('2015-16 12 Mnths'!$A:$A,'Variance16-17'!$A184,'2015-16 12 Mnths'!F:F)-SUMIF('Budget 12 Mnths'!$A:$A,'Variance16-17'!$A184,'Budget 12 Mnths'!G:G)</f>
        <v>-41.67</v>
      </c>
      <c r="H184" s="56">
        <f>SUMIF('2015-16 12 Mnths'!$A:$A,'Variance16-17'!$A184,'2015-16 12 Mnths'!G:G)-SUMIF('Budget 12 Mnths'!$A:$A,'Variance16-17'!$A184,'Budget 12 Mnths'!H:H)</f>
        <v>-41.67</v>
      </c>
      <c r="I184" s="56">
        <f>SUMIF('2015-16 12 Mnths'!$A:$A,'Variance16-17'!$A184,'2015-16 12 Mnths'!H:H)-SUMIF('Budget 12 Mnths'!$A:$A,'Variance16-17'!$A184,'Budget 12 Mnths'!I:I)</f>
        <v>-41.67</v>
      </c>
      <c r="J184" s="56">
        <f>SUMIF('2015-16 12 Mnths'!$A:$A,'Variance16-17'!$A184,'2015-16 12 Mnths'!I:I)-SUMIF('Budget 12 Mnths'!$A:$A,'Variance16-17'!$A184,'Budget 12 Mnths'!J:J)</f>
        <v>-41.67</v>
      </c>
      <c r="K184" s="56">
        <f>SUMIF('2015-16 12 Mnths'!$A:$A,'Variance16-17'!$A184,'2015-16 12 Mnths'!J:J)-SUMIF('Budget 12 Mnths'!$A:$A,'Variance16-17'!$A184,'Budget 12 Mnths'!K:K)</f>
        <v>-41.67</v>
      </c>
      <c r="L184" s="56">
        <f>SUMIF('2015-16 12 Mnths'!$A:$A,'Variance16-17'!$A184,'2015-16 12 Mnths'!K:K)-SUMIF('Budget 12 Mnths'!$A:$A,'Variance16-17'!$A184,'Budget 12 Mnths'!L:L)</f>
        <v>-41.67</v>
      </c>
      <c r="M184" s="56"/>
      <c r="N184" s="56"/>
      <c r="O184" s="56"/>
      <c r="P184" s="56">
        <f t="shared" si="1"/>
        <v>-275.03</v>
      </c>
      <c r="Q184" s="14" t="str">
        <f>+VLOOKUP(A184,Mapping!$A$1:$E$443,5,FALSE)</f>
        <v>Computer Exp</v>
      </c>
      <c r="R184" s="26">
        <f>+SUMIF('Budget 12 Mnths'!$A:$A,'Variance16-17'!$A184,'Budget 12 Mnths'!$P:$P)</f>
        <v>500.04</v>
      </c>
      <c r="S184" s="26">
        <f>+SUMIF('2015-16 12 Mnths'!$A:$A,'Variance16-17'!$A184,'2015-16 12 Mnths'!$O:$O)</f>
        <v>100</v>
      </c>
      <c r="T184" s="57">
        <f t="shared" si="2"/>
        <v>-0.5500159987</v>
      </c>
      <c r="U184" s="57">
        <f t="shared" si="3"/>
        <v>-2.7503</v>
      </c>
      <c r="V184" s="8" t="s">
        <v>641</v>
      </c>
      <c r="W184" s="27">
        <v>500.0</v>
      </c>
      <c r="X184" s="27">
        <f t="shared" si="77"/>
        <v>500</v>
      </c>
      <c r="Z184" s="57">
        <f t="shared" si="74"/>
        <v>250</v>
      </c>
      <c r="AA184" s="57">
        <f t="shared" ref="AA184:AL184" si="78">+$X184/12</f>
        <v>41.66666667</v>
      </c>
      <c r="AB184" s="57">
        <f t="shared" si="78"/>
        <v>41.66666667</v>
      </c>
      <c r="AC184" s="57">
        <f t="shared" si="78"/>
        <v>41.66666667</v>
      </c>
      <c r="AD184" s="57">
        <f t="shared" si="78"/>
        <v>41.66666667</v>
      </c>
      <c r="AE184" s="57">
        <f t="shared" si="78"/>
        <v>41.66666667</v>
      </c>
      <c r="AF184" s="57">
        <f t="shared" si="78"/>
        <v>41.66666667</v>
      </c>
      <c r="AG184" s="57">
        <f t="shared" si="78"/>
        <v>41.66666667</v>
      </c>
      <c r="AH184" s="57">
        <f t="shared" si="78"/>
        <v>41.66666667</v>
      </c>
      <c r="AI184" s="57">
        <f t="shared" si="78"/>
        <v>41.66666667</v>
      </c>
      <c r="AJ184" s="57">
        <f t="shared" si="78"/>
        <v>41.66666667</v>
      </c>
      <c r="AK184" s="57">
        <f t="shared" si="78"/>
        <v>41.66666667</v>
      </c>
      <c r="AL184" s="57">
        <f t="shared" si="78"/>
        <v>41.66666667</v>
      </c>
      <c r="AM184" s="27">
        <f t="shared" si="7"/>
        <v>0</v>
      </c>
    </row>
    <row r="185" ht="15.75" customHeight="1">
      <c r="A185" s="15" t="s">
        <v>547</v>
      </c>
      <c r="B185" s="15" t="s">
        <v>161</v>
      </c>
      <c r="C185" s="15" t="s">
        <v>119</v>
      </c>
      <c r="D185" s="56">
        <f>SUMIF('2015-16 12 Mnths'!$A:$A,'Variance16-17'!$A185,'2015-16 12 Mnths'!C:C)-SUMIF('Budget 12 Mnths'!$A:$A,'Variance16-17'!$A185,'Budget 12 Mnths'!D:D)</f>
        <v>0</v>
      </c>
      <c r="E185" s="56">
        <f>SUMIF('2015-16 12 Mnths'!$A:$A,'Variance16-17'!$A185,'2015-16 12 Mnths'!D:D)-SUMIF('Budget 12 Mnths'!$A:$A,'Variance16-17'!$A185,'Budget 12 Mnths'!E:E)</f>
        <v>0</v>
      </c>
      <c r="F185" s="56">
        <f>SUMIF('2015-16 12 Mnths'!$A:$A,'Variance16-17'!$A185,'2015-16 12 Mnths'!E:E)-SUMIF('Budget 12 Mnths'!$A:$A,'Variance16-17'!$A185,'Budget 12 Mnths'!F:F)</f>
        <v>0</v>
      </c>
      <c r="G185" s="56">
        <f>SUMIF('2015-16 12 Mnths'!$A:$A,'Variance16-17'!$A185,'2015-16 12 Mnths'!F:F)-SUMIF('Budget 12 Mnths'!$A:$A,'Variance16-17'!$A185,'Budget 12 Mnths'!G:G)</f>
        <v>0</v>
      </c>
      <c r="H185" s="56">
        <f>SUMIF('2015-16 12 Mnths'!$A:$A,'Variance16-17'!$A185,'2015-16 12 Mnths'!G:G)-SUMIF('Budget 12 Mnths'!$A:$A,'Variance16-17'!$A185,'Budget 12 Mnths'!H:H)</f>
        <v>0</v>
      </c>
      <c r="I185" s="56">
        <f>SUMIF('2015-16 12 Mnths'!$A:$A,'Variance16-17'!$A185,'2015-16 12 Mnths'!H:H)-SUMIF('Budget 12 Mnths'!$A:$A,'Variance16-17'!$A185,'Budget 12 Mnths'!I:I)</f>
        <v>0</v>
      </c>
      <c r="J185" s="56">
        <f>SUMIF('2015-16 12 Mnths'!$A:$A,'Variance16-17'!$A185,'2015-16 12 Mnths'!I:I)-SUMIF('Budget 12 Mnths'!$A:$A,'Variance16-17'!$A185,'Budget 12 Mnths'!J:J)</f>
        <v>0</v>
      </c>
      <c r="K185" s="56">
        <f>SUMIF('2015-16 12 Mnths'!$A:$A,'Variance16-17'!$A185,'2015-16 12 Mnths'!J:J)-SUMIF('Budget 12 Mnths'!$A:$A,'Variance16-17'!$A185,'Budget 12 Mnths'!K:K)</f>
        <v>0</v>
      </c>
      <c r="L185" s="56">
        <f>SUMIF('2015-16 12 Mnths'!$A:$A,'Variance16-17'!$A185,'2015-16 12 Mnths'!K:K)-SUMIF('Budget 12 Mnths'!$A:$A,'Variance16-17'!$A185,'Budget 12 Mnths'!L:L)</f>
        <v>0</v>
      </c>
      <c r="M185" s="56"/>
      <c r="N185" s="56"/>
      <c r="O185" s="56"/>
      <c r="P185" s="56">
        <f t="shared" si="1"/>
        <v>0</v>
      </c>
      <c r="Q185" s="14" t="str">
        <f>+VLOOKUP(A185,Mapping!$A$1:$E$443,5,FALSE)</f>
        <v>Computer Exp</v>
      </c>
      <c r="R185" s="26">
        <f>+SUMIF('Budget 12 Mnths'!$A:$A,'Variance16-17'!$A185,'Budget 12 Mnths'!$P:$P)</f>
        <v>0</v>
      </c>
      <c r="S185" s="26">
        <f>+SUMIF('2015-16 12 Mnths'!$A:$A,'Variance16-17'!$A185,'2015-16 12 Mnths'!$O:$O)</f>
        <v>0</v>
      </c>
      <c r="T185" s="57">
        <f t="shared" si="2"/>
        <v>0</v>
      </c>
      <c r="U185" s="57">
        <f t="shared" si="3"/>
        <v>0</v>
      </c>
      <c r="W185" s="27"/>
      <c r="X185" s="27" t="str">
        <f t="shared" si="77"/>
        <v/>
      </c>
      <c r="Z185" s="57">
        <f t="shared" si="74"/>
        <v>0</v>
      </c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>
        <f t="shared" si="7"/>
        <v>0</v>
      </c>
    </row>
    <row r="186" ht="15.75" customHeight="1">
      <c r="A186" s="15" t="s">
        <v>548</v>
      </c>
      <c r="B186" s="15" t="s">
        <v>549</v>
      </c>
      <c r="C186" s="15" t="s">
        <v>119</v>
      </c>
      <c r="D186" s="56">
        <f>SUMIF('2015-16 12 Mnths'!$A:$A,'Variance16-17'!$A186,'2015-16 12 Mnths'!C:C)-SUMIF('Budget 12 Mnths'!$A:$A,'Variance16-17'!$A186,'Budget 12 Mnths'!D:D)</f>
        <v>-250</v>
      </c>
      <c r="E186" s="56">
        <f>SUMIF('2015-16 12 Mnths'!$A:$A,'Variance16-17'!$A186,'2015-16 12 Mnths'!D:D)-SUMIF('Budget 12 Mnths'!$A:$A,'Variance16-17'!$A186,'Budget 12 Mnths'!E:E)</f>
        <v>-250</v>
      </c>
      <c r="F186" s="56">
        <f>SUMIF('2015-16 12 Mnths'!$A:$A,'Variance16-17'!$A186,'2015-16 12 Mnths'!E:E)-SUMIF('Budget 12 Mnths'!$A:$A,'Variance16-17'!$A186,'Budget 12 Mnths'!F:F)</f>
        <v>-250</v>
      </c>
      <c r="G186" s="56">
        <f>SUMIF('2015-16 12 Mnths'!$A:$A,'Variance16-17'!$A186,'2015-16 12 Mnths'!F:F)-SUMIF('Budget 12 Mnths'!$A:$A,'Variance16-17'!$A186,'Budget 12 Mnths'!G:G)</f>
        <v>0</v>
      </c>
      <c r="H186" s="56">
        <f>SUMIF('2015-16 12 Mnths'!$A:$A,'Variance16-17'!$A186,'2015-16 12 Mnths'!G:G)-SUMIF('Budget 12 Mnths'!$A:$A,'Variance16-17'!$A186,'Budget 12 Mnths'!H:H)</f>
        <v>0</v>
      </c>
      <c r="I186" s="56">
        <f>SUMIF('2015-16 12 Mnths'!$A:$A,'Variance16-17'!$A186,'2015-16 12 Mnths'!H:H)-SUMIF('Budget 12 Mnths'!$A:$A,'Variance16-17'!$A186,'Budget 12 Mnths'!I:I)</f>
        <v>39.5</v>
      </c>
      <c r="J186" s="56">
        <f>SUMIF('2015-16 12 Mnths'!$A:$A,'Variance16-17'!$A186,'2015-16 12 Mnths'!I:I)-SUMIF('Budget 12 Mnths'!$A:$A,'Variance16-17'!$A186,'Budget 12 Mnths'!J:J)</f>
        <v>999.5</v>
      </c>
      <c r="K186" s="56">
        <f>SUMIF('2015-16 12 Mnths'!$A:$A,'Variance16-17'!$A186,'2015-16 12 Mnths'!J:J)-SUMIF('Budget 12 Mnths'!$A:$A,'Variance16-17'!$A186,'Budget 12 Mnths'!K:K)</f>
        <v>39.5</v>
      </c>
      <c r="L186" s="56">
        <f>SUMIF('2015-16 12 Mnths'!$A:$A,'Variance16-17'!$A186,'2015-16 12 Mnths'!K:K)-SUMIF('Budget 12 Mnths'!$A:$A,'Variance16-17'!$A186,'Budget 12 Mnths'!L:L)</f>
        <v>0</v>
      </c>
      <c r="M186" s="56"/>
      <c r="N186" s="56"/>
      <c r="O186" s="56"/>
      <c r="P186" s="56">
        <f t="shared" si="1"/>
        <v>328.5</v>
      </c>
      <c r="Q186" s="14" t="str">
        <f>+VLOOKUP(A186,Mapping!$A$1:$E$443,5,FALSE)</f>
        <v>Test Exp</v>
      </c>
      <c r="R186" s="26">
        <f>+SUMIF('Budget 12 Mnths'!$A:$A,'Variance16-17'!$A186,'Budget 12 Mnths'!$P:$P)</f>
        <v>1200</v>
      </c>
      <c r="S186" s="26">
        <f>+SUMIF('2015-16 12 Mnths'!$A:$A,'Variance16-17'!$A186,'2015-16 12 Mnths'!$O:$O)</f>
        <v>1078.5</v>
      </c>
      <c r="T186" s="57">
        <f t="shared" si="2"/>
        <v>0.27375</v>
      </c>
      <c r="U186" s="57">
        <f t="shared" si="3"/>
        <v>0.3045897079</v>
      </c>
      <c r="V186" s="8" t="s">
        <v>641</v>
      </c>
      <c r="W186" s="27">
        <v>1200.0</v>
      </c>
      <c r="X186" s="27">
        <f t="shared" si="77"/>
        <v>1200</v>
      </c>
      <c r="Z186" s="57">
        <v>0.0</v>
      </c>
      <c r="AA186" s="27"/>
      <c r="AB186" s="27"/>
      <c r="AC186" s="27"/>
      <c r="AD186" s="27"/>
      <c r="AE186" s="27"/>
      <c r="AF186" s="27"/>
      <c r="AG186" s="27">
        <v>250.0</v>
      </c>
      <c r="AH186" s="27">
        <v>250.0</v>
      </c>
      <c r="AI186" s="27">
        <v>250.0</v>
      </c>
      <c r="AJ186" s="27">
        <v>450.0</v>
      </c>
      <c r="AK186" s="27"/>
      <c r="AL186" s="27"/>
      <c r="AM186" s="27">
        <f t="shared" si="7"/>
        <v>0</v>
      </c>
    </row>
    <row r="187" ht="15.75" customHeight="1">
      <c r="A187" s="15" t="s">
        <v>550</v>
      </c>
      <c r="B187" s="15" t="s">
        <v>551</v>
      </c>
      <c r="C187" s="15" t="s">
        <v>119</v>
      </c>
      <c r="D187" s="56">
        <f>SUMIF('2015-16 12 Mnths'!$A:$A,'Variance16-17'!$A187,'2015-16 12 Mnths'!C:C)-SUMIF('Budget 12 Mnths'!$A:$A,'Variance16-17'!$A187,'Budget 12 Mnths'!D:D)</f>
        <v>29</v>
      </c>
      <c r="E187" s="56">
        <f>SUMIF('2015-16 12 Mnths'!$A:$A,'Variance16-17'!$A187,'2015-16 12 Mnths'!D:D)-SUMIF('Budget 12 Mnths'!$A:$A,'Variance16-17'!$A187,'Budget 12 Mnths'!E:E)</f>
        <v>-851</v>
      </c>
      <c r="F187" s="56">
        <f>SUMIF('2015-16 12 Mnths'!$A:$A,'Variance16-17'!$A187,'2015-16 12 Mnths'!E:E)-SUMIF('Budget 12 Mnths'!$A:$A,'Variance16-17'!$A187,'Budget 12 Mnths'!F:F)</f>
        <v>-611.05</v>
      </c>
      <c r="G187" s="56">
        <f>SUMIF('2015-16 12 Mnths'!$A:$A,'Variance16-17'!$A187,'2015-16 12 Mnths'!F:F)-SUMIF('Budget 12 Mnths'!$A:$A,'Variance16-17'!$A187,'Budget 12 Mnths'!G:G)</f>
        <v>-392.67</v>
      </c>
      <c r="H187" s="56">
        <f>SUMIF('2015-16 12 Mnths'!$A:$A,'Variance16-17'!$A187,'2015-16 12 Mnths'!G:G)-SUMIF('Budget 12 Mnths'!$A:$A,'Variance16-17'!$A187,'Budget 12 Mnths'!H:H)</f>
        <v>-22.67</v>
      </c>
      <c r="I187" s="56">
        <f>SUMIF('2015-16 12 Mnths'!$A:$A,'Variance16-17'!$A187,'2015-16 12 Mnths'!H:H)-SUMIF('Budget 12 Mnths'!$A:$A,'Variance16-17'!$A187,'Budget 12 Mnths'!I:I)</f>
        <v>-392.67</v>
      </c>
      <c r="J187" s="56">
        <f>SUMIF('2015-16 12 Mnths'!$A:$A,'Variance16-17'!$A187,'2015-16 12 Mnths'!I:I)-SUMIF('Budget 12 Mnths'!$A:$A,'Variance16-17'!$A187,'Budget 12 Mnths'!J:J)</f>
        <v>-392.67</v>
      </c>
      <c r="K187" s="56">
        <f>SUMIF('2015-16 12 Mnths'!$A:$A,'Variance16-17'!$A187,'2015-16 12 Mnths'!J:J)-SUMIF('Budget 12 Mnths'!$A:$A,'Variance16-17'!$A187,'Budget 12 Mnths'!K:K)</f>
        <v>-392.67</v>
      </c>
      <c r="L187" s="56">
        <f>SUMIF('2015-16 12 Mnths'!$A:$A,'Variance16-17'!$A187,'2015-16 12 Mnths'!K:K)-SUMIF('Budget 12 Mnths'!$A:$A,'Variance16-17'!$A187,'Budget 12 Mnths'!L:L)</f>
        <v>-356.68</v>
      </c>
      <c r="M187" s="56"/>
      <c r="N187" s="56"/>
      <c r="O187" s="56"/>
      <c r="P187" s="56">
        <f t="shared" si="1"/>
        <v>-3383.08</v>
      </c>
      <c r="Q187" s="14" t="str">
        <f>+VLOOKUP(A187,Mapping!$A$1:$E$443,5,FALSE)</f>
        <v>Marketing</v>
      </c>
      <c r="R187" s="26">
        <f>+SUMIF('Budget 12 Mnths'!$A:$A,'Variance16-17'!$A187,'Budget 12 Mnths'!$P:$P)</f>
        <v>10000.02</v>
      </c>
      <c r="S187" s="26">
        <f>+SUMIF('2015-16 12 Mnths'!$A:$A,'Variance16-17'!$A187,'2015-16 12 Mnths'!$O:$O)</f>
        <v>2866.94</v>
      </c>
      <c r="T187" s="57">
        <f t="shared" si="2"/>
        <v>-0.3383073234</v>
      </c>
      <c r="U187" s="57">
        <f t="shared" si="3"/>
        <v>-1.180031671</v>
      </c>
      <c r="V187" s="8" t="s">
        <v>641</v>
      </c>
      <c r="W187" s="27">
        <v>5500.0</v>
      </c>
      <c r="X187" s="27">
        <f t="shared" si="77"/>
        <v>5500</v>
      </c>
      <c r="Z187" s="57">
        <f t="shared" ref="Z187:Z201" si="80">+X187/2</f>
        <v>2750</v>
      </c>
      <c r="AA187" s="57">
        <f t="shared" ref="AA187:AL187" si="79">+$X187/12</f>
        <v>458.3333333</v>
      </c>
      <c r="AB187" s="57">
        <f t="shared" si="79"/>
        <v>458.3333333</v>
      </c>
      <c r="AC187" s="57">
        <f t="shared" si="79"/>
        <v>458.3333333</v>
      </c>
      <c r="AD187" s="57">
        <f t="shared" si="79"/>
        <v>458.3333333</v>
      </c>
      <c r="AE187" s="57">
        <f t="shared" si="79"/>
        <v>458.3333333</v>
      </c>
      <c r="AF187" s="57">
        <f t="shared" si="79"/>
        <v>458.3333333</v>
      </c>
      <c r="AG187" s="57">
        <f t="shared" si="79"/>
        <v>458.3333333</v>
      </c>
      <c r="AH187" s="57">
        <f t="shared" si="79"/>
        <v>458.3333333</v>
      </c>
      <c r="AI187" s="57">
        <f t="shared" si="79"/>
        <v>458.3333333</v>
      </c>
      <c r="AJ187" s="57">
        <f t="shared" si="79"/>
        <v>458.3333333</v>
      </c>
      <c r="AK187" s="57">
        <f t="shared" si="79"/>
        <v>458.3333333</v>
      </c>
      <c r="AL187" s="57">
        <f t="shared" si="79"/>
        <v>458.3333333</v>
      </c>
      <c r="AM187" s="27">
        <f t="shared" si="7"/>
        <v>0</v>
      </c>
    </row>
    <row r="188" ht="15.75" customHeight="1">
      <c r="A188" s="15" t="s">
        <v>552</v>
      </c>
      <c r="B188" s="15" t="s">
        <v>551</v>
      </c>
      <c r="C188" s="15" t="s">
        <v>119</v>
      </c>
      <c r="D188" s="56">
        <f>SUMIF('2015-16 12 Mnths'!$A:$A,'Variance16-17'!$A188,'2015-16 12 Mnths'!C:C)-SUMIF('Budget 12 Mnths'!$A:$A,'Variance16-17'!$A188,'Budget 12 Mnths'!D:D)</f>
        <v>0</v>
      </c>
      <c r="E188" s="56">
        <f>SUMIF('2015-16 12 Mnths'!$A:$A,'Variance16-17'!$A188,'2015-16 12 Mnths'!D:D)-SUMIF('Budget 12 Mnths'!$A:$A,'Variance16-17'!$A188,'Budget 12 Mnths'!E:E)</f>
        <v>0</v>
      </c>
      <c r="F188" s="56">
        <f>SUMIF('2015-16 12 Mnths'!$A:$A,'Variance16-17'!$A188,'2015-16 12 Mnths'!E:E)-SUMIF('Budget 12 Mnths'!$A:$A,'Variance16-17'!$A188,'Budget 12 Mnths'!F:F)</f>
        <v>0</v>
      </c>
      <c r="G188" s="56">
        <f>SUMIF('2015-16 12 Mnths'!$A:$A,'Variance16-17'!$A188,'2015-16 12 Mnths'!F:F)-SUMIF('Budget 12 Mnths'!$A:$A,'Variance16-17'!$A188,'Budget 12 Mnths'!G:G)</f>
        <v>0</v>
      </c>
      <c r="H188" s="56">
        <f>SUMIF('2015-16 12 Mnths'!$A:$A,'Variance16-17'!$A188,'2015-16 12 Mnths'!G:G)-SUMIF('Budget 12 Mnths'!$A:$A,'Variance16-17'!$A188,'Budget 12 Mnths'!H:H)</f>
        <v>0</v>
      </c>
      <c r="I188" s="56">
        <f>SUMIF('2015-16 12 Mnths'!$A:$A,'Variance16-17'!$A188,'2015-16 12 Mnths'!H:H)-SUMIF('Budget 12 Mnths'!$A:$A,'Variance16-17'!$A188,'Budget 12 Mnths'!I:I)</f>
        <v>0</v>
      </c>
      <c r="J188" s="56">
        <f>SUMIF('2015-16 12 Mnths'!$A:$A,'Variance16-17'!$A188,'2015-16 12 Mnths'!I:I)-SUMIF('Budget 12 Mnths'!$A:$A,'Variance16-17'!$A188,'Budget 12 Mnths'!J:J)</f>
        <v>59.99</v>
      </c>
      <c r="K188" s="56">
        <f>SUMIF('2015-16 12 Mnths'!$A:$A,'Variance16-17'!$A188,'2015-16 12 Mnths'!J:J)-SUMIF('Budget 12 Mnths'!$A:$A,'Variance16-17'!$A188,'Budget 12 Mnths'!K:K)</f>
        <v>0</v>
      </c>
      <c r="L188" s="56">
        <f>SUMIF('2015-16 12 Mnths'!$A:$A,'Variance16-17'!$A188,'2015-16 12 Mnths'!K:K)-SUMIF('Budget 12 Mnths'!$A:$A,'Variance16-17'!$A188,'Budget 12 Mnths'!L:L)</f>
        <v>0</v>
      </c>
      <c r="M188" s="56"/>
      <c r="N188" s="56"/>
      <c r="O188" s="56"/>
      <c r="P188" s="56">
        <f t="shared" si="1"/>
        <v>59.99</v>
      </c>
      <c r="Q188" s="14" t="str">
        <f>+VLOOKUP(A188,Mapping!$A$1:$E$443,5,FALSE)</f>
        <v>Marketing</v>
      </c>
      <c r="R188" s="26">
        <f>+SUMIF('Budget 12 Mnths'!$A:$A,'Variance16-17'!$A188,'Budget 12 Mnths'!$P:$P)</f>
        <v>0</v>
      </c>
      <c r="S188" s="26">
        <f>+SUMIF('2015-16 12 Mnths'!$A:$A,'Variance16-17'!$A188,'2015-16 12 Mnths'!$O:$O)</f>
        <v>59.99</v>
      </c>
      <c r="T188" s="57">
        <f t="shared" si="2"/>
        <v>0</v>
      </c>
      <c r="U188" s="57">
        <f t="shared" si="3"/>
        <v>1</v>
      </c>
      <c r="W188" s="27"/>
      <c r="X188" s="27" t="str">
        <f t="shared" si="77"/>
        <v/>
      </c>
      <c r="Z188" s="57">
        <f t="shared" si="80"/>
        <v>0</v>
      </c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>
        <f t="shared" si="7"/>
        <v>0</v>
      </c>
    </row>
    <row r="189" ht="15.75" customHeight="1">
      <c r="A189" s="15" t="s">
        <v>553</v>
      </c>
      <c r="B189" s="15" t="s">
        <v>551</v>
      </c>
      <c r="C189" s="15" t="s">
        <v>119</v>
      </c>
      <c r="D189" s="56">
        <f>SUMIF('2015-16 12 Mnths'!$A:$A,'Variance16-17'!$A189,'2015-16 12 Mnths'!C:C)-SUMIF('Budget 12 Mnths'!$A:$A,'Variance16-17'!$A189,'Budget 12 Mnths'!D:D)</f>
        <v>0</v>
      </c>
      <c r="E189" s="56">
        <f>SUMIF('2015-16 12 Mnths'!$A:$A,'Variance16-17'!$A189,'2015-16 12 Mnths'!D:D)-SUMIF('Budget 12 Mnths'!$A:$A,'Variance16-17'!$A189,'Budget 12 Mnths'!E:E)</f>
        <v>0</v>
      </c>
      <c r="F189" s="56">
        <f>SUMIF('2015-16 12 Mnths'!$A:$A,'Variance16-17'!$A189,'2015-16 12 Mnths'!E:E)-SUMIF('Budget 12 Mnths'!$A:$A,'Variance16-17'!$A189,'Budget 12 Mnths'!F:F)</f>
        <v>0</v>
      </c>
      <c r="G189" s="56">
        <f>SUMIF('2015-16 12 Mnths'!$A:$A,'Variance16-17'!$A189,'2015-16 12 Mnths'!F:F)-SUMIF('Budget 12 Mnths'!$A:$A,'Variance16-17'!$A189,'Budget 12 Mnths'!G:G)</f>
        <v>0</v>
      </c>
      <c r="H189" s="56">
        <f>SUMIF('2015-16 12 Mnths'!$A:$A,'Variance16-17'!$A189,'2015-16 12 Mnths'!G:G)-SUMIF('Budget 12 Mnths'!$A:$A,'Variance16-17'!$A189,'Budget 12 Mnths'!H:H)</f>
        <v>0</v>
      </c>
      <c r="I189" s="56">
        <f>SUMIF('2015-16 12 Mnths'!$A:$A,'Variance16-17'!$A189,'2015-16 12 Mnths'!H:H)-SUMIF('Budget 12 Mnths'!$A:$A,'Variance16-17'!$A189,'Budget 12 Mnths'!I:I)</f>
        <v>0</v>
      </c>
      <c r="J189" s="56">
        <f>SUMIF('2015-16 12 Mnths'!$A:$A,'Variance16-17'!$A189,'2015-16 12 Mnths'!I:I)-SUMIF('Budget 12 Mnths'!$A:$A,'Variance16-17'!$A189,'Budget 12 Mnths'!J:J)</f>
        <v>0</v>
      </c>
      <c r="K189" s="56">
        <f>SUMIF('2015-16 12 Mnths'!$A:$A,'Variance16-17'!$A189,'2015-16 12 Mnths'!J:J)-SUMIF('Budget 12 Mnths'!$A:$A,'Variance16-17'!$A189,'Budget 12 Mnths'!K:K)</f>
        <v>0</v>
      </c>
      <c r="L189" s="56">
        <f>SUMIF('2015-16 12 Mnths'!$A:$A,'Variance16-17'!$A189,'2015-16 12 Mnths'!K:K)-SUMIF('Budget 12 Mnths'!$A:$A,'Variance16-17'!$A189,'Budget 12 Mnths'!L:L)</f>
        <v>900</v>
      </c>
      <c r="M189" s="56"/>
      <c r="N189" s="56"/>
      <c r="O189" s="56"/>
      <c r="P189" s="56">
        <f t="shared" si="1"/>
        <v>900</v>
      </c>
      <c r="Q189" s="14" t="str">
        <f>+VLOOKUP(A189,Mapping!$A$1:$E$443,5,FALSE)</f>
        <v>Marketing</v>
      </c>
      <c r="R189" s="26">
        <f>+SUMIF('Budget 12 Mnths'!$A:$A,'Variance16-17'!$A189,'Budget 12 Mnths'!$P:$P)</f>
        <v>0</v>
      </c>
      <c r="S189" s="26">
        <f>+SUMIF('2015-16 12 Mnths'!$A:$A,'Variance16-17'!$A189,'2015-16 12 Mnths'!$O:$O)</f>
        <v>900</v>
      </c>
      <c r="T189" s="57">
        <f t="shared" si="2"/>
        <v>0</v>
      </c>
      <c r="U189" s="57">
        <f t="shared" si="3"/>
        <v>1</v>
      </c>
      <c r="W189" s="27">
        <v>5400.0</v>
      </c>
      <c r="X189" s="27">
        <f t="shared" si="77"/>
        <v>5400</v>
      </c>
      <c r="Z189" s="57">
        <f t="shared" si="80"/>
        <v>2700</v>
      </c>
      <c r="AA189" s="57">
        <f t="shared" ref="AA189:AL189" si="81">+$X189/12</f>
        <v>450</v>
      </c>
      <c r="AB189" s="57">
        <f t="shared" si="81"/>
        <v>450</v>
      </c>
      <c r="AC189" s="57">
        <f t="shared" si="81"/>
        <v>450</v>
      </c>
      <c r="AD189" s="57">
        <f t="shared" si="81"/>
        <v>450</v>
      </c>
      <c r="AE189" s="57">
        <f t="shared" si="81"/>
        <v>450</v>
      </c>
      <c r="AF189" s="57">
        <f t="shared" si="81"/>
        <v>450</v>
      </c>
      <c r="AG189" s="57">
        <f t="shared" si="81"/>
        <v>450</v>
      </c>
      <c r="AH189" s="57">
        <f t="shared" si="81"/>
        <v>450</v>
      </c>
      <c r="AI189" s="57">
        <f t="shared" si="81"/>
        <v>450</v>
      </c>
      <c r="AJ189" s="57">
        <f t="shared" si="81"/>
        <v>450</v>
      </c>
      <c r="AK189" s="57">
        <f t="shared" si="81"/>
        <v>450</v>
      </c>
      <c r="AL189" s="57">
        <f t="shared" si="81"/>
        <v>450</v>
      </c>
      <c r="AM189" s="27">
        <f t="shared" si="7"/>
        <v>0</v>
      </c>
    </row>
    <row r="190" ht="15.75" customHeight="1">
      <c r="A190" s="15" t="s">
        <v>554</v>
      </c>
      <c r="B190" s="15" t="s">
        <v>555</v>
      </c>
      <c r="C190" s="15" t="s">
        <v>119</v>
      </c>
      <c r="D190" s="56">
        <f>SUMIF('2015-16 12 Mnths'!$A:$A,'Variance16-17'!$A190,'2015-16 12 Mnths'!C:C)-SUMIF('Budget 12 Mnths'!$A:$A,'Variance16-17'!$A190,'Budget 12 Mnths'!D:D)</f>
        <v>0</v>
      </c>
      <c r="E190" s="56">
        <f>SUMIF('2015-16 12 Mnths'!$A:$A,'Variance16-17'!$A190,'2015-16 12 Mnths'!D:D)-SUMIF('Budget 12 Mnths'!$A:$A,'Variance16-17'!$A190,'Budget 12 Mnths'!E:E)</f>
        <v>0</v>
      </c>
      <c r="F190" s="56">
        <f>SUMIF('2015-16 12 Mnths'!$A:$A,'Variance16-17'!$A190,'2015-16 12 Mnths'!E:E)-SUMIF('Budget 12 Mnths'!$A:$A,'Variance16-17'!$A190,'Budget 12 Mnths'!F:F)</f>
        <v>90</v>
      </c>
      <c r="G190" s="56">
        <f>SUMIF('2015-16 12 Mnths'!$A:$A,'Variance16-17'!$A190,'2015-16 12 Mnths'!F:F)-SUMIF('Budget 12 Mnths'!$A:$A,'Variance16-17'!$A190,'Budget 12 Mnths'!G:G)</f>
        <v>0</v>
      </c>
      <c r="H190" s="56">
        <f>SUMIF('2015-16 12 Mnths'!$A:$A,'Variance16-17'!$A190,'2015-16 12 Mnths'!G:G)-SUMIF('Budget 12 Mnths'!$A:$A,'Variance16-17'!$A190,'Budget 12 Mnths'!H:H)</f>
        <v>0</v>
      </c>
      <c r="I190" s="56">
        <f>SUMIF('2015-16 12 Mnths'!$A:$A,'Variance16-17'!$A190,'2015-16 12 Mnths'!H:H)-SUMIF('Budget 12 Mnths'!$A:$A,'Variance16-17'!$A190,'Budget 12 Mnths'!I:I)</f>
        <v>0</v>
      </c>
      <c r="J190" s="56">
        <f>SUMIF('2015-16 12 Mnths'!$A:$A,'Variance16-17'!$A190,'2015-16 12 Mnths'!I:I)-SUMIF('Budget 12 Mnths'!$A:$A,'Variance16-17'!$A190,'Budget 12 Mnths'!J:J)</f>
        <v>0</v>
      </c>
      <c r="K190" s="56">
        <f>SUMIF('2015-16 12 Mnths'!$A:$A,'Variance16-17'!$A190,'2015-16 12 Mnths'!J:J)-SUMIF('Budget 12 Mnths'!$A:$A,'Variance16-17'!$A190,'Budget 12 Mnths'!K:K)</f>
        <v>0</v>
      </c>
      <c r="L190" s="56">
        <f>SUMIF('2015-16 12 Mnths'!$A:$A,'Variance16-17'!$A190,'2015-16 12 Mnths'!K:K)-SUMIF('Budget 12 Mnths'!$A:$A,'Variance16-17'!$A190,'Budget 12 Mnths'!L:L)</f>
        <v>0</v>
      </c>
      <c r="M190" s="56"/>
      <c r="N190" s="56"/>
      <c r="O190" s="56"/>
      <c r="P190" s="56">
        <f t="shared" si="1"/>
        <v>90</v>
      </c>
      <c r="Q190" s="14" t="str">
        <f>+VLOOKUP(A190,Mapping!$A$1:$E$443,5,FALSE)</f>
        <v>Marketing</v>
      </c>
      <c r="R190" s="26">
        <f>+SUMIF('Budget 12 Mnths'!$A:$A,'Variance16-17'!$A190,'Budget 12 Mnths'!$P:$P)</f>
        <v>0</v>
      </c>
      <c r="S190" s="26">
        <f>+SUMIF('2015-16 12 Mnths'!$A:$A,'Variance16-17'!$A190,'2015-16 12 Mnths'!$O:$O)</f>
        <v>90</v>
      </c>
      <c r="T190" s="57">
        <f t="shared" si="2"/>
        <v>0</v>
      </c>
      <c r="U190" s="57">
        <f t="shared" si="3"/>
        <v>1</v>
      </c>
      <c r="W190" s="27"/>
      <c r="X190" s="27" t="str">
        <f t="shared" si="77"/>
        <v/>
      </c>
      <c r="Z190" s="57">
        <f t="shared" si="80"/>
        <v>0</v>
      </c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>
        <f t="shared" si="7"/>
        <v>0</v>
      </c>
    </row>
    <row r="191" ht="15.75" customHeight="1">
      <c r="A191" s="15" t="s">
        <v>556</v>
      </c>
      <c r="B191" s="15" t="s">
        <v>557</v>
      </c>
      <c r="C191" s="15" t="s">
        <v>119</v>
      </c>
      <c r="D191" s="56">
        <f>SUMIF('2015-16 12 Mnths'!$A:$A,'Variance16-17'!$A191,'2015-16 12 Mnths'!C:C)-SUMIF('Budget 12 Mnths'!$A:$A,'Variance16-17'!$A191,'Budget 12 Mnths'!D:D)</f>
        <v>1500</v>
      </c>
      <c r="E191" s="56">
        <f>SUMIF('2015-16 12 Mnths'!$A:$A,'Variance16-17'!$A191,'2015-16 12 Mnths'!D:D)-SUMIF('Budget 12 Mnths'!$A:$A,'Variance16-17'!$A191,'Budget 12 Mnths'!E:E)</f>
        <v>0</v>
      </c>
      <c r="F191" s="56">
        <f>SUMIF('2015-16 12 Mnths'!$A:$A,'Variance16-17'!$A191,'2015-16 12 Mnths'!E:E)-SUMIF('Budget 12 Mnths'!$A:$A,'Variance16-17'!$A191,'Budget 12 Mnths'!F:F)</f>
        <v>0</v>
      </c>
      <c r="G191" s="56">
        <f>SUMIF('2015-16 12 Mnths'!$A:$A,'Variance16-17'!$A191,'2015-16 12 Mnths'!F:F)-SUMIF('Budget 12 Mnths'!$A:$A,'Variance16-17'!$A191,'Budget 12 Mnths'!G:G)</f>
        <v>0</v>
      </c>
      <c r="H191" s="56">
        <f>SUMIF('2015-16 12 Mnths'!$A:$A,'Variance16-17'!$A191,'2015-16 12 Mnths'!G:G)-SUMIF('Budget 12 Mnths'!$A:$A,'Variance16-17'!$A191,'Budget 12 Mnths'!H:H)</f>
        <v>0</v>
      </c>
      <c r="I191" s="56">
        <f>SUMIF('2015-16 12 Mnths'!$A:$A,'Variance16-17'!$A191,'2015-16 12 Mnths'!H:H)-SUMIF('Budget 12 Mnths'!$A:$A,'Variance16-17'!$A191,'Budget 12 Mnths'!I:I)</f>
        <v>0</v>
      </c>
      <c r="J191" s="56">
        <f>SUMIF('2015-16 12 Mnths'!$A:$A,'Variance16-17'!$A191,'2015-16 12 Mnths'!I:I)-SUMIF('Budget 12 Mnths'!$A:$A,'Variance16-17'!$A191,'Budget 12 Mnths'!J:J)</f>
        <v>0</v>
      </c>
      <c r="K191" s="56">
        <f>SUMIF('2015-16 12 Mnths'!$A:$A,'Variance16-17'!$A191,'2015-16 12 Mnths'!J:J)-SUMIF('Budget 12 Mnths'!$A:$A,'Variance16-17'!$A191,'Budget 12 Mnths'!K:K)</f>
        <v>0</v>
      </c>
      <c r="L191" s="56">
        <f>SUMIF('2015-16 12 Mnths'!$A:$A,'Variance16-17'!$A191,'2015-16 12 Mnths'!K:K)-SUMIF('Budget 12 Mnths'!$A:$A,'Variance16-17'!$A191,'Budget 12 Mnths'!L:L)</f>
        <v>0</v>
      </c>
      <c r="M191" s="56"/>
      <c r="N191" s="56"/>
      <c r="O191" s="56"/>
      <c r="P191" s="56">
        <f t="shared" si="1"/>
        <v>1500</v>
      </c>
      <c r="Q191" s="14" t="str">
        <f>+VLOOKUP(A191,Mapping!$A$1:$E$443,5,FALSE)</f>
        <v>Marketing</v>
      </c>
      <c r="R191" s="26">
        <f>+SUMIF('Budget 12 Mnths'!$A:$A,'Variance16-17'!$A191,'Budget 12 Mnths'!$P:$P)</f>
        <v>0</v>
      </c>
      <c r="S191" s="26">
        <f>+SUMIF('2015-16 12 Mnths'!$A:$A,'Variance16-17'!$A191,'2015-16 12 Mnths'!$O:$O)</f>
        <v>1500</v>
      </c>
      <c r="T191" s="57">
        <f t="shared" si="2"/>
        <v>0</v>
      </c>
      <c r="U191" s="57">
        <f t="shared" si="3"/>
        <v>1</v>
      </c>
      <c r="W191" s="27"/>
      <c r="X191" s="27" t="str">
        <f t="shared" si="77"/>
        <v/>
      </c>
      <c r="Z191" s="57">
        <f t="shared" si="80"/>
        <v>0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>
        <f t="shared" si="7"/>
        <v>0</v>
      </c>
    </row>
    <row r="192" ht="15.75" customHeight="1">
      <c r="A192" s="15" t="s">
        <v>558</v>
      </c>
      <c r="B192" s="15" t="s">
        <v>559</v>
      </c>
      <c r="C192" s="15" t="s">
        <v>119</v>
      </c>
      <c r="D192" s="56">
        <f>SUMIF('2015-16 12 Mnths'!$A:$A,'Variance16-17'!$A192,'2015-16 12 Mnths'!C:C)-SUMIF('Budget 12 Mnths'!$A:$A,'Variance16-17'!$A192,'Budget 12 Mnths'!D:D)</f>
        <v>0</v>
      </c>
      <c r="E192" s="56">
        <f>SUMIF('2015-16 12 Mnths'!$A:$A,'Variance16-17'!$A192,'2015-16 12 Mnths'!D:D)-SUMIF('Budget 12 Mnths'!$A:$A,'Variance16-17'!$A192,'Budget 12 Mnths'!E:E)</f>
        <v>0</v>
      </c>
      <c r="F192" s="56">
        <f>SUMIF('2015-16 12 Mnths'!$A:$A,'Variance16-17'!$A192,'2015-16 12 Mnths'!E:E)-SUMIF('Budget 12 Mnths'!$A:$A,'Variance16-17'!$A192,'Budget 12 Mnths'!F:F)</f>
        <v>0</v>
      </c>
      <c r="G192" s="56">
        <f>SUMIF('2015-16 12 Mnths'!$A:$A,'Variance16-17'!$A192,'2015-16 12 Mnths'!F:F)-SUMIF('Budget 12 Mnths'!$A:$A,'Variance16-17'!$A192,'Budget 12 Mnths'!G:G)</f>
        <v>0</v>
      </c>
      <c r="H192" s="56">
        <f>SUMIF('2015-16 12 Mnths'!$A:$A,'Variance16-17'!$A192,'2015-16 12 Mnths'!G:G)-SUMIF('Budget 12 Mnths'!$A:$A,'Variance16-17'!$A192,'Budget 12 Mnths'!H:H)</f>
        <v>1000</v>
      </c>
      <c r="I192" s="56">
        <f>SUMIF('2015-16 12 Mnths'!$A:$A,'Variance16-17'!$A192,'2015-16 12 Mnths'!H:H)-SUMIF('Budget 12 Mnths'!$A:$A,'Variance16-17'!$A192,'Budget 12 Mnths'!I:I)</f>
        <v>0</v>
      </c>
      <c r="J192" s="56">
        <f>SUMIF('2015-16 12 Mnths'!$A:$A,'Variance16-17'!$A192,'2015-16 12 Mnths'!I:I)-SUMIF('Budget 12 Mnths'!$A:$A,'Variance16-17'!$A192,'Budget 12 Mnths'!J:J)</f>
        <v>0</v>
      </c>
      <c r="K192" s="56">
        <f>SUMIF('2015-16 12 Mnths'!$A:$A,'Variance16-17'!$A192,'2015-16 12 Mnths'!J:J)-SUMIF('Budget 12 Mnths'!$A:$A,'Variance16-17'!$A192,'Budget 12 Mnths'!K:K)</f>
        <v>0</v>
      </c>
      <c r="L192" s="56">
        <f>SUMIF('2015-16 12 Mnths'!$A:$A,'Variance16-17'!$A192,'2015-16 12 Mnths'!K:K)-SUMIF('Budget 12 Mnths'!$A:$A,'Variance16-17'!$A192,'Budget 12 Mnths'!L:L)</f>
        <v>0</v>
      </c>
      <c r="M192" s="56"/>
      <c r="N192" s="56"/>
      <c r="O192" s="56"/>
      <c r="P192" s="56">
        <f t="shared" si="1"/>
        <v>1000</v>
      </c>
      <c r="Q192" s="14" t="str">
        <f>+VLOOKUP(A192,Mapping!$A$1:$E$443,5,FALSE)</f>
        <v>Marketing</v>
      </c>
      <c r="R192" s="26">
        <f>+SUMIF('Budget 12 Mnths'!$A:$A,'Variance16-17'!$A192,'Budget 12 Mnths'!$P:$P)</f>
        <v>0</v>
      </c>
      <c r="S192" s="26">
        <f>+SUMIF('2015-16 12 Mnths'!$A:$A,'Variance16-17'!$A192,'2015-16 12 Mnths'!$O:$O)</f>
        <v>1000</v>
      </c>
      <c r="T192" s="57">
        <f t="shared" si="2"/>
        <v>0</v>
      </c>
      <c r="U192" s="57">
        <f t="shared" si="3"/>
        <v>1</v>
      </c>
      <c r="W192" s="27"/>
      <c r="X192" s="27" t="str">
        <f t="shared" si="77"/>
        <v/>
      </c>
      <c r="Z192" s="57">
        <f t="shared" si="80"/>
        <v>0</v>
      </c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>
        <f t="shared" si="7"/>
        <v>0</v>
      </c>
    </row>
    <row r="193" ht="15.75" customHeight="1">
      <c r="A193" s="15" t="s">
        <v>560</v>
      </c>
      <c r="B193" s="15" t="s">
        <v>559</v>
      </c>
      <c r="C193" s="15" t="s">
        <v>119</v>
      </c>
      <c r="D193" s="56">
        <f>SUMIF('2015-16 12 Mnths'!$A:$A,'Variance16-17'!$A193,'2015-16 12 Mnths'!C:C)-SUMIF('Budget 12 Mnths'!$A:$A,'Variance16-17'!$A193,'Budget 12 Mnths'!D:D)</f>
        <v>0</v>
      </c>
      <c r="E193" s="56">
        <f>SUMIF('2015-16 12 Mnths'!$A:$A,'Variance16-17'!$A193,'2015-16 12 Mnths'!D:D)-SUMIF('Budget 12 Mnths'!$A:$A,'Variance16-17'!$A193,'Budget 12 Mnths'!E:E)</f>
        <v>0</v>
      </c>
      <c r="F193" s="56">
        <f>SUMIF('2015-16 12 Mnths'!$A:$A,'Variance16-17'!$A193,'2015-16 12 Mnths'!E:E)-SUMIF('Budget 12 Mnths'!$A:$A,'Variance16-17'!$A193,'Budget 12 Mnths'!F:F)</f>
        <v>0</v>
      </c>
      <c r="G193" s="56">
        <f>SUMIF('2015-16 12 Mnths'!$A:$A,'Variance16-17'!$A193,'2015-16 12 Mnths'!F:F)-SUMIF('Budget 12 Mnths'!$A:$A,'Variance16-17'!$A193,'Budget 12 Mnths'!G:G)</f>
        <v>0</v>
      </c>
      <c r="H193" s="56">
        <f>SUMIF('2015-16 12 Mnths'!$A:$A,'Variance16-17'!$A193,'2015-16 12 Mnths'!G:G)-SUMIF('Budget 12 Mnths'!$A:$A,'Variance16-17'!$A193,'Budget 12 Mnths'!H:H)</f>
        <v>0</v>
      </c>
      <c r="I193" s="56">
        <f>SUMIF('2015-16 12 Mnths'!$A:$A,'Variance16-17'!$A193,'2015-16 12 Mnths'!H:H)-SUMIF('Budget 12 Mnths'!$A:$A,'Variance16-17'!$A193,'Budget 12 Mnths'!I:I)</f>
        <v>0</v>
      </c>
      <c r="J193" s="56">
        <f>SUMIF('2015-16 12 Mnths'!$A:$A,'Variance16-17'!$A193,'2015-16 12 Mnths'!I:I)-SUMIF('Budget 12 Mnths'!$A:$A,'Variance16-17'!$A193,'Budget 12 Mnths'!J:J)</f>
        <v>0</v>
      </c>
      <c r="K193" s="56">
        <f>SUMIF('2015-16 12 Mnths'!$A:$A,'Variance16-17'!$A193,'2015-16 12 Mnths'!J:J)-SUMIF('Budget 12 Mnths'!$A:$A,'Variance16-17'!$A193,'Budget 12 Mnths'!K:K)</f>
        <v>0</v>
      </c>
      <c r="L193" s="56">
        <f>SUMIF('2015-16 12 Mnths'!$A:$A,'Variance16-17'!$A193,'2015-16 12 Mnths'!K:K)-SUMIF('Budget 12 Mnths'!$A:$A,'Variance16-17'!$A193,'Budget 12 Mnths'!L:L)</f>
        <v>0</v>
      </c>
      <c r="M193" s="56"/>
      <c r="N193" s="56"/>
      <c r="O193" s="56"/>
      <c r="P193" s="56">
        <f t="shared" si="1"/>
        <v>0</v>
      </c>
      <c r="Q193" s="14" t="str">
        <f>+VLOOKUP(A193,Mapping!$A$1:$E$443,5,FALSE)</f>
        <v>Marketing</v>
      </c>
      <c r="R193" s="26">
        <f>+SUMIF('Budget 12 Mnths'!$A:$A,'Variance16-17'!$A193,'Budget 12 Mnths'!$P:$P)</f>
        <v>0</v>
      </c>
      <c r="S193" s="26">
        <f>+SUMIF('2015-16 12 Mnths'!$A:$A,'Variance16-17'!$A193,'2015-16 12 Mnths'!$O:$O)</f>
        <v>0</v>
      </c>
      <c r="T193" s="57">
        <f t="shared" si="2"/>
        <v>0</v>
      </c>
      <c r="U193" s="57">
        <f t="shared" si="3"/>
        <v>0</v>
      </c>
      <c r="W193" s="27"/>
      <c r="X193" s="27" t="str">
        <f t="shared" si="77"/>
        <v/>
      </c>
      <c r="Z193" s="57">
        <f t="shared" si="80"/>
        <v>0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>
        <f t="shared" si="7"/>
        <v>0</v>
      </c>
    </row>
    <row r="194" ht="15.75" customHeight="1">
      <c r="A194" s="15" t="s">
        <v>561</v>
      </c>
      <c r="B194" s="15" t="s">
        <v>562</v>
      </c>
      <c r="C194" s="15" t="s">
        <v>119</v>
      </c>
      <c r="D194" s="56">
        <f>SUMIF('2015-16 12 Mnths'!$A:$A,'Variance16-17'!$A194,'2015-16 12 Mnths'!C:C)-SUMIF('Budget 12 Mnths'!$A:$A,'Variance16-17'!$A194,'Budget 12 Mnths'!D:D)</f>
        <v>0</v>
      </c>
      <c r="E194" s="56">
        <f>SUMIF('2015-16 12 Mnths'!$A:$A,'Variance16-17'!$A194,'2015-16 12 Mnths'!D:D)-SUMIF('Budget 12 Mnths'!$A:$A,'Variance16-17'!$A194,'Budget 12 Mnths'!E:E)</f>
        <v>51.26</v>
      </c>
      <c r="F194" s="56">
        <f>SUMIF('2015-16 12 Mnths'!$A:$A,'Variance16-17'!$A194,'2015-16 12 Mnths'!E:E)-SUMIF('Budget 12 Mnths'!$A:$A,'Variance16-17'!$A194,'Budget 12 Mnths'!F:F)</f>
        <v>740</v>
      </c>
      <c r="G194" s="56">
        <f>SUMIF('2015-16 12 Mnths'!$A:$A,'Variance16-17'!$A194,'2015-16 12 Mnths'!F:F)-SUMIF('Budget 12 Mnths'!$A:$A,'Variance16-17'!$A194,'Budget 12 Mnths'!G:G)</f>
        <v>165</v>
      </c>
      <c r="H194" s="56">
        <f>SUMIF('2015-16 12 Mnths'!$A:$A,'Variance16-17'!$A194,'2015-16 12 Mnths'!G:G)-SUMIF('Budget 12 Mnths'!$A:$A,'Variance16-17'!$A194,'Budget 12 Mnths'!H:H)</f>
        <v>92.19</v>
      </c>
      <c r="I194" s="56">
        <f>SUMIF('2015-16 12 Mnths'!$A:$A,'Variance16-17'!$A194,'2015-16 12 Mnths'!H:H)-SUMIF('Budget 12 Mnths'!$A:$A,'Variance16-17'!$A194,'Budget 12 Mnths'!I:I)</f>
        <v>399</v>
      </c>
      <c r="J194" s="56">
        <f>SUMIF('2015-16 12 Mnths'!$A:$A,'Variance16-17'!$A194,'2015-16 12 Mnths'!I:I)-SUMIF('Budget 12 Mnths'!$A:$A,'Variance16-17'!$A194,'Budget 12 Mnths'!J:J)</f>
        <v>0</v>
      </c>
      <c r="K194" s="56">
        <f>SUMIF('2015-16 12 Mnths'!$A:$A,'Variance16-17'!$A194,'2015-16 12 Mnths'!J:J)-SUMIF('Budget 12 Mnths'!$A:$A,'Variance16-17'!$A194,'Budget 12 Mnths'!K:K)</f>
        <v>0</v>
      </c>
      <c r="L194" s="56">
        <f>SUMIF('2015-16 12 Mnths'!$A:$A,'Variance16-17'!$A194,'2015-16 12 Mnths'!K:K)-SUMIF('Budget 12 Mnths'!$A:$A,'Variance16-17'!$A194,'Budget 12 Mnths'!L:L)</f>
        <v>187.11</v>
      </c>
      <c r="M194" s="56"/>
      <c r="N194" s="56"/>
      <c r="O194" s="56"/>
      <c r="P194" s="56">
        <f t="shared" si="1"/>
        <v>1634.56</v>
      </c>
      <c r="Q194" s="14" t="str">
        <f>+VLOOKUP(A194,Mapping!$A$1:$E$443,5,FALSE)</f>
        <v>Marketing</v>
      </c>
      <c r="R194" s="26">
        <f>+SUMIF('Budget 12 Mnths'!$A:$A,'Variance16-17'!$A194,'Budget 12 Mnths'!$P:$P)</f>
        <v>0</v>
      </c>
      <c r="S194" s="26">
        <f>+SUMIF('2015-16 12 Mnths'!$A:$A,'Variance16-17'!$A194,'2015-16 12 Mnths'!$O:$O)</f>
        <v>1634.56</v>
      </c>
      <c r="T194" s="57">
        <f t="shared" si="2"/>
        <v>0</v>
      </c>
      <c r="U194" s="57">
        <f t="shared" si="3"/>
        <v>1</v>
      </c>
      <c r="W194" s="27"/>
      <c r="X194" s="27" t="str">
        <f t="shared" si="77"/>
        <v/>
      </c>
      <c r="Z194" s="57">
        <f t="shared" si="80"/>
        <v>0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>
        <f t="shared" si="7"/>
        <v>0</v>
      </c>
    </row>
    <row r="195" ht="15.75" customHeight="1">
      <c r="A195" s="15" t="s">
        <v>563</v>
      </c>
      <c r="B195" s="15" t="s">
        <v>564</v>
      </c>
      <c r="C195" s="15" t="s">
        <v>119</v>
      </c>
      <c r="D195" s="56">
        <f>SUMIF('2015-16 12 Mnths'!$A:$A,'Variance16-17'!$A195,'2015-16 12 Mnths'!C:C)-SUMIF('Budget 12 Mnths'!$A:$A,'Variance16-17'!$A195,'Budget 12 Mnths'!D:D)</f>
        <v>-55.11</v>
      </c>
      <c r="E195" s="56">
        <f>SUMIF('2015-16 12 Mnths'!$A:$A,'Variance16-17'!$A195,'2015-16 12 Mnths'!D:D)-SUMIF('Budget 12 Mnths'!$A:$A,'Variance16-17'!$A195,'Budget 12 Mnths'!E:E)</f>
        <v>-75</v>
      </c>
      <c r="F195" s="56">
        <f>SUMIF('2015-16 12 Mnths'!$A:$A,'Variance16-17'!$A195,'2015-16 12 Mnths'!E:E)-SUMIF('Budget 12 Mnths'!$A:$A,'Variance16-17'!$A195,'Budget 12 Mnths'!F:F)</f>
        <v>-27.17</v>
      </c>
      <c r="G195" s="56">
        <f>SUMIF('2015-16 12 Mnths'!$A:$A,'Variance16-17'!$A195,'2015-16 12 Mnths'!F:F)-SUMIF('Budget 12 Mnths'!$A:$A,'Variance16-17'!$A195,'Budget 12 Mnths'!G:G)</f>
        <v>-75</v>
      </c>
      <c r="H195" s="56">
        <f>SUMIF('2015-16 12 Mnths'!$A:$A,'Variance16-17'!$A195,'2015-16 12 Mnths'!G:G)-SUMIF('Budget 12 Mnths'!$A:$A,'Variance16-17'!$A195,'Budget 12 Mnths'!H:H)</f>
        <v>-75</v>
      </c>
      <c r="I195" s="56">
        <f>SUMIF('2015-16 12 Mnths'!$A:$A,'Variance16-17'!$A195,'2015-16 12 Mnths'!H:H)-SUMIF('Budget 12 Mnths'!$A:$A,'Variance16-17'!$A195,'Budget 12 Mnths'!I:I)</f>
        <v>-75</v>
      </c>
      <c r="J195" s="56">
        <f>SUMIF('2015-16 12 Mnths'!$A:$A,'Variance16-17'!$A195,'2015-16 12 Mnths'!I:I)-SUMIF('Budget 12 Mnths'!$A:$A,'Variance16-17'!$A195,'Budget 12 Mnths'!J:J)</f>
        <v>-75</v>
      </c>
      <c r="K195" s="56">
        <f>SUMIF('2015-16 12 Mnths'!$A:$A,'Variance16-17'!$A195,'2015-16 12 Mnths'!J:J)-SUMIF('Budget 12 Mnths'!$A:$A,'Variance16-17'!$A195,'Budget 12 Mnths'!K:K)</f>
        <v>-75</v>
      </c>
      <c r="L195" s="56">
        <f>SUMIF('2015-16 12 Mnths'!$A:$A,'Variance16-17'!$A195,'2015-16 12 Mnths'!K:K)-SUMIF('Budget 12 Mnths'!$A:$A,'Variance16-17'!$A195,'Budget 12 Mnths'!L:L)</f>
        <v>-75</v>
      </c>
      <c r="M195" s="56"/>
      <c r="N195" s="56"/>
      <c r="O195" s="56"/>
      <c r="P195" s="56">
        <f t="shared" si="1"/>
        <v>-607.28</v>
      </c>
      <c r="Q195" s="14" t="str">
        <f>+VLOOKUP(A195,Mapping!$A$1:$E$443,5,FALSE)</f>
        <v>Marketing</v>
      </c>
      <c r="R195" s="26">
        <f>+SUMIF('Budget 12 Mnths'!$A:$A,'Variance16-17'!$A195,'Budget 12 Mnths'!$P:$P)</f>
        <v>900</v>
      </c>
      <c r="S195" s="26">
        <f>+SUMIF('2015-16 12 Mnths'!$A:$A,'Variance16-17'!$A195,'2015-16 12 Mnths'!$O:$O)</f>
        <v>67.72</v>
      </c>
      <c r="T195" s="57">
        <f t="shared" si="2"/>
        <v>-0.6747555556</v>
      </c>
      <c r="U195" s="57">
        <f t="shared" si="3"/>
        <v>-8.96751329</v>
      </c>
      <c r="V195" s="8" t="s">
        <v>641</v>
      </c>
      <c r="W195" s="27">
        <v>0.0</v>
      </c>
      <c r="X195" s="27">
        <f t="shared" si="77"/>
        <v>0</v>
      </c>
      <c r="Z195" s="57">
        <f t="shared" si="80"/>
        <v>0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>
        <f t="shared" si="7"/>
        <v>0</v>
      </c>
    </row>
    <row r="196" ht="15.75" customHeight="1">
      <c r="A196" s="15" t="s">
        <v>565</v>
      </c>
      <c r="B196" s="15" t="s">
        <v>566</v>
      </c>
      <c r="C196" s="15" t="s">
        <v>119</v>
      </c>
      <c r="D196" s="56">
        <f>SUMIF('2015-16 12 Mnths'!$A:$A,'Variance16-17'!$A196,'2015-16 12 Mnths'!C:C)-SUMIF('Budget 12 Mnths'!$A:$A,'Variance16-17'!$A196,'Budget 12 Mnths'!D:D)</f>
        <v>0</v>
      </c>
      <c r="E196" s="56">
        <f>SUMIF('2015-16 12 Mnths'!$A:$A,'Variance16-17'!$A196,'2015-16 12 Mnths'!D:D)-SUMIF('Budget 12 Mnths'!$A:$A,'Variance16-17'!$A196,'Budget 12 Mnths'!E:E)</f>
        <v>33.37</v>
      </c>
      <c r="F196" s="56">
        <f>SUMIF('2015-16 12 Mnths'!$A:$A,'Variance16-17'!$A196,'2015-16 12 Mnths'!E:E)-SUMIF('Budget 12 Mnths'!$A:$A,'Variance16-17'!$A196,'Budget 12 Mnths'!F:F)</f>
        <v>0</v>
      </c>
      <c r="G196" s="56">
        <f>SUMIF('2015-16 12 Mnths'!$A:$A,'Variance16-17'!$A196,'2015-16 12 Mnths'!F:F)-SUMIF('Budget 12 Mnths'!$A:$A,'Variance16-17'!$A196,'Budget 12 Mnths'!G:G)</f>
        <v>0</v>
      </c>
      <c r="H196" s="56">
        <f>SUMIF('2015-16 12 Mnths'!$A:$A,'Variance16-17'!$A196,'2015-16 12 Mnths'!G:G)-SUMIF('Budget 12 Mnths'!$A:$A,'Variance16-17'!$A196,'Budget 12 Mnths'!H:H)</f>
        <v>0</v>
      </c>
      <c r="I196" s="56">
        <f>SUMIF('2015-16 12 Mnths'!$A:$A,'Variance16-17'!$A196,'2015-16 12 Mnths'!H:H)-SUMIF('Budget 12 Mnths'!$A:$A,'Variance16-17'!$A196,'Budget 12 Mnths'!I:I)</f>
        <v>0</v>
      </c>
      <c r="J196" s="56">
        <f>SUMIF('2015-16 12 Mnths'!$A:$A,'Variance16-17'!$A196,'2015-16 12 Mnths'!I:I)-SUMIF('Budget 12 Mnths'!$A:$A,'Variance16-17'!$A196,'Budget 12 Mnths'!J:J)</f>
        <v>0</v>
      </c>
      <c r="K196" s="56">
        <f>SUMIF('2015-16 12 Mnths'!$A:$A,'Variance16-17'!$A196,'2015-16 12 Mnths'!J:J)-SUMIF('Budget 12 Mnths'!$A:$A,'Variance16-17'!$A196,'Budget 12 Mnths'!K:K)</f>
        <v>0</v>
      </c>
      <c r="L196" s="56">
        <f>SUMIF('2015-16 12 Mnths'!$A:$A,'Variance16-17'!$A196,'2015-16 12 Mnths'!K:K)-SUMIF('Budget 12 Mnths'!$A:$A,'Variance16-17'!$A196,'Budget 12 Mnths'!L:L)</f>
        <v>0</v>
      </c>
      <c r="M196" s="56"/>
      <c r="N196" s="56"/>
      <c r="O196" s="56"/>
      <c r="P196" s="56">
        <f t="shared" si="1"/>
        <v>33.37</v>
      </c>
      <c r="Q196" s="14" t="str">
        <f>+VLOOKUP(A196,Mapping!$A$1:$E$443,5,FALSE)</f>
        <v>Marketing</v>
      </c>
      <c r="R196" s="26">
        <f>+SUMIF('Budget 12 Mnths'!$A:$A,'Variance16-17'!$A196,'Budget 12 Mnths'!$P:$P)</f>
        <v>0</v>
      </c>
      <c r="S196" s="26">
        <f>+SUMIF('2015-16 12 Mnths'!$A:$A,'Variance16-17'!$A196,'2015-16 12 Mnths'!$O:$O)</f>
        <v>33.37</v>
      </c>
      <c r="T196" s="57">
        <f t="shared" si="2"/>
        <v>0</v>
      </c>
      <c r="U196" s="57">
        <f t="shared" si="3"/>
        <v>1</v>
      </c>
      <c r="W196" s="27"/>
      <c r="X196" s="27" t="str">
        <f t="shared" si="77"/>
        <v/>
      </c>
      <c r="Z196" s="57">
        <f t="shared" si="80"/>
        <v>0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>
        <f t="shared" si="7"/>
        <v>0</v>
      </c>
    </row>
    <row r="197" ht="15.75" customHeight="1">
      <c r="A197" s="15" t="s">
        <v>567</v>
      </c>
      <c r="B197" s="15" t="s">
        <v>566</v>
      </c>
      <c r="C197" s="15" t="s">
        <v>119</v>
      </c>
      <c r="D197" s="56">
        <f>SUMIF('2015-16 12 Mnths'!$A:$A,'Variance16-17'!$A197,'2015-16 12 Mnths'!C:C)-SUMIF('Budget 12 Mnths'!$A:$A,'Variance16-17'!$A197,'Budget 12 Mnths'!D:D)</f>
        <v>0</v>
      </c>
      <c r="E197" s="56">
        <f>SUMIF('2015-16 12 Mnths'!$A:$A,'Variance16-17'!$A197,'2015-16 12 Mnths'!D:D)-SUMIF('Budget 12 Mnths'!$A:$A,'Variance16-17'!$A197,'Budget 12 Mnths'!E:E)</f>
        <v>0</v>
      </c>
      <c r="F197" s="56">
        <f>SUMIF('2015-16 12 Mnths'!$A:$A,'Variance16-17'!$A197,'2015-16 12 Mnths'!E:E)-SUMIF('Budget 12 Mnths'!$A:$A,'Variance16-17'!$A197,'Budget 12 Mnths'!F:F)</f>
        <v>0</v>
      </c>
      <c r="G197" s="56">
        <f>SUMIF('2015-16 12 Mnths'!$A:$A,'Variance16-17'!$A197,'2015-16 12 Mnths'!F:F)-SUMIF('Budget 12 Mnths'!$A:$A,'Variance16-17'!$A197,'Budget 12 Mnths'!G:G)</f>
        <v>6.77</v>
      </c>
      <c r="H197" s="56">
        <f>SUMIF('2015-16 12 Mnths'!$A:$A,'Variance16-17'!$A197,'2015-16 12 Mnths'!G:G)-SUMIF('Budget 12 Mnths'!$A:$A,'Variance16-17'!$A197,'Budget 12 Mnths'!H:H)</f>
        <v>30.94</v>
      </c>
      <c r="I197" s="56">
        <f>SUMIF('2015-16 12 Mnths'!$A:$A,'Variance16-17'!$A197,'2015-16 12 Mnths'!H:H)-SUMIF('Budget 12 Mnths'!$A:$A,'Variance16-17'!$A197,'Budget 12 Mnths'!I:I)</f>
        <v>0</v>
      </c>
      <c r="J197" s="56">
        <f>SUMIF('2015-16 12 Mnths'!$A:$A,'Variance16-17'!$A197,'2015-16 12 Mnths'!I:I)-SUMIF('Budget 12 Mnths'!$A:$A,'Variance16-17'!$A197,'Budget 12 Mnths'!J:J)</f>
        <v>0</v>
      </c>
      <c r="K197" s="56">
        <f>SUMIF('2015-16 12 Mnths'!$A:$A,'Variance16-17'!$A197,'2015-16 12 Mnths'!J:J)-SUMIF('Budget 12 Mnths'!$A:$A,'Variance16-17'!$A197,'Budget 12 Mnths'!K:K)</f>
        <v>0</v>
      </c>
      <c r="L197" s="56">
        <f>SUMIF('2015-16 12 Mnths'!$A:$A,'Variance16-17'!$A197,'2015-16 12 Mnths'!K:K)-SUMIF('Budget 12 Mnths'!$A:$A,'Variance16-17'!$A197,'Budget 12 Mnths'!L:L)</f>
        <v>0</v>
      </c>
      <c r="M197" s="56"/>
      <c r="N197" s="56"/>
      <c r="O197" s="56"/>
      <c r="P197" s="56">
        <f t="shared" si="1"/>
        <v>37.71</v>
      </c>
      <c r="Q197" s="14" t="str">
        <f>+VLOOKUP(A197,Mapping!$A$1:$E$443,5,FALSE)</f>
        <v>Marketing</v>
      </c>
      <c r="R197" s="26">
        <f>+SUMIF('Budget 12 Mnths'!$A:$A,'Variance16-17'!$A197,'Budget 12 Mnths'!$P:$P)</f>
        <v>0</v>
      </c>
      <c r="S197" s="26">
        <f>+SUMIF('2015-16 12 Mnths'!$A:$A,'Variance16-17'!$A197,'2015-16 12 Mnths'!$O:$O)</f>
        <v>37.71</v>
      </c>
      <c r="T197" s="57">
        <f t="shared" si="2"/>
        <v>0</v>
      </c>
      <c r="U197" s="57">
        <f t="shared" si="3"/>
        <v>1</v>
      </c>
      <c r="W197" s="27"/>
      <c r="X197" s="27" t="str">
        <f t="shared" si="77"/>
        <v/>
      </c>
      <c r="Z197" s="57">
        <f t="shared" si="80"/>
        <v>0</v>
      </c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>
        <f t="shared" si="7"/>
        <v>0</v>
      </c>
    </row>
    <row r="198" ht="15.75" customHeight="1">
      <c r="A198" s="15" t="s">
        <v>568</v>
      </c>
      <c r="B198" s="15" t="s">
        <v>566</v>
      </c>
      <c r="C198" s="15" t="s">
        <v>119</v>
      </c>
      <c r="D198" s="56">
        <f>SUMIF('2015-16 12 Mnths'!$A:$A,'Variance16-17'!$A198,'2015-16 12 Mnths'!C:C)-SUMIF('Budget 12 Mnths'!$A:$A,'Variance16-17'!$A198,'Budget 12 Mnths'!D:D)</f>
        <v>0</v>
      </c>
      <c r="E198" s="56">
        <f>SUMIF('2015-16 12 Mnths'!$A:$A,'Variance16-17'!$A198,'2015-16 12 Mnths'!D:D)-SUMIF('Budget 12 Mnths'!$A:$A,'Variance16-17'!$A198,'Budget 12 Mnths'!E:E)</f>
        <v>0</v>
      </c>
      <c r="F198" s="56">
        <f>SUMIF('2015-16 12 Mnths'!$A:$A,'Variance16-17'!$A198,'2015-16 12 Mnths'!E:E)-SUMIF('Budget 12 Mnths'!$A:$A,'Variance16-17'!$A198,'Budget 12 Mnths'!F:F)</f>
        <v>0</v>
      </c>
      <c r="G198" s="56">
        <f>SUMIF('2015-16 12 Mnths'!$A:$A,'Variance16-17'!$A198,'2015-16 12 Mnths'!F:F)-SUMIF('Budget 12 Mnths'!$A:$A,'Variance16-17'!$A198,'Budget 12 Mnths'!G:G)</f>
        <v>0</v>
      </c>
      <c r="H198" s="56">
        <f>SUMIF('2015-16 12 Mnths'!$A:$A,'Variance16-17'!$A198,'2015-16 12 Mnths'!G:G)-SUMIF('Budget 12 Mnths'!$A:$A,'Variance16-17'!$A198,'Budget 12 Mnths'!H:H)</f>
        <v>0</v>
      </c>
      <c r="I198" s="56">
        <f>SUMIF('2015-16 12 Mnths'!$A:$A,'Variance16-17'!$A198,'2015-16 12 Mnths'!H:H)-SUMIF('Budget 12 Mnths'!$A:$A,'Variance16-17'!$A198,'Budget 12 Mnths'!I:I)</f>
        <v>0</v>
      </c>
      <c r="J198" s="56">
        <f>SUMIF('2015-16 12 Mnths'!$A:$A,'Variance16-17'!$A198,'2015-16 12 Mnths'!I:I)-SUMIF('Budget 12 Mnths'!$A:$A,'Variance16-17'!$A198,'Budget 12 Mnths'!J:J)</f>
        <v>0</v>
      </c>
      <c r="K198" s="56">
        <f>SUMIF('2015-16 12 Mnths'!$A:$A,'Variance16-17'!$A198,'2015-16 12 Mnths'!J:J)-SUMIF('Budget 12 Mnths'!$A:$A,'Variance16-17'!$A198,'Budget 12 Mnths'!K:K)</f>
        <v>0</v>
      </c>
      <c r="L198" s="56">
        <f>SUMIF('2015-16 12 Mnths'!$A:$A,'Variance16-17'!$A198,'2015-16 12 Mnths'!K:K)-SUMIF('Budget 12 Mnths'!$A:$A,'Variance16-17'!$A198,'Budget 12 Mnths'!L:L)</f>
        <v>0</v>
      </c>
      <c r="M198" s="56"/>
      <c r="N198" s="56"/>
      <c r="O198" s="56"/>
      <c r="P198" s="56">
        <f t="shared" si="1"/>
        <v>0</v>
      </c>
      <c r="Q198" s="14" t="str">
        <f>+VLOOKUP(A198,Mapping!$A$1:$E$443,5,FALSE)</f>
        <v>Marketing</v>
      </c>
      <c r="R198" s="26">
        <f>+SUMIF('Budget 12 Mnths'!$A:$A,'Variance16-17'!$A198,'Budget 12 Mnths'!$P:$P)</f>
        <v>0</v>
      </c>
      <c r="S198" s="26">
        <f>+SUMIF('2015-16 12 Mnths'!$A:$A,'Variance16-17'!$A198,'2015-16 12 Mnths'!$O:$O)</f>
        <v>0</v>
      </c>
      <c r="T198" s="57">
        <f t="shared" si="2"/>
        <v>0</v>
      </c>
      <c r="U198" s="57">
        <f t="shared" si="3"/>
        <v>0</v>
      </c>
      <c r="W198" s="27"/>
      <c r="X198" s="27" t="str">
        <f t="shared" si="77"/>
        <v/>
      </c>
      <c r="Z198" s="57">
        <f t="shared" si="80"/>
        <v>0</v>
      </c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>
        <f t="shared" si="7"/>
        <v>0</v>
      </c>
    </row>
    <row r="199" ht="15.75" customHeight="1">
      <c r="A199" s="15" t="s">
        <v>569</v>
      </c>
      <c r="B199" s="15" t="s">
        <v>570</v>
      </c>
      <c r="C199" s="15" t="s">
        <v>119</v>
      </c>
      <c r="D199" s="56">
        <f>SUMIF('2015-16 12 Mnths'!$A:$A,'Variance16-17'!$A199,'2015-16 12 Mnths'!C:C)-SUMIF('Budget 12 Mnths'!$A:$A,'Variance16-17'!$A199,'Budget 12 Mnths'!D:D)</f>
        <v>0</v>
      </c>
      <c r="E199" s="56">
        <f>SUMIF('2015-16 12 Mnths'!$A:$A,'Variance16-17'!$A199,'2015-16 12 Mnths'!D:D)-SUMIF('Budget 12 Mnths'!$A:$A,'Variance16-17'!$A199,'Budget 12 Mnths'!E:E)</f>
        <v>0</v>
      </c>
      <c r="F199" s="56">
        <f>SUMIF('2015-16 12 Mnths'!$A:$A,'Variance16-17'!$A199,'2015-16 12 Mnths'!E:E)-SUMIF('Budget 12 Mnths'!$A:$A,'Variance16-17'!$A199,'Budget 12 Mnths'!F:F)</f>
        <v>0</v>
      </c>
      <c r="G199" s="56">
        <f>SUMIF('2015-16 12 Mnths'!$A:$A,'Variance16-17'!$A199,'2015-16 12 Mnths'!F:F)-SUMIF('Budget 12 Mnths'!$A:$A,'Variance16-17'!$A199,'Budget 12 Mnths'!G:G)</f>
        <v>0</v>
      </c>
      <c r="H199" s="56">
        <f>SUMIF('2015-16 12 Mnths'!$A:$A,'Variance16-17'!$A199,'2015-16 12 Mnths'!G:G)-SUMIF('Budget 12 Mnths'!$A:$A,'Variance16-17'!$A199,'Budget 12 Mnths'!H:H)</f>
        <v>261.22</v>
      </c>
      <c r="I199" s="56">
        <f>SUMIF('2015-16 12 Mnths'!$A:$A,'Variance16-17'!$A199,'2015-16 12 Mnths'!H:H)-SUMIF('Budget 12 Mnths'!$A:$A,'Variance16-17'!$A199,'Budget 12 Mnths'!I:I)</f>
        <v>150.04</v>
      </c>
      <c r="J199" s="56">
        <f>SUMIF('2015-16 12 Mnths'!$A:$A,'Variance16-17'!$A199,'2015-16 12 Mnths'!I:I)-SUMIF('Budget 12 Mnths'!$A:$A,'Variance16-17'!$A199,'Budget 12 Mnths'!J:J)</f>
        <v>0</v>
      </c>
      <c r="K199" s="56">
        <f>SUMIF('2015-16 12 Mnths'!$A:$A,'Variance16-17'!$A199,'2015-16 12 Mnths'!J:J)-SUMIF('Budget 12 Mnths'!$A:$A,'Variance16-17'!$A199,'Budget 12 Mnths'!K:K)</f>
        <v>0</v>
      </c>
      <c r="L199" s="56">
        <f>SUMIF('2015-16 12 Mnths'!$A:$A,'Variance16-17'!$A199,'2015-16 12 Mnths'!K:K)-SUMIF('Budget 12 Mnths'!$A:$A,'Variance16-17'!$A199,'Budget 12 Mnths'!L:L)</f>
        <v>0</v>
      </c>
      <c r="M199" s="56"/>
      <c r="N199" s="56"/>
      <c r="O199" s="56"/>
      <c r="P199" s="56">
        <f t="shared" si="1"/>
        <v>411.26</v>
      </c>
      <c r="Q199" s="14" t="str">
        <f>+VLOOKUP(A199,Mapping!$A$1:$E$443,5,FALSE)</f>
        <v>Marketing</v>
      </c>
      <c r="R199" s="26">
        <f>+SUMIF('Budget 12 Mnths'!$A:$A,'Variance16-17'!$A199,'Budget 12 Mnths'!$P:$P)</f>
        <v>0</v>
      </c>
      <c r="S199" s="26">
        <f>+SUMIF('2015-16 12 Mnths'!$A:$A,'Variance16-17'!$A199,'2015-16 12 Mnths'!$O:$O)</f>
        <v>411.26</v>
      </c>
      <c r="T199" s="57">
        <f t="shared" si="2"/>
        <v>0</v>
      </c>
      <c r="U199" s="57">
        <f t="shared" si="3"/>
        <v>1</v>
      </c>
      <c r="W199" s="27"/>
      <c r="X199" s="27" t="str">
        <f t="shared" si="77"/>
        <v/>
      </c>
      <c r="Z199" s="57">
        <f t="shared" si="80"/>
        <v>0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>
        <f t="shared" si="7"/>
        <v>0</v>
      </c>
    </row>
    <row r="200" ht="15.75" customHeight="1">
      <c r="A200" s="15" t="s">
        <v>571</v>
      </c>
      <c r="B200" s="15" t="s">
        <v>570</v>
      </c>
      <c r="C200" s="15" t="s">
        <v>119</v>
      </c>
      <c r="D200" s="56">
        <f>SUMIF('2015-16 12 Mnths'!$A:$A,'Variance16-17'!$A200,'2015-16 12 Mnths'!C:C)-SUMIF('Budget 12 Mnths'!$A:$A,'Variance16-17'!$A200,'Budget 12 Mnths'!D:D)</f>
        <v>0</v>
      </c>
      <c r="E200" s="56">
        <f>SUMIF('2015-16 12 Mnths'!$A:$A,'Variance16-17'!$A200,'2015-16 12 Mnths'!D:D)-SUMIF('Budget 12 Mnths'!$A:$A,'Variance16-17'!$A200,'Budget 12 Mnths'!E:E)</f>
        <v>8.15</v>
      </c>
      <c r="F200" s="56">
        <f>SUMIF('2015-16 12 Mnths'!$A:$A,'Variance16-17'!$A200,'2015-16 12 Mnths'!E:E)-SUMIF('Budget 12 Mnths'!$A:$A,'Variance16-17'!$A200,'Budget 12 Mnths'!F:F)</f>
        <v>16</v>
      </c>
      <c r="G200" s="56">
        <f>SUMIF('2015-16 12 Mnths'!$A:$A,'Variance16-17'!$A200,'2015-16 12 Mnths'!F:F)-SUMIF('Budget 12 Mnths'!$A:$A,'Variance16-17'!$A200,'Budget 12 Mnths'!G:G)</f>
        <v>32</v>
      </c>
      <c r="H200" s="56">
        <f>SUMIF('2015-16 12 Mnths'!$A:$A,'Variance16-17'!$A200,'2015-16 12 Mnths'!G:G)-SUMIF('Budget 12 Mnths'!$A:$A,'Variance16-17'!$A200,'Budget 12 Mnths'!H:H)</f>
        <v>71.99</v>
      </c>
      <c r="I200" s="56">
        <f>SUMIF('2015-16 12 Mnths'!$A:$A,'Variance16-17'!$A200,'2015-16 12 Mnths'!H:H)-SUMIF('Budget 12 Mnths'!$A:$A,'Variance16-17'!$A200,'Budget 12 Mnths'!I:I)</f>
        <v>0</v>
      </c>
      <c r="J200" s="56">
        <f>SUMIF('2015-16 12 Mnths'!$A:$A,'Variance16-17'!$A200,'2015-16 12 Mnths'!I:I)-SUMIF('Budget 12 Mnths'!$A:$A,'Variance16-17'!$A200,'Budget 12 Mnths'!J:J)</f>
        <v>0</v>
      </c>
      <c r="K200" s="56">
        <f>SUMIF('2015-16 12 Mnths'!$A:$A,'Variance16-17'!$A200,'2015-16 12 Mnths'!J:J)-SUMIF('Budget 12 Mnths'!$A:$A,'Variance16-17'!$A200,'Budget 12 Mnths'!K:K)</f>
        <v>88.68</v>
      </c>
      <c r="L200" s="56">
        <f>SUMIF('2015-16 12 Mnths'!$A:$A,'Variance16-17'!$A200,'2015-16 12 Mnths'!K:K)-SUMIF('Budget 12 Mnths'!$A:$A,'Variance16-17'!$A200,'Budget 12 Mnths'!L:L)</f>
        <v>0</v>
      </c>
      <c r="M200" s="56"/>
      <c r="N200" s="56"/>
      <c r="O200" s="56"/>
      <c r="P200" s="56">
        <f t="shared" si="1"/>
        <v>216.82</v>
      </c>
      <c r="Q200" s="14" t="str">
        <f>+VLOOKUP(A200,Mapping!$A$1:$E$443,5,FALSE)</f>
        <v>Marketing</v>
      </c>
      <c r="R200" s="26">
        <f>+SUMIF('Budget 12 Mnths'!$A:$A,'Variance16-17'!$A200,'Budget 12 Mnths'!$P:$P)</f>
        <v>0</v>
      </c>
      <c r="S200" s="26">
        <f>+SUMIF('2015-16 12 Mnths'!$A:$A,'Variance16-17'!$A200,'2015-16 12 Mnths'!$O:$O)</f>
        <v>216.82</v>
      </c>
      <c r="T200" s="57">
        <f t="shared" si="2"/>
        <v>0</v>
      </c>
      <c r="U200" s="57">
        <f t="shared" si="3"/>
        <v>1</v>
      </c>
      <c r="W200" s="27"/>
      <c r="X200" s="27" t="str">
        <f t="shared" si="77"/>
        <v/>
      </c>
      <c r="Z200" s="57">
        <f t="shared" si="80"/>
        <v>0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>
        <f t="shared" si="7"/>
        <v>0</v>
      </c>
    </row>
    <row r="201" ht="15.75" customHeight="1">
      <c r="A201" s="15" t="s">
        <v>572</v>
      </c>
      <c r="B201" s="15" t="s">
        <v>570</v>
      </c>
      <c r="C201" s="15" t="s">
        <v>119</v>
      </c>
      <c r="D201" s="56">
        <f>SUMIF('2015-16 12 Mnths'!$A:$A,'Variance16-17'!$A201,'2015-16 12 Mnths'!C:C)-SUMIF('Budget 12 Mnths'!$A:$A,'Variance16-17'!$A201,'Budget 12 Mnths'!D:D)</f>
        <v>0</v>
      </c>
      <c r="E201" s="56">
        <f>SUMIF('2015-16 12 Mnths'!$A:$A,'Variance16-17'!$A201,'2015-16 12 Mnths'!D:D)-SUMIF('Budget 12 Mnths'!$A:$A,'Variance16-17'!$A201,'Budget 12 Mnths'!E:E)</f>
        <v>0</v>
      </c>
      <c r="F201" s="56">
        <f>SUMIF('2015-16 12 Mnths'!$A:$A,'Variance16-17'!$A201,'2015-16 12 Mnths'!E:E)-SUMIF('Budget 12 Mnths'!$A:$A,'Variance16-17'!$A201,'Budget 12 Mnths'!F:F)</f>
        <v>0</v>
      </c>
      <c r="G201" s="56">
        <f>SUMIF('2015-16 12 Mnths'!$A:$A,'Variance16-17'!$A201,'2015-16 12 Mnths'!F:F)-SUMIF('Budget 12 Mnths'!$A:$A,'Variance16-17'!$A201,'Budget 12 Mnths'!G:G)</f>
        <v>0</v>
      </c>
      <c r="H201" s="56">
        <f>SUMIF('2015-16 12 Mnths'!$A:$A,'Variance16-17'!$A201,'2015-16 12 Mnths'!G:G)-SUMIF('Budget 12 Mnths'!$A:$A,'Variance16-17'!$A201,'Budget 12 Mnths'!H:H)</f>
        <v>0</v>
      </c>
      <c r="I201" s="56">
        <f>SUMIF('2015-16 12 Mnths'!$A:$A,'Variance16-17'!$A201,'2015-16 12 Mnths'!H:H)-SUMIF('Budget 12 Mnths'!$A:$A,'Variance16-17'!$A201,'Budget 12 Mnths'!I:I)</f>
        <v>198.31</v>
      </c>
      <c r="J201" s="56">
        <f>SUMIF('2015-16 12 Mnths'!$A:$A,'Variance16-17'!$A201,'2015-16 12 Mnths'!I:I)-SUMIF('Budget 12 Mnths'!$A:$A,'Variance16-17'!$A201,'Budget 12 Mnths'!J:J)</f>
        <v>0</v>
      </c>
      <c r="K201" s="56">
        <f>SUMIF('2015-16 12 Mnths'!$A:$A,'Variance16-17'!$A201,'2015-16 12 Mnths'!J:J)-SUMIF('Budget 12 Mnths'!$A:$A,'Variance16-17'!$A201,'Budget 12 Mnths'!K:K)</f>
        <v>0</v>
      </c>
      <c r="L201" s="56">
        <f>SUMIF('2015-16 12 Mnths'!$A:$A,'Variance16-17'!$A201,'2015-16 12 Mnths'!K:K)-SUMIF('Budget 12 Mnths'!$A:$A,'Variance16-17'!$A201,'Budget 12 Mnths'!L:L)</f>
        <v>0</v>
      </c>
      <c r="M201" s="56"/>
      <c r="N201" s="56"/>
      <c r="O201" s="56"/>
      <c r="P201" s="56">
        <f t="shared" si="1"/>
        <v>198.31</v>
      </c>
      <c r="Q201" s="14" t="str">
        <f>+VLOOKUP(A201,Mapping!$A$1:$E$443,5,FALSE)</f>
        <v>Marketing</v>
      </c>
      <c r="R201" s="26">
        <f>+SUMIF('Budget 12 Mnths'!$A:$A,'Variance16-17'!$A201,'Budget 12 Mnths'!$P:$P)</f>
        <v>0</v>
      </c>
      <c r="S201" s="26">
        <f>+SUMIF('2015-16 12 Mnths'!$A:$A,'Variance16-17'!$A201,'2015-16 12 Mnths'!$O:$O)</f>
        <v>198.31</v>
      </c>
      <c r="T201" s="57">
        <f t="shared" si="2"/>
        <v>0</v>
      </c>
      <c r="U201" s="57">
        <f t="shared" si="3"/>
        <v>1</v>
      </c>
      <c r="W201" s="27"/>
      <c r="X201" s="27" t="str">
        <f t="shared" si="77"/>
        <v/>
      </c>
      <c r="Z201" s="57">
        <f t="shared" si="80"/>
        <v>0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>
        <f t="shared" si="7"/>
        <v>0</v>
      </c>
    </row>
    <row r="202" ht="15.75" customHeight="1">
      <c r="A202" s="15" t="s">
        <v>573</v>
      </c>
      <c r="B202" s="15" t="s">
        <v>574</v>
      </c>
      <c r="C202" s="15" t="s">
        <v>119</v>
      </c>
      <c r="D202" s="56">
        <f>SUMIF('2015-16 12 Mnths'!$A:$A,'Variance16-17'!$A202,'2015-16 12 Mnths'!C:C)-SUMIF('Budget 12 Mnths'!$A:$A,'Variance16-17'!$A202,'Budget 12 Mnths'!D:D)</f>
        <v>1286</v>
      </c>
      <c r="E202" s="56">
        <f>SUMIF('2015-16 12 Mnths'!$A:$A,'Variance16-17'!$A202,'2015-16 12 Mnths'!D:D)-SUMIF('Budget 12 Mnths'!$A:$A,'Variance16-17'!$A202,'Budget 12 Mnths'!E:E)</f>
        <v>414</v>
      </c>
      <c r="F202" s="56">
        <f>SUMIF('2015-16 12 Mnths'!$A:$A,'Variance16-17'!$A202,'2015-16 12 Mnths'!E:E)-SUMIF('Budget 12 Mnths'!$A:$A,'Variance16-17'!$A202,'Budget 12 Mnths'!F:F)</f>
        <v>-304</v>
      </c>
      <c r="G202" s="56">
        <f>SUMIF('2015-16 12 Mnths'!$A:$A,'Variance16-17'!$A202,'2015-16 12 Mnths'!F:F)-SUMIF('Budget 12 Mnths'!$A:$A,'Variance16-17'!$A202,'Budget 12 Mnths'!G:G)</f>
        <v>92</v>
      </c>
      <c r="H202" s="56">
        <f>SUMIF('2015-16 12 Mnths'!$A:$A,'Variance16-17'!$A202,'2015-16 12 Mnths'!G:G)-SUMIF('Budget 12 Mnths'!$A:$A,'Variance16-17'!$A202,'Budget 12 Mnths'!H:H)</f>
        <v>112</v>
      </c>
      <c r="I202" s="56">
        <f>SUMIF('2015-16 12 Mnths'!$A:$A,'Variance16-17'!$A202,'2015-16 12 Mnths'!H:H)-SUMIF('Budget 12 Mnths'!$A:$A,'Variance16-17'!$A202,'Budget 12 Mnths'!I:I)</f>
        <v>20</v>
      </c>
      <c r="J202" s="56">
        <f>SUMIF('2015-16 12 Mnths'!$A:$A,'Variance16-17'!$A202,'2015-16 12 Mnths'!I:I)-SUMIF('Budget 12 Mnths'!$A:$A,'Variance16-17'!$A202,'Budget 12 Mnths'!J:J)</f>
        <v>-368</v>
      </c>
      <c r="K202" s="56">
        <f>SUMIF('2015-16 12 Mnths'!$A:$A,'Variance16-17'!$A202,'2015-16 12 Mnths'!J:J)-SUMIF('Budget 12 Mnths'!$A:$A,'Variance16-17'!$A202,'Budget 12 Mnths'!K:K)</f>
        <v>-434</v>
      </c>
      <c r="L202" s="56">
        <f>SUMIF('2015-16 12 Mnths'!$A:$A,'Variance16-17'!$A202,'2015-16 12 Mnths'!K:K)-SUMIF('Budget 12 Mnths'!$A:$A,'Variance16-17'!$A202,'Budget 12 Mnths'!L:L)</f>
        <v>-454</v>
      </c>
      <c r="M202" s="56"/>
      <c r="N202" s="56"/>
      <c r="O202" s="56"/>
      <c r="P202" s="56">
        <f t="shared" si="1"/>
        <v>364</v>
      </c>
      <c r="Q202" s="14" t="str">
        <f>+VLOOKUP(A202,Mapping!$A$1:$E$443,5,FALSE)</f>
        <v>Bank Charges</v>
      </c>
      <c r="R202" s="26">
        <f>+SUMIF('Budget 12 Mnths'!$A:$A,'Variance16-17'!$A202,'Budget 12 Mnths'!$P:$P)</f>
        <v>3000</v>
      </c>
      <c r="S202" s="26">
        <f>+SUMIF('2015-16 12 Mnths'!$A:$A,'Variance16-17'!$A202,'2015-16 12 Mnths'!$O:$O)</f>
        <v>3064</v>
      </c>
      <c r="T202" s="57">
        <f t="shared" si="2"/>
        <v>0.1213333333</v>
      </c>
      <c r="U202" s="57">
        <f t="shared" si="3"/>
        <v>0.1187989556</v>
      </c>
      <c r="V202" s="8" t="s">
        <v>641</v>
      </c>
      <c r="W202" s="27">
        <v>3000.0</v>
      </c>
      <c r="X202" s="27">
        <f t="shared" si="77"/>
        <v>3000</v>
      </c>
      <c r="Z202" s="57">
        <v>3000.0</v>
      </c>
      <c r="AA202" s="27">
        <v>2500.0</v>
      </c>
      <c r="AB202" s="27">
        <v>500.0</v>
      </c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>
        <f t="shared" si="7"/>
        <v>0</v>
      </c>
    </row>
    <row r="203" ht="15.75" customHeight="1">
      <c r="A203" s="15" t="s">
        <v>575</v>
      </c>
      <c r="B203" s="15" t="s">
        <v>154</v>
      </c>
      <c r="C203" s="15" t="s">
        <v>119</v>
      </c>
      <c r="D203" s="56">
        <f>SUMIF('2015-16 12 Mnths'!$A:$A,'Variance16-17'!$A203,'2015-16 12 Mnths'!C:C)-SUMIF('Budget 12 Mnths'!$A:$A,'Variance16-17'!$A203,'Budget 12 Mnths'!D:D)</f>
        <v>-37</v>
      </c>
      <c r="E203" s="56">
        <f>SUMIF('2015-16 12 Mnths'!$A:$A,'Variance16-17'!$A203,'2015-16 12 Mnths'!D:D)-SUMIF('Budget 12 Mnths'!$A:$A,'Variance16-17'!$A203,'Budget 12 Mnths'!E:E)</f>
        <v>-40.25</v>
      </c>
      <c r="F203" s="56">
        <f>SUMIF('2015-16 12 Mnths'!$A:$A,'Variance16-17'!$A203,'2015-16 12 Mnths'!E:E)-SUMIF('Budget 12 Mnths'!$A:$A,'Variance16-17'!$A203,'Budget 12 Mnths'!F:F)</f>
        <v>-142.5</v>
      </c>
      <c r="G203" s="56">
        <f>SUMIF('2015-16 12 Mnths'!$A:$A,'Variance16-17'!$A203,'2015-16 12 Mnths'!F:F)-SUMIF('Budget 12 Mnths'!$A:$A,'Variance16-17'!$A203,'Budget 12 Mnths'!G:G)</f>
        <v>-36</v>
      </c>
      <c r="H203" s="56">
        <f>SUMIF('2015-16 12 Mnths'!$A:$A,'Variance16-17'!$A203,'2015-16 12 Mnths'!G:G)-SUMIF('Budget 12 Mnths'!$A:$A,'Variance16-17'!$A203,'Budget 12 Mnths'!H:H)</f>
        <v>51</v>
      </c>
      <c r="I203" s="56">
        <f>SUMIF('2015-16 12 Mnths'!$A:$A,'Variance16-17'!$A203,'2015-16 12 Mnths'!H:H)-SUMIF('Budget 12 Mnths'!$A:$A,'Variance16-17'!$A203,'Budget 12 Mnths'!I:I)</f>
        <v>-9.5</v>
      </c>
      <c r="J203" s="56">
        <f>SUMIF('2015-16 12 Mnths'!$A:$A,'Variance16-17'!$A203,'2015-16 12 Mnths'!I:I)-SUMIF('Budget 12 Mnths'!$A:$A,'Variance16-17'!$A203,'Budget 12 Mnths'!J:J)</f>
        <v>9.78</v>
      </c>
      <c r="K203" s="56">
        <f>SUMIF('2015-16 12 Mnths'!$A:$A,'Variance16-17'!$A203,'2015-16 12 Mnths'!J:J)-SUMIF('Budget 12 Mnths'!$A:$A,'Variance16-17'!$A203,'Budget 12 Mnths'!K:K)</f>
        <v>-29.5</v>
      </c>
      <c r="L203" s="56">
        <f>SUMIF('2015-16 12 Mnths'!$A:$A,'Variance16-17'!$A203,'2015-16 12 Mnths'!K:K)-SUMIF('Budget 12 Mnths'!$A:$A,'Variance16-17'!$A203,'Budget 12 Mnths'!L:L)</f>
        <v>-162.5</v>
      </c>
      <c r="M203" s="56"/>
      <c r="N203" s="56"/>
      <c r="O203" s="56"/>
      <c r="P203" s="56">
        <f t="shared" si="1"/>
        <v>-396.47</v>
      </c>
      <c r="Q203" s="14" t="str">
        <f>+VLOOKUP(A203,Mapping!$A$1:$E$443,5,FALSE)</f>
        <v>Bank Charges</v>
      </c>
      <c r="R203" s="26">
        <f>+SUMIF('Budget 12 Mnths'!$A:$A,'Variance16-17'!$A203,'Budget 12 Mnths'!$P:$P)</f>
        <v>1500</v>
      </c>
      <c r="S203" s="26">
        <f>+SUMIF('2015-16 12 Mnths'!$A:$A,'Variance16-17'!$A203,'2015-16 12 Mnths'!$O:$O)</f>
        <v>803.53</v>
      </c>
      <c r="T203" s="57">
        <f t="shared" si="2"/>
        <v>-0.2643133333</v>
      </c>
      <c r="U203" s="57">
        <f t="shared" si="3"/>
        <v>-0.4934103269</v>
      </c>
      <c r="V203" s="8" t="s">
        <v>641</v>
      </c>
      <c r="W203" s="27">
        <v>1500.0</v>
      </c>
      <c r="X203" s="27">
        <f t="shared" si="77"/>
        <v>1500</v>
      </c>
      <c r="Z203" s="57">
        <f t="shared" ref="Z203:Z205" si="83">+X203/2</f>
        <v>750</v>
      </c>
      <c r="AA203" s="57">
        <f t="shared" ref="AA203:AL203" si="82">+$X203/12</f>
        <v>125</v>
      </c>
      <c r="AB203" s="57">
        <f t="shared" si="82"/>
        <v>125</v>
      </c>
      <c r="AC203" s="57">
        <f t="shared" si="82"/>
        <v>125</v>
      </c>
      <c r="AD203" s="57">
        <f t="shared" si="82"/>
        <v>125</v>
      </c>
      <c r="AE203" s="57">
        <f t="shared" si="82"/>
        <v>125</v>
      </c>
      <c r="AF203" s="57">
        <f t="shared" si="82"/>
        <v>125</v>
      </c>
      <c r="AG203" s="57">
        <f t="shared" si="82"/>
        <v>125</v>
      </c>
      <c r="AH203" s="57">
        <f t="shared" si="82"/>
        <v>125</v>
      </c>
      <c r="AI203" s="57">
        <f t="shared" si="82"/>
        <v>125</v>
      </c>
      <c r="AJ203" s="57">
        <f t="shared" si="82"/>
        <v>125</v>
      </c>
      <c r="AK203" s="57">
        <f t="shared" si="82"/>
        <v>125</v>
      </c>
      <c r="AL203" s="57">
        <f t="shared" si="82"/>
        <v>125</v>
      </c>
      <c r="AM203" s="27">
        <f t="shared" si="7"/>
        <v>0</v>
      </c>
    </row>
    <row r="204" ht="15.75" customHeight="1">
      <c r="A204" s="15" t="s">
        <v>576</v>
      </c>
      <c r="B204" s="15" t="s">
        <v>577</v>
      </c>
      <c r="C204" s="15" t="s">
        <v>119</v>
      </c>
      <c r="D204" s="56">
        <f>SUMIF('2015-16 12 Mnths'!$A:$A,'Variance16-17'!$A204,'2015-16 12 Mnths'!C:C)-SUMIF('Budget 12 Mnths'!$A:$A,'Variance16-17'!$A204,'Budget 12 Mnths'!D:D)</f>
        <v>0</v>
      </c>
      <c r="E204" s="56">
        <f>SUMIF('2015-16 12 Mnths'!$A:$A,'Variance16-17'!$A204,'2015-16 12 Mnths'!D:D)-SUMIF('Budget 12 Mnths'!$A:$A,'Variance16-17'!$A204,'Budget 12 Mnths'!E:E)</f>
        <v>0</v>
      </c>
      <c r="F204" s="56">
        <f>SUMIF('2015-16 12 Mnths'!$A:$A,'Variance16-17'!$A204,'2015-16 12 Mnths'!E:E)-SUMIF('Budget 12 Mnths'!$A:$A,'Variance16-17'!$A204,'Budget 12 Mnths'!F:F)</f>
        <v>0</v>
      </c>
      <c r="G204" s="56">
        <f>SUMIF('2015-16 12 Mnths'!$A:$A,'Variance16-17'!$A204,'2015-16 12 Mnths'!F:F)-SUMIF('Budget 12 Mnths'!$A:$A,'Variance16-17'!$A204,'Budget 12 Mnths'!G:G)</f>
        <v>0</v>
      </c>
      <c r="H204" s="56">
        <f>SUMIF('2015-16 12 Mnths'!$A:$A,'Variance16-17'!$A204,'2015-16 12 Mnths'!G:G)-SUMIF('Budget 12 Mnths'!$A:$A,'Variance16-17'!$A204,'Budget 12 Mnths'!H:H)</f>
        <v>0</v>
      </c>
      <c r="I204" s="56">
        <f>SUMIF('2015-16 12 Mnths'!$A:$A,'Variance16-17'!$A204,'2015-16 12 Mnths'!H:H)-SUMIF('Budget 12 Mnths'!$A:$A,'Variance16-17'!$A204,'Budget 12 Mnths'!I:I)</f>
        <v>0</v>
      </c>
      <c r="J204" s="56">
        <f>SUMIF('2015-16 12 Mnths'!$A:$A,'Variance16-17'!$A204,'2015-16 12 Mnths'!I:I)-SUMIF('Budget 12 Mnths'!$A:$A,'Variance16-17'!$A204,'Budget 12 Mnths'!J:J)</f>
        <v>61.95</v>
      </c>
      <c r="K204" s="56">
        <f>SUMIF('2015-16 12 Mnths'!$A:$A,'Variance16-17'!$A204,'2015-16 12 Mnths'!J:J)-SUMIF('Budget 12 Mnths'!$A:$A,'Variance16-17'!$A204,'Budget 12 Mnths'!K:K)</f>
        <v>17.65</v>
      </c>
      <c r="L204" s="56">
        <f>SUMIF('2015-16 12 Mnths'!$A:$A,'Variance16-17'!$A204,'2015-16 12 Mnths'!K:K)-SUMIF('Budget 12 Mnths'!$A:$A,'Variance16-17'!$A204,'Budget 12 Mnths'!L:L)</f>
        <v>-3.74</v>
      </c>
      <c r="M204" s="56"/>
      <c r="N204" s="56"/>
      <c r="O204" s="56"/>
      <c r="P204" s="56">
        <f t="shared" si="1"/>
        <v>75.86</v>
      </c>
      <c r="Q204" s="14" t="str">
        <f>+VLOOKUP(A204,Mapping!$A$1:$E$443,5,FALSE)</f>
        <v>Bank Charges</v>
      </c>
      <c r="R204" s="26">
        <f>+SUMIF('Budget 12 Mnths'!$A:$A,'Variance16-17'!$A204,'Budget 12 Mnths'!$P:$P)</f>
        <v>0</v>
      </c>
      <c r="S204" s="26">
        <f>+SUMIF('2015-16 12 Mnths'!$A:$A,'Variance16-17'!$A204,'2015-16 12 Mnths'!$O:$O)</f>
        <v>75.86</v>
      </c>
      <c r="T204" s="57">
        <f t="shared" si="2"/>
        <v>0</v>
      </c>
      <c r="U204" s="57">
        <f t="shared" si="3"/>
        <v>1</v>
      </c>
      <c r="W204" s="27"/>
      <c r="X204" s="27" t="str">
        <f t="shared" si="77"/>
        <v/>
      </c>
      <c r="Z204" s="57">
        <f t="shared" si="83"/>
        <v>0</v>
      </c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>
        <f t="shared" si="7"/>
        <v>0</v>
      </c>
    </row>
    <row r="205" ht="15.75" customHeight="1">
      <c r="A205" s="15" t="s">
        <v>578</v>
      </c>
      <c r="B205" s="15" t="s">
        <v>577</v>
      </c>
      <c r="C205" s="15" t="s">
        <v>119</v>
      </c>
      <c r="D205" s="56">
        <f>SUMIF('2015-16 12 Mnths'!$A:$A,'Variance16-17'!$A205,'2015-16 12 Mnths'!C:C)-SUMIF('Budget 12 Mnths'!$A:$A,'Variance16-17'!$A205,'Budget 12 Mnths'!D:D)</f>
        <v>0</v>
      </c>
      <c r="E205" s="56">
        <f>SUMIF('2015-16 12 Mnths'!$A:$A,'Variance16-17'!$A205,'2015-16 12 Mnths'!D:D)-SUMIF('Budget 12 Mnths'!$A:$A,'Variance16-17'!$A205,'Budget 12 Mnths'!E:E)</f>
        <v>0</v>
      </c>
      <c r="F205" s="56">
        <f>SUMIF('2015-16 12 Mnths'!$A:$A,'Variance16-17'!$A205,'2015-16 12 Mnths'!E:E)-SUMIF('Budget 12 Mnths'!$A:$A,'Variance16-17'!$A205,'Budget 12 Mnths'!F:F)</f>
        <v>0</v>
      </c>
      <c r="G205" s="56">
        <f>SUMIF('2015-16 12 Mnths'!$A:$A,'Variance16-17'!$A205,'2015-16 12 Mnths'!F:F)-SUMIF('Budget 12 Mnths'!$A:$A,'Variance16-17'!$A205,'Budget 12 Mnths'!G:G)</f>
        <v>0</v>
      </c>
      <c r="H205" s="56">
        <f>SUMIF('2015-16 12 Mnths'!$A:$A,'Variance16-17'!$A205,'2015-16 12 Mnths'!G:G)-SUMIF('Budget 12 Mnths'!$A:$A,'Variance16-17'!$A205,'Budget 12 Mnths'!H:H)</f>
        <v>0</v>
      </c>
      <c r="I205" s="56">
        <f>SUMIF('2015-16 12 Mnths'!$A:$A,'Variance16-17'!$A205,'2015-16 12 Mnths'!H:H)-SUMIF('Budget 12 Mnths'!$A:$A,'Variance16-17'!$A205,'Budget 12 Mnths'!I:I)</f>
        <v>0</v>
      </c>
      <c r="J205" s="56">
        <f>SUMIF('2015-16 12 Mnths'!$A:$A,'Variance16-17'!$A205,'2015-16 12 Mnths'!I:I)-SUMIF('Budget 12 Mnths'!$A:$A,'Variance16-17'!$A205,'Budget 12 Mnths'!J:J)</f>
        <v>149</v>
      </c>
      <c r="K205" s="56">
        <f>SUMIF('2015-16 12 Mnths'!$A:$A,'Variance16-17'!$A205,'2015-16 12 Mnths'!J:J)-SUMIF('Budget 12 Mnths'!$A:$A,'Variance16-17'!$A205,'Budget 12 Mnths'!K:K)</f>
        <v>0</v>
      </c>
      <c r="L205" s="56">
        <f>SUMIF('2015-16 12 Mnths'!$A:$A,'Variance16-17'!$A205,'2015-16 12 Mnths'!K:K)-SUMIF('Budget 12 Mnths'!$A:$A,'Variance16-17'!$A205,'Budget 12 Mnths'!L:L)</f>
        <v>0</v>
      </c>
      <c r="M205" s="56"/>
      <c r="N205" s="56"/>
      <c r="O205" s="56"/>
      <c r="P205" s="56">
        <f t="shared" si="1"/>
        <v>149</v>
      </c>
      <c r="Q205" s="14" t="str">
        <f>+VLOOKUP(A205,Mapping!$A$1:$E$443,5,FALSE)</f>
        <v>Bank Charges</v>
      </c>
      <c r="R205" s="26">
        <f>+SUMIF('Budget 12 Mnths'!$A:$A,'Variance16-17'!$A205,'Budget 12 Mnths'!$P:$P)</f>
        <v>0</v>
      </c>
      <c r="S205" s="26">
        <f>+SUMIF('2015-16 12 Mnths'!$A:$A,'Variance16-17'!$A205,'2015-16 12 Mnths'!$O:$O)</f>
        <v>149</v>
      </c>
      <c r="T205" s="57">
        <f t="shared" si="2"/>
        <v>0</v>
      </c>
      <c r="U205" s="57">
        <f t="shared" si="3"/>
        <v>1</v>
      </c>
      <c r="W205" s="27"/>
      <c r="X205" s="27" t="str">
        <f t="shared" si="77"/>
        <v/>
      </c>
      <c r="Z205" s="57">
        <f t="shared" si="83"/>
        <v>0</v>
      </c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>
        <f t="shared" si="7"/>
        <v>0</v>
      </c>
    </row>
    <row r="206" ht="15.75" customHeight="1">
      <c r="A206" s="15" t="s">
        <v>579</v>
      </c>
      <c r="B206" s="15" t="s">
        <v>580</v>
      </c>
      <c r="C206" s="15" t="s">
        <v>119</v>
      </c>
      <c r="D206" s="56">
        <f>SUMIF('2015-16 12 Mnths'!$A:$A,'Variance16-17'!$A206,'2015-16 12 Mnths'!C:C)-SUMIF('Budget 12 Mnths'!$A:$A,'Variance16-17'!$A206,'Budget 12 Mnths'!D:D)</f>
        <v>0</v>
      </c>
      <c r="E206" s="56">
        <f>SUMIF('2015-16 12 Mnths'!$A:$A,'Variance16-17'!$A206,'2015-16 12 Mnths'!D:D)-SUMIF('Budget 12 Mnths'!$A:$A,'Variance16-17'!$A206,'Budget 12 Mnths'!E:E)</f>
        <v>15.02</v>
      </c>
      <c r="F206" s="56">
        <f>SUMIF('2015-16 12 Mnths'!$A:$A,'Variance16-17'!$A206,'2015-16 12 Mnths'!E:E)-SUMIF('Budget 12 Mnths'!$A:$A,'Variance16-17'!$A206,'Budget 12 Mnths'!F:F)</f>
        <v>-78.95</v>
      </c>
      <c r="G206" s="56">
        <f>SUMIF('2015-16 12 Mnths'!$A:$A,'Variance16-17'!$A206,'2015-16 12 Mnths'!F:F)-SUMIF('Budget 12 Mnths'!$A:$A,'Variance16-17'!$A206,'Budget 12 Mnths'!G:G)</f>
        <v>-78.95</v>
      </c>
      <c r="H206" s="56">
        <f>SUMIF('2015-16 12 Mnths'!$A:$A,'Variance16-17'!$A206,'2015-16 12 Mnths'!G:G)-SUMIF('Budget 12 Mnths'!$A:$A,'Variance16-17'!$A206,'Budget 12 Mnths'!H:H)</f>
        <v>-78.95</v>
      </c>
      <c r="I206" s="56">
        <f>SUMIF('2015-16 12 Mnths'!$A:$A,'Variance16-17'!$A206,'2015-16 12 Mnths'!H:H)-SUMIF('Budget 12 Mnths'!$A:$A,'Variance16-17'!$A206,'Budget 12 Mnths'!I:I)</f>
        <v>-78.95</v>
      </c>
      <c r="J206" s="56">
        <f>SUMIF('2015-16 12 Mnths'!$A:$A,'Variance16-17'!$A206,'2015-16 12 Mnths'!I:I)-SUMIF('Budget 12 Mnths'!$A:$A,'Variance16-17'!$A206,'Budget 12 Mnths'!J:J)</f>
        <v>-22.83</v>
      </c>
      <c r="K206" s="56">
        <f>SUMIF('2015-16 12 Mnths'!$A:$A,'Variance16-17'!$A206,'2015-16 12 Mnths'!J:J)-SUMIF('Budget 12 Mnths'!$A:$A,'Variance16-17'!$A206,'Budget 12 Mnths'!K:K)</f>
        <v>54.45</v>
      </c>
      <c r="L206" s="56">
        <f>SUMIF('2015-16 12 Mnths'!$A:$A,'Variance16-17'!$A206,'2015-16 12 Mnths'!K:K)-SUMIF('Budget 12 Mnths'!$A:$A,'Variance16-17'!$A206,'Budget 12 Mnths'!L:L)</f>
        <v>-48.06</v>
      </c>
      <c r="M206" s="56"/>
      <c r="N206" s="56"/>
      <c r="O206" s="56"/>
      <c r="P206" s="56">
        <f t="shared" si="1"/>
        <v>-317.22</v>
      </c>
      <c r="Q206" s="14" t="str">
        <f>+VLOOKUP(A206,Mapping!$A$1:$E$443,5,FALSE)</f>
        <v>Aftercare Exp</v>
      </c>
      <c r="R206" s="26">
        <f>+SUMIF('Budget 12 Mnths'!$A:$A,'Variance16-17'!$A206,'Budget 12 Mnths'!$P:$P)</f>
        <v>750.01</v>
      </c>
      <c r="S206" s="26">
        <f>+SUMIF('2015-16 12 Mnths'!$A:$A,'Variance16-17'!$A206,'2015-16 12 Mnths'!$O:$O)</f>
        <v>295.76</v>
      </c>
      <c r="T206" s="57">
        <f t="shared" si="2"/>
        <v>-0.4229543606</v>
      </c>
      <c r="U206" s="57">
        <f t="shared" si="3"/>
        <v>-1.072558831</v>
      </c>
      <c r="V206" s="8" t="s">
        <v>641</v>
      </c>
      <c r="W206" s="27">
        <v>750.0</v>
      </c>
      <c r="X206" s="27">
        <f t="shared" si="77"/>
        <v>750</v>
      </c>
      <c r="Z206" s="57">
        <f>+X206/9.5*4.5</f>
        <v>355.2631579</v>
      </c>
      <c r="AA206" s="27">
        <v>0.0</v>
      </c>
      <c r="AB206" s="57">
        <f>+$X206/9.5*0.5</f>
        <v>39.47368421</v>
      </c>
      <c r="AC206" s="57">
        <f t="shared" ref="AC206:AK206" si="84">+$X206/9.5</f>
        <v>78.94736842</v>
      </c>
      <c r="AD206" s="57">
        <f t="shared" si="84"/>
        <v>78.94736842</v>
      </c>
      <c r="AE206" s="57">
        <f t="shared" si="84"/>
        <v>78.94736842</v>
      </c>
      <c r="AF206" s="57">
        <f t="shared" si="84"/>
        <v>78.94736842</v>
      </c>
      <c r="AG206" s="57">
        <f t="shared" si="84"/>
        <v>78.94736842</v>
      </c>
      <c r="AH206" s="57">
        <f t="shared" si="84"/>
        <v>78.94736842</v>
      </c>
      <c r="AI206" s="57">
        <f t="shared" si="84"/>
        <v>78.94736842</v>
      </c>
      <c r="AJ206" s="57">
        <f t="shared" si="84"/>
        <v>78.94736842</v>
      </c>
      <c r="AK206" s="57">
        <f t="shared" si="84"/>
        <v>78.94736842</v>
      </c>
      <c r="AL206" s="27">
        <v>0.0</v>
      </c>
      <c r="AM206" s="27">
        <f t="shared" si="7"/>
        <v>0</v>
      </c>
    </row>
    <row r="207" ht="15.75" customHeight="1">
      <c r="A207" s="15" t="s">
        <v>582</v>
      </c>
      <c r="B207" s="15" t="s">
        <v>583</v>
      </c>
      <c r="C207" s="15" t="s">
        <v>119</v>
      </c>
      <c r="D207" s="56">
        <f>SUMIF('2015-16 12 Mnths'!$A:$A,'Variance16-17'!$A207,'2015-16 12 Mnths'!C:C)-SUMIF('Budget 12 Mnths'!$A:$A,'Variance16-17'!$A207,'Budget 12 Mnths'!D:D)</f>
        <v>-27.74</v>
      </c>
      <c r="E207" s="56">
        <f>SUMIF('2015-16 12 Mnths'!$A:$A,'Variance16-17'!$A207,'2015-16 12 Mnths'!D:D)-SUMIF('Budget 12 Mnths'!$A:$A,'Variance16-17'!$A207,'Budget 12 Mnths'!E:E)</f>
        <v>-15.97</v>
      </c>
      <c r="F207" s="56">
        <f>SUMIF('2015-16 12 Mnths'!$A:$A,'Variance16-17'!$A207,'2015-16 12 Mnths'!E:E)-SUMIF('Budget 12 Mnths'!$A:$A,'Variance16-17'!$A207,'Budget 12 Mnths'!F:F)</f>
        <v>-15.97</v>
      </c>
      <c r="G207" s="56">
        <f>SUMIF('2015-16 12 Mnths'!$A:$A,'Variance16-17'!$A207,'2015-16 12 Mnths'!F:F)-SUMIF('Budget 12 Mnths'!$A:$A,'Variance16-17'!$A207,'Budget 12 Mnths'!G:G)</f>
        <v>493.77</v>
      </c>
      <c r="H207" s="56">
        <f>SUMIF('2015-16 12 Mnths'!$A:$A,'Variance16-17'!$A207,'2015-16 12 Mnths'!G:G)-SUMIF('Budget 12 Mnths'!$A:$A,'Variance16-17'!$A207,'Budget 12 Mnths'!H:H)</f>
        <v>160.06</v>
      </c>
      <c r="I207" s="56">
        <f>SUMIF('2015-16 12 Mnths'!$A:$A,'Variance16-17'!$A207,'2015-16 12 Mnths'!H:H)-SUMIF('Budget 12 Mnths'!$A:$A,'Variance16-17'!$A207,'Budget 12 Mnths'!I:I)</f>
        <v>-128.88</v>
      </c>
      <c r="J207" s="56">
        <f>SUMIF('2015-16 12 Mnths'!$A:$A,'Variance16-17'!$A207,'2015-16 12 Mnths'!I:I)-SUMIF('Budget 12 Mnths'!$A:$A,'Variance16-17'!$A207,'Budget 12 Mnths'!J:J)</f>
        <v>-127.56</v>
      </c>
      <c r="K207" s="56">
        <f>SUMIF('2015-16 12 Mnths'!$A:$A,'Variance16-17'!$A207,'2015-16 12 Mnths'!J:J)-SUMIF('Budget 12 Mnths'!$A:$A,'Variance16-17'!$A207,'Budget 12 Mnths'!K:K)</f>
        <v>-128.03</v>
      </c>
      <c r="L207" s="56">
        <f>SUMIF('2015-16 12 Mnths'!$A:$A,'Variance16-17'!$A207,'2015-16 12 Mnths'!K:K)-SUMIF('Budget 12 Mnths'!$A:$A,'Variance16-17'!$A207,'Budget 12 Mnths'!L:L)</f>
        <v>-127.53</v>
      </c>
      <c r="M207" s="56"/>
      <c r="N207" s="56"/>
      <c r="O207" s="56"/>
      <c r="P207" s="56">
        <f t="shared" si="1"/>
        <v>82.15</v>
      </c>
      <c r="Q207" s="14" t="str">
        <f>+VLOOKUP(A207,Mapping!$A$1:$E$443,5,FALSE)</f>
        <v>Telecommunications</v>
      </c>
      <c r="R207" s="26">
        <f>+SUMIF('Budget 12 Mnths'!$A:$A,'Variance16-17'!$A207,'Budget 12 Mnths'!$P:$P)</f>
        <v>3500.04</v>
      </c>
      <c r="S207" s="26">
        <f>+SUMIF('2015-16 12 Mnths'!$A:$A,'Variance16-17'!$A207,'2015-16 12 Mnths'!$O:$O)</f>
        <v>2707.18</v>
      </c>
      <c r="T207" s="57">
        <f t="shared" si="2"/>
        <v>0.02347116033</v>
      </c>
      <c r="U207" s="57">
        <f t="shared" si="3"/>
        <v>0.03034523009</v>
      </c>
      <c r="V207" s="8" t="s">
        <v>641</v>
      </c>
      <c r="W207" s="27">
        <v>3500.0</v>
      </c>
      <c r="X207" s="27">
        <f t="shared" si="77"/>
        <v>3500</v>
      </c>
      <c r="Z207" s="57">
        <f t="shared" ref="Z207:Z244" si="86">+X207/2</f>
        <v>1750</v>
      </c>
      <c r="AA207" s="57">
        <f t="shared" ref="AA207:AL207" si="85">+$X207/12</f>
        <v>291.6666667</v>
      </c>
      <c r="AB207" s="57">
        <f t="shared" si="85"/>
        <v>291.6666667</v>
      </c>
      <c r="AC207" s="57">
        <f t="shared" si="85"/>
        <v>291.6666667</v>
      </c>
      <c r="AD207" s="57">
        <f t="shared" si="85"/>
        <v>291.6666667</v>
      </c>
      <c r="AE207" s="57">
        <f t="shared" si="85"/>
        <v>291.6666667</v>
      </c>
      <c r="AF207" s="57">
        <f t="shared" si="85"/>
        <v>291.6666667</v>
      </c>
      <c r="AG207" s="57">
        <f t="shared" si="85"/>
        <v>291.6666667</v>
      </c>
      <c r="AH207" s="57">
        <f t="shared" si="85"/>
        <v>291.6666667</v>
      </c>
      <c r="AI207" s="57">
        <f t="shared" si="85"/>
        <v>291.6666667</v>
      </c>
      <c r="AJ207" s="57">
        <f t="shared" si="85"/>
        <v>291.6666667</v>
      </c>
      <c r="AK207" s="57">
        <f t="shared" si="85"/>
        <v>291.6666667</v>
      </c>
      <c r="AL207" s="57">
        <f t="shared" si="85"/>
        <v>291.6666667</v>
      </c>
      <c r="AM207" s="27">
        <f t="shared" si="7"/>
        <v>0</v>
      </c>
    </row>
    <row r="208" ht="15.75" customHeight="1">
      <c r="A208" s="15" t="s">
        <v>584</v>
      </c>
      <c r="B208" s="15" t="s">
        <v>583</v>
      </c>
      <c r="C208" s="15" t="s">
        <v>119</v>
      </c>
      <c r="D208" s="56">
        <f>SUMIF('2015-16 12 Mnths'!$A:$A,'Variance16-17'!$A208,'2015-16 12 Mnths'!C:C)-SUMIF('Budget 12 Mnths'!$A:$A,'Variance16-17'!$A208,'Budget 12 Mnths'!D:D)</f>
        <v>0</v>
      </c>
      <c r="E208" s="56">
        <f>SUMIF('2015-16 12 Mnths'!$A:$A,'Variance16-17'!$A208,'2015-16 12 Mnths'!D:D)-SUMIF('Budget 12 Mnths'!$A:$A,'Variance16-17'!$A208,'Budget 12 Mnths'!E:E)</f>
        <v>0</v>
      </c>
      <c r="F208" s="56">
        <f>SUMIF('2015-16 12 Mnths'!$A:$A,'Variance16-17'!$A208,'2015-16 12 Mnths'!E:E)-SUMIF('Budget 12 Mnths'!$A:$A,'Variance16-17'!$A208,'Budget 12 Mnths'!F:F)</f>
        <v>0</v>
      </c>
      <c r="G208" s="56">
        <f>SUMIF('2015-16 12 Mnths'!$A:$A,'Variance16-17'!$A208,'2015-16 12 Mnths'!F:F)-SUMIF('Budget 12 Mnths'!$A:$A,'Variance16-17'!$A208,'Budget 12 Mnths'!G:G)</f>
        <v>0</v>
      </c>
      <c r="H208" s="56">
        <f>SUMIF('2015-16 12 Mnths'!$A:$A,'Variance16-17'!$A208,'2015-16 12 Mnths'!G:G)-SUMIF('Budget 12 Mnths'!$A:$A,'Variance16-17'!$A208,'Budget 12 Mnths'!H:H)</f>
        <v>0</v>
      </c>
      <c r="I208" s="56">
        <f>SUMIF('2015-16 12 Mnths'!$A:$A,'Variance16-17'!$A208,'2015-16 12 Mnths'!H:H)-SUMIF('Budget 12 Mnths'!$A:$A,'Variance16-17'!$A208,'Budget 12 Mnths'!I:I)</f>
        <v>0</v>
      </c>
      <c r="J208" s="56">
        <f>SUMIF('2015-16 12 Mnths'!$A:$A,'Variance16-17'!$A208,'2015-16 12 Mnths'!I:I)-SUMIF('Budget 12 Mnths'!$A:$A,'Variance16-17'!$A208,'Budget 12 Mnths'!J:J)</f>
        <v>0</v>
      </c>
      <c r="K208" s="56">
        <f>SUMIF('2015-16 12 Mnths'!$A:$A,'Variance16-17'!$A208,'2015-16 12 Mnths'!J:J)-SUMIF('Budget 12 Mnths'!$A:$A,'Variance16-17'!$A208,'Budget 12 Mnths'!K:K)</f>
        <v>0</v>
      </c>
      <c r="L208" s="56">
        <f>SUMIF('2015-16 12 Mnths'!$A:$A,'Variance16-17'!$A208,'2015-16 12 Mnths'!K:K)-SUMIF('Budget 12 Mnths'!$A:$A,'Variance16-17'!$A208,'Budget 12 Mnths'!L:L)</f>
        <v>0</v>
      </c>
      <c r="M208" s="56"/>
      <c r="N208" s="56"/>
      <c r="O208" s="56"/>
      <c r="P208" s="56">
        <f t="shared" si="1"/>
        <v>0</v>
      </c>
      <c r="Q208" s="14" t="str">
        <f>+VLOOKUP(A208,Mapping!$A$1:$E$443,5,FALSE)</f>
        <v>Telecommunications</v>
      </c>
      <c r="R208" s="26">
        <f>+SUMIF('Budget 12 Mnths'!$A:$A,'Variance16-17'!$A208,'Budget 12 Mnths'!$P:$P)</f>
        <v>0</v>
      </c>
      <c r="S208" s="26">
        <f>+SUMIF('2015-16 12 Mnths'!$A:$A,'Variance16-17'!$A208,'2015-16 12 Mnths'!$O:$O)</f>
        <v>0</v>
      </c>
      <c r="T208" s="57">
        <f t="shared" si="2"/>
        <v>0</v>
      </c>
      <c r="U208" s="57">
        <f t="shared" si="3"/>
        <v>0</v>
      </c>
      <c r="W208" s="27"/>
      <c r="X208" s="27" t="str">
        <f t="shared" si="77"/>
        <v/>
      </c>
      <c r="Z208" s="57">
        <f t="shared" si="86"/>
        <v>0</v>
      </c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>
        <f t="shared" si="7"/>
        <v>0</v>
      </c>
    </row>
    <row r="209" ht="15.75" customHeight="1">
      <c r="A209" s="15" t="s">
        <v>585</v>
      </c>
      <c r="B209" s="15" t="s">
        <v>583</v>
      </c>
      <c r="C209" s="15" t="s">
        <v>119</v>
      </c>
      <c r="D209" s="56">
        <f>SUMIF('2015-16 12 Mnths'!$A:$A,'Variance16-17'!$A209,'2015-16 12 Mnths'!C:C)-SUMIF('Budget 12 Mnths'!$A:$A,'Variance16-17'!$A209,'Budget 12 Mnths'!D:D)</f>
        <v>0</v>
      </c>
      <c r="E209" s="56">
        <f>SUMIF('2015-16 12 Mnths'!$A:$A,'Variance16-17'!$A209,'2015-16 12 Mnths'!D:D)-SUMIF('Budget 12 Mnths'!$A:$A,'Variance16-17'!$A209,'Budget 12 Mnths'!E:E)</f>
        <v>0</v>
      </c>
      <c r="F209" s="56">
        <f>SUMIF('2015-16 12 Mnths'!$A:$A,'Variance16-17'!$A209,'2015-16 12 Mnths'!E:E)-SUMIF('Budget 12 Mnths'!$A:$A,'Variance16-17'!$A209,'Budget 12 Mnths'!F:F)</f>
        <v>0</v>
      </c>
      <c r="G209" s="56">
        <f>SUMIF('2015-16 12 Mnths'!$A:$A,'Variance16-17'!$A209,'2015-16 12 Mnths'!F:F)-SUMIF('Budget 12 Mnths'!$A:$A,'Variance16-17'!$A209,'Budget 12 Mnths'!G:G)</f>
        <v>0</v>
      </c>
      <c r="H209" s="56">
        <f>SUMIF('2015-16 12 Mnths'!$A:$A,'Variance16-17'!$A209,'2015-16 12 Mnths'!G:G)-SUMIF('Budget 12 Mnths'!$A:$A,'Variance16-17'!$A209,'Budget 12 Mnths'!H:H)</f>
        <v>0</v>
      </c>
      <c r="I209" s="56">
        <f>SUMIF('2015-16 12 Mnths'!$A:$A,'Variance16-17'!$A209,'2015-16 12 Mnths'!H:H)-SUMIF('Budget 12 Mnths'!$A:$A,'Variance16-17'!$A209,'Budget 12 Mnths'!I:I)</f>
        <v>0</v>
      </c>
      <c r="J209" s="56">
        <f>SUMIF('2015-16 12 Mnths'!$A:$A,'Variance16-17'!$A209,'2015-16 12 Mnths'!I:I)-SUMIF('Budget 12 Mnths'!$A:$A,'Variance16-17'!$A209,'Budget 12 Mnths'!J:J)</f>
        <v>0</v>
      </c>
      <c r="K209" s="56">
        <f>SUMIF('2015-16 12 Mnths'!$A:$A,'Variance16-17'!$A209,'2015-16 12 Mnths'!J:J)-SUMIF('Budget 12 Mnths'!$A:$A,'Variance16-17'!$A209,'Budget 12 Mnths'!K:K)</f>
        <v>0</v>
      </c>
      <c r="L209" s="56">
        <f>SUMIF('2015-16 12 Mnths'!$A:$A,'Variance16-17'!$A209,'2015-16 12 Mnths'!K:K)-SUMIF('Budget 12 Mnths'!$A:$A,'Variance16-17'!$A209,'Budget 12 Mnths'!L:L)</f>
        <v>0</v>
      </c>
      <c r="M209" s="56"/>
      <c r="N209" s="56"/>
      <c r="O209" s="56"/>
      <c r="P209" s="56">
        <f t="shared" si="1"/>
        <v>0</v>
      </c>
      <c r="Q209" s="14" t="str">
        <f>+VLOOKUP(A209,Mapping!$A$1:$E$443,5,FALSE)</f>
        <v>Telecommunications</v>
      </c>
      <c r="R209" s="26">
        <f>+SUMIF('Budget 12 Mnths'!$A:$A,'Variance16-17'!$A209,'Budget 12 Mnths'!$P:$P)</f>
        <v>0</v>
      </c>
      <c r="S209" s="26">
        <f>+SUMIF('2015-16 12 Mnths'!$A:$A,'Variance16-17'!$A209,'2015-16 12 Mnths'!$O:$O)</f>
        <v>0</v>
      </c>
      <c r="T209" s="57">
        <f t="shared" si="2"/>
        <v>0</v>
      </c>
      <c r="U209" s="57">
        <f t="shared" si="3"/>
        <v>0</v>
      </c>
      <c r="W209" s="27"/>
      <c r="X209" s="27" t="str">
        <f t="shared" si="77"/>
        <v/>
      </c>
      <c r="Z209" s="57">
        <f t="shared" si="86"/>
        <v>0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>
        <f t="shared" si="7"/>
        <v>0</v>
      </c>
    </row>
    <row r="210" ht="15.75" customHeight="1">
      <c r="A210" s="15" t="s">
        <v>586</v>
      </c>
      <c r="B210" s="15" t="s">
        <v>587</v>
      </c>
      <c r="C210" s="15" t="s">
        <v>119</v>
      </c>
      <c r="D210" s="56">
        <f>SUMIF('2015-16 12 Mnths'!$A:$A,'Variance16-17'!$A210,'2015-16 12 Mnths'!C:C)-SUMIF('Budget 12 Mnths'!$A:$A,'Variance16-17'!$A210,'Budget 12 Mnths'!D:D)</f>
        <v>0</v>
      </c>
      <c r="E210" s="56">
        <f>SUMIF('2015-16 12 Mnths'!$A:$A,'Variance16-17'!$A210,'2015-16 12 Mnths'!D:D)-SUMIF('Budget 12 Mnths'!$A:$A,'Variance16-17'!$A210,'Budget 12 Mnths'!E:E)</f>
        <v>0</v>
      </c>
      <c r="F210" s="56">
        <f>SUMIF('2015-16 12 Mnths'!$A:$A,'Variance16-17'!$A210,'2015-16 12 Mnths'!E:E)-SUMIF('Budget 12 Mnths'!$A:$A,'Variance16-17'!$A210,'Budget 12 Mnths'!F:F)</f>
        <v>0</v>
      </c>
      <c r="G210" s="56">
        <f>SUMIF('2015-16 12 Mnths'!$A:$A,'Variance16-17'!$A210,'2015-16 12 Mnths'!F:F)-SUMIF('Budget 12 Mnths'!$A:$A,'Variance16-17'!$A210,'Budget 12 Mnths'!G:G)</f>
        <v>0</v>
      </c>
      <c r="H210" s="56">
        <f>SUMIF('2015-16 12 Mnths'!$A:$A,'Variance16-17'!$A210,'2015-16 12 Mnths'!G:G)-SUMIF('Budget 12 Mnths'!$A:$A,'Variance16-17'!$A210,'Budget 12 Mnths'!H:H)</f>
        <v>0</v>
      </c>
      <c r="I210" s="56">
        <f>SUMIF('2015-16 12 Mnths'!$A:$A,'Variance16-17'!$A210,'2015-16 12 Mnths'!H:H)-SUMIF('Budget 12 Mnths'!$A:$A,'Variance16-17'!$A210,'Budget 12 Mnths'!I:I)</f>
        <v>0</v>
      </c>
      <c r="J210" s="56">
        <f>SUMIF('2015-16 12 Mnths'!$A:$A,'Variance16-17'!$A210,'2015-16 12 Mnths'!I:I)-SUMIF('Budget 12 Mnths'!$A:$A,'Variance16-17'!$A210,'Budget 12 Mnths'!J:J)</f>
        <v>0</v>
      </c>
      <c r="K210" s="56">
        <f>SUMIF('2015-16 12 Mnths'!$A:$A,'Variance16-17'!$A210,'2015-16 12 Mnths'!J:J)-SUMIF('Budget 12 Mnths'!$A:$A,'Variance16-17'!$A210,'Budget 12 Mnths'!K:K)</f>
        <v>0</v>
      </c>
      <c r="L210" s="56">
        <f>SUMIF('2015-16 12 Mnths'!$A:$A,'Variance16-17'!$A210,'2015-16 12 Mnths'!K:K)-SUMIF('Budget 12 Mnths'!$A:$A,'Variance16-17'!$A210,'Budget 12 Mnths'!L:L)</f>
        <v>0</v>
      </c>
      <c r="M210" s="56"/>
      <c r="N210" s="56"/>
      <c r="O210" s="56"/>
      <c r="P210" s="56">
        <f t="shared" si="1"/>
        <v>0</v>
      </c>
      <c r="Q210" s="14" t="str">
        <f>+VLOOKUP(A210,Mapping!$A$1:$E$443,5,FALSE)</f>
        <v>Telecommunications</v>
      </c>
      <c r="R210" s="26">
        <f>+SUMIF('Budget 12 Mnths'!$A:$A,'Variance16-17'!$A210,'Budget 12 Mnths'!$P:$P)</f>
        <v>0</v>
      </c>
      <c r="S210" s="26">
        <f>+SUMIF('2015-16 12 Mnths'!$A:$A,'Variance16-17'!$A210,'2015-16 12 Mnths'!$O:$O)</f>
        <v>0</v>
      </c>
      <c r="T210" s="57">
        <f t="shared" si="2"/>
        <v>0</v>
      </c>
      <c r="U210" s="57">
        <f t="shared" si="3"/>
        <v>0</v>
      </c>
      <c r="W210" s="27"/>
      <c r="X210" s="27" t="str">
        <f t="shared" si="77"/>
        <v/>
      </c>
      <c r="Z210" s="57">
        <f t="shared" si="86"/>
        <v>0</v>
      </c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>
        <f t="shared" si="7"/>
        <v>0</v>
      </c>
    </row>
    <row r="211" ht="15.75" customHeight="1">
      <c r="A211" s="15" t="s">
        <v>588</v>
      </c>
      <c r="B211" s="15" t="s">
        <v>589</v>
      </c>
      <c r="C211" s="15" t="s">
        <v>119</v>
      </c>
      <c r="D211" s="56">
        <f>SUMIF('2015-16 12 Mnths'!$A:$A,'Variance16-17'!$A211,'2015-16 12 Mnths'!C:C)-SUMIF('Budget 12 Mnths'!$A:$A,'Variance16-17'!$A211,'Budget 12 Mnths'!D:D)</f>
        <v>0</v>
      </c>
      <c r="E211" s="56">
        <f>SUMIF('2015-16 12 Mnths'!$A:$A,'Variance16-17'!$A211,'2015-16 12 Mnths'!D:D)-SUMIF('Budget 12 Mnths'!$A:$A,'Variance16-17'!$A211,'Budget 12 Mnths'!E:E)</f>
        <v>0</v>
      </c>
      <c r="F211" s="56">
        <f>SUMIF('2015-16 12 Mnths'!$A:$A,'Variance16-17'!$A211,'2015-16 12 Mnths'!E:E)-SUMIF('Budget 12 Mnths'!$A:$A,'Variance16-17'!$A211,'Budget 12 Mnths'!F:F)</f>
        <v>0</v>
      </c>
      <c r="G211" s="56">
        <f>SUMIF('2015-16 12 Mnths'!$A:$A,'Variance16-17'!$A211,'2015-16 12 Mnths'!F:F)-SUMIF('Budget 12 Mnths'!$A:$A,'Variance16-17'!$A211,'Budget 12 Mnths'!G:G)</f>
        <v>0</v>
      </c>
      <c r="H211" s="56">
        <f>SUMIF('2015-16 12 Mnths'!$A:$A,'Variance16-17'!$A211,'2015-16 12 Mnths'!G:G)-SUMIF('Budget 12 Mnths'!$A:$A,'Variance16-17'!$A211,'Budget 12 Mnths'!H:H)</f>
        <v>0</v>
      </c>
      <c r="I211" s="56">
        <f>SUMIF('2015-16 12 Mnths'!$A:$A,'Variance16-17'!$A211,'2015-16 12 Mnths'!H:H)-SUMIF('Budget 12 Mnths'!$A:$A,'Variance16-17'!$A211,'Budget 12 Mnths'!I:I)</f>
        <v>0</v>
      </c>
      <c r="J211" s="56">
        <f>SUMIF('2015-16 12 Mnths'!$A:$A,'Variance16-17'!$A211,'2015-16 12 Mnths'!I:I)-SUMIF('Budget 12 Mnths'!$A:$A,'Variance16-17'!$A211,'Budget 12 Mnths'!J:J)</f>
        <v>0</v>
      </c>
      <c r="K211" s="56">
        <f>SUMIF('2015-16 12 Mnths'!$A:$A,'Variance16-17'!$A211,'2015-16 12 Mnths'!J:J)-SUMIF('Budget 12 Mnths'!$A:$A,'Variance16-17'!$A211,'Budget 12 Mnths'!K:K)</f>
        <v>0</v>
      </c>
      <c r="L211" s="56">
        <f>SUMIF('2015-16 12 Mnths'!$A:$A,'Variance16-17'!$A211,'2015-16 12 Mnths'!K:K)-SUMIF('Budget 12 Mnths'!$A:$A,'Variance16-17'!$A211,'Budget 12 Mnths'!L:L)</f>
        <v>0</v>
      </c>
      <c r="M211" s="56"/>
      <c r="N211" s="56"/>
      <c r="O211" s="56"/>
      <c r="P211" s="56">
        <f t="shared" si="1"/>
        <v>0</v>
      </c>
      <c r="Q211" s="14" t="str">
        <f>+VLOOKUP(A211,Mapping!$A$1:$E$443,5,FALSE)</f>
        <v>Telecommunications</v>
      </c>
      <c r="R211" s="26">
        <f>+SUMIF('Budget 12 Mnths'!$A:$A,'Variance16-17'!$A211,'Budget 12 Mnths'!$P:$P)</f>
        <v>0</v>
      </c>
      <c r="S211" s="26">
        <f>+SUMIF('2015-16 12 Mnths'!$A:$A,'Variance16-17'!$A211,'2015-16 12 Mnths'!$O:$O)</f>
        <v>0</v>
      </c>
      <c r="T211" s="57">
        <f t="shared" si="2"/>
        <v>0</v>
      </c>
      <c r="U211" s="57">
        <f t="shared" si="3"/>
        <v>0</v>
      </c>
      <c r="W211" s="27"/>
      <c r="X211" s="27" t="str">
        <f t="shared" si="77"/>
        <v/>
      </c>
      <c r="Z211" s="57">
        <f t="shared" si="86"/>
        <v>0</v>
      </c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>
        <f t="shared" si="7"/>
        <v>0</v>
      </c>
    </row>
    <row r="212" ht="15.75" customHeight="1">
      <c r="A212" s="15" t="s">
        <v>590</v>
      </c>
      <c r="B212" s="15" t="s">
        <v>591</v>
      </c>
      <c r="C212" s="15" t="s">
        <v>119</v>
      </c>
      <c r="D212" s="56">
        <f>SUMIF('2015-16 12 Mnths'!$A:$A,'Variance16-17'!$A212,'2015-16 12 Mnths'!C:C)-SUMIF('Budget 12 Mnths'!$A:$A,'Variance16-17'!$A212,'Budget 12 Mnths'!D:D)</f>
        <v>576.55</v>
      </c>
      <c r="E212" s="56">
        <f>SUMIF('2015-16 12 Mnths'!$A:$A,'Variance16-17'!$A212,'2015-16 12 Mnths'!D:D)-SUMIF('Budget 12 Mnths'!$A:$A,'Variance16-17'!$A212,'Budget 12 Mnths'!E:E)</f>
        <v>-8.89</v>
      </c>
      <c r="F212" s="56">
        <f>SUMIF('2015-16 12 Mnths'!$A:$A,'Variance16-17'!$A212,'2015-16 12 Mnths'!E:E)-SUMIF('Budget 12 Mnths'!$A:$A,'Variance16-17'!$A212,'Budget 12 Mnths'!F:F)</f>
        <v>235.39</v>
      </c>
      <c r="G212" s="56">
        <f>SUMIF('2015-16 12 Mnths'!$A:$A,'Variance16-17'!$A212,'2015-16 12 Mnths'!F:F)-SUMIF('Budget 12 Mnths'!$A:$A,'Variance16-17'!$A212,'Budget 12 Mnths'!G:G)</f>
        <v>-33.75</v>
      </c>
      <c r="H212" s="56">
        <f>SUMIF('2015-16 12 Mnths'!$A:$A,'Variance16-17'!$A212,'2015-16 12 Mnths'!G:G)-SUMIF('Budget 12 Mnths'!$A:$A,'Variance16-17'!$A212,'Budget 12 Mnths'!H:H)</f>
        <v>-27.2</v>
      </c>
      <c r="I212" s="56">
        <f>SUMIF('2015-16 12 Mnths'!$A:$A,'Variance16-17'!$A212,'2015-16 12 Mnths'!H:H)-SUMIF('Budget 12 Mnths'!$A:$A,'Variance16-17'!$A212,'Budget 12 Mnths'!I:I)</f>
        <v>-115.74</v>
      </c>
      <c r="J212" s="56">
        <f>SUMIF('2015-16 12 Mnths'!$A:$A,'Variance16-17'!$A212,'2015-16 12 Mnths'!I:I)-SUMIF('Budget 12 Mnths'!$A:$A,'Variance16-17'!$A212,'Budget 12 Mnths'!J:J)</f>
        <v>-115.74</v>
      </c>
      <c r="K212" s="56">
        <f>SUMIF('2015-16 12 Mnths'!$A:$A,'Variance16-17'!$A212,'2015-16 12 Mnths'!J:J)-SUMIF('Budget 12 Mnths'!$A:$A,'Variance16-17'!$A212,'Budget 12 Mnths'!K:K)</f>
        <v>-94.26</v>
      </c>
      <c r="L212" s="56">
        <f>SUMIF('2015-16 12 Mnths'!$A:$A,'Variance16-17'!$A212,'2015-16 12 Mnths'!K:K)-SUMIF('Budget 12 Mnths'!$A:$A,'Variance16-17'!$A212,'Budget 12 Mnths'!L:L)</f>
        <v>-115.74</v>
      </c>
      <c r="M212" s="56"/>
      <c r="N212" s="56"/>
      <c r="O212" s="56"/>
      <c r="P212" s="56">
        <f t="shared" si="1"/>
        <v>300.62</v>
      </c>
      <c r="Q212" s="14" t="str">
        <f>+VLOOKUP(A212,Mapping!$A$1:$E$443,5,FALSE)</f>
        <v>Telecommunications</v>
      </c>
      <c r="R212" s="26">
        <f>+SUMIF('Budget 12 Mnths'!$A:$A,'Variance16-17'!$A212,'Budget 12 Mnths'!$P:$P)</f>
        <v>3500.04</v>
      </c>
      <c r="S212" s="26">
        <f>+SUMIF('2015-16 12 Mnths'!$A:$A,'Variance16-17'!$A212,'2015-16 12 Mnths'!$O:$O)</f>
        <v>2925.65</v>
      </c>
      <c r="T212" s="57">
        <f t="shared" si="2"/>
        <v>0.08589044697</v>
      </c>
      <c r="U212" s="57">
        <f t="shared" si="3"/>
        <v>0.1027532343</v>
      </c>
      <c r="V212" s="8" t="s">
        <v>641</v>
      </c>
      <c r="W212" s="27">
        <v>3500.0</v>
      </c>
      <c r="X212" s="27">
        <f t="shared" si="77"/>
        <v>3500</v>
      </c>
      <c r="Z212" s="57">
        <f t="shared" si="86"/>
        <v>1750</v>
      </c>
      <c r="AA212" s="57">
        <f t="shared" ref="AA212:AL212" si="87">+$X212/12</f>
        <v>291.6666667</v>
      </c>
      <c r="AB212" s="57">
        <f t="shared" si="87"/>
        <v>291.6666667</v>
      </c>
      <c r="AC212" s="57">
        <f t="shared" si="87"/>
        <v>291.6666667</v>
      </c>
      <c r="AD212" s="57">
        <f t="shared" si="87"/>
        <v>291.6666667</v>
      </c>
      <c r="AE212" s="57">
        <f t="shared" si="87"/>
        <v>291.6666667</v>
      </c>
      <c r="AF212" s="57">
        <f t="shared" si="87"/>
        <v>291.6666667</v>
      </c>
      <c r="AG212" s="57">
        <f t="shared" si="87"/>
        <v>291.6666667</v>
      </c>
      <c r="AH212" s="57">
        <f t="shared" si="87"/>
        <v>291.6666667</v>
      </c>
      <c r="AI212" s="57">
        <f t="shared" si="87"/>
        <v>291.6666667</v>
      </c>
      <c r="AJ212" s="57">
        <f t="shared" si="87"/>
        <v>291.6666667</v>
      </c>
      <c r="AK212" s="57">
        <f t="shared" si="87"/>
        <v>291.6666667</v>
      </c>
      <c r="AL212" s="57">
        <f t="shared" si="87"/>
        <v>291.6666667</v>
      </c>
      <c r="AM212" s="27">
        <f t="shared" si="7"/>
        <v>0</v>
      </c>
    </row>
    <row r="213" ht="15.75" customHeight="1">
      <c r="A213" s="15" t="s">
        <v>592</v>
      </c>
      <c r="B213" s="15" t="s">
        <v>593</v>
      </c>
      <c r="C213" s="15" t="s">
        <v>119</v>
      </c>
      <c r="D213" s="56">
        <f>SUMIF('2015-16 12 Mnths'!$A:$A,'Variance16-17'!$A213,'2015-16 12 Mnths'!C:C)-SUMIF('Budget 12 Mnths'!$A:$A,'Variance16-17'!$A213,'Budget 12 Mnths'!D:D)</f>
        <v>0</v>
      </c>
      <c r="E213" s="56">
        <f>SUMIF('2015-16 12 Mnths'!$A:$A,'Variance16-17'!$A213,'2015-16 12 Mnths'!D:D)-SUMIF('Budget 12 Mnths'!$A:$A,'Variance16-17'!$A213,'Budget 12 Mnths'!E:E)</f>
        <v>0</v>
      </c>
      <c r="F213" s="56">
        <f>SUMIF('2015-16 12 Mnths'!$A:$A,'Variance16-17'!$A213,'2015-16 12 Mnths'!E:E)-SUMIF('Budget 12 Mnths'!$A:$A,'Variance16-17'!$A213,'Budget 12 Mnths'!F:F)</f>
        <v>0</v>
      </c>
      <c r="G213" s="56">
        <f>SUMIF('2015-16 12 Mnths'!$A:$A,'Variance16-17'!$A213,'2015-16 12 Mnths'!F:F)-SUMIF('Budget 12 Mnths'!$A:$A,'Variance16-17'!$A213,'Budget 12 Mnths'!G:G)</f>
        <v>0</v>
      </c>
      <c r="H213" s="56">
        <f>SUMIF('2015-16 12 Mnths'!$A:$A,'Variance16-17'!$A213,'2015-16 12 Mnths'!G:G)-SUMIF('Budget 12 Mnths'!$A:$A,'Variance16-17'!$A213,'Budget 12 Mnths'!H:H)</f>
        <v>0</v>
      </c>
      <c r="I213" s="56">
        <f>SUMIF('2015-16 12 Mnths'!$A:$A,'Variance16-17'!$A213,'2015-16 12 Mnths'!H:H)-SUMIF('Budget 12 Mnths'!$A:$A,'Variance16-17'!$A213,'Budget 12 Mnths'!I:I)</f>
        <v>0</v>
      </c>
      <c r="J213" s="56">
        <f>SUMIF('2015-16 12 Mnths'!$A:$A,'Variance16-17'!$A213,'2015-16 12 Mnths'!I:I)-SUMIF('Budget 12 Mnths'!$A:$A,'Variance16-17'!$A213,'Budget 12 Mnths'!J:J)</f>
        <v>0</v>
      </c>
      <c r="K213" s="56">
        <f>SUMIF('2015-16 12 Mnths'!$A:$A,'Variance16-17'!$A213,'2015-16 12 Mnths'!J:J)-SUMIF('Budget 12 Mnths'!$A:$A,'Variance16-17'!$A213,'Budget 12 Mnths'!K:K)</f>
        <v>0</v>
      </c>
      <c r="L213" s="56">
        <f>SUMIF('2015-16 12 Mnths'!$A:$A,'Variance16-17'!$A213,'2015-16 12 Mnths'!K:K)-SUMIF('Budget 12 Mnths'!$A:$A,'Variance16-17'!$A213,'Budget 12 Mnths'!L:L)</f>
        <v>0</v>
      </c>
      <c r="M213" s="56"/>
      <c r="N213" s="56"/>
      <c r="O213" s="56"/>
      <c r="P213" s="56">
        <f t="shared" si="1"/>
        <v>0</v>
      </c>
      <c r="Q213" s="14" t="str">
        <f>+VLOOKUP(A213,Mapping!$A$1:$E$443,5,FALSE)</f>
        <v>Telecommunications</v>
      </c>
      <c r="R213" s="26">
        <f>+SUMIF('Budget 12 Mnths'!$A:$A,'Variance16-17'!$A213,'Budget 12 Mnths'!$P:$P)</f>
        <v>0</v>
      </c>
      <c r="S213" s="26">
        <f>+SUMIF('2015-16 12 Mnths'!$A:$A,'Variance16-17'!$A213,'2015-16 12 Mnths'!$O:$O)</f>
        <v>0</v>
      </c>
      <c r="T213" s="57">
        <f t="shared" si="2"/>
        <v>0</v>
      </c>
      <c r="U213" s="57">
        <f t="shared" si="3"/>
        <v>0</v>
      </c>
      <c r="W213" s="27"/>
      <c r="X213" s="27" t="str">
        <f t="shared" si="77"/>
        <v/>
      </c>
      <c r="Z213" s="57">
        <f t="shared" si="86"/>
        <v>0</v>
      </c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>
        <f t="shared" si="7"/>
        <v>0</v>
      </c>
    </row>
    <row r="214" ht="15.75" customHeight="1">
      <c r="A214" s="15" t="s">
        <v>595</v>
      </c>
      <c r="B214" s="15" t="s">
        <v>596</v>
      </c>
      <c r="C214" s="15" t="s">
        <v>119</v>
      </c>
      <c r="D214" s="56">
        <f>SUMIF('2015-16 12 Mnths'!$A:$A,'Variance16-17'!$A214,'2015-16 12 Mnths'!C:C)-SUMIF('Budget 12 Mnths'!$A:$A,'Variance16-17'!$A214,'Budget 12 Mnths'!D:D)</f>
        <v>32.76</v>
      </c>
      <c r="E214" s="56">
        <f>SUMIF('2015-16 12 Mnths'!$A:$A,'Variance16-17'!$A214,'2015-16 12 Mnths'!D:D)-SUMIF('Budget 12 Mnths'!$A:$A,'Variance16-17'!$A214,'Budget 12 Mnths'!E:E)</f>
        <v>12.22</v>
      </c>
      <c r="F214" s="56">
        <f>SUMIF('2015-16 12 Mnths'!$A:$A,'Variance16-17'!$A214,'2015-16 12 Mnths'!E:E)-SUMIF('Budget 12 Mnths'!$A:$A,'Variance16-17'!$A214,'Budget 12 Mnths'!F:F)</f>
        <v>66.62</v>
      </c>
      <c r="G214" s="56">
        <f>SUMIF('2015-16 12 Mnths'!$A:$A,'Variance16-17'!$A214,'2015-16 12 Mnths'!F:F)-SUMIF('Budget 12 Mnths'!$A:$A,'Variance16-17'!$A214,'Budget 12 Mnths'!G:G)</f>
        <v>-46.19</v>
      </c>
      <c r="H214" s="56">
        <f>SUMIF('2015-16 12 Mnths'!$A:$A,'Variance16-17'!$A214,'2015-16 12 Mnths'!G:G)-SUMIF('Budget 12 Mnths'!$A:$A,'Variance16-17'!$A214,'Budget 12 Mnths'!H:H)</f>
        <v>-46.19</v>
      </c>
      <c r="I214" s="56">
        <f>SUMIF('2015-16 12 Mnths'!$A:$A,'Variance16-17'!$A214,'2015-16 12 Mnths'!H:H)-SUMIF('Budget 12 Mnths'!$A:$A,'Variance16-17'!$A214,'Budget 12 Mnths'!I:I)</f>
        <v>177.17</v>
      </c>
      <c r="J214" s="56">
        <f>SUMIF('2015-16 12 Mnths'!$A:$A,'Variance16-17'!$A214,'2015-16 12 Mnths'!I:I)-SUMIF('Budget 12 Mnths'!$A:$A,'Variance16-17'!$A214,'Budget 12 Mnths'!J:J)</f>
        <v>-70.22</v>
      </c>
      <c r="K214" s="56">
        <f>SUMIF('2015-16 12 Mnths'!$A:$A,'Variance16-17'!$A214,'2015-16 12 Mnths'!J:J)-SUMIF('Budget 12 Mnths'!$A:$A,'Variance16-17'!$A214,'Budget 12 Mnths'!K:K)</f>
        <v>-46.19</v>
      </c>
      <c r="L214" s="56">
        <f>SUMIF('2015-16 12 Mnths'!$A:$A,'Variance16-17'!$A214,'2015-16 12 Mnths'!K:K)-SUMIF('Budget 12 Mnths'!$A:$A,'Variance16-17'!$A214,'Budget 12 Mnths'!L:L)</f>
        <v>-46.19</v>
      </c>
      <c r="M214" s="56"/>
      <c r="N214" s="56"/>
      <c r="O214" s="56"/>
      <c r="P214" s="56">
        <f t="shared" si="1"/>
        <v>33.79</v>
      </c>
      <c r="Q214" s="14" t="str">
        <f>+VLOOKUP(A214,Mapping!$A$1:$E$443,5,FALSE)</f>
        <v>Postage</v>
      </c>
      <c r="R214" s="26">
        <f>+SUMIF('Budget 12 Mnths'!$A:$A,'Variance16-17'!$A214,'Budget 12 Mnths'!$P:$P)</f>
        <v>750</v>
      </c>
      <c r="S214" s="26">
        <f>+SUMIF('2015-16 12 Mnths'!$A:$A,'Variance16-17'!$A214,'2015-16 12 Mnths'!$O:$O)</f>
        <v>826.39</v>
      </c>
      <c r="T214" s="57">
        <f t="shared" si="2"/>
        <v>0.04505333333</v>
      </c>
      <c r="U214" s="57">
        <f t="shared" si="3"/>
        <v>0.04088868452</v>
      </c>
      <c r="V214" s="8" t="s">
        <v>641</v>
      </c>
      <c r="W214" s="27">
        <v>750.0</v>
      </c>
      <c r="X214" s="27">
        <f t="shared" si="77"/>
        <v>750</v>
      </c>
      <c r="Z214" s="57">
        <f t="shared" si="86"/>
        <v>375</v>
      </c>
      <c r="AA214" s="57">
        <f t="shared" ref="AA214:AL214" si="88">+$X214/12</f>
        <v>62.5</v>
      </c>
      <c r="AB214" s="57">
        <f t="shared" si="88"/>
        <v>62.5</v>
      </c>
      <c r="AC214" s="57">
        <f t="shared" si="88"/>
        <v>62.5</v>
      </c>
      <c r="AD214" s="57">
        <f t="shared" si="88"/>
        <v>62.5</v>
      </c>
      <c r="AE214" s="57">
        <f t="shared" si="88"/>
        <v>62.5</v>
      </c>
      <c r="AF214" s="57">
        <f t="shared" si="88"/>
        <v>62.5</v>
      </c>
      <c r="AG214" s="57">
        <f t="shared" si="88"/>
        <v>62.5</v>
      </c>
      <c r="AH214" s="57">
        <f t="shared" si="88"/>
        <v>62.5</v>
      </c>
      <c r="AI214" s="57">
        <f t="shared" si="88"/>
        <v>62.5</v>
      </c>
      <c r="AJ214" s="57">
        <f t="shared" si="88"/>
        <v>62.5</v>
      </c>
      <c r="AK214" s="57">
        <f t="shared" si="88"/>
        <v>62.5</v>
      </c>
      <c r="AL214" s="57">
        <f t="shared" si="88"/>
        <v>62.5</v>
      </c>
      <c r="AM214" s="27">
        <f t="shared" si="7"/>
        <v>0</v>
      </c>
    </row>
    <row r="215" ht="15.75" customHeight="1">
      <c r="A215" s="15" t="s">
        <v>597</v>
      </c>
      <c r="B215" s="15" t="s">
        <v>596</v>
      </c>
      <c r="C215" s="15" t="s">
        <v>119</v>
      </c>
      <c r="D215" s="56">
        <f>SUMIF('2015-16 12 Mnths'!$A:$A,'Variance16-17'!$A215,'2015-16 12 Mnths'!C:C)-SUMIF('Budget 12 Mnths'!$A:$A,'Variance16-17'!$A215,'Budget 12 Mnths'!D:D)</f>
        <v>0</v>
      </c>
      <c r="E215" s="56">
        <f>SUMIF('2015-16 12 Mnths'!$A:$A,'Variance16-17'!$A215,'2015-16 12 Mnths'!D:D)-SUMIF('Budget 12 Mnths'!$A:$A,'Variance16-17'!$A215,'Budget 12 Mnths'!E:E)</f>
        <v>0</v>
      </c>
      <c r="F215" s="56">
        <f>SUMIF('2015-16 12 Mnths'!$A:$A,'Variance16-17'!$A215,'2015-16 12 Mnths'!E:E)-SUMIF('Budget 12 Mnths'!$A:$A,'Variance16-17'!$A215,'Budget 12 Mnths'!F:F)</f>
        <v>0</v>
      </c>
      <c r="G215" s="56">
        <f>SUMIF('2015-16 12 Mnths'!$A:$A,'Variance16-17'!$A215,'2015-16 12 Mnths'!F:F)-SUMIF('Budget 12 Mnths'!$A:$A,'Variance16-17'!$A215,'Budget 12 Mnths'!G:G)</f>
        <v>0</v>
      </c>
      <c r="H215" s="56">
        <f>SUMIF('2015-16 12 Mnths'!$A:$A,'Variance16-17'!$A215,'2015-16 12 Mnths'!G:G)-SUMIF('Budget 12 Mnths'!$A:$A,'Variance16-17'!$A215,'Budget 12 Mnths'!H:H)</f>
        <v>0</v>
      </c>
      <c r="I215" s="56">
        <f>SUMIF('2015-16 12 Mnths'!$A:$A,'Variance16-17'!$A215,'2015-16 12 Mnths'!H:H)-SUMIF('Budget 12 Mnths'!$A:$A,'Variance16-17'!$A215,'Budget 12 Mnths'!I:I)</f>
        <v>0</v>
      </c>
      <c r="J215" s="56">
        <f>SUMIF('2015-16 12 Mnths'!$A:$A,'Variance16-17'!$A215,'2015-16 12 Mnths'!I:I)-SUMIF('Budget 12 Mnths'!$A:$A,'Variance16-17'!$A215,'Budget 12 Mnths'!J:J)</f>
        <v>0</v>
      </c>
      <c r="K215" s="56">
        <f>SUMIF('2015-16 12 Mnths'!$A:$A,'Variance16-17'!$A215,'2015-16 12 Mnths'!J:J)-SUMIF('Budget 12 Mnths'!$A:$A,'Variance16-17'!$A215,'Budget 12 Mnths'!K:K)</f>
        <v>0</v>
      </c>
      <c r="L215" s="56">
        <f>SUMIF('2015-16 12 Mnths'!$A:$A,'Variance16-17'!$A215,'2015-16 12 Mnths'!K:K)-SUMIF('Budget 12 Mnths'!$A:$A,'Variance16-17'!$A215,'Budget 12 Mnths'!L:L)</f>
        <v>0</v>
      </c>
      <c r="M215" s="56"/>
      <c r="N215" s="56"/>
      <c r="O215" s="56"/>
      <c r="P215" s="56">
        <f t="shared" si="1"/>
        <v>0</v>
      </c>
      <c r="Q215" s="14" t="str">
        <f>+VLOOKUP(A215,Mapping!$A$1:$E$443,5,FALSE)</f>
        <v>Postage</v>
      </c>
      <c r="R215" s="26">
        <f>+SUMIF('Budget 12 Mnths'!$A:$A,'Variance16-17'!$A215,'Budget 12 Mnths'!$P:$P)</f>
        <v>0</v>
      </c>
      <c r="S215" s="26">
        <f>+SUMIF('2015-16 12 Mnths'!$A:$A,'Variance16-17'!$A215,'2015-16 12 Mnths'!$O:$O)</f>
        <v>0</v>
      </c>
      <c r="T215" s="57">
        <f t="shared" si="2"/>
        <v>0</v>
      </c>
      <c r="U215" s="57">
        <f t="shared" si="3"/>
        <v>0</v>
      </c>
      <c r="W215" s="27"/>
      <c r="X215" s="27" t="str">
        <f t="shared" si="77"/>
        <v/>
      </c>
      <c r="Z215" s="57">
        <f t="shared" si="86"/>
        <v>0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>
        <f t="shared" si="7"/>
        <v>0</v>
      </c>
    </row>
    <row r="216" ht="15.75" customHeight="1">
      <c r="A216" s="15" t="s">
        <v>598</v>
      </c>
      <c r="B216" s="15" t="s">
        <v>596</v>
      </c>
      <c r="C216" s="15" t="s">
        <v>119</v>
      </c>
      <c r="D216" s="56">
        <f>SUMIF('2015-16 12 Mnths'!$A:$A,'Variance16-17'!$A216,'2015-16 12 Mnths'!C:C)-SUMIF('Budget 12 Mnths'!$A:$A,'Variance16-17'!$A216,'Budget 12 Mnths'!D:D)</f>
        <v>0</v>
      </c>
      <c r="E216" s="56">
        <f>SUMIF('2015-16 12 Mnths'!$A:$A,'Variance16-17'!$A216,'2015-16 12 Mnths'!D:D)-SUMIF('Budget 12 Mnths'!$A:$A,'Variance16-17'!$A216,'Budget 12 Mnths'!E:E)</f>
        <v>0</v>
      </c>
      <c r="F216" s="56">
        <f>SUMIF('2015-16 12 Mnths'!$A:$A,'Variance16-17'!$A216,'2015-16 12 Mnths'!E:E)-SUMIF('Budget 12 Mnths'!$A:$A,'Variance16-17'!$A216,'Budget 12 Mnths'!F:F)</f>
        <v>0</v>
      </c>
      <c r="G216" s="56">
        <f>SUMIF('2015-16 12 Mnths'!$A:$A,'Variance16-17'!$A216,'2015-16 12 Mnths'!F:F)-SUMIF('Budget 12 Mnths'!$A:$A,'Variance16-17'!$A216,'Budget 12 Mnths'!G:G)</f>
        <v>0</v>
      </c>
      <c r="H216" s="56">
        <f>SUMIF('2015-16 12 Mnths'!$A:$A,'Variance16-17'!$A216,'2015-16 12 Mnths'!G:G)-SUMIF('Budget 12 Mnths'!$A:$A,'Variance16-17'!$A216,'Budget 12 Mnths'!H:H)</f>
        <v>0</v>
      </c>
      <c r="I216" s="56">
        <f>SUMIF('2015-16 12 Mnths'!$A:$A,'Variance16-17'!$A216,'2015-16 12 Mnths'!H:H)-SUMIF('Budget 12 Mnths'!$A:$A,'Variance16-17'!$A216,'Budget 12 Mnths'!I:I)</f>
        <v>0</v>
      </c>
      <c r="J216" s="56">
        <f>SUMIF('2015-16 12 Mnths'!$A:$A,'Variance16-17'!$A216,'2015-16 12 Mnths'!I:I)-SUMIF('Budget 12 Mnths'!$A:$A,'Variance16-17'!$A216,'Budget 12 Mnths'!J:J)</f>
        <v>0</v>
      </c>
      <c r="K216" s="56">
        <f>SUMIF('2015-16 12 Mnths'!$A:$A,'Variance16-17'!$A216,'2015-16 12 Mnths'!J:J)-SUMIF('Budget 12 Mnths'!$A:$A,'Variance16-17'!$A216,'Budget 12 Mnths'!K:K)</f>
        <v>0</v>
      </c>
      <c r="L216" s="56">
        <f>SUMIF('2015-16 12 Mnths'!$A:$A,'Variance16-17'!$A216,'2015-16 12 Mnths'!K:K)-SUMIF('Budget 12 Mnths'!$A:$A,'Variance16-17'!$A216,'Budget 12 Mnths'!L:L)</f>
        <v>0</v>
      </c>
      <c r="M216" s="56"/>
      <c r="N216" s="56"/>
      <c r="O216" s="56"/>
      <c r="P216" s="56">
        <f t="shared" si="1"/>
        <v>0</v>
      </c>
      <c r="Q216" s="14" t="str">
        <f>+VLOOKUP(A216,Mapping!$A$1:$E$443,5,FALSE)</f>
        <v>Postage</v>
      </c>
      <c r="R216" s="26">
        <f>+SUMIF('Budget 12 Mnths'!$A:$A,'Variance16-17'!$A216,'Budget 12 Mnths'!$P:$P)</f>
        <v>0</v>
      </c>
      <c r="S216" s="26">
        <f>+SUMIF('2015-16 12 Mnths'!$A:$A,'Variance16-17'!$A216,'2015-16 12 Mnths'!$O:$O)</f>
        <v>0</v>
      </c>
      <c r="T216" s="57">
        <f t="shared" si="2"/>
        <v>0</v>
      </c>
      <c r="U216" s="57">
        <f t="shared" si="3"/>
        <v>0</v>
      </c>
      <c r="W216" s="27"/>
      <c r="X216" s="27" t="str">
        <f t="shared" si="77"/>
        <v/>
      </c>
      <c r="Z216" s="57">
        <f t="shared" si="86"/>
        <v>0</v>
      </c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>
        <f t="shared" si="7"/>
        <v>0</v>
      </c>
    </row>
    <row r="217" ht="15.75" customHeight="1">
      <c r="A217" s="15" t="s">
        <v>599</v>
      </c>
      <c r="B217" s="15" t="s">
        <v>600</v>
      </c>
      <c r="C217" s="15" t="s">
        <v>119</v>
      </c>
      <c r="D217" s="56">
        <f>SUMIF('2015-16 12 Mnths'!$A:$A,'Variance16-17'!$A217,'2015-16 12 Mnths'!C:C)-SUMIF('Budget 12 Mnths'!$A:$A,'Variance16-17'!$A217,'Budget 12 Mnths'!D:D)</f>
        <v>-57.67</v>
      </c>
      <c r="E217" s="56">
        <f>SUMIF('2015-16 12 Mnths'!$A:$A,'Variance16-17'!$A217,'2015-16 12 Mnths'!D:D)-SUMIF('Budget 12 Mnths'!$A:$A,'Variance16-17'!$A217,'Budget 12 Mnths'!E:E)</f>
        <v>-57.67</v>
      </c>
      <c r="F217" s="56">
        <f>SUMIF('2015-16 12 Mnths'!$A:$A,'Variance16-17'!$A217,'2015-16 12 Mnths'!E:E)-SUMIF('Budget 12 Mnths'!$A:$A,'Variance16-17'!$A217,'Budget 12 Mnths'!F:F)</f>
        <v>-57.67</v>
      </c>
      <c r="G217" s="56">
        <f>SUMIF('2015-16 12 Mnths'!$A:$A,'Variance16-17'!$A217,'2015-16 12 Mnths'!F:F)-SUMIF('Budget 12 Mnths'!$A:$A,'Variance16-17'!$A217,'Budget 12 Mnths'!G:G)</f>
        <v>-57.67</v>
      </c>
      <c r="H217" s="56">
        <f>SUMIF('2015-16 12 Mnths'!$A:$A,'Variance16-17'!$A217,'2015-16 12 Mnths'!G:G)-SUMIF('Budget 12 Mnths'!$A:$A,'Variance16-17'!$A217,'Budget 12 Mnths'!H:H)</f>
        <v>-57.67</v>
      </c>
      <c r="I217" s="56">
        <f>SUMIF('2015-16 12 Mnths'!$A:$A,'Variance16-17'!$A217,'2015-16 12 Mnths'!H:H)-SUMIF('Budget 12 Mnths'!$A:$A,'Variance16-17'!$A217,'Budget 12 Mnths'!I:I)</f>
        <v>-57.67</v>
      </c>
      <c r="J217" s="56">
        <f>SUMIF('2015-16 12 Mnths'!$A:$A,'Variance16-17'!$A217,'2015-16 12 Mnths'!I:I)-SUMIF('Budget 12 Mnths'!$A:$A,'Variance16-17'!$A217,'Budget 12 Mnths'!J:J)</f>
        <v>-57.67</v>
      </c>
      <c r="K217" s="56">
        <f>SUMIF('2015-16 12 Mnths'!$A:$A,'Variance16-17'!$A217,'2015-16 12 Mnths'!J:J)-SUMIF('Budget 12 Mnths'!$A:$A,'Variance16-17'!$A217,'Budget 12 Mnths'!K:K)</f>
        <v>-57.67</v>
      </c>
      <c r="L217" s="56">
        <f>SUMIF('2015-16 12 Mnths'!$A:$A,'Variance16-17'!$A217,'2015-16 12 Mnths'!K:K)-SUMIF('Budget 12 Mnths'!$A:$A,'Variance16-17'!$A217,'Budget 12 Mnths'!L:L)</f>
        <v>-57.67</v>
      </c>
      <c r="M217" s="56"/>
      <c r="N217" s="56"/>
      <c r="O217" s="56"/>
      <c r="P217" s="56">
        <f t="shared" si="1"/>
        <v>-519.03</v>
      </c>
      <c r="Q217" s="14" t="str">
        <f>+VLOOKUP(A217,Mapping!$A$1:$E$443,5,FALSE)</f>
        <v>Fixed Occupancy</v>
      </c>
      <c r="R217" s="26">
        <f>+SUMIF('Budget 12 Mnths'!$A:$A,'Variance16-17'!$A217,'Budget 12 Mnths'!$P:$P)</f>
        <v>47000.04</v>
      </c>
      <c r="S217" s="26">
        <f>+SUMIF('2015-16 12 Mnths'!$A:$A,'Variance16-17'!$A217,'2015-16 12 Mnths'!$O:$O)</f>
        <v>34731</v>
      </c>
      <c r="T217" s="57">
        <f t="shared" si="2"/>
        <v>-0.01104318209</v>
      </c>
      <c r="U217" s="57">
        <f t="shared" si="3"/>
        <v>-0.01494428608</v>
      </c>
      <c r="V217" s="8" t="s">
        <v>594</v>
      </c>
      <c r="W217" s="27">
        <v>88000.0</v>
      </c>
      <c r="X217" s="27">
        <f t="shared" si="77"/>
        <v>88000</v>
      </c>
      <c r="Z217" s="57">
        <f t="shared" si="86"/>
        <v>44000</v>
      </c>
      <c r="AA217" s="57">
        <f t="shared" ref="AA217:AL217" si="89">+$X217/12</f>
        <v>7333.333333</v>
      </c>
      <c r="AB217" s="57">
        <f t="shared" si="89"/>
        <v>7333.333333</v>
      </c>
      <c r="AC217" s="57">
        <f t="shared" si="89"/>
        <v>7333.333333</v>
      </c>
      <c r="AD217" s="57">
        <f t="shared" si="89"/>
        <v>7333.333333</v>
      </c>
      <c r="AE217" s="57">
        <f t="shared" si="89"/>
        <v>7333.333333</v>
      </c>
      <c r="AF217" s="57">
        <f t="shared" si="89"/>
        <v>7333.333333</v>
      </c>
      <c r="AG217" s="57">
        <f t="shared" si="89"/>
        <v>7333.333333</v>
      </c>
      <c r="AH217" s="57">
        <f t="shared" si="89"/>
        <v>7333.333333</v>
      </c>
      <c r="AI217" s="57">
        <f t="shared" si="89"/>
        <v>7333.333333</v>
      </c>
      <c r="AJ217" s="57">
        <f t="shared" si="89"/>
        <v>7333.333333</v>
      </c>
      <c r="AK217" s="57">
        <f t="shared" si="89"/>
        <v>7333.333333</v>
      </c>
      <c r="AL217" s="57">
        <f t="shared" si="89"/>
        <v>7333.333333</v>
      </c>
      <c r="AM217" s="27">
        <f t="shared" si="7"/>
        <v>0</v>
      </c>
    </row>
    <row r="218" ht="15.75" customHeight="1">
      <c r="A218" s="15" t="s">
        <v>602</v>
      </c>
      <c r="B218" s="15" t="s">
        <v>600</v>
      </c>
      <c r="C218" s="15" t="s">
        <v>119</v>
      </c>
      <c r="D218" s="56">
        <f>SUMIF('2015-16 12 Mnths'!$A:$A,'Variance16-17'!$A218,'2015-16 12 Mnths'!C:C)-SUMIF('Budget 12 Mnths'!$A:$A,'Variance16-17'!$A218,'Budget 12 Mnths'!D:D)</f>
        <v>0</v>
      </c>
      <c r="E218" s="56">
        <f>SUMIF('2015-16 12 Mnths'!$A:$A,'Variance16-17'!$A218,'2015-16 12 Mnths'!D:D)-SUMIF('Budget 12 Mnths'!$A:$A,'Variance16-17'!$A218,'Budget 12 Mnths'!E:E)</f>
        <v>0</v>
      </c>
      <c r="F218" s="56">
        <f>SUMIF('2015-16 12 Mnths'!$A:$A,'Variance16-17'!$A218,'2015-16 12 Mnths'!E:E)-SUMIF('Budget 12 Mnths'!$A:$A,'Variance16-17'!$A218,'Budget 12 Mnths'!F:F)</f>
        <v>0</v>
      </c>
      <c r="G218" s="56">
        <f>SUMIF('2015-16 12 Mnths'!$A:$A,'Variance16-17'!$A218,'2015-16 12 Mnths'!F:F)-SUMIF('Budget 12 Mnths'!$A:$A,'Variance16-17'!$A218,'Budget 12 Mnths'!G:G)</f>
        <v>0</v>
      </c>
      <c r="H218" s="56">
        <f>SUMIF('2015-16 12 Mnths'!$A:$A,'Variance16-17'!$A218,'2015-16 12 Mnths'!G:G)-SUMIF('Budget 12 Mnths'!$A:$A,'Variance16-17'!$A218,'Budget 12 Mnths'!H:H)</f>
        <v>0</v>
      </c>
      <c r="I218" s="56">
        <f>SUMIF('2015-16 12 Mnths'!$A:$A,'Variance16-17'!$A218,'2015-16 12 Mnths'!H:H)-SUMIF('Budget 12 Mnths'!$A:$A,'Variance16-17'!$A218,'Budget 12 Mnths'!I:I)</f>
        <v>0</v>
      </c>
      <c r="J218" s="56">
        <f>SUMIF('2015-16 12 Mnths'!$A:$A,'Variance16-17'!$A218,'2015-16 12 Mnths'!I:I)-SUMIF('Budget 12 Mnths'!$A:$A,'Variance16-17'!$A218,'Budget 12 Mnths'!J:J)</f>
        <v>0</v>
      </c>
      <c r="K218" s="56">
        <f>SUMIF('2015-16 12 Mnths'!$A:$A,'Variance16-17'!$A218,'2015-16 12 Mnths'!J:J)-SUMIF('Budget 12 Mnths'!$A:$A,'Variance16-17'!$A218,'Budget 12 Mnths'!K:K)</f>
        <v>0</v>
      </c>
      <c r="L218" s="56">
        <f>SUMIF('2015-16 12 Mnths'!$A:$A,'Variance16-17'!$A218,'2015-16 12 Mnths'!K:K)-SUMIF('Budget 12 Mnths'!$A:$A,'Variance16-17'!$A218,'Budget 12 Mnths'!L:L)</f>
        <v>0</v>
      </c>
      <c r="M218" s="56"/>
      <c r="N218" s="56"/>
      <c r="O218" s="56"/>
      <c r="P218" s="56">
        <f t="shared" si="1"/>
        <v>0</v>
      </c>
      <c r="Q218" s="14" t="str">
        <f>+VLOOKUP(A218,Mapping!$A$1:$E$443,5,FALSE)</f>
        <v>Fixed Occupancy</v>
      </c>
      <c r="R218" s="26">
        <f>+SUMIF('Budget 12 Mnths'!$A:$A,'Variance16-17'!$A218,'Budget 12 Mnths'!$P:$P)</f>
        <v>0</v>
      </c>
      <c r="S218" s="26">
        <f>+SUMIF('2015-16 12 Mnths'!$A:$A,'Variance16-17'!$A218,'2015-16 12 Mnths'!$O:$O)</f>
        <v>0</v>
      </c>
      <c r="T218" s="57">
        <f t="shared" si="2"/>
        <v>0</v>
      </c>
      <c r="U218" s="57">
        <f t="shared" si="3"/>
        <v>0</v>
      </c>
      <c r="W218" s="27">
        <v>6000.0</v>
      </c>
      <c r="X218" s="27">
        <f t="shared" si="77"/>
        <v>6000</v>
      </c>
      <c r="Z218" s="57">
        <f t="shared" si="86"/>
        <v>3000</v>
      </c>
      <c r="AA218" s="57">
        <f t="shared" ref="AA218:AL218" si="90">+$X218/12</f>
        <v>500</v>
      </c>
      <c r="AB218" s="57">
        <f t="shared" si="90"/>
        <v>500</v>
      </c>
      <c r="AC218" s="57">
        <f t="shared" si="90"/>
        <v>500</v>
      </c>
      <c r="AD218" s="57">
        <f t="shared" si="90"/>
        <v>500</v>
      </c>
      <c r="AE218" s="57">
        <f t="shared" si="90"/>
        <v>500</v>
      </c>
      <c r="AF218" s="57">
        <f t="shared" si="90"/>
        <v>500</v>
      </c>
      <c r="AG218" s="57">
        <f t="shared" si="90"/>
        <v>500</v>
      </c>
      <c r="AH218" s="57">
        <f t="shared" si="90"/>
        <v>500</v>
      </c>
      <c r="AI218" s="57">
        <f t="shared" si="90"/>
        <v>500</v>
      </c>
      <c r="AJ218" s="57">
        <f t="shared" si="90"/>
        <v>500</v>
      </c>
      <c r="AK218" s="57">
        <f t="shared" si="90"/>
        <v>500</v>
      </c>
      <c r="AL218" s="57">
        <f t="shared" si="90"/>
        <v>500</v>
      </c>
      <c r="AM218" s="27">
        <f t="shared" si="7"/>
        <v>0</v>
      </c>
    </row>
    <row r="219" ht="15.75" customHeight="1">
      <c r="A219" s="15" t="s">
        <v>603</v>
      </c>
      <c r="B219" s="15" t="s">
        <v>600</v>
      </c>
      <c r="C219" s="15" t="s">
        <v>119</v>
      </c>
      <c r="D219" s="56">
        <f>SUMIF('2015-16 12 Mnths'!$A:$A,'Variance16-17'!$A219,'2015-16 12 Mnths'!C:C)-SUMIF('Budget 12 Mnths'!$A:$A,'Variance16-17'!$A219,'Budget 12 Mnths'!D:D)</f>
        <v>0</v>
      </c>
      <c r="E219" s="56">
        <f>SUMIF('2015-16 12 Mnths'!$A:$A,'Variance16-17'!$A219,'2015-16 12 Mnths'!D:D)-SUMIF('Budget 12 Mnths'!$A:$A,'Variance16-17'!$A219,'Budget 12 Mnths'!E:E)</f>
        <v>0</v>
      </c>
      <c r="F219" s="56">
        <f>SUMIF('2015-16 12 Mnths'!$A:$A,'Variance16-17'!$A219,'2015-16 12 Mnths'!E:E)-SUMIF('Budget 12 Mnths'!$A:$A,'Variance16-17'!$A219,'Budget 12 Mnths'!F:F)</f>
        <v>0</v>
      </c>
      <c r="G219" s="56">
        <f>SUMIF('2015-16 12 Mnths'!$A:$A,'Variance16-17'!$A219,'2015-16 12 Mnths'!F:F)-SUMIF('Budget 12 Mnths'!$A:$A,'Variance16-17'!$A219,'Budget 12 Mnths'!G:G)</f>
        <v>0</v>
      </c>
      <c r="H219" s="56">
        <f>SUMIF('2015-16 12 Mnths'!$A:$A,'Variance16-17'!$A219,'2015-16 12 Mnths'!G:G)-SUMIF('Budget 12 Mnths'!$A:$A,'Variance16-17'!$A219,'Budget 12 Mnths'!H:H)</f>
        <v>0</v>
      </c>
      <c r="I219" s="56">
        <f>SUMIF('2015-16 12 Mnths'!$A:$A,'Variance16-17'!$A219,'2015-16 12 Mnths'!H:H)-SUMIF('Budget 12 Mnths'!$A:$A,'Variance16-17'!$A219,'Budget 12 Mnths'!I:I)</f>
        <v>0</v>
      </c>
      <c r="J219" s="56">
        <f>SUMIF('2015-16 12 Mnths'!$A:$A,'Variance16-17'!$A219,'2015-16 12 Mnths'!I:I)-SUMIF('Budget 12 Mnths'!$A:$A,'Variance16-17'!$A219,'Budget 12 Mnths'!J:J)</f>
        <v>0</v>
      </c>
      <c r="K219" s="56">
        <f>SUMIF('2015-16 12 Mnths'!$A:$A,'Variance16-17'!$A219,'2015-16 12 Mnths'!J:J)-SUMIF('Budget 12 Mnths'!$A:$A,'Variance16-17'!$A219,'Budget 12 Mnths'!K:K)</f>
        <v>0</v>
      </c>
      <c r="L219" s="56">
        <f>SUMIF('2015-16 12 Mnths'!$A:$A,'Variance16-17'!$A219,'2015-16 12 Mnths'!K:K)-SUMIF('Budget 12 Mnths'!$A:$A,'Variance16-17'!$A219,'Budget 12 Mnths'!L:L)</f>
        <v>0</v>
      </c>
      <c r="M219" s="56"/>
      <c r="N219" s="56"/>
      <c r="O219" s="56"/>
      <c r="P219" s="56">
        <f t="shared" si="1"/>
        <v>0</v>
      </c>
      <c r="Q219" s="14" t="str">
        <f>+VLOOKUP(A219,Mapping!$A$1:$E$443,5,FALSE)</f>
        <v>Fixed Occupancy</v>
      </c>
      <c r="R219" s="26">
        <f>+SUMIF('Budget 12 Mnths'!$A:$A,'Variance16-17'!$A219,'Budget 12 Mnths'!$P:$P)</f>
        <v>0</v>
      </c>
      <c r="S219" s="26">
        <f>+SUMIF('2015-16 12 Mnths'!$A:$A,'Variance16-17'!$A219,'2015-16 12 Mnths'!$O:$O)</f>
        <v>0</v>
      </c>
      <c r="T219" s="57">
        <f t="shared" si="2"/>
        <v>0</v>
      </c>
      <c r="U219" s="57">
        <f t="shared" si="3"/>
        <v>0</v>
      </c>
      <c r="W219" s="27"/>
      <c r="X219" s="27" t="str">
        <f t="shared" si="77"/>
        <v/>
      </c>
      <c r="Z219" s="57">
        <f t="shared" si="86"/>
        <v>0</v>
      </c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>
        <f t="shared" si="7"/>
        <v>0</v>
      </c>
    </row>
    <row r="220" ht="15.75" customHeight="1">
      <c r="A220" s="15" t="s">
        <v>604</v>
      </c>
      <c r="B220" s="15" t="s">
        <v>605</v>
      </c>
      <c r="C220" s="15" t="s">
        <v>119</v>
      </c>
      <c r="D220" s="56">
        <f>SUMIF('2015-16 12 Mnths'!$A:$A,'Variance16-17'!$A220,'2015-16 12 Mnths'!C:C)-SUMIF('Budget 12 Mnths'!$A:$A,'Variance16-17'!$A220,'Budget 12 Mnths'!D:D)</f>
        <v>0</v>
      </c>
      <c r="E220" s="56">
        <f>SUMIF('2015-16 12 Mnths'!$A:$A,'Variance16-17'!$A220,'2015-16 12 Mnths'!D:D)-SUMIF('Budget 12 Mnths'!$A:$A,'Variance16-17'!$A220,'Budget 12 Mnths'!E:E)</f>
        <v>0</v>
      </c>
      <c r="F220" s="56">
        <f>SUMIF('2015-16 12 Mnths'!$A:$A,'Variance16-17'!$A220,'2015-16 12 Mnths'!E:E)-SUMIF('Budget 12 Mnths'!$A:$A,'Variance16-17'!$A220,'Budget 12 Mnths'!F:F)</f>
        <v>0</v>
      </c>
      <c r="G220" s="56">
        <f>SUMIF('2015-16 12 Mnths'!$A:$A,'Variance16-17'!$A220,'2015-16 12 Mnths'!F:F)-SUMIF('Budget 12 Mnths'!$A:$A,'Variance16-17'!$A220,'Budget 12 Mnths'!G:G)</f>
        <v>0</v>
      </c>
      <c r="H220" s="56">
        <f>SUMIF('2015-16 12 Mnths'!$A:$A,'Variance16-17'!$A220,'2015-16 12 Mnths'!G:G)-SUMIF('Budget 12 Mnths'!$A:$A,'Variance16-17'!$A220,'Budget 12 Mnths'!H:H)</f>
        <v>0</v>
      </c>
      <c r="I220" s="56">
        <f>SUMIF('2015-16 12 Mnths'!$A:$A,'Variance16-17'!$A220,'2015-16 12 Mnths'!H:H)-SUMIF('Budget 12 Mnths'!$A:$A,'Variance16-17'!$A220,'Budget 12 Mnths'!I:I)</f>
        <v>0</v>
      </c>
      <c r="J220" s="56">
        <f>SUMIF('2015-16 12 Mnths'!$A:$A,'Variance16-17'!$A220,'2015-16 12 Mnths'!I:I)-SUMIF('Budget 12 Mnths'!$A:$A,'Variance16-17'!$A220,'Budget 12 Mnths'!J:J)</f>
        <v>0</v>
      </c>
      <c r="K220" s="56">
        <f>SUMIF('2015-16 12 Mnths'!$A:$A,'Variance16-17'!$A220,'2015-16 12 Mnths'!J:J)-SUMIF('Budget 12 Mnths'!$A:$A,'Variance16-17'!$A220,'Budget 12 Mnths'!K:K)</f>
        <v>0</v>
      </c>
      <c r="L220" s="56">
        <f>SUMIF('2015-16 12 Mnths'!$A:$A,'Variance16-17'!$A220,'2015-16 12 Mnths'!K:K)-SUMIF('Budget 12 Mnths'!$A:$A,'Variance16-17'!$A220,'Budget 12 Mnths'!L:L)</f>
        <v>0</v>
      </c>
      <c r="M220" s="56"/>
      <c r="N220" s="56"/>
      <c r="O220" s="56"/>
      <c r="P220" s="56">
        <f t="shared" si="1"/>
        <v>0</v>
      </c>
      <c r="Q220" s="14" t="str">
        <f>+VLOOKUP(A220,Mapping!$A$1:$E$443,5,FALSE)</f>
        <v>Fixed Occupancy</v>
      </c>
      <c r="R220" s="26">
        <f>+SUMIF('Budget 12 Mnths'!$A:$A,'Variance16-17'!$A220,'Budget 12 Mnths'!$P:$P)</f>
        <v>0</v>
      </c>
      <c r="S220" s="26">
        <f>+SUMIF('2015-16 12 Mnths'!$A:$A,'Variance16-17'!$A220,'2015-16 12 Mnths'!$O:$O)</f>
        <v>0</v>
      </c>
      <c r="T220" s="57">
        <f t="shared" si="2"/>
        <v>0</v>
      </c>
      <c r="U220" s="57">
        <f t="shared" si="3"/>
        <v>0</v>
      </c>
      <c r="W220" s="27"/>
      <c r="X220" s="27" t="str">
        <f t="shared" si="77"/>
        <v/>
      </c>
      <c r="Z220" s="57">
        <f t="shared" si="86"/>
        <v>0</v>
      </c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>
        <f t="shared" si="7"/>
        <v>0</v>
      </c>
    </row>
    <row r="221" ht="15.75" customHeight="1">
      <c r="A221" s="15" t="s">
        <v>606</v>
      </c>
      <c r="B221" s="15" t="s">
        <v>607</v>
      </c>
      <c r="C221" s="15" t="s">
        <v>119</v>
      </c>
      <c r="D221" s="56">
        <f>SUMIF('2015-16 12 Mnths'!$A:$A,'Variance16-17'!$A221,'2015-16 12 Mnths'!C:C)-SUMIF('Budget 12 Mnths'!$A:$A,'Variance16-17'!$A221,'Budget 12 Mnths'!D:D)</f>
        <v>0</v>
      </c>
      <c r="E221" s="56">
        <f>SUMIF('2015-16 12 Mnths'!$A:$A,'Variance16-17'!$A221,'2015-16 12 Mnths'!D:D)-SUMIF('Budget 12 Mnths'!$A:$A,'Variance16-17'!$A221,'Budget 12 Mnths'!E:E)</f>
        <v>79</v>
      </c>
      <c r="F221" s="56">
        <f>SUMIF('2015-16 12 Mnths'!$A:$A,'Variance16-17'!$A221,'2015-16 12 Mnths'!E:E)-SUMIF('Budget 12 Mnths'!$A:$A,'Variance16-17'!$A221,'Budget 12 Mnths'!F:F)</f>
        <v>0</v>
      </c>
      <c r="G221" s="56">
        <f>SUMIF('2015-16 12 Mnths'!$A:$A,'Variance16-17'!$A221,'2015-16 12 Mnths'!F:F)-SUMIF('Budget 12 Mnths'!$A:$A,'Variance16-17'!$A221,'Budget 12 Mnths'!G:G)</f>
        <v>0</v>
      </c>
      <c r="H221" s="56">
        <f>SUMIF('2015-16 12 Mnths'!$A:$A,'Variance16-17'!$A221,'2015-16 12 Mnths'!G:G)-SUMIF('Budget 12 Mnths'!$A:$A,'Variance16-17'!$A221,'Budget 12 Mnths'!H:H)</f>
        <v>0</v>
      </c>
      <c r="I221" s="56">
        <f>SUMIF('2015-16 12 Mnths'!$A:$A,'Variance16-17'!$A221,'2015-16 12 Mnths'!H:H)-SUMIF('Budget 12 Mnths'!$A:$A,'Variance16-17'!$A221,'Budget 12 Mnths'!I:I)</f>
        <v>0</v>
      </c>
      <c r="J221" s="56">
        <f>SUMIF('2015-16 12 Mnths'!$A:$A,'Variance16-17'!$A221,'2015-16 12 Mnths'!I:I)-SUMIF('Budget 12 Mnths'!$A:$A,'Variance16-17'!$A221,'Budget 12 Mnths'!J:J)</f>
        <v>0</v>
      </c>
      <c r="K221" s="56">
        <f>SUMIF('2015-16 12 Mnths'!$A:$A,'Variance16-17'!$A221,'2015-16 12 Mnths'!J:J)-SUMIF('Budget 12 Mnths'!$A:$A,'Variance16-17'!$A221,'Budget 12 Mnths'!K:K)</f>
        <v>0</v>
      </c>
      <c r="L221" s="56">
        <f>SUMIF('2015-16 12 Mnths'!$A:$A,'Variance16-17'!$A221,'2015-16 12 Mnths'!K:K)-SUMIF('Budget 12 Mnths'!$A:$A,'Variance16-17'!$A221,'Budget 12 Mnths'!L:L)</f>
        <v>0</v>
      </c>
      <c r="M221" s="56"/>
      <c r="N221" s="56"/>
      <c r="O221" s="56"/>
      <c r="P221" s="56">
        <f t="shared" si="1"/>
        <v>79</v>
      </c>
      <c r="Q221" s="14" t="str">
        <f>+VLOOKUP(A221,Mapping!$A$1:$E$443,5,FALSE)</f>
        <v>Fixed Occupancy</v>
      </c>
      <c r="R221" s="26">
        <f>+SUMIF('Budget 12 Mnths'!$A:$A,'Variance16-17'!$A221,'Budget 12 Mnths'!$P:$P)</f>
        <v>0</v>
      </c>
      <c r="S221" s="26">
        <f>+SUMIF('2015-16 12 Mnths'!$A:$A,'Variance16-17'!$A221,'2015-16 12 Mnths'!$O:$O)</f>
        <v>79</v>
      </c>
      <c r="T221" s="57">
        <f t="shared" si="2"/>
        <v>0</v>
      </c>
      <c r="U221" s="57">
        <f t="shared" si="3"/>
        <v>1</v>
      </c>
      <c r="W221" s="27"/>
      <c r="X221" s="27" t="str">
        <f t="shared" si="77"/>
        <v/>
      </c>
      <c r="Z221" s="57">
        <f t="shared" si="86"/>
        <v>0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>
        <f t="shared" si="7"/>
        <v>0</v>
      </c>
    </row>
    <row r="222" ht="15.75" customHeight="1">
      <c r="A222" s="15" t="s">
        <v>608</v>
      </c>
      <c r="B222" s="15" t="s">
        <v>609</v>
      </c>
      <c r="C222" s="15" t="s">
        <v>119</v>
      </c>
      <c r="D222" s="56">
        <f>SUMIF('2015-16 12 Mnths'!$A:$A,'Variance16-17'!$A222,'2015-16 12 Mnths'!C:C)-SUMIF('Budget 12 Mnths'!$A:$A,'Variance16-17'!$A222,'Budget 12 Mnths'!D:D)</f>
        <v>0</v>
      </c>
      <c r="E222" s="56">
        <f>SUMIF('2015-16 12 Mnths'!$A:$A,'Variance16-17'!$A222,'2015-16 12 Mnths'!D:D)-SUMIF('Budget 12 Mnths'!$A:$A,'Variance16-17'!$A222,'Budget 12 Mnths'!E:E)</f>
        <v>0</v>
      </c>
      <c r="F222" s="56">
        <f>SUMIF('2015-16 12 Mnths'!$A:$A,'Variance16-17'!$A222,'2015-16 12 Mnths'!E:E)-SUMIF('Budget 12 Mnths'!$A:$A,'Variance16-17'!$A222,'Budget 12 Mnths'!F:F)</f>
        <v>0</v>
      </c>
      <c r="G222" s="56">
        <f>SUMIF('2015-16 12 Mnths'!$A:$A,'Variance16-17'!$A222,'2015-16 12 Mnths'!F:F)-SUMIF('Budget 12 Mnths'!$A:$A,'Variance16-17'!$A222,'Budget 12 Mnths'!G:G)</f>
        <v>0</v>
      </c>
      <c r="H222" s="56">
        <f>SUMIF('2015-16 12 Mnths'!$A:$A,'Variance16-17'!$A222,'2015-16 12 Mnths'!G:G)-SUMIF('Budget 12 Mnths'!$A:$A,'Variance16-17'!$A222,'Budget 12 Mnths'!H:H)</f>
        <v>0</v>
      </c>
      <c r="I222" s="56">
        <f>SUMIF('2015-16 12 Mnths'!$A:$A,'Variance16-17'!$A222,'2015-16 12 Mnths'!H:H)-SUMIF('Budget 12 Mnths'!$A:$A,'Variance16-17'!$A222,'Budget 12 Mnths'!I:I)</f>
        <v>0</v>
      </c>
      <c r="J222" s="56">
        <f>SUMIF('2015-16 12 Mnths'!$A:$A,'Variance16-17'!$A222,'2015-16 12 Mnths'!I:I)-SUMIF('Budget 12 Mnths'!$A:$A,'Variance16-17'!$A222,'Budget 12 Mnths'!J:J)</f>
        <v>0</v>
      </c>
      <c r="K222" s="56">
        <f>SUMIF('2015-16 12 Mnths'!$A:$A,'Variance16-17'!$A222,'2015-16 12 Mnths'!J:J)-SUMIF('Budget 12 Mnths'!$A:$A,'Variance16-17'!$A222,'Budget 12 Mnths'!K:K)</f>
        <v>0</v>
      </c>
      <c r="L222" s="56">
        <f>SUMIF('2015-16 12 Mnths'!$A:$A,'Variance16-17'!$A222,'2015-16 12 Mnths'!K:K)-SUMIF('Budget 12 Mnths'!$A:$A,'Variance16-17'!$A222,'Budget 12 Mnths'!L:L)</f>
        <v>0</v>
      </c>
      <c r="M222" s="56"/>
      <c r="N222" s="56"/>
      <c r="O222" s="56"/>
      <c r="P222" s="56">
        <f t="shared" si="1"/>
        <v>0</v>
      </c>
      <c r="Q222" s="14" t="str">
        <f>+VLOOKUP(A222,Mapping!$A$1:$E$443,5,FALSE)</f>
        <v>Fixed Occupancy</v>
      </c>
      <c r="R222" s="26">
        <f>+SUMIF('Budget 12 Mnths'!$A:$A,'Variance16-17'!$A222,'Budget 12 Mnths'!$P:$P)</f>
        <v>0</v>
      </c>
      <c r="S222" s="26">
        <f>+SUMIF('2015-16 12 Mnths'!$A:$A,'Variance16-17'!$A222,'2015-16 12 Mnths'!$O:$O)</f>
        <v>0</v>
      </c>
      <c r="T222" s="57">
        <f t="shared" si="2"/>
        <v>0</v>
      </c>
      <c r="U222" s="57">
        <f t="shared" si="3"/>
        <v>0</v>
      </c>
      <c r="W222" s="27"/>
      <c r="X222" s="27" t="str">
        <f t="shared" si="77"/>
        <v/>
      </c>
      <c r="Z222" s="57">
        <f t="shared" si="86"/>
        <v>0</v>
      </c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>
        <f t="shared" si="7"/>
        <v>0</v>
      </c>
    </row>
    <row r="223" ht="15.75" customHeight="1">
      <c r="A223" s="15" t="s">
        <v>610</v>
      </c>
      <c r="B223" s="15" t="s">
        <v>611</v>
      </c>
      <c r="C223" s="15" t="s">
        <v>119</v>
      </c>
      <c r="D223" s="56">
        <f>SUMIF('2015-16 12 Mnths'!$A:$A,'Variance16-17'!$A223,'2015-16 12 Mnths'!C:C)-SUMIF('Budget 12 Mnths'!$A:$A,'Variance16-17'!$A223,'Budget 12 Mnths'!D:D)</f>
        <v>0</v>
      </c>
      <c r="E223" s="56">
        <f>SUMIF('2015-16 12 Mnths'!$A:$A,'Variance16-17'!$A223,'2015-16 12 Mnths'!D:D)-SUMIF('Budget 12 Mnths'!$A:$A,'Variance16-17'!$A223,'Budget 12 Mnths'!E:E)</f>
        <v>0</v>
      </c>
      <c r="F223" s="56">
        <f>SUMIF('2015-16 12 Mnths'!$A:$A,'Variance16-17'!$A223,'2015-16 12 Mnths'!E:E)-SUMIF('Budget 12 Mnths'!$A:$A,'Variance16-17'!$A223,'Budget 12 Mnths'!F:F)</f>
        <v>0</v>
      </c>
      <c r="G223" s="56">
        <f>SUMIF('2015-16 12 Mnths'!$A:$A,'Variance16-17'!$A223,'2015-16 12 Mnths'!F:F)-SUMIF('Budget 12 Mnths'!$A:$A,'Variance16-17'!$A223,'Budget 12 Mnths'!G:G)</f>
        <v>0</v>
      </c>
      <c r="H223" s="56">
        <f>SUMIF('2015-16 12 Mnths'!$A:$A,'Variance16-17'!$A223,'2015-16 12 Mnths'!G:G)-SUMIF('Budget 12 Mnths'!$A:$A,'Variance16-17'!$A223,'Budget 12 Mnths'!H:H)</f>
        <v>0</v>
      </c>
      <c r="I223" s="56">
        <f>SUMIF('2015-16 12 Mnths'!$A:$A,'Variance16-17'!$A223,'2015-16 12 Mnths'!H:H)-SUMIF('Budget 12 Mnths'!$A:$A,'Variance16-17'!$A223,'Budget 12 Mnths'!I:I)</f>
        <v>0</v>
      </c>
      <c r="J223" s="56">
        <f>SUMIF('2015-16 12 Mnths'!$A:$A,'Variance16-17'!$A223,'2015-16 12 Mnths'!I:I)-SUMIF('Budget 12 Mnths'!$A:$A,'Variance16-17'!$A223,'Budget 12 Mnths'!J:J)</f>
        <v>0</v>
      </c>
      <c r="K223" s="56">
        <f>SUMIF('2015-16 12 Mnths'!$A:$A,'Variance16-17'!$A223,'2015-16 12 Mnths'!J:J)-SUMIF('Budget 12 Mnths'!$A:$A,'Variance16-17'!$A223,'Budget 12 Mnths'!K:K)</f>
        <v>0</v>
      </c>
      <c r="L223" s="56">
        <f>SUMIF('2015-16 12 Mnths'!$A:$A,'Variance16-17'!$A223,'2015-16 12 Mnths'!K:K)-SUMIF('Budget 12 Mnths'!$A:$A,'Variance16-17'!$A223,'Budget 12 Mnths'!L:L)</f>
        <v>0</v>
      </c>
      <c r="M223" s="56"/>
      <c r="N223" s="56"/>
      <c r="O223" s="56"/>
      <c r="P223" s="56">
        <f t="shared" si="1"/>
        <v>0</v>
      </c>
      <c r="Q223" s="14" t="str">
        <f>+VLOOKUP(A223,Mapping!$A$1:$E$443,5,FALSE)</f>
        <v>Fixed Occupancy</v>
      </c>
      <c r="R223" s="26">
        <f>+SUMIF('Budget 12 Mnths'!$A:$A,'Variance16-17'!$A223,'Budget 12 Mnths'!$P:$P)</f>
        <v>0</v>
      </c>
      <c r="S223" s="26">
        <f>+SUMIF('2015-16 12 Mnths'!$A:$A,'Variance16-17'!$A223,'2015-16 12 Mnths'!$O:$O)</f>
        <v>0</v>
      </c>
      <c r="T223" s="57">
        <f t="shared" si="2"/>
        <v>0</v>
      </c>
      <c r="U223" s="57">
        <f t="shared" si="3"/>
        <v>0</v>
      </c>
      <c r="W223" s="27"/>
      <c r="X223" s="27" t="str">
        <f t="shared" si="77"/>
        <v/>
      </c>
      <c r="Z223" s="57">
        <f t="shared" si="86"/>
        <v>0</v>
      </c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>
        <f t="shared" si="7"/>
        <v>0</v>
      </c>
    </row>
    <row r="224" ht="15.75" customHeight="1">
      <c r="A224" s="15" t="s">
        <v>612</v>
      </c>
      <c r="B224" s="15" t="s">
        <v>613</v>
      </c>
      <c r="C224" s="15" t="s">
        <v>119</v>
      </c>
      <c r="D224" s="56">
        <f>SUMIF('2015-16 12 Mnths'!$A:$A,'Variance16-17'!$A224,'2015-16 12 Mnths'!C:C)-SUMIF('Budget 12 Mnths'!$A:$A,'Variance16-17'!$A224,'Budget 12 Mnths'!D:D)</f>
        <v>0</v>
      </c>
      <c r="E224" s="56">
        <f>SUMIF('2015-16 12 Mnths'!$A:$A,'Variance16-17'!$A224,'2015-16 12 Mnths'!D:D)-SUMIF('Budget 12 Mnths'!$A:$A,'Variance16-17'!$A224,'Budget 12 Mnths'!E:E)</f>
        <v>0</v>
      </c>
      <c r="F224" s="56">
        <f>SUMIF('2015-16 12 Mnths'!$A:$A,'Variance16-17'!$A224,'2015-16 12 Mnths'!E:E)-SUMIF('Budget 12 Mnths'!$A:$A,'Variance16-17'!$A224,'Budget 12 Mnths'!F:F)</f>
        <v>0</v>
      </c>
      <c r="G224" s="56">
        <f>SUMIF('2015-16 12 Mnths'!$A:$A,'Variance16-17'!$A224,'2015-16 12 Mnths'!F:F)-SUMIF('Budget 12 Mnths'!$A:$A,'Variance16-17'!$A224,'Budget 12 Mnths'!G:G)</f>
        <v>0</v>
      </c>
      <c r="H224" s="56">
        <f>SUMIF('2015-16 12 Mnths'!$A:$A,'Variance16-17'!$A224,'2015-16 12 Mnths'!G:G)-SUMIF('Budget 12 Mnths'!$A:$A,'Variance16-17'!$A224,'Budget 12 Mnths'!H:H)</f>
        <v>0</v>
      </c>
      <c r="I224" s="56">
        <f>SUMIF('2015-16 12 Mnths'!$A:$A,'Variance16-17'!$A224,'2015-16 12 Mnths'!H:H)-SUMIF('Budget 12 Mnths'!$A:$A,'Variance16-17'!$A224,'Budget 12 Mnths'!I:I)</f>
        <v>0</v>
      </c>
      <c r="J224" s="56">
        <f>SUMIF('2015-16 12 Mnths'!$A:$A,'Variance16-17'!$A224,'2015-16 12 Mnths'!I:I)-SUMIF('Budget 12 Mnths'!$A:$A,'Variance16-17'!$A224,'Budget 12 Mnths'!J:J)</f>
        <v>0</v>
      </c>
      <c r="K224" s="56">
        <f>SUMIF('2015-16 12 Mnths'!$A:$A,'Variance16-17'!$A224,'2015-16 12 Mnths'!J:J)-SUMIF('Budget 12 Mnths'!$A:$A,'Variance16-17'!$A224,'Budget 12 Mnths'!K:K)</f>
        <v>0</v>
      </c>
      <c r="L224" s="56">
        <f>SUMIF('2015-16 12 Mnths'!$A:$A,'Variance16-17'!$A224,'2015-16 12 Mnths'!K:K)-SUMIF('Budget 12 Mnths'!$A:$A,'Variance16-17'!$A224,'Budget 12 Mnths'!L:L)</f>
        <v>0</v>
      </c>
      <c r="M224" s="56"/>
      <c r="N224" s="56"/>
      <c r="O224" s="56"/>
      <c r="P224" s="56">
        <f t="shared" si="1"/>
        <v>0</v>
      </c>
      <c r="Q224" s="14" t="str">
        <f>+VLOOKUP(A224,Mapping!$A$1:$E$443,5,FALSE)</f>
        <v>Fixed Occupancy</v>
      </c>
      <c r="R224" s="26">
        <f>+SUMIF('Budget 12 Mnths'!$A:$A,'Variance16-17'!$A224,'Budget 12 Mnths'!$P:$P)</f>
        <v>0</v>
      </c>
      <c r="S224" s="26">
        <f>+SUMIF('2015-16 12 Mnths'!$A:$A,'Variance16-17'!$A224,'2015-16 12 Mnths'!$O:$O)</f>
        <v>0</v>
      </c>
      <c r="T224" s="57">
        <f t="shared" si="2"/>
        <v>0</v>
      </c>
      <c r="U224" s="57">
        <f t="shared" si="3"/>
        <v>0</v>
      </c>
      <c r="W224" s="27"/>
      <c r="X224" s="27" t="str">
        <f t="shared" si="77"/>
        <v/>
      </c>
      <c r="Z224" s="57">
        <f t="shared" si="86"/>
        <v>0</v>
      </c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>
        <f t="shared" si="7"/>
        <v>0</v>
      </c>
    </row>
    <row r="225" ht="15.75" customHeight="1">
      <c r="A225" s="15" t="s">
        <v>614</v>
      </c>
      <c r="B225" s="15" t="s">
        <v>615</v>
      </c>
      <c r="C225" s="15" t="s">
        <v>119</v>
      </c>
      <c r="D225" s="56">
        <f>SUMIF('2015-16 12 Mnths'!$A:$A,'Variance16-17'!$A225,'2015-16 12 Mnths'!C:C)-SUMIF('Budget 12 Mnths'!$A:$A,'Variance16-17'!$A225,'Budget 12 Mnths'!D:D)</f>
        <v>0</v>
      </c>
      <c r="E225" s="56">
        <f>SUMIF('2015-16 12 Mnths'!$A:$A,'Variance16-17'!$A225,'2015-16 12 Mnths'!D:D)-SUMIF('Budget 12 Mnths'!$A:$A,'Variance16-17'!$A225,'Budget 12 Mnths'!E:E)</f>
        <v>0</v>
      </c>
      <c r="F225" s="56">
        <f>SUMIF('2015-16 12 Mnths'!$A:$A,'Variance16-17'!$A225,'2015-16 12 Mnths'!E:E)-SUMIF('Budget 12 Mnths'!$A:$A,'Variance16-17'!$A225,'Budget 12 Mnths'!F:F)</f>
        <v>0</v>
      </c>
      <c r="G225" s="56">
        <f>SUMIF('2015-16 12 Mnths'!$A:$A,'Variance16-17'!$A225,'2015-16 12 Mnths'!F:F)-SUMIF('Budget 12 Mnths'!$A:$A,'Variance16-17'!$A225,'Budget 12 Mnths'!G:G)</f>
        <v>0</v>
      </c>
      <c r="H225" s="56">
        <f>SUMIF('2015-16 12 Mnths'!$A:$A,'Variance16-17'!$A225,'2015-16 12 Mnths'!G:G)-SUMIF('Budget 12 Mnths'!$A:$A,'Variance16-17'!$A225,'Budget 12 Mnths'!H:H)</f>
        <v>0</v>
      </c>
      <c r="I225" s="56">
        <f>SUMIF('2015-16 12 Mnths'!$A:$A,'Variance16-17'!$A225,'2015-16 12 Mnths'!H:H)-SUMIF('Budget 12 Mnths'!$A:$A,'Variance16-17'!$A225,'Budget 12 Mnths'!I:I)</f>
        <v>0</v>
      </c>
      <c r="J225" s="56">
        <f>SUMIF('2015-16 12 Mnths'!$A:$A,'Variance16-17'!$A225,'2015-16 12 Mnths'!I:I)-SUMIF('Budget 12 Mnths'!$A:$A,'Variance16-17'!$A225,'Budget 12 Mnths'!J:J)</f>
        <v>0</v>
      </c>
      <c r="K225" s="56">
        <f>SUMIF('2015-16 12 Mnths'!$A:$A,'Variance16-17'!$A225,'2015-16 12 Mnths'!J:J)-SUMIF('Budget 12 Mnths'!$A:$A,'Variance16-17'!$A225,'Budget 12 Mnths'!K:K)</f>
        <v>0</v>
      </c>
      <c r="L225" s="56">
        <f>SUMIF('2015-16 12 Mnths'!$A:$A,'Variance16-17'!$A225,'2015-16 12 Mnths'!K:K)-SUMIF('Budget 12 Mnths'!$A:$A,'Variance16-17'!$A225,'Budget 12 Mnths'!L:L)</f>
        <v>0</v>
      </c>
      <c r="M225" s="56"/>
      <c r="N225" s="56"/>
      <c r="O225" s="56"/>
      <c r="P225" s="56">
        <f t="shared" si="1"/>
        <v>0</v>
      </c>
      <c r="Q225" s="14" t="str">
        <f>+VLOOKUP(A225,Mapping!$A$1:$E$443,5,FALSE)</f>
        <v>Fixed Occupancy</v>
      </c>
      <c r="R225" s="26">
        <f>+SUMIF('Budget 12 Mnths'!$A:$A,'Variance16-17'!$A225,'Budget 12 Mnths'!$P:$P)</f>
        <v>0</v>
      </c>
      <c r="S225" s="26">
        <f>+SUMIF('2015-16 12 Mnths'!$A:$A,'Variance16-17'!$A225,'2015-16 12 Mnths'!$O:$O)</f>
        <v>0</v>
      </c>
      <c r="T225" s="57">
        <f t="shared" si="2"/>
        <v>0</v>
      </c>
      <c r="U225" s="57">
        <f t="shared" si="3"/>
        <v>0</v>
      </c>
      <c r="W225" s="27"/>
      <c r="X225" s="27" t="str">
        <f t="shared" si="77"/>
        <v/>
      </c>
      <c r="Z225" s="57">
        <f t="shared" si="86"/>
        <v>0</v>
      </c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>
        <f t="shared" si="7"/>
        <v>0</v>
      </c>
    </row>
    <row r="226" ht="15.75" customHeight="1">
      <c r="A226" s="15" t="s">
        <v>616</v>
      </c>
      <c r="B226" s="15" t="s">
        <v>617</v>
      </c>
      <c r="C226" s="15" t="s">
        <v>119</v>
      </c>
      <c r="D226" s="56">
        <f>SUMIF('2015-16 12 Mnths'!$A:$A,'Variance16-17'!$A226,'2015-16 12 Mnths'!C:C)-SUMIF('Budget 12 Mnths'!$A:$A,'Variance16-17'!$A226,'Budget 12 Mnths'!D:D)</f>
        <v>-15.99</v>
      </c>
      <c r="E226" s="56">
        <f>SUMIF('2015-16 12 Mnths'!$A:$A,'Variance16-17'!$A226,'2015-16 12 Mnths'!D:D)-SUMIF('Budget 12 Mnths'!$A:$A,'Variance16-17'!$A226,'Budget 12 Mnths'!E:E)</f>
        <v>-15.99</v>
      </c>
      <c r="F226" s="56">
        <f>SUMIF('2015-16 12 Mnths'!$A:$A,'Variance16-17'!$A226,'2015-16 12 Mnths'!E:E)-SUMIF('Budget 12 Mnths'!$A:$A,'Variance16-17'!$A226,'Budget 12 Mnths'!F:F)</f>
        <v>-264.74</v>
      </c>
      <c r="G226" s="56">
        <f>SUMIF('2015-16 12 Mnths'!$A:$A,'Variance16-17'!$A226,'2015-16 12 Mnths'!F:F)-SUMIF('Budget 12 Mnths'!$A:$A,'Variance16-17'!$A226,'Budget 12 Mnths'!G:G)</f>
        <v>-210.28</v>
      </c>
      <c r="H226" s="56">
        <f>SUMIF('2015-16 12 Mnths'!$A:$A,'Variance16-17'!$A226,'2015-16 12 Mnths'!G:G)-SUMIF('Budget 12 Mnths'!$A:$A,'Variance16-17'!$A226,'Budget 12 Mnths'!H:H)</f>
        <v>-155.04</v>
      </c>
      <c r="I226" s="56">
        <f>SUMIF('2015-16 12 Mnths'!$A:$A,'Variance16-17'!$A226,'2015-16 12 Mnths'!H:H)-SUMIF('Budget 12 Mnths'!$A:$A,'Variance16-17'!$A226,'Budget 12 Mnths'!I:I)</f>
        <v>-155.04</v>
      </c>
      <c r="J226" s="56">
        <f>SUMIF('2015-16 12 Mnths'!$A:$A,'Variance16-17'!$A226,'2015-16 12 Mnths'!I:I)-SUMIF('Budget 12 Mnths'!$A:$A,'Variance16-17'!$A226,'Budget 12 Mnths'!J:J)</f>
        <v>-148.89</v>
      </c>
      <c r="K226" s="56">
        <f>SUMIF('2015-16 12 Mnths'!$A:$A,'Variance16-17'!$A226,'2015-16 12 Mnths'!J:J)-SUMIF('Budget 12 Mnths'!$A:$A,'Variance16-17'!$A226,'Budget 12 Mnths'!K:K)</f>
        <v>-140.24</v>
      </c>
      <c r="L226" s="56">
        <f>SUMIF('2015-16 12 Mnths'!$A:$A,'Variance16-17'!$A226,'2015-16 12 Mnths'!K:K)-SUMIF('Budget 12 Mnths'!$A:$A,'Variance16-17'!$A226,'Budget 12 Mnths'!L:L)</f>
        <v>52.85</v>
      </c>
      <c r="M226" s="56"/>
      <c r="N226" s="56"/>
      <c r="O226" s="56"/>
      <c r="P226" s="56">
        <f t="shared" si="1"/>
        <v>-1053.36</v>
      </c>
      <c r="Q226" s="14" t="str">
        <f>+VLOOKUP(A226,Mapping!$A$1:$E$443,5,FALSE)</f>
        <v>Variable Occupancy</v>
      </c>
      <c r="R226" s="26">
        <f>+SUMIF('Budget 12 Mnths'!$A:$A,'Variance16-17'!$A226,'Budget 12 Mnths'!$P:$P)</f>
        <v>3999.96</v>
      </c>
      <c r="S226" s="26">
        <f>+SUMIF('2015-16 12 Mnths'!$A:$A,'Variance16-17'!$A226,'2015-16 12 Mnths'!$O:$O)</f>
        <v>1946.61</v>
      </c>
      <c r="T226" s="57">
        <f t="shared" si="2"/>
        <v>-0.2633426334</v>
      </c>
      <c r="U226" s="57">
        <f t="shared" si="3"/>
        <v>-0.541125341</v>
      </c>
      <c r="V226" s="8" t="s">
        <v>594</v>
      </c>
      <c r="W226" s="27"/>
      <c r="X226" s="27" t="str">
        <f t="shared" si="77"/>
        <v/>
      </c>
      <c r="Z226" s="57">
        <f t="shared" si="86"/>
        <v>0</v>
      </c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>
        <f t="shared" si="7"/>
        <v>0</v>
      </c>
    </row>
    <row r="227" ht="15.75" customHeight="1">
      <c r="A227" s="15" t="s">
        <v>618</v>
      </c>
      <c r="B227" s="15" t="s">
        <v>619</v>
      </c>
      <c r="C227" s="15" t="s">
        <v>119</v>
      </c>
      <c r="D227" s="56">
        <f>SUMIF('2015-16 12 Mnths'!$A:$A,'Variance16-17'!$A227,'2015-16 12 Mnths'!C:C)-SUMIF('Budget 12 Mnths'!$A:$A,'Variance16-17'!$A227,'Budget 12 Mnths'!D:D)</f>
        <v>8.48</v>
      </c>
      <c r="E227" s="56">
        <f>SUMIF('2015-16 12 Mnths'!$A:$A,'Variance16-17'!$A227,'2015-16 12 Mnths'!D:D)-SUMIF('Budget 12 Mnths'!$A:$A,'Variance16-17'!$A227,'Budget 12 Mnths'!E:E)</f>
        <v>30.74</v>
      </c>
      <c r="F227" s="56">
        <f>SUMIF('2015-16 12 Mnths'!$A:$A,'Variance16-17'!$A227,'2015-16 12 Mnths'!E:E)-SUMIF('Budget 12 Mnths'!$A:$A,'Variance16-17'!$A227,'Budget 12 Mnths'!F:F)</f>
        <v>-10.35</v>
      </c>
      <c r="G227" s="56">
        <f>SUMIF('2015-16 12 Mnths'!$A:$A,'Variance16-17'!$A227,'2015-16 12 Mnths'!F:F)-SUMIF('Budget 12 Mnths'!$A:$A,'Variance16-17'!$A227,'Budget 12 Mnths'!G:G)</f>
        <v>39.88</v>
      </c>
      <c r="H227" s="56">
        <f>SUMIF('2015-16 12 Mnths'!$A:$A,'Variance16-17'!$A227,'2015-16 12 Mnths'!G:G)-SUMIF('Budget 12 Mnths'!$A:$A,'Variance16-17'!$A227,'Budget 12 Mnths'!H:H)</f>
        <v>-7.27</v>
      </c>
      <c r="I227" s="56">
        <f>SUMIF('2015-16 12 Mnths'!$A:$A,'Variance16-17'!$A227,'2015-16 12 Mnths'!H:H)-SUMIF('Budget 12 Mnths'!$A:$A,'Variance16-17'!$A227,'Budget 12 Mnths'!I:I)</f>
        <v>42.38</v>
      </c>
      <c r="J227" s="56">
        <f>SUMIF('2015-16 12 Mnths'!$A:$A,'Variance16-17'!$A227,'2015-16 12 Mnths'!I:I)-SUMIF('Budget 12 Mnths'!$A:$A,'Variance16-17'!$A227,'Budget 12 Mnths'!J:J)</f>
        <v>-15.83</v>
      </c>
      <c r="K227" s="56">
        <f>SUMIF('2015-16 12 Mnths'!$A:$A,'Variance16-17'!$A227,'2015-16 12 Mnths'!J:J)-SUMIF('Budget 12 Mnths'!$A:$A,'Variance16-17'!$A227,'Budget 12 Mnths'!K:K)</f>
        <v>-4.87</v>
      </c>
      <c r="L227" s="56">
        <f>SUMIF('2015-16 12 Mnths'!$A:$A,'Variance16-17'!$A227,'2015-16 12 Mnths'!K:K)-SUMIF('Budget 12 Mnths'!$A:$A,'Variance16-17'!$A227,'Budget 12 Mnths'!L:L)</f>
        <v>89.04</v>
      </c>
      <c r="M227" s="56"/>
      <c r="N227" s="56"/>
      <c r="O227" s="56"/>
      <c r="P227" s="56">
        <f t="shared" si="1"/>
        <v>172.2</v>
      </c>
      <c r="Q227" s="14" t="str">
        <f>+VLOOKUP(A227,Mapping!$A$1:$E$443,5,FALSE)</f>
        <v>Variable Occupancy</v>
      </c>
      <c r="R227" s="26">
        <f>+SUMIF('Budget 12 Mnths'!$A:$A,'Variance16-17'!$A227,'Budget 12 Mnths'!$P:$P)</f>
        <v>3000</v>
      </c>
      <c r="S227" s="26">
        <f>+SUMIF('2015-16 12 Mnths'!$A:$A,'Variance16-17'!$A227,'2015-16 12 Mnths'!$O:$O)</f>
        <v>2422.2</v>
      </c>
      <c r="T227" s="57">
        <f t="shared" si="2"/>
        <v>0.0574</v>
      </c>
      <c r="U227" s="57">
        <f t="shared" si="3"/>
        <v>0.07109239534</v>
      </c>
      <c r="V227" s="8" t="s">
        <v>594</v>
      </c>
      <c r="W227" s="27"/>
      <c r="X227" s="27" t="str">
        <f t="shared" si="77"/>
        <v/>
      </c>
      <c r="Z227" s="57">
        <f t="shared" si="86"/>
        <v>0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>
        <f t="shared" si="7"/>
        <v>0</v>
      </c>
    </row>
    <row r="228" ht="15.75" customHeight="1">
      <c r="A228" s="15" t="s">
        <v>620</v>
      </c>
      <c r="B228" s="15" t="s">
        <v>621</v>
      </c>
      <c r="C228" s="15" t="s">
        <v>119</v>
      </c>
      <c r="D228" s="56">
        <f>SUMIF('2015-16 12 Mnths'!$A:$A,'Variance16-17'!$A228,'2015-16 12 Mnths'!C:C)-SUMIF('Budget 12 Mnths'!$A:$A,'Variance16-17'!$A228,'Budget 12 Mnths'!D:D)</f>
        <v>24.26</v>
      </c>
      <c r="E228" s="56">
        <f>SUMIF('2015-16 12 Mnths'!$A:$A,'Variance16-17'!$A228,'2015-16 12 Mnths'!D:D)-SUMIF('Budget 12 Mnths'!$A:$A,'Variance16-17'!$A228,'Budget 12 Mnths'!E:E)</f>
        <v>19.8</v>
      </c>
      <c r="F228" s="56">
        <f>SUMIF('2015-16 12 Mnths'!$A:$A,'Variance16-17'!$A228,'2015-16 12 Mnths'!E:E)-SUMIF('Budget 12 Mnths'!$A:$A,'Variance16-17'!$A228,'Budget 12 Mnths'!F:F)</f>
        <v>19.8</v>
      </c>
      <c r="G228" s="56">
        <f>SUMIF('2015-16 12 Mnths'!$A:$A,'Variance16-17'!$A228,'2015-16 12 Mnths'!F:F)-SUMIF('Budget 12 Mnths'!$A:$A,'Variance16-17'!$A228,'Budget 12 Mnths'!G:G)</f>
        <v>-811.82</v>
      </c>
      <c r="H228" s="56">
        <f>SUMIF('2015-16 12 Mnths'!$A:$A,'Variance16-17'!$A228,'2015-16 12 Mnths'!G:G)-SUMIF('Budget 12 Mnths'!$A:$A,'Variance16-17'!$A228,'Budget 12 Mnths'!H:H)</f>
        <v>-806.32</v>
      </c>
      <c r="I228" s="56">
        <f>SUMIF('2015-16 12 Mnths'!$A:$A,'Variance16-17'!$A228,'2015-16 12 Mnths'!H:H)-SUMIF('Budget 12 Mnths'!$A:$A,'Variance16-17'!$A228,'Budget 12 Mnths'!I:I)</f>
        <v>-677.54</v>
      </c>
      <c r="J228" s="56">
        <f>SUMIF('2015-16 12 Mnths'!$A:$A,'Variance16-17'!$A228,'2015-16 12 Mnths'!I:I)-SUMIF('Budget 12 Mnths'!$A:$A,'Variance16-17'!$A228,'Budget 12 Mnths'!J:J)</f>
        <v>-159.34</v>
      </c>
      <c r="K228" s="56">
        <f>SUMIF('2015-16 12 Mnths'!$A:$A,'Variance16-17'!$A228,'2015-16 12 Mnths'!J:J)-SUMIF('Budget 12 Mnths'!$A:$A,'Variance16-17'!$A228,'Budget 12 Mnths'!K:K)</f>
        <v>195.5</v>
      </c>
      <c r="L228" s="56">
        <f>SUMIF('2015-16 12 Mnths'!$A:$A,'Variance16-17'!$A228,'2015-16 12 Mnths'!K:K)-SUMIF('Budget 12 Mnths'!$A:$A,'Variance16-17'!$A228,'Budget 12 Mnths'!L:L)</f>
        <v>346.39</v>
      </c>
      <c r="M228" s="56"/>
      <c r="N228" s="56"/>
      <c r="O228" s="56"/>
      <c r="P228" s="56">
        <f t="shared" si="1"/>
        <v>-1849.27</v>
      </c>
      <c r="Q228" s="14" t="str">
        <f>+VLOOKUP(A228,Mapping!$A$1:$E$443,5,FALSE)</f>
        <v>Variable Occupancy</v>
      </c>
      <c r="R228" s="26">
        <f>+SUMIF('Budget 12 Mnths'!$A:$A,'Variance16-17'!$A228,'Budget 12 Mnths'!$P:$P)</f>
        <v>4999.98</v>
      </c>
      <c r="S228" s="26">
        <f>+SUMIF('2015-16 12 Mnths'!$A:$A,'Variance16-17'!$A228,'2015-16 12 Mnths'!$O:$O)</f>
        <v>3150.71</v>
      </c>
      <c r="T228" s="57">
        <f t="shared" si="2"/>
        <v>-0.3698554794</v>
      </c>
      <c r="U228" s="57">
        <f t="shared" si="3"/>
        <v>-0.5869375474</v>
      </c>
      <c r="V228" s="8" t="s">
        <v>594</v>
      </c>
      <c r="W228" s="27"/>
      <c r="X228" s="27" t="str">
        <f t="shared" si="77"/>
        <v/>
      </c>
      <c r="Z228" s="57">
        <f t="shared" si="86"/>
        <v>0</v>
      </c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>
        <f t="shared" si="7"/>
        <v>0</v>
      </c>
    </row>
    <row r="229" ht="15.75" customHeight="1">
      <c r="A229" s="15" t="s">
        <v>622</v>
      </c>
      <c r="B229" s="15" t="s">
        <v>623</v>
      </c>
      <c r="C229" s="15" t="s">
        <v>119</v>
      </c>
      <c r="D229" s="56">
        <f>SUMIF('2015-16 12 Mnths'!$A:$A,'Variance16-17'!$A229,'2015-16 12 Mnths'!C:C)-SUMIF('Budget 12 Mnths'!$A:$A,'Variance16-17'!$A229,'Budget 12 Mnths'!D:D)</f>
        <v>-920.52</v>
      </c>
      <c r="E229" s="56">
        <f>SUMIF('2015-16 12 Mnths'!$A:$A,'Variance16-17'!$A229,'2015-16 12 Mnths'!D:D)-SUMIF('Budget 12 Mnths'!$A:$A,'Variance16-17'!$A229,'Budget 12 Mnths'!E:E)</f>
        <v>-327.43</v>
      </c>
      <c r="F229" s="56">
        <f>SUMIF('2015-16 12 Mnths'!$A:$A,'Variance16-17'!$A229,'2015-16 12 Mnths'!E:E)-SUMIF('Budget 12 Mnths'!$A:$A,'Variance16-17'!$A229,'Budget 12 Mnths'!F:F)</f>
        <v>-652.91</v>
      </c>
      <c r="G229" s="56">
        <f>SUMIF('2015-16 12 Mnths'!$A:$A,'Variance16-17'!$A229,'2015-16 12 Mnths'!F:F)-SUMIF('Budget 12 Mnths'!$A:$A,'Variance16-17'!$A229,'Budget 12 Mnths'!G:G)</f>
        <v>659</v>
      </c>
      <c r="H229" s="56">
        <f>SUMIF('2015-16 12 Mnths'!$A:$A,'Variance16-17'!$A229,'2015-16 12 Mnths'!G:G)-SUMIF('Budget 12 Mnths'!$A:$A,'Variance16-17'!$A229,'Budget 12 Mnths'!H:H)</f>
        <v>-113.21</v>
      </c>
      <c r="I229" s="56">
        <f>SUMIF('2015-16 12 Mnths'!$A:$A,'Variance16-17'!$A229,'2015-16 12 Mnths'!H:H)-SUMIF('Budget 12 Mnths'!$A:$A,'Variance16-17'!$A229,'Budget 12 Mnths'!I:I)</f>
        <v>-246.61</v>
      </c>
      <c r="J229" s="56">
        <f>SUMIF('2015-16 12 Mnths'!$A:$A,'Variance16-17'!$A229,'2015-16 12 Mnths'!I:I)-SUMIF('Budget 12 Mnths'!$A:$A,'Variance16-17'!$A229,'Budget 12 Mnths'!J:J)</f>
        <v>-295.11</v>
      </c>
      <c r="K229" s="56">
        <f>SUMIF('2015-16 12 Mnths'!$A:$A,'Variance16-17'!$A229,'2015-16 12 Mnths'!J:J)-SUMIF('Budget 12 Mnths'!$A:$A,'Variance16-17'!$A229,'Budget 12 Mnths'!K:K)</f>
        <v>169.47</v>
      </c>
      <c r="L229" s="56">
        <f>SUMIF('2015-16 12 Mnths'!$A:$A,'Variance16-17'!$A229,'2015-16 12 Mnths'!K:K)-SUMIF('Budget 12 Mnths'!$A:$A,'Variance16-17'!$A229,'Budget 12 Mnths'!L:L)</f>
        <v>124.08</v>
      </c>
      <c r="M229" s="56"/>
      <c r="N229" s="56"/>
      <c r="O229" s="56"/>
      <c r="P229" s="56">
        <f t="shared" si="1"/>
        <v>-1603.24</v>
      </c>
      <c r="Q229" s="14" t="str">
        <f>+VLOOKUP(A229,Mapping!$A$1:$E$443,5,FALSE)</f>
        <v>Variable Occupancy</v>
      </c>
      <c r="R229" s="26">
        <f>+SUMIF('Budget 12 Mnths'!$A:$A,'Variance16-17'!$A229,'Budget 12 Mnths'!$P:$P)</f>
        <v>22999.98</v>
      </c>
      <c r="S229" s="26">
        <f>+SUMIF('2015-16 12 Mnths'!$A:$A,'Variance16-17'!$A229,'2015-16 12 Mnths'!$O:$O)</f>
        <v>13346.75</v>
      </c>
      <c r="T229" s="57">
        <f t="shared" si="2"/>
        <v>-0.06970614757</v>
      </c>
      <c r="U229" s="57">
        <f t="shared" si="3"/>
        <v>-0.1201221271</v>
      </c>
      <c r="V229" s="8" t="s">
        <v>594</v>
      </c>
      <c r="W229" s="27"/>
      <c r="X229" s="27" t="str">
        <f t="shared" si="77"/>
        <v/>
      </c>
      <c r="Z229" s="57">
        <f t="shared" si="86"/>
        <v>0</v>
      </c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>
        <f t="shared" si="7"/>
        <v>0</v>
      </c>
    </row>
    <row r="230" ht="15.75" customHeight="1">
      <c r="A230" s="15" t="s">
        <v>624</v>
      </c>
      <c r="B230" s="15" t="s">
        <v>625</v>
      </c>
      <c r="C230" s="15" t="s">
        <v>119</v>
      </c>
      <c r="D230" s="56">
        <f>SUMIF('2015-16 12 Mnths'!$A:$A,'Variance16-17'!$A230,'2015-16 12 Mnths'!C:C)-SUMIF('Budget 12 Mnths'!$A:$A,'Variance16-17'!$A230,'Budget 12 Mnths'!D:D)</f>
        <v>0</v>
      </c>
      <c r="E230" s="56">
        <f>SUMIF('2015-16 12 Mnths'!$A:$A,'Variance16-17'!$A230,'2015-16 12 Mnths'!D:D)-SUMIF('Budget 12 Mnths'!$A:$A,'Variance16-17'!$A230,'Budget 12 Mnths'!E:E)</f>
        <v>0</v>
      </c>
      <c r="F230" s="56">
        <f>SUMIF('2015-16 12 Mnths'!$A:$A,'Variance16-17'!$A230,'2015-16 12 Mnths'!E:E)-SUMIF('Budget 12 Mnths'!$A:$A,'Variance16-17'!$A230,'Budget 12 Mnths'!F:F)</f>
        <v>0</v>
      </c>
      <c r="G230" s="56">
        <f>SUMIF('2015-16 12 Mnths'!$A:$A,'Variance16-17'!$A230,'2015-16 12 Mnths'!F:F)-SUMIF('Budget 12 Mnths'!$A:$A,'Variance16-17'!$A230,'Budget 12 Mnths'!G:G)</f>
        <v>0</v>
      </c>
      <c r="H230" s="56">
        <f>SUMIF('2015-16 12 Mnths'!$A:$A,'Variance16-17'!$A230,'2015-16 12 Mnths'!G:G)-SUMIF('Budget 12 Mnths'!$A:$A,'Variance16-17'!$A230,'Budget 12 Mnths'!H:H)</f>
        <v>0</v>
      </c>
      <c r="I230" s="56">
        <f>SUMIF('2015-16 12 Mnths'!$A:$A,'Variance16-17'!$A230,'2015-16 12 Mnths'!H:H)-SUMIF('Budget 12 Mnths'!$A:$A,'Variance16-17'!$A230,'Budget 12 Mnths'!I:I)</f>
        <v>0</v>
      </c>
      <c r="J230" s="56">
        <f>SUMIF('2015-16 12 Mnths'!$A:$A,'Variance16-17'!$A230,'2015-16 12 Mnths'!I:I)-SUMIF('Budget 12 Mnths'!$A:$A,'Variance16-17'!$A230,'Budget 12 Mnths'!J:J)</f>
        <v>0</v>
      </c>
      <c r="K230" s="56">
        <f>SUMIF('2015-16 12 Mnths'!$A:$A,'Variance16-17'!$A230,'2015-16 12 Mnths'!J:J)-SUMIF('Budget 12 Mnths'!$A:$A,'Variance16-17'!$A230,'Budget 12 Mnths'!K:K)</f>
        <v>0</v>
      </c>
      <c r="L230" s="56">
        <f>SUMIF('2015-16 12 Mnths'!$A:$A,'Variance16-17'!$A230,'2015-16 12 Mnths'!K:K)-SUMIF('Budget 12 Mnths'!$A:$A,'Variance16-17'!$A230,'Budget 12 Mnths'!L:L)</f>
        <v>0</v>
      </c>
      <c r="M230" s="56"/>
      <c r="N230" s="56"/>
      <c r="O230" s="56"/>
      <c r="P230" s="56">
        <f t="shared" si="1"/>
        <v>0</v>
      </c>
      <c r="Q230" s="14" t="str">
        <f>+VLOOKUP(A230,Mapping!$A$1:$E$443,5,FALSE)</f>
        <v>Variable Occupancy</v>
      </c>
      <c r="R230" s="26">
        <f>+SUMIF('Budget 12 Mnths'!$A:$A,'Variance16-17'!$A230,'Budget 12 Mnths'!$P:$P)</f>
        <v>0</v>
      </c>
      <c r="S230" s="26">
        <f>+SUMIF('2015-16 12 Mnths'!$A:$A,'Variance16-17'!$A230,'2015-16 12 Mnths'!$O:$O)</f>
        <v>0</v>
      </c>
      <c r="T230" s="57">
        <f t="shared" si="2"/>
        <v>0</v>
      </c>
      <c r="U230" s="57">
        <f t="shared" si="3"/>
        <v>0</v>
      </c>
      <c r="W230" s="27"/>
      <c r="X230" s="27" t="str">
        <f t="shared" si="77"/>
        <v/>
      </c>
      <c r="Z230" s="57">
        <f t="shared" si="86"/>
        <v>0</v>
      </c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>
        <f t="shared" si="7"/>
        <v>0</v>
      </c>
    </row>
    <row r="231" ht="15.75" customHeight="1">
      <c r="A231" s="15" t="s">
        <v>628</v>
      </c>
      <c r="B231" s="15" t="s">
        <v>629</v>
      </c>
      <c r="C231" s="15" t="s">
        <v>119</v>
      </c>
      <c r="D231" s="56">
        <f>SUMIF('2015-16 12 Mnths'!$A:$A,'Variance16-17'!$A231,'2015-16 12 Mnths'!C:C)-SUMIF('Budget 12 Mnths'!$A:$A,'Variance16-17'!$A231,'Budget 12 Mnths'!D:D)</f>
        <v>-69.19</v>
      </c>
      <c r="E231" s="56">
        <f>SUMIF('2015-16 12 Mnths'!$A:$A,'Variance16-17'!$A231,'2015-16 12 Mnths'!D:D)-SUMIF('Budget 12 Mnths'!$A:$A,'Variance16-17'!$A231,'Budget 12 Mnths'!E:E)</f>
        <v>-70.54</v>
      </c>
      <c r="F231" s="56">
        <f>SUMIF('2015-16 12 Mnths'!$A:$A,'Variance16-17'!$A231,'2015-16 12 Mnths'!E:E)-SUMIF('Budget 12 Mnths'!$A:$A,'Variance16-17'!$A231,'Budget 12 Mnths'!F:F)</f>
        <v>19.05</v>
      </c>
      <c r="G231" s="56">
        <f>SUMIF('2015-16 12 Mnths'!$A:$A,'Variance16-17'!$A231,'2015-16 12 Mnths'!F:F)-SUMIF('Budget 12 Mnths'!$A:$A,'Variance16-17'!$A231,'Budget 12 Mnths'!G:G)</f>
        <v>27.26</v>
      </c>
      <c r="H231" s="56">
        <f>SUMIF('2015-16 12 Mnths'!$A:$A,'Variance16-17'!$A231,'2015-16 12 Mnths'!G:G)-SUMIF('Budget 12 Mnths'!$A:$A,'Variance16-17'!$A231,'Budget 12 Mnths'!H:H)</f>
        <v>-7.81</v>
      </c>
      <c r="I231" s="56">
        <f>SUMIF('2015-16 12 Mnths'!$A:$A,'Variance16-17'!$A231,'2015-16 12 Mnths'!H:H)-SUMIF('Budget 12 Mnths'!$A:$A,'Variance16-17'!$A231,'Budget 12 Mnths'!I:I)</f>
        <v>35.52</v>
      </c>
      <c r="J231" s="56">
        <f>SUMIF('2015-16 12 Mnths'!$A:$A,'Variance16-17'!$A231,'2015-16 12 Mnths'!I:I)-SUMIF('Budget 12 Mnths'!$A:$A,'Variance16-17'!$A231,'Budget 12 Mnths'!J:J)</f>
        <v>-27.88</v>
      </c>
      <c r="K231" s="56">
        <f>SUMIF('2015-16 12 Mnths'!$A:$A,'Variance16-17'!$A231,'2015-16 12 Mnths'!J:J)-SUMIF('Budget 12 Mnths'!$A:$A,'Variance16-17'!$A231,'Budget 12 Mnths'!K:K)</f>
        <v>-9.26</v>
      </c>
      <c r="L231" s="56">
        <f>SUMIF('2015-16 12 Mnths'!$A:$A,'Variance16-17'!$A231,'2015-16 12 Mnths'!K:K)-SUMIF('Budget 12 Mnths'!$A:$A,'Variance16-17'!$A231,'Budget 12 Mnths'!L:L)</f>
        <v>10.66</v>
      </c>
      <c r="M231" s="56"/>
      <c r="N231" s="56"/>
      <c r="O231" s="56"/>
      <c r="P231" s="56">
        <f t="shared" si="1"/>
        <v>-92.19</v>
      </c>
      <c r="Q231" s="14" t="str">
        <f>+VLOOKUP(A231,Mapping!$A$1:$E$443,5,FALSE)</f>
        <v>Equipment</v>
      </c>
      <c r="R231" s="26">
        <f>+SUMIF('Budget 12 Mnths'!$A:$A,'Variance16-17'!$A231,'Budget 12 Mnths'!$P:$P)</f>
        <v>3500.04</v>
      </c>
      <c r="S231" s="26">
        <f>+SUMIF('2015-16 12 Mnths'!$A:$A,'Variance16-17'!$A231,'2015-16 12 Mnths'!$O:$O)</f>
        <v>2812.91</v>
      </c>
      <c r="T231" s="57">
        <f t="shared" si="2"/>
        <v>-0.02633969897</v>
      </c>
      <c r="U231" s="57">
        <f t="shared" si="3"/>
        <v>-0.03277388896</v>
      </c>
      <c r="V231" s="8" t="s">
        <v>594</v>
      </c>
      <c r="W231" s="27"/>
      <c r="X231" s="27" t="str">
        <f t="shared" si="77"/>
        <v/>
      </c>
      <c r="Z231" s="57">
        <f t="shared" si="86"/>
        <v>0</v>
      </c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>
        <f t="shared" si="7"/>
        <v>0</v>
      </c>
    </row>
    <row r="232" ht="15.75" customHeight="1">
      <c r="A232" s="15" t="s">
        <v>630</v>
      </c>
      <c r="B232" s="15" t="s">
        <v>631</v>
      </c>
      <c r="C232" s="15" t="s">
        <v>119</v>
      </c>
      <c r="D232" s="56">
        <f>SUMIF('2015-16 12 Mnths'!$A:$A,'Variance16-17'!$A232,'2015-16 12 Mnths'!C:C)-SUMIF('Budget 12 Mnths'!$A:$A,'Variance16-17'!$A232,'Budget 12 Mnths'!D:D)</f>
        <v>-150</v>
      </c>
      <c r="E232" s="56">
        <f>SUMIF('2015-16 12 Mnths'!$A:$A,'Variance16-17'!$A232,'2015-16 12 Mnths'!D:D)-SUMIF('Budget 12 Mnths'!$A:$A,'Variance16-17'!$A232,'Budget 12 Mnths'!E:E)</f>
        <v>-150</v>
      </c>
      <c r="F232" s="56">
        <f>SUMIF('2015-16 12 Mnths'!$A:$A,'Variance16-17'!$A232,'2015-16 12 Mnths'!E:E)-SUMIF('Budget 12 Mnths'!$A:$A,'Variance16-17'!$A232,'Budget 12 Mnths'!F:F)</f>
        <v>-150</v>
      </c>
      <c r="G232" s="56">
        <f>SUMIF('2015-16 12 Mnths'!$A:$A,'Variance16-17'!$A232,'2015-16 12 Mnths'!F:F)-SUMIF('Budget 12 Mnths'!$A:$A,'Variance16-17'!$A232,'Budget 12 Mnths'!G:G)</f>
        <v>0</v>
      </c>
      <c r="H232" s="56">
        <f>SUMIF('2015-16 12 Mnths'!$A:$A,'Variance16-17'!$A232,'2015-16 12 Mnths'!G:G)-SUMIF('Budget 12 Mnths'!$A:$A,'Variance16-17'!$A232,'Budget 12 Mnths'!H:H)</f>
        <v>0</v>
      </c>
      <c r="I232" s="56">
        <f>SUMIF('2015-16 12 Mnths'!$A:$A,'Variance16-17'!$A232,'2015-16 12 Mnths'!H:H)-SUMIF('Budget 12 Mnths'!$A:$A,'Variance16-17'!$A232,'Budget 12 Mnths'!I:I)</f>
        <v>0</v>
      </c>
      <c r="J232" s="56">
        <f>SUMIF('2015-16 12 Mnths'!$A:$A,'Variance16-17'!$A232,'2015-16 12 Mnths'!I:I)-SUMIF('Budget 12 Mnths'!$A:$A,'Variance16-17'!$A232,'Budget 12 Mnths'!J:J)</f>
        <v>0</v>
      </c>
      <c r="K232" s="56">
        <f>SUMIF('2015-16 12 Mnths'!$A:$A,'Variance16-17'!$A232,'2015-16 12 Mnths'!J:J)-SUMIF('Budget 12 Mnths'!$A:$A,'Variance16-17'!$A232,'Budget 12 Mnths'!K:K)</f>
        <v>0</v>
      </c>
      <c r="L232" s="56">
        <f>SUMIF('2015-16 12 Mnths'!$A:$A,'Variance16-17'!$A232,'2015-16 12 Mnths'!K:K)-SUMIF('Budget 12 Mnths'!$A:$A,'Variance16-17'!$A232,'Budget 12 Mnths'!L:L)</f>
        <v>0</v>
      </c>
      <c r="M232" s="56"/>
      <c r="N232" s="56"/>
      <c r="O232" s="56"/>
      <c r="P232" s="56">
        <f t="shared" si="1"/>
        <v>-450</v>
      </c>
      <c r="Q232" s="14" t="str">
        <f>+VLOOKUP(A232,Mapping!$A$1:$E$443,5,FALSE)</f>
        <v>Equipment</v>
      </c>
      <c r="R232" s="26">
        <f>+SUMIF('Budget 12 Mnths'!$A:$A,'Variance16-17'!$A232,'Budget 12 Mnths'!$P:$P)</f>
        <v>500.01</v>
      </c>
      <c r="S232" s="26">
        <f>+SUMIF('2015-16 12 Mnths'!$A:$A,'Variance16-17'!$A232,'2015-16 12 Mnths'!$O:$O)</f>
        <v>0</v>
      </c>
      <c r="T232" s="57">
        <f t="shared" si="2"/>
        <v>-0.8999820004</v>
      </c>
      <c r="U232" s="57">
        <f t="shared" si="3"/>
        <v>0</v>
      </c>
      <c r="V232" s="8" t="s">
        <v>594</v>
      </c>
      <c r="W232" s="27"/>
      <c r="X232" s="27" t="str">
        <f t="shared" si="77"/>
        <v/>
      </c>
      <c r="Z232" s="57">
        <f t="shared" si="86"/>
        <v>0</v>
      </c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>
        <f t="shared" si="7"/>
        <v>0</v>
      </c>
    </row>
    <row r="233" ht="15.75" customHeight="1">
      <c r="A233" s="15" t="s">
        <v>632</v>
      </c>
      <c r="B233" s="15" t="s">
        <v>633</v>
      </c>
      <c r="C233" s="15" t="s">
        <v>119</v>
      </c>
      <c r="D233" s="56">
        <f>SUMIF('2015-16 12 Mnths'!$A:$A,'Variance16-17'!$A233,'2015-16 12 Mnths'!C:C)-SUMIF('Budget 12 Mnths'!$A:$A,'Variance16-17'!$A233,'Budget 12 Mnths'!D:D)</f>
        <v>0</v>
      </c>
      <c r="E233" s="56">
        <f>SUMIF('2015-16 12 Mnths'!$A:$A,'Variance16-17'!$A233,'2015-16 12 Mnths'!D:D)-SUMIF('Budget 12 Mnths'!$A:$A,'Variance16-17'!$A233,'Budget 12 Mnths'!E:E)</f>
        <v>0</v>
      </c>
      <c r="F233" s="56">
        <f>SUMIF('2015-16 12 Mnths'!$A:$A,'Variance16-17'!$A233,'2015-16 12 Mnths'!E:E)-SUMIF('Budget 12 Mnths'!$A:$A,'Variance16-17'!$A233,'Budget 12 Mnths'!F:F)</f>
        <v>0</v>
      </c>
      <c r="G233" s="56">
        <f>SUMIF('2015-16 12 Mnths'!$A:$A,'Variance16-17'!$A233,'2015-16 12 Mnths'!F:F)-SUMIF('Budget 12 Mnths'!$A:$A,'Variance16-17'!$A233,'Budget 12 Mnths'!G:G)</f>
        <v>0</v>
      </c>
      <c r="H233" s="56">
        <f>SUMIF('2015-16 12 Mnths'!$A:$A,'Variance16-17'!$A233,'2015-16 12 Mnths'!G:G)-SUMIF('Budget 12 Mnths'!$A:$A,'Variance16-17'!$A233,'Budget 12 Mnths'!H:H)</f>
        <v>0</v>
      </c>
      <c r="I233" s="56">
        <f>SUMIF('2015-16 12 Mnths'!$A:$A,'Variance16-17'!$A233,'2015-16 12 Mnths'!H:H)-SUMIF('Budget 12 Mnths'!$A:$A,'Variance16-17'!$A233,'Budget 12 Mnths'!I:I)</f>
        <v>0</v>
      </c>
      <c r="J233" s="56">
        <f>SUMIF('2015-16 12 Mnths'!$A:$A,'Variance16-17'!$A233,'2015-16 12 Mnths'!I:I)-SUMIF('Budget 12 Mnths'!$A:$A,'Variance16-17'!$A233,'Budget 12 Mnths'!J:J)</f>
        <v>0</v>
      </c>
      <c r="K233" s="56">
        <f>SUMIF('2015-16 12 Mnths'!$A:$A,'Variance16-17'!$A233,'2015-16 12 Mnths'!J:J)-SUMIF('Budget 12 Mnths'!$A:$A,'Variance16-17'!$A233,'Budget 12 Mnths'!K:K)</f>
        <v>0</v>
      </c>
      <c r="L233" s="56">
        <f>SUMIF('2015-16 12 Mnths'!$A:$A,'Variance16-17'!$A233,'2015-16 12 Mnths'!K:K)-SUMIF('Budget 12 Mnths'!$A:$A,'Variance16-17'!$A233,'Budget 12 Mnths'!L:L)</f>
        <v>0</v>
      </c>
      <c r="M233" s="56"/>
      <c r="N233" s="56"/>
      <c r="O233" s="56"/>
      <c r="P233" s="56">
        <f t="shared" si="1"/>
        <v>0</v>
      </c>
      <c r="Q233" s="14" t="str">
        <f>+VLOOKUP(A233,Mapping!$A$1:$E$443,5,FALSE)</f>
        <v>Equipment</v>
      </c>
      <c r="R233" s="26">
        <f>+SUMIF('Budget 12 Mnths'!$A:$A,'Variance16-17'!$A233,'Budget 12 Mnths'!$P:$P)</f>
        <v>0</v>
      </c>
      <c r="S233" s="26">
        <f>+SUMIF('2015-16 12 Mnths'!$A:$A,'Variance16-17'!$A233,'2015-16 12 Mnths'!$O:$O)</f>
        <v>0</v>
      </c>
      <c r="T233" s="57">
        <f t="shared" si="2"/>
        <v>0</v>
      </c>
      <c r="U233" s="57">
        <f t="shared" si="3"/>
        <v>0</v>
      </c>
      <c r="W233" s="27"/>
      <c r="X233" s="27" t="str">
        <f t="shared" si="77"/>
        <v/>
      </c>
      <c r="Z233" s="57">
        <f t="shared" si="86"/>
        <v>0</v>
      </c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>
        <f t="shared" si="7"/>
        <v>0</v>
      </c>
    </row>
    <row r="234" ht="15.75" customHeight="1">
      <c r="A234" s="15" t="s">
        <v>634</v>
      </c>
      <c r="B234" s="15" t="s">
        <v>635</v>
      </c>
      <c r="C234" s="15" t="s">
        <v>119</v>
      </c>
      <c r="D234" s="56">
        <f>SUMIF('2015-16 12 Mnths'!$A:$A,'Variance16-17'!$A234,'2015-16 12 Mnths'!C:C)-SUMIF('Budget 12 Mnths'!$A:$A,'Variance16-17'!$A234,'Budget 12 Mnths'!D:D)</f>
        <v>0</v>
      </c>
      <c r="E234" s="56">
        <f>SUMIF('2015-16 12 Mnths'!$A:$A,'Variance16-17'!$A234,'2015-16 12 Mnths'!D:D)-SUMIF('Budget 12 Mnths'!$A:$A,'Variance16-17'!$A234,'Budget 12 Mnths'!E:E)</f>
        <v>0</v>
      </c>
      <c r="F234" s="56">
        <f>SUMIF('2015-16 12 Mnths'!$A:$A,'Variance16-17'!$A234,'2015-16 12 Mnths'!E:E)-SUMIF('Budget 12 Mnths'!$A:$A,'Variance16-17'!$A234,'Budget 12 Mnths'!F:F)</f>
        <v>0</v>
      </c>
      <c r="G234" s="56">
        <f>SUMIF('2015-16 12 Mnths'!$A:$A,'Variance16-17'!$A234,'2015-16 12 Mnths'!F:F)-SUMIF('Budget 12 Mnths'!$A:$A,'Variance16-17'!$A234,'Budget 12 Mnths'!G:G)</f>
        <v>0</v>
      </c>
      <c r="H234" s="56">
        <f>SUMIF('2015-16 12 Mnths'!$A:$A,'Variance16-17'!$A234,'2015-16 12 Mnths'!G:G)-SUMIF('Budget 12 Mnths'!$A:$A,'Variance16-17'!$A234,'Budget 12 Mnths'!H:H)</f>
        <v>0</v>
      </c>
      <c r="I234" s="56">
        <f>SUMIF('2015-16 12 Mnths'!$A:$A,'Variance16-17'!$A234,'2015-16 12 Mnths'!H:H)-SUMIF('Budget 12 Mnths'!$A:$A,'Variance16-17'!$A234,'Budget 12 Mnths'!I:I)</f>
        <v>0</v>
      </c>
      <c r="J234" s="56">
        <f>SUMIF('2015-16 12 Mnths'!$A:$A,'Variance16-17'!$A234,'2015-16 12 Mnths'!I:I)-SUMIF('Budget 12 Mnths'!$A:$A,'Variance16-17'!$A234,'Budget 12 Mnths'!J:J)</f>
        <v>0</v>
      </c>
      <c r="K234" s="56">
        <f>SUMIF('2015-16 12 Mnths'!$A:$A,'Variance16-17'!$A234,'2015-16 12 Mnths'!J:J)-SUMIF('Budget 12 Mnths'!$A:$A,'Variance16-17'!$A234,'Budget 12 Mnths'!K:K)</f>
        <v>0</v>
      </c>
      <c r="L234" s="56">
        <f>SUMIF('2015-16 12 Mnths'!$A:$A,'Variance16-17'!$A234,'2015-16 12 Mnths'!K:K)-SUMIF('Budget 12 Mnths'!$A:$A,'Variance16-17'!$A234,'Budget 12 Mnths'!L:L)</f>
        <v>0</v>
      </c>
      <c r="M234" s="56"/>
      <c r="N234" s="56"/>
      <c r="O234" s="56"/>
      <c r="P234" s="56">
        <f t="shared" si="1"/>
        <v>0</v>
      </c>
      <c r="Q234" s="14" t="str">
        <f>+VLOOKUP(A234,Mapping!$A$1:$E$443,5,FALSE)</f>
        <v>Equipment</v>
      </c>
      <c r="R234" s="26">
        <f>+SUMIF('Budget 12 Mnths'!$A:$A,'Variance16-17'!$A234,'Budget 12 Mnths'!$P:$P)</f>
        <v>0</v>
      </c>
      <c r="S234" s="26">
        <f>+SUMIF('2015-16 12 Mnths'!$A:$A,'Variance16-17'!$A234,'2015-16 12 Mnths'!$O:$O)</f>
        <v>0</v>
      </c>
      <c r="T234" s="57">
        <f t="shared" si="2"/>
        <v>0</v>
      </c>
      <c r="U234" s="57">
        <f t="shared" si="3"/>
        <v>0</v>
      </c>
      <c r="W234" s="27"/>
      <c r="X234" s="27" t="str">
        <f t="shared" si="77"/>
        <v/>
      </c>
      <c r="Z234" s="57">
        <f t="shared" si="86"/>
        <v>0</v>
      </c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>
        <f t="shared" si="7"/>
        <v>0</v>
      </c>
    </row>
    <row r="235" ht="15.75" customHeight="1">
      <c r="A235" s="15" t="s">
        <v>636</v>
      </c>
      <c r="B235" s="15" t="s">
        <v>635</v>
      </c>
      <c r="C235" s="15" t="s">
        <v>119</v>
      </c>
      <c r="D235" s="56">
        <f>SUMIF('2015-16 12 Mnths'!$A:$A,'Variance16-17'!$A235,'2015-16 12 Mnths'!C:C)-SUMIF('Budget 12 Mnths'!$A:$A,'Variance16-17'!$A235,'Budget 12 Mnths'!D:D)</f>
        <v>0</v>
      </c>
      <c r="E235" s="56">
        <f>SUMIF('2015-16 12 Mnths'!$A:$A,'Variance16-17'!$A235,'2015-16 12 Mnths'!D:D)-SUMIF('Budget 12 Mnths'!$A:$A,'Variance16-17'!$A235,'Budget 12 Mnths'!E:E)</f>
        <v>0</v>
      </c>
      <c r="F235" s="56">
        <f>SUMIF('2015-16 12 Mnths'!$A:$A,'Variance16-17'!$A235,'2015-16 12 Mnths'!E:E)-SUMIF('Budget 12 Mnths'!$A:$A,'Variance16-17'!$A235,'Budget 12 Mnths'!F:F)</f>
        <v>0</v>
      </c>
      <c r="G235" s="56">
        <f>SUMIF('2015-16 12 Mnths'!$A:$A,'Variance16-17'!$A235,'2015-16 12 Mnths'!F:F)-SUMIF('Budget 12 Mnths'!$A:$A,'Variance16-17'!$A235,'Budget 12 Mnths'!G:G)</f>
        <v>0</v>
      </c>
      <c r="H235" s="56">
        <f>SUMIF('2015-16 12 Mnths'!$A:$A,'Variance16-17'!$A235,'2015-16 12 Mnths'!G:G)-SUMIF('Budget 12 Mnths'!$A:$A,'Variance16-17'!$A235,'Budget 12 Mnths'!H:H)</f>
        <v>0</v>
      </c>
      <c r="I235" s="56">
        <f>SUMIF('2015-16 12 Mnths'!$A:$A,'Variance16-17'!$A235,'2015-16 12 Mnths'!H:H)-SUMIF('Budget 12 Mnths'!$A:$A,'Variance16-17'!$A235,'Budget 12 Mnths'!I:I)</f>
        <v>0</v>
      </c>
      <c r="J235" s="56">
        <f>SUMIF('2015-16 12 Mnths'!$A:$A,'Variance16-17'!$A235,'2015-16 12 Mnths'!I:I)-SUMIF('Budget 12 Mnths'!$A:$A,'Variance16-17'!$A235,'Budget 12 Mnths'!J:J)</f>
        <v>0</v>
      </c>
      <c r="K235" s="56">
        <f>SUMIF('2015-16 12 Mnths'!$A:$A,'Variance16-17'!$A235,'2015-16 12 Mnths'!J:J)-SUMIF('Budget 12 Mnths'!$A:$A,'Variance16-17'!$A235,'Budget 12 Mnths'!K:K)</f>
        <v>0</v>
      </c>
      <c r="L235" s="56">
        <f>SUMIF('2015-16 12 Mnths'!$A:$A,'Variance16-17'!$A235,'2015-16 12 Mnths'!K:K)-SUMIF('Budget 12 Mnths'!$A:$A,'Variance16-17'!$A235,'Budget 12 Mnths'!L:L)</f>
        <v>0</v>
      </c>
      <c r="M235" s="56"/>
      <c r="N235" s="56"/>
      <c r="O235" s="56"/>
      <c r="P235" s="56">
        <f t="shared" si="1"/>
        <v>0</v>
      </c>
      <c r="Q235" s="14" t="str">
        <f>+VLOOKUP(A235,Mapping!$A$1:$E$443,5,FALSE)</f>
        <v>Equipment</v>
      </c>
      <c r="R235" s="26">
        <f>+SUMIF('Budget 12 Mnths'!$A:$A,'Variance16-17'!$A235,'Budget 12 Mnths'!$P:$P)</f>
        <v>0</v>
      </c>
      <c r="S235" s="26">
        <f>+SUMIF('2015-16 12 Mnths'!$A:$A,'Variance16-17'!$A235,'2015-16 12 Mnths'!$O:$O)</f>
        <v>0</v>
      </c>
      <c r="T235" s="57">
        <f t="shared" si="2"/>
        <v>0</v>
      </c>
      <c r="U235" s="57">
        <f t="shared" si="3"/>
        <v>0</v>
      </c>
      <c r="W235" s="27"/>
      <c r="X235" s="27" t="str">
        <f t="shared" si="77"/>
        <v/>
      </c>
      <c r="Z235" s="57">
        <f t="shared" si="86"/>
        <v>0</v>
      </c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>
        <f t="shared" si="7"/>
        <v>0</v>
      </c>
    </row>
    <row r="236" ht="15.75" customHeight="1">
      <c r="A236" s="15" t="s">
        <v>639</v>
      </c>
      <c r="B236" s="15" t="s">
        <v>640</v>
      </c>
      <c r="C236" s="15" t="s">
        <v>119</v>
      </c>
      <c r="D236" s="56">
        <f>SUMIF('2015-16 12 Mnths'!$A:$A,'Variance16-17'!$A236,'2015-16 12 Mnths'!C:C)-SUMIF('Budget 12 Mnths'!$A:$A,'Variance16-17'!$A236,'Budget 12 Mnths'!D:D)</f>
        <v>0</v>
      </c>
      <c r="E236" s="56">
        <f>SUMIF('2015-16 12 Mnths'!$A:$A,'Variance16-17'!$A236,'2015-16 12 Mnths'!D:D)-SUMIF('Budget 12 Mnths'!$A:$A,'Variance16-17'!$A236,'Budget 12 Mnths'!E:E)</f>
        <v>0</v>
      </c>
      <c r="F236" s="56">
        <f>SUMIF('2015-16 12 Mnths'!$A:$A,'Variance16-17'!$A236,'2015-16 12 Mnths'!E:E)-SUMIF('Budget 12 Mnths'!$A:$A,'Variance16-17'!$A236,'Budget 12 Mnths'!F:F)</f>
        <v>0</v>
      </c>
      <c r="G236" s="56">
        <f>SUMIF('2015-16 12 Mnths'!$A:$A,'Variance16-17'!$A236,'2015-16 12 Mnths'!F:F)-SUMIF('Budget 12 Mnths'!$A:$A,'Variance16-17'!$A236,'Budget 12 Mnths'!G:G)</f>
        <v>0</v>
      </c>
      <c r="H236" s="56">
        <f>SUMIF('2015-16 12 Mnths'!$A:$A,'Variance16-17'!$A236,'2015-16 12 Mnths'!G:G)-SUMIF('Budget 12 Mnths'!$A:$A,'Variance16-17'!$A236,'Budget 12 Mnths'!H:H)</f>
        <v>0</v>
      </c>
      <c r="I236" s="56">
        <f>SUMIF('2015-16 12 Mnths'!$A:$A,'Variance16-17'!$A236,'2015-16 12 Mnths'!H:H)-SUMIF('Budget 12 Mnths'!$A:$A,'Variance16-17'!$A236,'Budget 12 Mnths'!I:I)</f>
        <v>0</v>
      </c>
      <c r="J236" s="56">
        <f>SUMIF('2015-16 12 Mnths'!$A:$A,'Variance16-17'!$A236,'2015-16 12 Mnths'!I:I)-SUMIF('Budget 12 Mnths'!$A:$A,'Variance16-17'!$A236,'Budget 12 Mnths'!J:J)</f>
        <v>0</v>
      </c>
      <c r="K236" s="56">
        <f>SUMIF('2015-16 12 Mnths'!$A:$A,'Variance16-17'!$A236,'2015-16 12 Mnths'!J:J)-SUMIF('Budget 12 Mnths'!$A:$A,'Variance16-17'!$A236,'Budget 12 Mnths'!K:K)</f>
        <v>0</v>
      </c>
      <c r="L236" s="56">
        <f>SUMIF('2015-16 12 Mnths'!$A:$A,'Variance16-17'!$A236,'2015-16 12 Mnths'!K:K)-SUMIF('Budget 12 Mnths'!$A:$A,'Variance16-17'!$A236,'Budget 12 Mnths'!L:L)</f>
        <v>0</v>
      </c>
      <c r="M236" s="56"/>
      <c r="N236" s="56"/>
      <c r="O236" s="56"/>
      <c r="P236" s="56">
        <f t="shared" si="1"/>
        <v>0</v>
      </c>
      <c r="Q236" s="14" t="str">
        <f>+VLOOKUP(A236,Mapping!$A$1:$E$443,5,FALSE)</f>
        <v>Continuing Ed</v>
      </c>
      <c r="R236" s="26">
        <f>+SUMIF('Budget 12 Mnths'!$A:$A,'Variance16-17'!$A236,'Budget 12 Mnths'!$P:$P)</f>
        <v>0</v>
      </c>
      <c r="S236" s="26">
        <f>+SUMIF('2015-16 12 Mnths'!$A:$A,'Variance16-17'!$A236,'2015-16 12 Mnths'!$O:$O)</f>
        <v>0</v>
      </c>
      <c r="T236" s="57">
        <f t="shared" si="2"/>
        <v>0</v>
      </c>
      <c r="U236" s="57">
        <f t="shared" si="3"/>
        <v>0</v>
      </c>
      <c r="W236" s="27"/>
      <c r="X236" s="27" t="str">
        <f t="shared" si="77"/>
        <v/>
      </c>
      <c r="Z236" s="57">
        <f t="shared" si="86"/>
        <v>0</v>
      </c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>
        <f t="shared" si="7"/>
        <v>0</v>
      </c>
    </row>
    <row r="237" ht="15.75" customHeight="1">
      <c r="A237" s="15" t="s">
        <v>642</v>
      </c>
      <c r="B237" s="15" t="s">
        <v>643</v>
      </c>
      <c r="C237" s="15" t="s">
        <v>119</v>
      </c>
      <c r="D237" s="56">
        <f>SUMIF('2015-16 12 Mnths'!$A:$A,'Variance16-17'!$A237,'2015-16 12 Mnths'!C:C)-SUMIF('Budget 12 Mnths'!$A:$A,'Variance16-17'!$A237,'Budget 12 Mnths'!D:D)</f>
        <v>0</v>
      </c>
      <c r="E237" s="56">
        <f>SUMIF('2015-16 12 Mnths'!$A:$A,'Variance16-17'!$A237,'2015-16 12 Mnths'!D:D)-SUMIF('Budget 12 Mnths'!$A:$A,'Variance16-17'!$A237,'Budget 12 Mnths'!E:E)</f>
        <v>0</v>
      </c>
      <c r="F237" s="56">
        <f>SUMIF('2015-16 12 Mnths'!$A:$A,'Variance16-17'!$A237,'2015-16 12 Mnths'!E:E)-SUMIF('Budget 12 Mnths'!$A:$A,'Variance16-17'!$A237,'Budget 12 Mnths'!F:F)</f>
        <v>0</v>
      </c>
      <c r="G237" s="56">
        <f>SUMIF('2015-16 12 Mnths'!$A:$A,'Variance16-17'!$A237,'2015-16 12 Mnths'!F:F)-SUMIF('Budget 12 Mnths'!$A:$A,'Variance16-17'!$A237,'Budget 12 Mnths'!G:G)</f>
        <v>-416.67</v>
      </c>
      <c r="H237" s="56">
        <f>SUMIF('2015-16 12 Mnths'!$A:$A,'Variance16-17'!$A237,'2015-16 12 Mnths'!G:G)-SUMIF('Budget 12 Mnths'!$A:$A,'Variance16-17'!$A237,'Budget 12 Mnths'!H:H)</f>
        <v>-416.67</v>
      </c>
      <c r="I237" s="56">
        <f>SUMIF('2015-16 12 Mnths'!$A:$A,'Variance16-17'!$A237,'2015-16 12 Mnths'!H:H)-SUMIF('Budget 12 Mnths'!$A:$A,'Variance16-17'!$A237,'Budget 12 Mnths'!I:I)</f>
        <v>-416.67</v>
      </c>
      <c r="J237" s="56">
        <f>SUMIF('2015-16 12 Mnths'!$A:$A,'Variance16-17'!$A237,'2015-16 12 Mnths'!I:I)-SUMIF('Budget 12 Mnths'!$A:$A,'Variance16-17'!$A237,'Budget 12 Mnths'!J:J)</f>
        <v>-416.67</v>
      </c>
      <c r="K237" s="56">
        <f>SUMIF('2015-16 12 Mnths'!$A:$A,'Variance16-17'!$A237,'2015-16 12 Mnths'!J:J)-SUMIF('Budget 12 Mnths'!$A:$A,'Variance16-17'!$A237,'Budget 12 Mnths'!K:K)</f>
        <v>-416.67</v>
      </c>
      <c r="L237" s="56">
        <f>SUMIF('2015-16 12 Mnths'!$A:$A,'Variance16-17'!$A237,'2015-16 12 Mnths'!K:K)-SUMIF('Budget 12 Mnths'!$A:$A,'Variance16-17'!$A237,'Budget 12 Mnths'!L:L)</f>
        <v>-416.67</v>
      </c>
      <c r="M237" s="56"/>
      <c r="N237" s="56"/>
      <c r="O237" s="56"/>
      <c r="P237" s="56">
        <f t="shared" si="1"/>
        <v>-2500.02</v>
      </c>
      <c r="Q237" s="14" t="str">
        <f>+VLOOKUP(A237,Mapping!$A$1:$E$443,5,FALSE)</f>
        <v>Continuing Ed</v>
      </c>
      <c r="R237" s="26">
        <f>+SUMIF('Budget 12 Mnths'!$A:$A,'Variance16-17'!$A237,'Budget 12 Mnths'!$P:$P)</f>
        <v>2500.02</v>
      </c>
      <c r="S237" s="26">
        <f>+SUMIF('2015-16 12 Mnths'!$A:$A,'Variance16-17'!$A237,'2015-16 12 Mnths'!$O:$O)</f>
        <v>0</v>
      </c>
      <c r="T237" s="57">
        <f t="shared" si="2"/>
        <v>-1</v>
      </c>
      <c r="U237" s="57">
        <f t="shared" si="3"/>
        <v>0</v>
      </c>
      <c r="V237" s="8" t="s">
        <v>641</v>
      </c>
      <c r="W237" s="27">
        <v>2500.0</v>
      </c>
      <c r="X237" s="27">
        <f t="shared" si="77"/>
        <v>2500</v>
      </c>
      <c r="Z237" s="57">
        <f t="shared" si="86"/>
        <v>1250</v>
      </c>
      <c r="AA237" s="27"/>
      <c r="AB237" s="27"/>
      <c r="AC237" s="27"/>
      <c r="AD237" s="27"/>
      <c r="AE237" s="27">
        <v>500.0</v>
      </c>
      <c r="AF237" s="27"/>
      <c r="AG237" s="27">
        <v>500.0</v>
      </c>
      <c r="AH237" s="27">
        <v>500.0</v>
      </c>
      <c r="AI237" s="27">
        <v>500.0</v>
      </c>
      <c r="AJ237" s="27">
        <v>500.0</v>
      </c>
      <c r="AK237" s="27"/>
      <c r="AL237" s="27"/>
      <c r="AM237" s="27">
        <f t="shared" si="7"/>
        <v>0</v>
      </c>
    </row>
    <row r="238" ht="15.75" customHeight="1">
      <c r="A238" s="15" t="s">
        <v>644</v>
      </c>
      <c r="B238" s="15" t="s">
        <v>643</v>
      </c>
      <c r="C238" s="15" t="s">
        <v>119</v>
      </c>
      <c r="D238" s="56">
        <f>SUMIF('2015-16 12 Mnths'!$A:$A,'Variance16-17'!$A238,'2015-16 12 Mnths'!C:C)-SUMIF('Budget 12 Mnths'!$A:$A,'Variance16-17'!$A238,'Budget 12 Mnths'!D:D)</f>
        <v>0</v>
      </c>
      <c r="E238" s="56">
        <f>SUMIF('2015-16 12 Mnths'!$A:$A,'Variance16-17'!$A238,'2015-16 12 Mnths'!D:D)-SUMIF('Budget 12 Mnths'!$A:$A,'Variance16-17'!$A238,'Budget 12 Mnths'!E:E)</f>
        <v>0</v>
      </c>
      <c r="F238" s="56">
        <f>SUMIF('2015-16 12 Mnths'!$A:$A,'Variance16-17'!$A238,'2015-16 12 Mnths'!E:E)-SUMIF('Budget 12 Mnths'!$A:$A,'Variance16-17'!$A238,'Budget 12 Mnths'!F:F)</f>
        <v>0</v>
      </c>
      <c r="G238" s="56">
        <f>SUMIF('2015-16 12 Mnths'!$A:$A,'Variance16-17'!$A238,'2015-16 12 Mnths'!F:F)-SUMIF('Budget 12 Mnths'!$A:$A,'Variance16-17'!$A238,'Budget 12 Mnths'!G:G)</f>
        <v>0</v>
      </c>
      <c r="H238" s="56">
        <f>SUMIF('2015-16 12 Mnths'!$A:$A,'Variance16-17'!$A238,'2015-16 12 Mnths'!G:G)-SUMIF('Budget 12 Mnths'!$A:$A,'Variance16-17'!$A238,'Budget 12 Mnths'!H:H)</f>
        <v>0</v>
      </c>
      <c r="I238" s="56">
        <f>SUMIF('2015-16 12 Mnths'!$A:$A,'Variance16-17'!$A238,'2015-16 12 Mnths'!H:H)-SUMIF('Budget 12 Mnths'!$A:$A,'Variance16-17'!$A238,'Budget 12 Mnths'!I:I)</f>
        <v>0</v>
      </c>
      <c r="J238" s="56">
        <f>SUMIF('2015-16 12 Mnths'!$A:$A,'Variance16-17'!$A238,'2015-16 12 Mnths'!I:I)-SUMIF('Budget 12 Mnths'!$A:$A,'Variance16-17'!$A238,'Budget 12 Mnths'!J:J)</f>
        <v>0</v>
      </c>
      <c r="K238" s="56">
        <f>SUMIF('2015-16 12 Mnths'!$A:$A,'Variance16-17'!$A238,'2015-16 12 Mnths'!J:J)-SUMIF('Budget 12 Mnths'!$A:$A,'Variance16-17'!$A238,'Budget 12 Mnths'!K:K)</f>
        <v>0</v>
      </c>
      <c r="L238" s="56">
        <f>SUMIF('2015-16 12 Mnths'!$A:$A,'Variance16-17'!$A238,'2015-16 12 Mnths'!K:K)-SUMIF('Budget 12 Mnths'!$A:$A,'Variance16-17'!$A238,'Budget 12 Mnths'!L:L)</f>
        <v>0</v>
      </c>
      <c r="M238" s="56"/>
      <c r="N238" s="56"/>
      <c r="O238" s="56"/>
      <c r="P238" s="56">
        <f t="shared" si="1"/>
        <v>0</v>
      </c>
      <c r="Q238" s="14" t="str">
        <f>+VLOOKUP(A238,Mapping!$A$1:$E$443,5,FALSE)</f>
        <v>Continuing Ed</v>
      </c>
      <c r="R238" s="26">
        <f>+SUMIF('Budget 12 Mnths'!$A:$A,'Variance16-17'!$A238,'Budget 12 Mnths'!$P:$P)</f>
        <v>0</v>
      </c>
      <c r="S238" s="26">
        <f>+SUMIF('2015-16 12 Mnths'!$A:$A,'Variance16-17'!$A238,'2015-16 12 Mnths'!$O:$O)</f>
        <v>0</v>
      </c>
      <c r="T238" s="57">
        <f t="shared" si="2"/>
        <v>0</v>
      </c>
      <c r="U238" s="57">
        <f t="shared" si="3"/>
        <v>0</v>
      </c>
      <c r="W238" s="27"/>
      <c r="X238" s="27" t="str">
        <f t="shared" si="77"/>
        <v/>
      </c>
      <c r="Z238" s="57">
        <f t="shared" si="86"/>
        <v>0</v>
      </c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>
        <f t="shared" si="7"/>
        <v>0</v>
      </c>
    </row>
    <row r="239" ht="15.75" customHeight="1">
      <c r="A239" s="15" t="s">
        <v>645</v>
      </c>
      <c r="B239" s="15" t="s">
        <v>643</v>
      </c>
      <c r="C239" s="15" t="s">
        <v>119</v>
      </c>
      <c r="D239" s="56">
        <f>SUMIF('2015-16 12 Mnths'!$A:$A,'Variance16-17'!$A239,'2015-16 12 Mnths'!C:C)-SUMIF('Budget 12 Mnths'!$A:$A,'Variance16-17'!$A239,'Budget 12 Mnths'!D:D)</f>
        <v>0</v>
      </c>
      <c r="E239" s="56">
        <f>SUMIF('2015-16 12 Mnths'!$A:$A,'Variance16-17'!$A239,'2015-16 12 Mnths'!D:D)-SUMIF('Budget 12 Mnths'!$A:$A,'Variance16-17'!$A239,'Budget 12 Mnths'!E:E)</f>
        <v>0</v>
      </c>
      <c r="F239" s="56">
        <f>SUMIF('2015-16 12 Mnths'!$A:$A,'Variance16-17'!$A239,'2015-16 12 Mnths'!E:E)-SUMIF('Budget 12 Mnths'!$A:$A,'Variance16-17'!$A239,'Budget 12 Mnths'!F:F)</f>
        <v>0</v>
      </c>
      <c r="G239" s="56">
        <f>SUMIF('2015-16 12 Mnths'!$A:$A,'Variance16-17'!$A239,'2015-16 12 Mnths'!F:F)-SUMIF('Budget 12 Mnths'!$A:$A,'Variance16-17'!$A239,'Budget 12 Mnths'!G:G)</f>
        <v>0</v>
      </c>
      <c r="H239" s="56">
        <f>SUMIF('2015-16 12 Mnths'!$A:$A,'Variance16-17'!$A239,'2015-16 12 Mnths'!G:G)-SUMIF('Budget 12 Mnths'!$A:$A,'Variance16-17'!$A239,'Budget 12 Mnths'!H:H)</f>
        <v>0</v>
      </c>
      <c r="I239" s="56">
        <f>SUMIF('2015-16 12 Mnths'!$A:$A,'Variance16-17'!$A239,'2015-16 12 Mnths'!H:H)-SUMIF('Budget 12 Mnths'!$A:$A,'Variance16-17'!$A239,'Budget 12 Mnths'!I:I)</f>
        <v>0</v>
      </c>
      <c r="J239" s="56">
        <f>SUMIF('2015-16 12 Mnths'!$A:$A,'Variance16-17'!$A239,'2015-16 12 Mnths'!I:I)-SUMIF('Budget 12 Mnths'!$A:$A,'Variance16-17'!$A239,'Budget 12 Mnths'!J:J)</f>
        <v>0</v>
      </c>
      <c r="K239" s="56">
        <f>SUMIF('2015-16 12 Mnths'!$A:$A,'Variance16-17'!$A239,'2015-16 12 Mnths'!J:J)-SUMIF('Budget 12 Mnths'!$A:$A,'Variance16-17'!$A239,'Budget 12 Mnths'!K:K)</f>
        <v>0</v>
      </c>
      <c r="L239" s="56">
        <f>SUMIF('2015-16 12 Mnths'!$A:$A,'Variance16-17'!$A239,'2015-16 12 Mnths'!K:K)-SUMIF('Budget 12 Mnths'!$A:$A,'Variance16-17'!$A239,'Budget 12 Mnths'!L:L)</f>
        <v>0</v>
      </c>
      <c r="M239" s="56"/>
      <c r="N239" s="56"/>
      <c r="O239" s="56"/>
      <c r="P239" s="56">
        <f t="shared" si="1"/>
        <v>0</v>
      </c>
      <c r="Q239" s="14" t="str">
        <f>+VLOOKUP(A239,Mapping!$A$1:$E$443,5,FALSE)</f>
        <v>Continuing Ed</v>
      </c>
      <c r="R239" s="26">
        <f>+SUMIF('Budget 12 Mnths'!$A:$A,'Variance16-17'!$A239,'Budget 12 Mnths'!$P:$P)</f>
        <v>0</v>
      </c>
      <c r="S239" s="26">
        <f>+SUMIF('2015-16 12 Mnths'!$A:$A,'Variance16-17'!$A239,'2015-16 12 Mnths'!$O:$O)</f>
        <v>0</v>
      </c>
      <c r="T239" s="57">
        <f t="shared" si="2"/>
        <v>0</v>
      </c>
      <c r="U239" s="57">
        <f t="shared" si="3"/>
        <v>0</v>
      </c>
      <c r="W239" s="27"/>
      <c r="X239" s="27" t="str">
        <f t="shared" si="77"/>
        <v/>
      </c>
      <c r="Z239" s="57">
        <f t="shared" si="86"/>
        <v>0</v>
      </c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>
        <f t="shared" si="7"/>
        <v>0</v>
      </c>
    </row>
    <row r="240" ht="15.75" customHeight="1">
      <c r="A240" s="15" t="s">
        <v>648</v>
      </c>
      <c r="B240" s="15" t="s">
        <v>649</v>
      </c>
      <c r="C240" s="15" t="s">
        <v>119</v>
      </c>
      <c r="D240" s="56">
        <f>SUMIF('2015-16 12 Mnths'!$A:$A,'Variance16-17'!$A240,'2015-16 12 Mnths'!C:C)-SUMIF('Budget 12 Mnths'!$A:$A,'Variance16-17'!$A240,'Budget 12 Mnths'!D:D)</f>
        <v>0</v>
      </c>
      <c r="E240" s="56">
        <f>SUMIF('2015-16 12 Mnths'!$A:$A,'Variance16-17'!$A240,'2015-16 12 Mnths'!D:D)-SUMIF('Budget 12 Mnths'!$A:$A,'Variance16-17'!$A240,'Budget 12 Mnths'!E:E)</f>
        <v>0</v>
      </c>
      <c r="F240" s="56">
        <f>SUMIF('2015-16 12 Mnths'!$A:$A,'Variance16-17'!$A240,'2015-16 12 Mnths'!E:E)-SUMIF('Budget 12 Mnths'!$A:$A,'Variance16-17'!$A240,'Budget 12 Mnths'!F:F)</f>
        <v>0</v>
      </c>
      <c r="G240" s="56">
        <f>SUMIF('2015-16 12 Mnths'!$A:$A,'Variance16-17'!$A240,'2015-16 12 Mnths'!F:F)-SUMIF('Budget 12 Mnths'!$A:$A,'Variance16-17'!$A240,'Budget 12 Mnths'!G:G)</f>
        <v>-50</v>
      </c>
      <c r="H240" s="56">
        <f>SUMIF('2015-16 12 Mnths'!$A:$A,'Variance16-17'!$A240,'2015-16 12 Mnths'!G:G)-SUMIF('Budget 12 Mnths'!$A:$A,'Variance16-17'!$A240,'Budget 12 Mnths'!H:H)</f>
        <v>-50</v>
      </c>
      <c r="I240" s="56">
        <f>SUMIF('2015-16 12 Mnths'!$A:$A,'Variance16-17'!$A240,'2015-16 12 Mnths'!H:H)-SUMIF('Budget 12 Mnths'!$A:$A,'Variance16-17'!$A240,'Budget 12 Mnths'!I:I)</f>
        <v>-50</v>
      </c>
      <c r="J240" s="56">
        <f>SUMIF('2015-16 12 Mnths'!$A:$A,'Variance16-17'!$A240,'2015-16 12 Mnths'!I:I)-SUMIF('Budget 12 Mnths'!$A:$A,'Variance16-17'!$A240,'Budget 12 Mnths'!J:J)</f>
        <v>-50</v>
      </c>
      <c r="K240" s="56">
        <f>SUMIF('2015-16 12 Mnths'!$A:$A,'Variance16-17'!$A240,'2015-16 12 Mnths'!J:J)-SUMIF('Budget 12 Mnths'!$A:$A,'Variance16-17'!$A240,'Budget 12 Mnths'!K:K)</f>
        <v>-50</v>
      </c>
      <c r="L240" s="56">
        <f>SUMIF('2015-16 12 Mnths'!$A:$A,'Variance16-17'!$A240,'2015-16 12 Mnths'!K:K)-SUMIF('Budget 12 Mnths'!$A:$A,'Variance16-17'!$A240,'Budget 12 Mnths'!L:L)</f>
        <v>-50</v>
      </c>
      <c r="M240" s="56"/>
      <c r="N240" s="56"/>
      <c r="O240" s="56"/>
      <c r="P240" s="56">
        <f t="shared" si="1"/>
        <v>-300</v>
      </c>
      <c r="Q240" s="14" t="str">
        <f>+VLOOKUP(A240,Mapping!$A$1:$E$443,5,FALSE)</f>
        <v>Travel</v>
      </c>
      <c r="R240" s="26">
        <f>+SUMIF('Budget 12 Mnths'!$A:$A,'Variance16-17'!$A240,'Budget 12 Mnths'!$P:$P)</f>
        <v>300</v>
      </c>
      <c r="S240" s="26">
        <f>+SUMIF('2015-16 12 Mnths'!$A:$A,'Variance16-17'!$A240,'2015-16 12 Mnths'!$O:$O)</f>
        <v>0</v>
      </c>
      <c r="T240" s="57">
        <f t="shared" si="2"/>
        <v>-1</v>
      </c>
      <c r="U240" s="57">
        <f t="shared" si="3"/>
        <v>0</v>
      </c>
      <c r="V240" s="8" t="s">
        <v>641</v>
      </c>
      <c r="W240" s="27">
        <v>300.0</v>
      </c>
      <c r="X240" s="27">
        <f t="shared" si="77"/>
        <v>300</v>
      </c>
      <c r="Z240" s="57">
        <f t="shared" si="86"/>
        <v>150</v>
      </c>
      <c r="AA240" s="57">
        <f t="shared" ref="AA240:AL240" si="91">+$X240/12</f>
        <v>25</v>
      </c>
      <c r="AB240" s="57">
        <f t="shared" si="91"/>
        <v>25</v>
      </c>
      <c r="AC240" s="57">
        <f t="shared" si="91"/>
        <v>25</v>
      </c>
      <c r="AD240" s="57">
        <f t="shared" si="91"/>
        <v>25</v>
      </c>
      <c r="AE240" s="57">
        <f t="shared" si="91"/>
        <v>25</v>
      </c>
      <c r="AF240" s="57">
        <f t="shared" si="91"/>
        <v>25</v>
      </c>
      <c r="AG240" s="57">
        <f t="shared" si="91"/>
        <v>25</v>
      </c>
      <c r="AH240" s="57">
        <f t="shared" si="91"/>
        <v>25</v>
      </c>
      <c r="AI240" s="57">
        <f t="shared" si="91"/>
        <v>25</v>
      </c>
      <c r="AJ240" s="57">
        <f t="shared" si="91"/>
        <v>25</v>
      </c>
      <c r="AK240" s="57">
        <f t="shared" si="91"/>
        <v>25</v>
      </c>
      <c r="AL240" s="57">
        <f t="shared" si="91"/>
        <v>25</v>
      </c>
      <c r="AM240" s="27">
        <f t="shared" si="7"/>
        <v>0</v>
      </c>
    </row>
    <row r="241" ht="15.75" customHeight="1">
      <c r="A241" s="15" t="s">
        <v>650</v>
      </c>
      <c r="B241" s="15" t="s">
        <v>649</v>
      </c>
      <c r="C241" s="15" t="s">
        <v>119</v>
      </c>
      <c r="D241" s="56">
        <f>SUMIF('2015-16 12 Mnths'!$A:$A,'Variance16-17'!$A241,'2015-16 12 Mnths'!C:C)-SUMIF('Budget 12 Mnths'!$A:$A,'Variance16-17'!$A241,'Budget 12 Mnths'!D:D)</f>
        <v>0</v>
      </c>
      <c r="E241" s="56">
        <f>SUMIF('2015-16 12 Mnths'!$A:$A,'Variance16-17'!$A241,'2015-16 12 Mnths'!D:D)-SUMIF('Budget 12 Mnths'!$A:$A,'Variance16-17'!$A241,'Budget 12 Mnths'!E:E)</f>
        <v>0</v>
      </c>
      <c r="F241" s="56">
        <f>SUMIF('2015-16 12 Mnths'!$A:$A,'Variance16-17'!$A241,'2015-16 12 Mnths'!E:E)-SUMIF('Budget 12 Mnths'!$A:$A,'Variance16-17'!$A241,'Budget 12 Mnths'!F:F)</f>
        <v>0</v>
      </c>
      <c r="G241" s="56">
        <f>SUMIF('2015-16 12 Mnths'!$A:$A,'Variance16-17'!$A241,'2015-16 12 Mnths'!F:F)-SUMIF('Budget 12 Mnths'!$A:$A,'Variance16-17'!$A241,'Budget 12 Mnths'!G:G)</f>
        <v>0</v>
      </c>
      <c r="H241" s="56">
        <f>SUMIF('2015-16 12 Mnths'!$A:$A,'Variance16-17'!$A241,'2015-16 12 Mnths'!G:G)-SUMIF('Budget 12 Mnths'!$A:$A,'Variance16-17'!$A241,'Budget 12 Mnths'!H:H)</f>
        <v>0</v>
      </c>
      <c r="I241" s="56">
        <f>SUMIF('2015-16 12 Mnths'!$A:$A,'Variance16-17'!$A241,'2015-16 12 Mnths'!H:H)-SUMIF('Budget 12 Mnths'!$A:$A,'Variance16-17'!$A241,'Budget 12 Mnths'!I:I)</f>
        <v>0</v>
      </c>
      <c r="J241" s="56">
        <f>SUMIF('2015-16 12 Mnths'!$A:$A,'Variance16-17'!$A241,'2015-16 12 Mnths'!I:I)-SUMIF('Budget 12 Mnths'!$A:$A,'Variance16-17'!$A241,'Budget 12 Mnths'!J:J)</f>
        <v>0</v>
      </c>
      <c r="K241" s="56">
        <f>SUMIF('2015-16 12 Mnths'!$A:$A,'Variance16-17'!$A241,'2015-16 12 Mnths'!J:J)-SUMIF('Budget 12 Mnths'!$A:$A,'Variance16-17'!$A241,'Budget 12 Mnths'!K:K)</f>
        <v>0</v>
      </c>
      <c r="L241" s="56">
        <f>SUMIF('2015-16 12 Mnths'!$A:$A,'Variance16-17'!$A241,'2015-16 12 Mnths'!K:K)-SUMIF('Budget 12 Mnths'!$A:$A,'Variance16-17'!$A241,'Budget 12 Mnths'!L:L)</f>
        <v>0</v>
      </c>
      <c r="M241" s="56"/>
      <c r="N241" s="56"/>
      <c r="O241" s="56"/>
      <c r="P241" s="56">
        <f t="shared" si="1"/>
        <v>0</v>
      </c>
      <c r="Q241" s="14" t="str">
        <f>+VLOOKUP(A241,Mapping!$A$1:$E$443,5,FALSE)</f>
        <v>Travel</v>
      </c>
      <c r="R241" s="26">
        <f>+SUMIF('Budget 12 Mnths'!$A:$A,'Variance16-17'!$A241,'Budget 12 Mnths'!$P:$P)</f>
        <v>0</v>
      </c>
      <c r="S241" s="26">
        <f>+SUMIF('2015-16 12 Mnths'!$A:$A,'Variance16-17'!$A241,'2015-16 12 Mnths'!$O:$O)</f>
        <v>0</v>
      </c>
      <c r="T241" s="57">
        <f t="shared" si="2"/>
        <v>0</v>
      </c>
      <c r="U241" s="57">
        <f t="shared" si="3"/>
        <v>0</v>
      </c>
      <c r="W241" s="27"/>
      <c r="X241" s="27" t="str">
        <f t="shared" si="77"/>
        <v/>
      </c>
      <c r="Z241" s="57">
        <f t="shared" si="86"/>
        <v>0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>
        <f t="shared" si="7"/>
        <v>0</v>
      </c>
    </row>
    <row r="242" ht="15.75" customHeight="1">
      <c r="A242" s="15" t="s">
        <v>651</v>
      </c>
      <c r="B242" s="15" t="s">
        <v>649</v>
      </c>
      <c r="C242" s="15" t="s">
        <v>119</v>
      </c>
      <c r="D242" s="56">
        <f>SUMIF('2015-16 12 Mnths'!$A:$A,'Variance16-17'!$A242,'2015-16 12 Mnths'!C:C)-SUMIF('Budget 12 Mnths'!$A:$A,'Variance16-17'!$A242,'Budget 12 Mnths'!D:D)</f>
        <v>0</v>
      </c>
      <c r="E242" s="56">
        <f>SUMIF('2015-16 12 Mnths'!$A:$A,'Variance16-17'!$A242,'2015-16 12 Mnths'!D:D)-SUMIF('Budget 12 Mnths'!$A:$A,'Variance16-17'!$A242,'Budget 12 Mnths'!E:E)</f>
        <v>0</v>
      </c>
      <c r="F242" s="56">
        <f>SUMIF('2015-16 12 Mnths'!$A:$A,'Variance16-17'!$A242,'2015-16 12 Mnths'!E:E)-SUMIF('Budget 12 Mnths'!$A:$A,'Variance16-17'!$A242,'Budget 12 Mnths'!F:F)</f>
        <v>0</v>
      </c>
      <c r="G242" s="56">
        <f>SUMIF('2015-16 12 Mnths'!$A:$A,'Variance16-17'!$A242,'2015-16 12 Mnths'!F:F)-SUMIF('Budget 12 Mnths'!$A:$A,'Variance16-17'!$A242,'Budget 12 Mnths'!G:G)</f>
        <v>0</v>
      </c>
      <c r="H242" s="56">
        <f>SUMIF('2015-16 12 Mnths'!$A:$A,'Variance16-17'!$A242,'2015-16 12 Mnths'!G:G)-SUMIF('Budget 12 Mnths'!$A:$A,'Variance16-17'!$A242,'Budget 12 Mnths'!H:H)</f>
        <v>0</v>
      </c>
      <c r="I242" s="56">
        <f>SUMIF('2015-16 12 Mnths'!$A:$A,'Variance16-17'!$A242,'2015-16 12 Mnths'!H:H)-SUMIF('Budget 12 Mnths'!$A:$A,'Variance16-17'!$A242,'Budget 12 Mnths'!I:I)</f>
        <v>0</v>
      </c>
      <c r="J242" s="56">
        <f>SUMIF('2015-16 12 Mnths'!$A:$A,'Variance16-17'!$A242,'2015-16 12 Mnths'!I:I)-SUMIF('Budget 12 Mnths'!$A:$A,'Variance16-17'!$A242,'Budget 12 Mnths'!J:J)</f>
        <v>0</v>
      </c>
      <c r="K242" s="56">
        <f>SUMIF('2015-16 12 Mnths'!$A:$A,'Variance16-17'!$A242,'2015-16 12 Mnths'!J:J)-SUMIF('Budget 12 Mnths'!$A:$A,'Variance16-17'!$A242,'Budget 12 Mnths'!K:K)</f>
        <v>0</v>
      </c>
      <c r="L242" s="56">
        <f>SUMIF('2015-16 12 Mnths'!$A:$A,'Variance16-17'!$A242,'2015-16 12 Mnths'!K:K)-SUMIF('Budget 12 Mnths'!$A:$A,'Variance16-17'!$A242,'Budget 12 Mnths'!L:L)</f>
        <v>0</v>
      </c>
      <c r="M242" s="56"/>
      <c r="N242" s="56"/>
      <c r="O242" s="56"/>
      <c r="P242" s="56">
        <f t="shared" si="1"/>
        <v>0</v>
      </c>
      <c r="Q242" s="14" t="str">
        <f>+VLOOKUP(A242,Mapping!$A$1:$E$443,5,FALSE)</f>
        <v>Travel</v>
      </c>
      <c r="R242" s="26">
        <f>+SUMIF('Budget 12 Mnths'!$A:$A,'Variance16-17'!$A242,'Budget 12 Mnths'!$P:$P)</f>
        <v>0</v>
      </c>
      <c r="S242" s="26">
        <f>+SUMIF('2015-16 12 Mnths'!$A:$A,'Variance16-17'!$A242,'2015-16 12 Mnths'!$O:$O)</f>
        <v>0</v>
      </c>
      <c r="T242" s="57">
        <f t="shared" si="2"/>
        <v>0</v>
      </c>
      <c r="U242" s="57">
        <f t="shared" si="3"/>
        <v>0</v>
      </c>
      <c r="W242" s="27"/>
      <c r="X242" s="27" t="str">
        <f t="shared" si="77"/>
        <v/>
      </c>
      <c r="Z242" s="57">
        <f t="shared" si="86"/>
        <v>0</v>
      </c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>
        <f t="shared" si="7"/>
        <v>0</v>
      </c>
    </row>
    <row r="243" ht="15.75" customHeight="1">
      <c r="A243" s="15" t="s">
        <v>652</v>
      </c>
      <c r="B243" s="15" t="s">
        <v>653</v>
      </c>
      <c r="C243" s="15" t="s">
        <v>119</v>
      </c>
      <c r="D243" s="56">
        <f>SUMIF('2015-16 12 Mnths'!$A:$A,'Variance16-17'!$A243,'2015-16 12 Mnths'!C:C)-SUMIF('Budget 12 Mnths'!$A:$A,'Variance16-17'!$A243,'Budget 12 Mnths'!D:D)</f>
        <v>0</v>
      </c>
      <c r="E243" s="56">
        <f>SUMIF('2015-16 12 Mnths'!$A:$A,'Variance16-17'!$A243,'2015-16 12 Mnths'!D:D)-SUMIF('Budget 12 Mnths'!$A:$A,'Variance16-17'!$A243,'Budget 12 Mnths'!E:E)</f>
        <v>0</v>
      </c>
      <c r="F243" s="56">
        <f>SUMIF('2015-16 12 Mnths'!$A:$A,'Variance16-17'!$A243,'2015-16 12 Mnths'!E:E)-SUMIF('Budget 12 Mnths'!$A:$A,'Variance16-17'!$A243,'Budget 12 Mnths'!F:F)</f>
        <v>0</v>
      </c>
      <c r="G243" s="56">
        <f>SUMIF('2015-16 12 Mnths'!$A:$A,'Variance16-17'!$A243,'2015-16 12 Mnths'!F:F)-SUMIF('Budget 12 Mnths'!$A:$A,'Variance16-17'!$A243,'Budget 12 Mnths'!G:G)</f>
        <v>0</v>
      </c>
      <c r="H243" s="56">
        <f>SUMIF('2015-16 12 Mnths'!$A:$A,'Variance16-17'!$A243,'2015-16 12 Mnths'!G:G)-SUMIF('Budget 12 Mnths'!$A:$A,'Variance16-17'!$A243,'Budget 12 Mnths'!H:H)</f>
        <v>0</v>
      </c>
      <c r="I243" s="56">
        <f>SUMIF('2015-16 12 Mnths'!$A:$A,'Variance16-17'!$A243,'2015-16 12 Mnths'!H:H)-SUMIF('Budget 12 Mnths'!$A:$A,'Variance16-17'!$A243,'Budget 12 Mnths'!I:I)</f>
        <v>0</v>
      </c>
      <c r="J243" s="56">
        <f>SUMIF('2015-16 12 Mnths'!$A:$A,'Variance16-17'!$A243,'2015-16 12 Mnths'!I:I)-SUMIF('Budget 12 Mnths'!$A:$A,'Variance16-17'!$A243,'Budget 12 Mnths'!J:J)</f>
        <v>0</v>
      </c>
      <c r="K243" s="56">
        <f>SUMIF('2015-16 12 Mnths'!$A:$A,'Variance16-17'!$A243,'2015-16 12 Mnths'!J:J)-SUMIF('Budget 12 Mnths'!$A:$A,'Variance16-17'!$A243,'Budget 12 Mnths'!K:K)</f>
        <v>0</v>
      </c>
      <c r="L243" s="56">
        <f>SUMIF('2015-16 12 Mnths'!$A:$A,'Variance16-17'!$A243,'2015-16 12 Mnths'!K:K)-SUMIF('Budget 12 Mnths'!$A:$A,'Variance16-17'!$A243,'Budget 12 Mnths'!L:L)</f>
        <v>0</v>
      </c>
      <c r="M243" s="56"/>
      <c r="N243" s="56"/>
      <c r="O243" s="56"/>
      <c r="P243" s="56">
        <f t="shared" si="1"/>
        <v>0</v>
      </c>
      <c r="Q243" s="14" t="str">
        <f>+VLOOKUP(A243,Mapping!$A$1:$E$443,5,FALSE)</f>
        <v>Travel</v>
      </c>
      <c r="R243" s="26">
        <f>+SUMIF('Budget 12 Mnths'!$A:$A,'Variance16-17'!$A243,'Budget 12 Mnths'!$P:$P)</f>
        <v>0</v>
      </c>
      <c r="S243" s="26">
        <f>+SUMIF('2015-16 12 Mnths'!$A:$A,'Variance16-17'!$A243,'2015-16 12 Mnths'!$O:$O)</f>
        <v>0</v>
      </c>
      <c r="T243" s="57">
        <f t="shared" si="2"/>
        <v>0</v>
      </c>
      <c r="U243" s="57">
        <f t="shared" si="3"/>
        <v>0</v>
      </c>
      <c r="W243" s="27"/>
      <c r="X243" s="27" t="str">
        <f t="shared" si="77"/>
        <v/>
      </c>
      <c r="Z243" s="57">
        <f t="shared" si="86"/>
        <v>0</v>
      </c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>
        <f t="shared" si="7"/>
        <v>0</v>
      </c>
    </row>
    <row r="244" ht="15.75" customHeight="1">
      <c r="A244" s="15" t="s">
        <v>654</v>
      </c>
      <c r="B244" s="15" t="s">
        <v>653</v>
      </c>
      <c r="C244" s="15" t="s">
        <v>119</v>
      </c>
      <c r="D244" s="56">
        <f>SUMIF('2015-16 12 Mnths'!$A:$A,'Variance16-17'!$A244,'2015-16 12 Mnths'!C:C)-SUMIF('Budget 12 Mnths'!$A:$A,'Variance16-17'!$A244,'Budget 12 Mnths'!D:D)</f>
        <v>0</v>
      </c>
      <c r="E244" s="56">
        <f>SUMIF('2015-16 12 Mnths'!$A:$A,'Variance16-17'!$A244,'2015-16 12 Mnths'!D:D)-SUMIF('Budget 12 Mnths'!$A:$A,'Variance16-17'!$A244,'Budget 12 Mnths'!E:E)</f>
        <v>0</v>
      </c>
      <c r="F244" s="56">
        <f>SUMIF('2015-16 12 Mnths'!$A:$A,'Variance16-17'!$A244,'2015-16 12 Mnths'!E:E)-SUMIF('Budget 12 Mnths'!$A:$A,'Variance16-17'!$A244,'Budget 12 Mnths'!F:F)</f>
        <v>0</v>
      </c>
      <c r="G244" s="56">
        <f>SUMIF('2015-16 12 Mnths'!$A:$A,'Variance16-17'!$A244,'2015-16 12 Mnths'!F:F)-SUMIF('Budget 12 Mnths'!$A:$A,'Variance16-17'!$A244,'Budget 12 Mnths'!G:G)</f>
        <v>0</v>
      </c>
      <c r="H244" s="56">
        <f>SUMIF('2015-16 12 Mnths'!$A:$A,'Variance16-17'!$A244,'2015-16 12 Mnths'!G:G)-SUMIF('Budget 12 Mnths'!$A:$A,'Variance16-17'!$A244,'Budget 12 Mnths'!H:H)</f>
        <v>0</v>
      </c>
      <c r="I244" s="56">
        <f>SUMIF('2015-16 12 Mnths'!$A:$A,'Variance16-17'!$A244,'2015-16 12 Mnths'!H:H)-SUMIF('Budget 12 Mnths'!$A:$A,'Variance16-17'!$A244,'Budget 12 Mnths'!I:I)</f>
        <v>0</v>
      </c>
      <c r="J244" s="56">
        <f>SUMIF('2015-16 12 Mnths'!$A:$A,'Variance16-17'!$A244,'2015-16 12 Mnths'!I:I)-SUMIF('Budget 12 Mnths'!$A:$A,'Variance16-17'!$A244,'Budget 12 Mnths'!J:J)</f>
        <v>0</v>
      </c>
      <c r="K244" s="56">
        <f>SUMIF('2015-16 12 Mnths'!$A:$A,'Variance16-17'!$A244,'2015-16 12 Mnths'!J:J)-SUMIF('Budget 12 Mnths'!$A:$A,'Variance16-17'!$A244,'Budget 12 Mnths'!K:K)</f>
        <v>0</v>
      </c>
      <c r="L244" s="56">
        <f>SUMIF('2015-16 12 Mnths'!$A:$A,'Variance16-17'!$A244,'2015-16 12 Mnths'!K:K)-SUMIF('Budget 12 Mnths'!$A:$A,'Variance16-17'!$A244,'Budget 12 Mnths'!L:L)</f>
        <v>0</v>
      </c>
      <c r="M244" s="56"/>
      <c r="N244" s="56"/>
      <c r="O244" s="56"/>
      <c r="P244" s="56">
        <f t="shared" si="1"/>
        <v>0</v>
      </c>
      <c r="Q244" s="14" t="str">
        <f>+VLOOKUP(A244,Mapping!$A$1:$E$443,5,FALSE)</f>
        <v>Travel</v>
      </c>
      <c r="R244" s="26">
        <f>+SUMIF('Budget 12 Mnths'!$A:$A,'Variance16-17'!$A244,'Budget 12 Mnths'!$P:$P)</f>
        <v>0</v>
      </c>
      <c r="S244" s="26">
        <f>+SUMIF('2015-16 12 Mnths'!$A:$A,'Variance16-17'!$A244,'2015-16 12 Mnths'!$O:$O)</f>
        <v>0</v>
      </c>
      <c r="T244" s="57">
        <f t="shared" si="2"/>
        <v>0</v>
      </c>
      <c r="U244" s="57">
        <f t="shared" si="3"/>
        <v>0</v>
      </c>
      <c r="W244" s="27"/>
      <c r="X244" s="27" t="str">
        <f t="shared" si="77"/>
        <v/>
      </c>
      <c r="Z244" s="57">
        <f t="shared" si="86"/>
        <v>0</v>
      </c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>
        <f t="shared" si="7"/>
        <v>0</v>
      </c>
    </row>
    <row r="245" ht="15.75" customHeight="1">
      <c r="A245" s="15" t="s">
        <v>655</v>
      </c>
      <c r="B245" s="15" t="s">
        <v>653</v>
      </c>
      <c r="C245" s="15" t="s">
        <v>119</v>
      </c>
      <c r="D245" s="56">
        <f>SUMIF('2015-16 12 Mnths'!$A:$A,'Variance16-17'!$A245,'2015-16 12 Mnths'!C:C)-SUMIF('Budget 12 Mnths'!$A:$A,'Variance16-17'!$A245,'Budget 12 Mnths'!D:D)</f>
        <v>0</v>
      </c>
      <c r="E245" s="56">
        <f>SUMIF('2015-16 12 Mnths'!$A:$A,'Variance16-17'!$A245,'2015-16 12 Mnths'!D:D)-SUMIF('Budget 12 Mnths'!$A:$A,'Variance16-17'!$A245,'Budget 12 Mnths'!E:E)</f>
        <v>0</v>
      </c>
      <c r="F245" s="56">
        <f>SUMIF('2015-16 12 Mnths'!$A:$A,'Variance16-17'!$A245,'2015-16 12 Mnths'!E:E)-SUMIF('Budget 12 Mnths'!$A:$A,'Variance16-17'!$A245,'Budget 12 Mnths'!F:F)</f>
        <v>0</v>
      </c>
      <c r="G245" s="56">
        <f>SUMIF('2015-16 12 Mnths'!$A:$A,'Variance16-17'!$A245,'2015-16 12 Mnths'!F:F)-SUMIF('Budget 12 Mnths'!$A:$A,'Variance16-17'!$A245,'Budget 12 Mnths'!G:G)</f>
        <v>0</v>
      </c>
      <c r="H245" s="56">
        <f>SUMIF('2015-16 12 Mnths'!$A:$A,'Variance16-17'!$A245,'2015-16 12 Mnths'!G:G)-SUMIF('Budget 12 Mnths'!$A:$A,'Variance16-17'!$A245,'Budget 12 Mnths'!H:H)</f>
        <v>0</v>
      </c>
      <c r="I245" s="56">
        <f>SUMIF('2015-16 12 Mnths'!$A:$A,'Variance16-17'!$A245,'2015-16 12 Mnths'!H:H)-SUMIF('Budget 12 Mnths'!$A:$A,'Variance16-17'!$A245,'Budget 12 Mnths'!I:I)</f>
        <v>0</v>
      </c>
      <c r="J245" s="56">
        <f>SUMIF('2015-16 12 Mnths'!$A:$A,'Variance16-17'!$A245,'2015-16 12 Mnths'!I:I)-SUMIF('Budget 12 Mnths'!$A:$A,'Variance16-17'!$A245,'Budget 12 Mnths'!J:J)</f>
        <v>0</v>
      </c>
      <c r="K245" s="56">
        <f>SUMIF('2015-16 12 Mnths'!$A:$A,'Variance16-17'!$A245,'2015-16 12 Mnths'!J:J)-SUMIF('Budget 12 Mnths'!$A:$A,'Variance16-17'!$A245,'Budget 12 Mnths'!K:K)</f>
        <v>0</v>
      </c>
      <c r="L245" s="56">
        <f>SUMIF('2015-16 12 Mnths'!$A:$A,'Variance16-17'!$A245,'2015-16 12 Mnths'!K:K)-SUMIF('Budget 12 Mnths'!$A:$A,'Variance16-17'!$A245,'Budget 12 Mnths'!L:L)</f>
        <v>0</v>
      </c>
      <c r="M245" s="56"/>
      <c r="N245" s="56"/>
      <c r="O245" s="56"/>
      <c r="P245" s="56">
        <f t="shared" si="1"/>
        <v>0</v>
      </c>
      <c r="Q245" s="14" t="str">
        <f>+VLOOKUP(A245,Mapping!$A$1:$E$443,5,FALSE)</f>
        <v>Travel</v>
      </c>
      <c r="R245" s="26">
        <f>+SUMIF('Budget 12 Mnths'!$A:$A,'Variance16-17'!$A245,'Budget 12 Mnths'!$P:$P)</f>
        <v>0</v>
      </c>
      <c r="S245" s="26">
        <f>+SUMIF('2015-16 12 Mnths'!$A:$A,'Variance16-17'!$A245,'2015-16 12 Mnths'!$O:$O)</f>
        <v>0</v>
      </c>
      <c r="T245" s="57">
        <f t="shared" si="2"/>
        <v>0</v>
      </c>
      <c r="U245" s="57">
        <f t="shared" si="3"/>
        <v>0</v>
      </c>
      <c r="W245" s="27">
        <v>8000.0</v>
      </c>
      <c r="X245" s="27">
        <f t="shared" si="77"/>
        <v>8000</v>
      </c>
      <c r="Y245" s="8" t="s">
        <v>811</v>
      </c>
      <c r="Z245" s="57">
        <v>8000.0</v>
      </c>
      <c r="AA245" s="27">
        <v>6000.0</v>
      </c>
      <c r="AB245" s="27">
        <v>2000.0</v>
      </c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>
        <f t="shared" si="7"/>
        <v>0</v>
      </c>
    </row>
    <row r="246" ht="15.75" customHeight="1">
      <c r="A246" s="15" t="s">
        <v>656</v>
      </c>
      <c r="B246" s="15" t="s">
        <v>657</v>
      </c>
      <c r="C246" s="15" t="s">
        <v>119</v>
      </c>
      <c r="D246" s="56">
        <f>SUMIF('2015-16 12 Mnths'!$A:$A,'Variance16-17'!$A246,'2015-16 12 Mnths'!C:C)-SUMIF('Budget 12 Mnths'!$A:$A,'Variance16-17'!$A246,'Budget 12 Mnths'!D:D)</f>
        <v>0</v>
      </c>
      <c r="E246" s="56">
        <f>SUMIF('2015-16 12 Mnths'!$A:$A,'Variance16-17'!$A246,'2015-16 12 Mnths'!D:D)-SUMIF('Budget 12 Mnths'!$A:$A,'Variance16-17'!$A246,'Budget 12 Mnths'!E:E)</f>
        <v>0</v>
      </c>
      <c r="F246" s="56">
        <f>SUMIF('2015-16 12 Mnths'!$A:$A,'Variance16-17'!$A246,'2015-16 12 Mnths'!E:E)-SUMIF('Budget 12 Mnths'!$A:$A,'Variance16-17'!$A246,'Budget 12 Mnths'!F:F)</f>
        <v>0</v>
      </c>
      <c r="G246" s="56">
        <f>SUMIF('2015-16 12 Mnths'!$A:$A,'Variance16-17'!$A246,'2015-16 12 Mnths'!F:F)-SUMIF('Budget 12 Mnths'!$A:$A,'Variance16-17'!$A246,'Budget 12 Mnths'!G:G)</f>
        <v>0</v>
      </c>
      <c r="H246" s="56">
        <f>SUMIF('2015-16 12 Mnths'!$A:$A,'Variance16-17'!$A246,'2015-16 12 Mnths'!G:G)-SUMIF('Budget 12 Mnths'!$A:$A,'Variance16-17'!$A246,'Budget 12 Mnths'!H:H)</f>
        <v>0</v>
      </c>
      <c r="I246" s="56">
        <f>SUMIF('2015-16 12 Mnths'!$A:$A,'Variance16-17'!$A246,'2015-16 12 Mnths'!H:H)-SUMIF('Budget 12 Mnths'!$A:$A,'Variance16-17'!$A246,'Budget 12 Mnths'!I:I)</f>
        <v>0</v>
      </c>
      <c r="J246" s="56">
        <f>SUMIF('2015-16 12 Mnths'!$A:$A,'Variance16-17'!$A246,'2015-16 12 Mnths'!I:I)-SUMIF('Budget 12 Mnths'!$A:$A,'Variance16-17'!$A246,'Budget 12 Mnths'!J:J)</f>
        <v>0</v>
      </c>
      <c r="K246" s="56">
        <f>SUMIF('2015-16 12 Mnths'!$A:$A,'Variance16-17'!$A246,'2015-16 12 Mnths'!J:J)-SUMIF('Budget 12 Mnths'!$A:$A,'Variance16-17'!$A246,'Budget 12 Mnths'!K:K)</f>
        <v>0</v>
      </c>
      <c r="L246" s="56">
        <f>SUMIF('2015-16 12 Mnths'!$A:$A,'Variance16-17'!$A246,'2015-16 12 Mnths'!K:K)-SUMIF('Budget 12 Mnths'!$A:$A,'Variance16-17'!$A246,'Budget 12 Mnths'!L:L)</f>
        <v>0</v>
      </c>
      <c r="M246" s="56"/>
      <c r="N246" s="56"/>
      <c r="O246" s="56"/>
      <c r="P246" s="56">
        <f t="shared" si="1"/>
        <v>0</v>
      </c>
      <c r="Q246" s="14" t="str">
        <f>+VLOOKUP(A246,Mapping!$A$1:$E$443,5,FALSE)</f>
        <v>Travel</v>
      </c>
      <c r="R246" s="26">
        <f>+SUMIF('Budget 12 Mnths'!$A:$A,'Variance16-17'!$A246,'Budget 12 Mnths'!$P:$P)</f>
        <v>0</v>
      </c>
      <c r="S246" s="26">
        <f>+SUMIF('2015-16 12 Mnths'!$A:$A,'Variance16-17'!$A246,'2015-16 12 Mnths'!$O:$O)</f>
        <v>0</v>
      </c>
      <c r="T246" s="57">
        <f t="shared" si="2"/>
        <v>0</v>
      </c>
      <c r="U246" s="57">
        <f t="shared" si="3"/>
        <v>0</v>
      </c>
      <c r="W246" s="27"/>
      <c r="X246" s="27" t="str">
        <f t="shared" si="77"/>
        <v/>
      </c>
      <c r="Z246" s="57">
        <f t="shared" ref="Z246:Z269" si="92">+X246/2</f>
        <v>0</v>
      </c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>
        <f t="shared" si="7"/>
        <v>0</v>
      </c>
    </row>
    <row r="247" ht="15.75" customHeight="1">
      <c r="A247" s="15" t="s">
        <v>658</v>
      </c>
      <c r="B247" s="15" t="s">
        <v>657</v>
      </c>
      <c r="C247" s="15" t="s">
        <v>119</v>
      </c>
      <c r="D247" s="56">
        <f>SUMIF('2015-16 12 Mnths'!$A:$A,'Variance16-17'!$A247,'2015-16 12 Mnths'!C:C)-SUMIF('Budget 12 Mnths'!$A:$A,'Variance16-17'!$A247,'Budget 12 Mnths'!D:D)</f>
        <v>0</v>
      </c>
      <c r="E247" s="56">
        <f>SUMIF('2015-16 12 Mnths'!$A:$A,'Variance16-17'!$A247,'2015-16 12 Mnths'!D:D)-SUMIF('Budget 12 Mnths'!$A:$A,'Variance16-17'!$A247,'Budget 12 Mnths'!E:E)</f>
        <v>0</v>
      </c>
      <c r="F247" s="56">
        <f>SUMIF('2015-16 12 Mnths'!$A:$A,'Variance16-17'!$A247,'2015-16 12 Mnths'!E:E)-SUMIF('Budget 12 Mnths'!$A:$A,'Variance16-17'!$A247,'Budget 12 Mnths'!F:F)</f>
        <v>0</v>
      </c>
      <c r="G247" s="56">
        <f>SUMIF('2015-16 12 Mnths'!$A:$A,'Variance16-17'!$A247,'2015-16 12 Mnths'!F:F)-SUMIF('Budget 12 Mnths'!$A:$A,'Variance16-17'!$A247,'Budget 12 Mnths'!G:G)</f>
        <v>0</v>
      </c>
      <c r="H247" s="56">
        <f>SUMIF('2015-16 12 Mnths'!$A:$A,'Variance16-17'!$A247,'2015-16 12 Mnths'!G:G)-SUMIF('Budget 12 Mnths'!$A:$A,'Variance16-17'!$A247,'Budget 12 Mnths'!H:H)</f>
        <v>0</v>
      </c>
      <c r="I247" s="56">
        <f>SUMIF('2015-16 12 Mnths'!$A:$A,'Variance16-17'!$A247,'2015-16 12 Mnths'!H:H)-SUMIF('Budget 12 Mnths'!$A:$A,'Variance16-17'!$A247,'Budget 12 Mnths'!I:I)</f>
        <v>0</v>
      </c>
      <c r="J247" s="56">
        <f>SUMIF('2015-16 12 Mnths'!$A:$A,'Variance16-17'!$A247,'2015-16 12 Mnths'!I:I)-SUMIF('Budget 12 Mnths'!$A:$A,'Variance16-17'!$A247,'Budget 12 Mnths'!J:J)</f>
        <v>0</v>
      </c>
      <c r="K247" s="56">
        <f>SUMIF('2015-16 12 Mnths'!$A:$A,'Variance16-17'!$A247,'2015-16 12 Mnths'!J:J)-SUMIF('Budget 12 Mnths'!$A:$A,'Variance16-17'!$A247,'Budget 12 Mnths'!K:K)</f>
        <v>0</v>
      </c>
      <c r="L247" s="56">
        <f>SUMIF('2015-16 12 Mnths'!$A:$A,'Variance16-17'!$A247,'2015-16 12 Mnths'!K:K)-SUMIF('Budget 12 Mnths'!$A:$A,'Variance16-17'!$A247,'Budget 12 Mnths'!L:L)</f>
        <v>0</v>
      </c>
      <c r="M247" s="56"/>
      <c r="N247" s="56"/>
      <c r="O247" s="56"/>
      <c r="P247" s="56">
        <f t="shared" si="1"/>
        <v>0</v>
      </c>
      <c r="Q247" s="14" t="str">
        <f>+VLOOKUP(A247,Mapping!$A$1:$E$443,5,FALSE)</f>
        <v>Travel</v>
      </c>
      <c r="R247" s="26">
        <f>+SUMIF('Budget 12 Mnths'!$A:$A,'Variance16-17'!$A247,'Budget 12 Mnths'!$P:$P)</f>
        <v>0</v>
      </c>
      <c r="S247" s="26">
        <f>+SUMIF('2015-16 12 Mnths'!$A:$A,'Variance16-17'!$A247,'2015-16 12 Mnths'!$O:$O)</f>
        <v>0</v>
      </c>
      <c r="T247" s="57">
        <f t="shared" si="2"/>
        <v>0</v>
      </c>
      <c r="U247" s="57">
        <f t="shared" si="3"/>
        <v>0</v>
      </c>
      <c r="W247" s="27"/>
      <c r="X247" s="27" t="str">
        <f t="shared" si="77"/>
        <v/>
      </c>
      <c r="Z247" s="57">
        <f t="shared" si="92"/>
        <v>0</v>
      </c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>
        <f t="shared" si="7"/>
        <v>0</v>
      </c>
    </row>
    <row r="248" ht="15.75" customHeight="1">
      <c r="A248" s="15" t="s">
        <v>659</v>
      </c>
      <c r="B248" s="15" t="s">
        <v>657</v>
      </c>
      <c r="C248" s="15" t="s">
        <v>119</v>
      </c>
      <c r="D248" s="56">
        <f>SUMIF('2015-16 12 Mnths'!$A:$A,'Variance16-17'!$A248,'2015-16 12 Mnths'!C:C)-SUMIF('Budget 12 Mnths'!$A:$A,'Variance16-17'!$A248,'Budget 12 Mnths'!D:D)</f>
        <v>0</v>
      </c>
      <c r="E248" s="56">
        <f>SUMIF('2015-16 12 Mnths'!$A:$A,'Variance16-17'!$A248,'2015-16 12 Mnths'!D:D)-SUMIF('Budget 12 Mnths'!$A:$A,'Variance16-17'!$A248,'Budget 12 Mnths'!E:E)</f>
        <v>0</v>
      </c>
      <c r="F248" s="56">
        <f>SUMIF('2015-16 12 Mnths'!$A:$A,'Variance16-17'!$A248,'2015-16 12 Mnths'!E:E)-SUMIF('Budget 12 Mnths'!$A:$A,'Variance16-17'!$A248,'Budget 12 Mnths'!F:F)</f>
        <v>0</v>
      </c>
      <c r="G248" s="56">
        <f>SUMIF('2015-16 12 Mnths'!$A:$A,'Variance16-17'!$A248,'2015-16 12 Mnths'!F:F)-SUMIF('Budget 12 Mnths'!$A:$A,'Variance16-17'!$A248,'Budget 12 Mnths'!G:G)</f>
        <v>0</v>
      </c>
      <c r="H248" s="56">
        <f>SUMIF('2015-16 12 Mnths'!$A:$A,'Variance16-17'!$A248,'2015-16 12 Mnths'!G:G)-SUMIF('Budget 12 Mnths'!$A:$A,'Variance16-17'!$A248,'Budget 12 Mnths'!H:H)</f>
        <v>0</v>
      </c>
      <c r="I248" s="56">
        <f>SUMIF('2015-16 12 Mnths'!$A:$A,'Variance16-17'!$A248,'2015-16 12 Mnths'!H:H)-SUMIF('Budget 12 Mnths'!$A:$A,'Variance16-17'!$A248,'Budget 12 Mnths'!I:I)</f>
        <v>0</v>
      </c>
      <c r="J248" s="56">
        <f>SUMIF('2015-16 12 Mnths'!$A:$A,'Variance16-17'!$A248,'2015-16 12 Mnths'!I:I)-SUMIF('Budget 12 Mnths'!$A:$A,'Variance16-17'!$A248,'Budget 12 Mnths'!J:J)</f>
        <v>0</v>
      </c>
      <c r="K248" s="56">
        <f>SUMIF('2015-16 12 Mnths'!$A:$A,'Variance16-17'!$A248,'2015-16 12 Mnths'!J:J)-SUMIF('Budget 12 Mnths'!$A:$A,'Variance16-17'!$A248,'Budget 12 Mnths'!K:K)</f>
        <v>0</v>
      </c>
      <c r="L248" s="56">
        <f>SUMIF('2015-16 12 Mnths'!$A:$A,'Variance16-17'!$A248,'2015-16 12 Mnths'!K:K)-SUMIF('Budget 12 Mnths'!$A:$A,'Variance16-17'!$A248,'Budget 12 Mnths'!L:L)</f>
        <v>0</v>
      </c>
      <c r="M248" s="56"/>
      <c r="N248" s="56"/>
      <c r="O248" s="56"/>
      <c r="P248" s="56">
        <f t="shared" si="1"/>
        <v>0</v>
      </c>
      <c r="Q248" s="14" t="str">
        <f>+VLOOKUP(A248,Mapping!$A$1:$E$443,5,FALSE)</f>
        <v>Travel</v>
      </c>
      <c r="R248" s="26">
        <f>+SUMIF('Budget 12 Mnths'!$A:$A,'Variance16-17'!$A248,'Budget 12 Mnths'!$P:$P)</f>
        <v>0</v>
      </c>
      <c r="S248" s="26">
        <f>+SUMIF('2015-16 12 Mnths'!$A:$A,'Variance16-17'!$A248,'2015-16 12 Mnths'!$O:$O)</f>
        <v>0</v>
      </c>
      <c r="T248" s="57">
        <f t="shared" si="2"/>
        <v>0</v>
      </c>
      <c r="U248" s="57">
        <f t="shared" si="3"/>
        <v>0</v>
      </c>
      <c r="W248" s="27"/>
      <c r="X248" s="27" t="str">
        <f t="shared" si="77"/>
        <v/>
      </c>
      <c r="Z248" s="57">
        <f t="shared" si="92"/>
        <v>0</v>
      </c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>
        <f t="shared" si="7"/>
        <v>0</v>
      </c>
    </row>
    <row r="249" ht="15.75" customHeight="1">
      <c r="A249" s="15" t="s">
        <v>660</v>
      </c>
      <c r="B249" s="15" t="s">
        <v>661</v>
      </c>
      <c r="C249" s="15" t="s">
        <v>119</v>
      </c>
      <c r="D249" s="56">
        <f>SUMIF('2015-16 12 Mnths'!$A:$A,'Variance16-17'!$A249,'2015-16 12 Mnths'!C:C)-SUMIF('Budget 12 Mnths'!$A:$A,'Variance16-17'!$A249,'Budget 12 Mnths'!D:D)</f>
        <v>0</v>
      </c>
      <c r="E249" s="56">
        <f>SUMIF('2015-16 12 Mnths'!$A:$A,'Variance16-17'!$A249,'2015-16 12 Mnths'!D:D)-SUMIF('Budget 12 Mnths'!$A:$A,'Variance16-17'!$A249,'Budget 12 Mnths'!E:E)</f>
        <v>0</v>
      </c>
      <c r="F249" s="56">
        <f>SUMIF('2015-16 12 Mnths'!$A:$A,'Variance16-17'!$A249,'2015-16 12 Mnths'!E:E)-SUMIF('Budget 12 Mnths'!$A:$A,'Variance16-17'!$A249,'Budget 12 Mnths'!F:F)</f>
        <v>0</v>
      </c>
      <c r="G249" s="56">
        <f>SUMIF('2015-16 12 Mnths'!$A:$A,'Variance16-17'!$A249,'2015-16 12 Mnths'!F:F)-SUMIF('Budget 12 Mnths'!$A:$A,'Variance16-17'!$A249,'Budget 12 Mnths'!G:G)</f>
        <v>-83.33</v>
      </c>
      <c r="H249" s="56">
        <f>SUMIF('2015-16 12 Mnths'!$A:$A,'Variance16-17'!$A249,'2015-16 12 Mnths'!G:G)-SUMIF('Budget 12 Mnths'!$A:$A,'Variance16-17'!$A249,'Budget 12 Mnths'!H:H)</f>
        <v>-83.33</v>
      </c>
      <c r="I249" s="56">
        <f>SUMIF('2015-16 12 Mnths'!$A:$A,'Variance16-17'!$A249,'2015-16 12 Mnths'!H:H)-SUMIF('Budget 12 Mnths'!$A:$A,'Variance16-17'!$A249,'Budget 12 Mnths'!I:I)</f>
        <v>-83.33</v>
      </c>
      <c r="J249" s="56">
        <f>SUMIF('2015-16 12 Mnths'!$A:$A,'Variance16-17'!$A249,'2015-16 12 Mnths'!I:I)-SUMIF('Budget 12 Mnths'!$A:$A,'Variance16-17'!$A249,'Budget 12 Mnths'!J:J)</f>
        <v>-83.33</v>
      </c>
      <c r="K249" s="56">
        <f>SUMIF('2015-16 12 Mnths'!$A:$A,'Variance16-17'!$A249,'2015-16 12 Mnths'!J:J)-SUMIF('Budget 12 Mnths'!$A:$A,'Variance16-17'!$A249,'Budget 12 Mnths'!K:K)</f>
        <v>-83.33</v>
      </c>
      <c r="L249" s="56">
        <f>SUMIF('2015-16 12 Mnths'!$A:$A,'Variance16-17'!$A249,'2015-16 12 Mnths'!K:K)-SUMIF('Budget 12 Mnths'!$A:$A,'Variance16-17'!$A249,'Budget 12 Mnths'!L:L)</f>
        <v>-83.33</v>
      </c>
      <c r="M249" s="56"/>
      <c r="N249" s="56"/>
      <c r="O249" s="56"/>
      <c r="P249" s="56">
        <f t="shared" si="1"/>
        <v>-499.98</v>
      </c>
      <c r="Q249" s="14" t="str">
        <f>+VLOOKUP(A249,Mapping!$A$1:$E$443,5,FALSE)</f>
        <v>Travel</v>
      </c>
      <c r="R249" s="26">
        <f>+SUMIF('Budget 12 Mnths'!$A:$A,'Variance16-17'!$A249,'Budget 12 Mnths'!$P:$P)</f>
        <v>499.98</v>
      </c>
      <c r="S249" s="26">
        <f>+SUMIF('2015-16 12 Mnths'!$A:$A,'Variance16-17'!$A249,'2015-16 12 Mnths'!$O:$O)</f>
        <v>0</v>
      </c>
      <c r="T249" s="57">
        <f t="shared" si="2"/>
        <v>-1</v>
      </c>
      <c r="U249" s="57">
        <f t="shared" si="3"/>
        <v>0</v>
      </c>
      <c r="V249" s="8" t="s">
        <v>641</v>
      </c>
      <c r="W249" s="27">
        <v>500.0</v>
      </c>
      <c r="X249" s="27">
        <f t="shared" si="77"/>
        <v>500</v>
      </c>
      <c r="Z249" s="57">
        <f t="shared" si="92"/>
        <v>250</v>
      </c>
      <c r="AA249" s="27"/>
      <c r="AB249" s="27"/>
      <c r="AC249" s="27"/>
      <c r="AD249" s="27"/>
      <c r="AE249" s="27">
        <v>250.0</v>
      </c>
      <c r="AF249" s="27"/>
      <c r="AG249" s="27">
        <v>125.0</v>
      </c>
      <c r="AH249" s="27"/>
      <c r="AI249" s="27">
        <v>125.0</v>
      </c>
      <c r="AJ249" s="27"/>
      <c r="AK249" s="27"/>
      <c r="AL249" s="27"/>
      <c r="AM249" s="27">
        <f t="shared" si="7"/>
        <v>0</v>
      </c>
    </row>
    <row r="250" ht="15.75" customHeight="1">
      <c r="A250" s="15" t="s">
        <v>662</v>
      </c>
      <c r="B250" s="15" t="s">
        <v>661</v>
      </c>
      <c r="C250" s="15" t="s">
        <v>119</v>
      </c>
      <c r="D250" s="56">
        <f>SUMIF('2015-16 12 Mnths'!$A:$A,'Variance16-17'!$A250,'2015-16 12 Mnths'!C:C)-SUMIF('Budget 12 Mnths'!$A:$A,'Variance16-17'!$A250,'Budget 12 Mnths'!D:D)</f>
        <v>0</v>
      </c>
      <c r="E250" s="56">
        <f>SUMIF('2015-16 12 Mnths'!$A:$A,'Variance16-17'!$A250,'2015-16 12 Mnths'!D:D)-SUMIF('Budget 12 Mnths'!$A:$A,'Variance16-17'!$A250,'Budget 12 Mnths'!E:E)</f>
        <v>0</v>
      </c>
      <c r="F250" s="56">
        <f>SUMIF('2015-16 12 Mnths'!$A:$A,'Variance16-17'!$A250,'2015-16 12 Mnths'!E:E)-SUMIF('Budget 12 Mnths'!$A:$A,'Variance16-17'!$A250,'Budget 12 Mnths'!F:F)</f>
        <v>0</v>
      </c>
      <c r="G250" s="56">
        <f>SUMIF('2015-16 12 Mnths'!$A:$A,'Variance16-17'!$A250,'2015-16 12 Mnths'!F:F)-SUMIF('Budget 12 Mnths'!$A:$A,'Variance16-17'!$A250,'Budget 12 Mnths'!G:G)</f>
        <v>0</v>
      </c>
      <c r="H250" s="56">
        <f>SUMIF('2015-16 12 Mnths'!$A:$A,'Variance16-17'!$A250,'2015-16 12 Mnths'!G:G)-SUMIF('Budget 12 Mnths'!$A:$A,'Variance16-17'!$A250,'Budget 12 Mnths'!H:H)</f>
        <v>0</v>
      </c>
      <c r="I250" s="56">
        <f>SUMIF('2015-16 12 Mnths'!$A:$A,'Variance16-17'!$A250,'2015-16 12 Mnths'!H:H)-SUMIF('Budget 12 Mnths'!$A:$A,'Variance16-17'!$A250,'Budget 12 Mnths'!I:I)</f>
        <v>0</v>
      </c>
      <c r="J250" s="56">
        <f>SUMIF('2015-16 12 Mnths'!$A:$A,'Variance16-17'!$A250,'2015-16 12 Mnths'!I:I)-SUMIF('Budget 12 Mnths'!$A:$A,'Variance16-17'!$A250,'Budget 12 Mnths'!J:J)</f>
        <v>0</v>
      </c>
      <c r="K250" s="56">
        <f>SUMIF('2015-16 12 Mnths'!$A:$A,'Variance16-17'!$A250,'2015-16 12 Mnths'!J:J)-SUMIF('Budget 12 Mnths'!$A:$A,'Variance16-17'!$A250,'Budget 12 Mnths'!K:K)</f>
        <v>0</v>
      </c>
      <c r="L250" s="56">
        <f>SUMIF('2015-16 12 Mnths'!$A:$A,'Variance16-17'!$A250,'2015-16 12 Mnths'!K:K)-SUMIF('Budget 12 Mnths'!$A:$A,'Variance16-17'!$A250,'Budget 12 Mnths'!L:L)</f>
        <v>0</v>
      </c>
      <c r="M250" s="56"/>
      <c r="N250" s="56"/>
      <c r="O250" s="56"/>
      <c r="P250" s="56">
        <f t="shared" si="1"/>
        <v>0</v>
      </c>
      <c r="Q250" s="14" t="str">
        <f>+VLOOKUP(A250,Mapping!$A$1:$E$443,5,FALSE)</f>
        <v>Travel</v>
      </c>
      <c r="R250" s="26">
        <f>+SUMIF('Budget 12 Mnths'!$A:$A,'Variance16-17'!$A250,'Budget 12 Mnths'!$P:$P)</f>
        <v>0</v>
      </c>
      <c r="S250" s="26">
        <f>+SUMIF('2015-16 12 Mnths'!$A:$A,'Variance16-17'!$A250,'2015-16 12 Mnths'!$O:$O)</f>
        <v>0</v>
      </c>
      <c r="T250" s="57">
        <f t="shared" si="2"/>
        <v>0</v>
      </c>
      <c r="U250" s="57">
        <f t="shared" si="3"/>
        <v>0</v>
      </c>
      <c r="W250" s="27"/>
      <c r="X250" s="27" t="str">
        <f t="shared" si="77"/>
        <v/>
      </c>
      <c r="Z250" s="57">
        <f t="shared" si="92"/>
        <v>0</v>
      </c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>
        <f t="shared" si="7"/>
        <v>0</v>
      </c>
    </row>
    <row r="251" ht="15.75" customHeight="1">
      <c r="A251" s="15" t="s">
        <v>663</v>
      </c>
      <c r="B251" s="15" t="s">
        <v>661</v>
      </c>
      <c r="C251" s="15" t="s">
        <v>119</v>
      </c>
      <c r="D251" s="56">
        <f>SUMIF('2015-16 12 Mnths'!$A:$A,'Variance16-17'!$A251,'2015-16 12 Mnths'!C:C)-SUMIF('Budget 12 Mnths'!$A:$A,'Variance16-17'!$A251,'Budget 12 Mnths'!D:D)</f>
        <v>0</v>
      </c>
      <c r="E251" s="56">
        <f>SUMIF('2015-16 12 Mnths'!$A:$A,'Variance16-17'!$A251,'2015-16 12 Mnths'!D:D)-SUMIF('Budget 12 Mnths'!$A:$A,'Variance16-17'!$A251,'Budget 12 Mnths'!E:E)</f>
        <v>0</v>
      </c>
      <c r="F251" s="56">
        <f>SUMIF('2015-16 12 Mnths'!$A:$A,'Variance16-17'!$A251,'2015-16 12 Mnths'!E:E)-SUMIF('Budget 12 Mnths'!$A:$A,'Variance16-17'!$A251,'Budget 12 Mnths'!F:F)</f>
        <v>0</v>
      </c>
      <c r="G251" s="56">
        <f>SUMIF('2015-16 12 Mnths'!$A:$A,'Variance16-17'!$A251,'2015-16 12 Mnths'!F:F)-SUMIF('Budget 12 Mnths'!$A:$A,'Variance16-17'!$A251,'Budget 12 Mnths'!G:G)</f>
        <v>0</v>
      </c>
      <c r="H251" s="56">
        <f>SUMIF('2015-16 12 Mnths'!$A:$A,'Variance16-17'!$A251,'2015-16 12 Mnths'!G:G)-SUMIF('Budget 12 Mnths'!$A:$A,'Variance16-17'!$A251,'Budget 12 Mnths'!H:H)</f>
        <v>0</v>
      </c>
      <c r="I251" s="56">
        <f>SUMIF('2015-16 12 Mnths'!$A:$A,'Variance16-17'!$A251,'2015-16 12 Mnths'!H:H)-SUMIF('Budget 12 Mnths'!$A:$A,'Variance16-17'!$A251,'Budget 12 Mnths'!I:I)</f>
        <v>0</v>
      </c>
      <c r="J251" s="56">
        <f>SUMIF('2015-16 12 Mnths'!$A:$A,'Variance16-17'!$A251,'2015-16 12 Mnths'!I:I)-SUMIF('Budget 12 Mnths'!$A:$A,'Variance16-17'!$A251,'Budget 12 Mnths'!J:J)</f>
        <v>0</v>
      </c>
      <c r="K251" s="56">
        <f>SUMIF('2015-16 12 Mnths'!$A:$A,'Variance16-17'!$A251,'2015-16 12 Mnths'!J:J)-SUMIF('Budget 12 Mnths'!$A:$A,'Variance16-17'!$A251,'Budget 12 Mnths'!K:K)</f>
        <v>0</v>
      </c>
      <c r="L251" s="56">
        <f>SUMIF('2015-16 12 Mnths'!$A:$A,'Variance16-17'!$A251,'2015-16 12 Mnths'!K:K)-SUMIF('Budget 12 Mnths'!$A:$A,'Variance16-17'!$A251,'Budget 12 Mnths'!L:L)</f>
        <v>0</v>
      </c>
      <c r="M251" s="56"/>
      <c r="N251" s="56"/>
      <c r="O251" s="56"/>
      <c r="P251" s="56">
        <f t="shared" si="1"/>
        <v>0</v>
      </c>
      <c r="Q251" s="14" t="str">
        <f>+VLOOKUP(A251,Mapping!$A$1:$E$443,5,FALSE)</f>
        <v>Travel</v>
      </c>
      <c r="R251" s="26">
        <f>+SUMIF('Budget 12 Mnths'!$A:$A,'Variance16-17'!$A251,'Budget 12 Mnths'!$P:$P)</f>
        <v>0</v>
      </c>
      <c r="S251" s="26">
        <f>+SUMIF('2015-16 12 Mnths'!$A:$A,'Variance16-17'!$A251,'2015-16 12 Mnths'!$O:$O)</f>
        <v>0</v>
      </c>
      <c r="T251" s="57">
        <f t="shared" si="2"/>
        <v>0</v>
      </c>
      <c r="U251" s="57">
        <f t="shared" si="3"/>
        <v>0</v>
      </c>
      <c r="W251" s="27"/>
      <c r="X251" s="27" t="str">
        <f t="shared" si="77"/>
        <v/>
      </c>
      <c r="Z251" s="57">
        <f t="shared" si="92"/>
        <v>0</v>
      </c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>
        <f t="shared" si="7"/>
        <v>0</v>
      </c>
    </row>
    <row r="252" ht="15.75" customHeight="1">
      <c r="A252" s="15" t="s">
        <v>664</v>
      </c>
      <c r="B252" s="15" t="s">
        <v>665</v>
      </c>
      <c r="C252" s="15" t="s">
        <v>119</v>
      </c>
      <c r="D252" s="56">
        <f>SUMIF('2015-16 12 Mnths'!$A:$A,'Variance16-17'!$A252,'2015-16 12 Mnths'!C:C)-SUMIF('Budget 12 Mnths'!$A:$A,'Variance16-17'!$A252,'Budget 12 Mnths'!D:D)</f>
        <v>0</v>
      </c>
      <c r="E252" s="56">
        <f>SUMIF('2015-16 12 Mnths'!$A:$A,'Variance16-17'!$A252,'2015-16 12 Mnths'!D:D)-SUMIF('Budget 12 Mnths'!$A:$A,'Variance16-17'!$A252,'Budget 12 Mnths'!E:E)</f>
        <v>0</v>
      </c>
      <c r="F252" s="56">
        <f>SUMIF('2015-16 12 Mnths'!$A:$A,'Variance16-17'!$A252,'2015-16 12 Mnths'!E:E)-SUMIF('Budget 12 Mnths'!$A:$A,'Variance16-17'!$A252,'Budget 12 Mnths'!F:F)</f>
        <v>0</v>
      </c>
      <c r="G252" s="56">
        <f>SUMIF('2015-16 12 Mnths'!$A:$A,'Variance16-17'!$A252,'2015-16 12 Mnths'!F:F)-SUMIF('Budget 12 Mnths'!$A:$A,'Variance16-17'!$A252,'Budget 12 Mnths'!G:G)</f>
        <v>-25</v>
      </c>
      <c r="H252" s="56">
        <f>SUMIF('2015-16 12 Mnths'!$A:$A,'Variance16-17'!$A252,'2015-16 12 Mnths'!G:G)-SUMIF('Budget 12 Mnths'!$A:$A,'Variance16-17'!$A252,'Budget 12 Mnths'!H:H)</f>
        <v>-25</v>
      </c>
      <c r="I252" s="56">
        <f>SUMIF('2015-16 12 Mnths'!$A:$A,'Variance16-17'!$A252,'2015-16 12 Mnths'!H:H)-SUMIF('Budget 12 Mnths'!$A:$A,'Variance16-17'!$A252,'Budget 12 Mnths'!I:I)</f>
        <v>-25</v>
      </c>
      <c r="J252" s="56">
        <f>SUMIF('2015-16 12 Mnths'!$A:$A,'Variance16-17'!$A252,'2015-16 12 Mnths'!I:I)-SUMIF('Budget 12 Mnths'!$A:$A,'Variance16-17'!$A252,'Budget 12 Mnths'!J:J)</f>
        <v>-25</v>
      </c>
      <c r="K252" s="56">
        <f>SUMIF('2015-16 12 Mnths'!$A:$A,'Variance16-17'!$A252,'2015-16 12 Mnths'!J:J)-SUMIF('Budget 12 Mnths'!$A:$A,'Variance16-17'!$A252,'Budget 12 Mnths'!K:K)</f>
        <v>-25</v>
      </c>
      <c r="L252" s="56">
        <f>SUMIF('2015-16 12 Mnths'!$A:$A,'Variance16-17'!$A252,'2015-16 12 Mnths'!K:K)-SUMIF('Budget 12 Mnths'!$A:$A,'Variance16-17'!$A252,'Budget 12 Mnths'!L:L)</f>
        <v>-25</v>
      </c>
      <c r="M252" s="56"/>
      <c r="N252" s="56"/>
      <c r="O252" s="56"/>
      <c r="P252" s="56">
        <f t="shared" si="1"/>
        <v>-150</v>
      </c>
      <c r="Q252" s="14" t="str">
        <f>+VLOOKUP(A252,Mapping!$A$1:$E$443,5,FALSE)</f>
        <v>Travel</v>
      </c>
      <c r="R252" s="26">
        <f>+SUMIF('Budget 12 Mnths'!$A:$A,'Variance16-17'!$A252,'Budget 12 Mnths'!$P:$P)</f>
        <v>150</v>
      </c>
      <c r="S252" s="26">
        <f>+SUMIF('2015-16 12 Mnths'!$A:$A,'Variance16-17'!$A252,'2015-16 12 Mnths'!$O:$O)</f>
        <v>0</v>
      </c>
      <c r="T252" s="57">
        <f t="shared" si="2"/>
        <v>-1</v>
      </c>
      <c r="U252" s="57">
        <f t="shared" si="3"/>
        <v>0</v>
      </c>
      <c r="V252" s="8" t="s">
        <v>641</v>
      </c>
      <c r="W252" s="27">
        <v>150.0</v>
      </c>
      <c r="X252" s="27">
        <f t="shared" si="77"/>
        <v>150</v>
      </c>
      <c r="Z252" s="57">
        <f t="shared" si="92"/>
        <v>75</v>
      </c>
      <c r="AA252" s="27"/>
      <c r="AB252" s="27"/>
      <c r="AC252" s="27"/>
      <c r="AD252" s="27"/>
      <c r="AE252" s="27">
        <v>75.0</v>
      </c>
      <c r="AF252" s="27"/>
      <c r="AG252" s="27">
        <v>25.0</v>
      </c>
      <c r="AH252" s="27">
        <v>25.0</v>
      </c>
      <c r="AI252" s="27">
        <v>25.0</v>
      </c>
      <c r="AJ252" s="27"/>
      <c r="AK252" s="27"/>
      <c r="AL252" s="27"/>
      <c r="AM252" s="27">
        <f t="shared" si="7"/>
        <v>0</v>
      </c>
    </row>
    <row r="253" ht="15.75" customHeight="1">
      <c r="A253" s="15" t="s">
        <v>666</v>
      </c>
      <c r="B253" s="15" t="s">
        <v>665</v>
      </c>
      <c r="C253" s="15" t="s">
        <v>119</v>
      </c>
      <c r="D253" s="56">
        <f>SUMIF('2015-16 12 Mnths'!$A:$A,'Variance16-17'!$A253,'2015-16 12 Mnths'!C:C)-SUMIF('Budget 12 Mnths'!$A:$A,'Variance16-17'!$A253,'Budget 12 Mnths'!D:D)</f>
        <v>0</v>
      </c>
      <c r="E253" s="56">
        <f>SUMIF('2015-16 12 Mnths'!$A:$A,'Variance16-17'!$A253,'2015-16 12 Mnths'!D:D)-SUMIF('Budget 12 Mnths'!$A:$A,'Variance16-17'!$A253,'Budget 12 Mnths'!E:E)</f>
        <v>0</v>
      </c>
      <c r="F253" s="56">
        <f>SUMIF('2015-16 12 Mnths'!$A:$A,'Variance16-17'!$A253,'2015-16 12 Mnths'!E:E)-SUMIF('Budget 12 Mnths'!$A:$A,'Variance16-17'!$A253,'Budget 12 Mnths'!F:F)</f>
        <v>0</v>
      </c>
      <c r="G253" s="56">
        <f>SUMIF('2015-16 12 Mnths'!$A:$A,'Variance16-17'!$A253,'2015-16 12 Mnths'!F:F)-SUMIF('Budget 12 Mnths'!$A:$A,'Variance16-17'!$A253,'Budget 12 Mnths'!G:G)</f>
        <v>38</v>
      </c>
      <c r="H253" s="56">
        <f>SUMIF('2015-16 12 Mnths'!$A:$A,'Variance16-17'!$A253,'2015-16 12 Mnths'!G:G)-SUMIF('Budget 12 Mnths'!$A:$A,'Variance16-17'!$A253,'Budget 12 Mnths'!H:H)</f>
        <v>0</v>
      </c>
      <c r="I253" s="56">
        <f>SUMIF('2015-16 12 Mnths'!$A:$A,'Variance16-17'!$A253,'2015-16 12 Mnths'!H:H)-SUMIF('Budget 12 Mnths'!$A:$A,'Variance16-17'!$A253,'Budget 12 Mnths'!I:I)</f>
        <v>0</v>
      </c>
      <c r="J253" s="56">
        <f>SUMIF('2015-16 12 Mnths'!$A:$A,'Variance16-17'!$A253,'2015-16 12 Mnths'!I:I)-SUMIF('Budget 12 Mnths'!$A:$A,'Variance16-17'!$A253,'Budget 12 Mnths'!J:J)</f>
        <v>0</v>
      </c>
      <c r="K253" s="56">
        <f>SUMIF('2015-16 12 Mnths'!$A:$A,'Variance16-17'!$A253,'2015-16 12 Mnths'!J:J)-SUMIF('Budget 12 Mnths'!$A:$A,'Variance16-17'!$A253,'Budget 12 Mnths'!K:K)</f>
        <v>0</v>
      </c>
      <c r="L253" s="56">
        <f>SUMIF('2015-16 12 Mnths'!$A:$A,'Variance16-17'!$A253,'2015-16 12 Mnths'!K:K)-SUMIF('Budget 12 Mnths'!$A:$A,'Variance16-17'!$A253,'Budget 12 Mnths'!L:L)</f>
        <v>0</v>
      </c>
      <c r="M253" s="56"/>
      <c r="N253" s="56"/>
      <c r="O253" s="56"/>
      <c r="P253" s="56">
        <f t="shared" si="1"/>
        <v>38</v>
      </c>
      <c r="Q253" s="14" t="str">
        <f>+VLOOKUP(A253,Mapping!$A$1:$E$443,5,FALSE)</f>
        <v>Travel</v>
      </c>
      <c r="R253" s="26">
        <f>+SUMIF('Budget 12 Mnths'!$A:$A,'Variance16-17'!$A253,'Budget 12 Mnths'!$P:$P)</f>
        <v>0</v>
      </c>
      <c r="S253" s="26">
        <f>+SUMIF('2015-16 12 Mnths'!$A:$A,'Variance16-17'!$A253,'2015-16 12 Mnths'!$O:$O)</f>
        <v>38</v>
      </c>
      <c r="T253" s="57">
        <f t="shared" si="2"/>
        <v>0</v>
      </c>
      <c r="U253" s="57">
        <f t="shared" si="3"/>
        <v>1</v>
      </c>
      <c r="W253" s="27"/>
      <c r="X253" s="27" t="str">
        <f t="shared" si="77"/>
        <v/>
      </c>
      <c r="Z253" s="57">
        <f t="shared" si="92"/>
        <v>0</v>
      </c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>
        <f t="shared" si="7"/>
        <v>0</v>
      </c>
    </row>
    <row r="254" ht="15.75" customHeight="1">
      <c r="A254" s="15" t="s">
        <v>667</v>
      </c>
      <c r="B254" s="15" t="s">
        <v>665</v>
      </c>
      <c r="C254" s="15" t="s">
        <v>119</v>
      </c>
      <c r="D254" s="56">
        <f>SUMIF('2015-16 12 Mnths'!$A:$A,'Variance16-17'!$A254,'2015-16 12 Mnths'!C:C)-SUMIF('Budget 12 Mnths'!$A:$A,'Variance16-17'!$A254,'Budget 12 Mnths'!D:D)</f>
        <v>0</v>
      </c>
      <c r="E254" s="56">
        <f>SUMIF('2015-16 12 Mnths'!$A:$A,'Variance16-17'!$A254,'2015-16 12 Mnths'!D:D)-SUMIF('Budget 12 Mnths'!$A:$A,'Variance16-17'!$A254,'Budget 12 Mnths'!E:E)</f>
        <v>0</v>
      </c>
      <c r="F254" s="56">
        <f>SUMIF('2015-16 12 Mnths'!$A:$A,'Variance16-17'!$A254,'2015-16 12 Mnths'!E:E)-SUMIF('Budget 12 Mnths'!$A:$A,'Variance16-17'!$A254,'Budget 12 Mnths'!F:F)</f>
        <v>0</v>
      </c>
      <c r="G254" s="56">
        <f>SUMIF('2015-16 12 Mnths'!$A:$A,'Variance16-17'!$A254,'2015-16 12 Mnths'!F:F)-SUMIF('Budget 12 Mnths'!$A:$A,'Variance16-17'!$A254,'Budget 12 Mnths'!G:G)</f>
        <v>0</v>
      </c>
      <c r="H254" s="56">
        <f>SUMIF('2015-16 12 Mnths'!$A:$A,'Variance16-17'!$A254,'2015-16 12 Mnths'!G:G)-SUMIF('Budget 12 Mnths'!$A:$A,'Variance16-17'!$A254,'Budget 12 Mnths'!H:H)</f>
        <v>0</v>
      </c>
      <c r="I254" s="56">
        <f>SUMIF('2015-16 12 Mnths'!$A:$A,'Variance16-17'!$A254,'2015-16 12 Mnths'!H:H)-SUMIF('Budget 12 Mnths'!$A:$A,'Variance16-17'!$A254,'Budget 12 Mnths'!I:I)</f>
        <v>0</v>
      </c>
      <c r="J254" s="56">
        <f>SUMIF('2015-16 12 Mnths'!$A:$A,'Variance16-17'!$A254,'2015-16 12 Mnths'!I:I)-SUMIF('Budget 12 Mnths'!$A:$A,'Variance16-17'!$A254,'Budget 12 Mnths'!J:J)</f>
        <v>0</v>
      </c>
      <c r="K254" s="56">
        <f>SUMIF('2015-16 12 Mnths'!$A:$A,'Variance16-17'!$A254,'2015-16 12 Mnths'!J:J)-SUMIF('Budget 12 Mnths'!$A:$A,'Variance16-17'!$A254,'Budget 12 Mnths'!K:K)</f>
        <v>0</v>
      </c>
      <c r="L254" s="56">
        <f>SUMIF('2015-16 12 Mnths'!$A:$A,'Variance16-17'!$A254,'2015-16 12 Mnths'!K:K)-SUMIF('Budget 12 Mnths'!$A:$A,'Variance16-17'!$A254,'Budget 12 Mnths'!L:L)</f>
        <v>0</v>
      </c>
      <c r="M254" s="56"/>
      <c r="N254" s="56"/>
      <c r="O254" s="56"/>
      <c r="P254" s="56">
        <f t="shared" si="1"/>
        <v>0</v>
      </c>
      <c r="Q254" s="14" t="str">
        <f>+VLOOKUP(A254,Mapping!$A$1:$E$443,5,FALSE)</f>
        <v>Travel</v>
      </c>
      <c r="R254" s="26">
        <f>+SUMIF('Budget 12 Mnths'!$A:$A,'Variance16-17'!$A254,'Budget 12 Mnths'!$P:$P)</f>
        <v>0</v>
      </c>
      <c r="S254" s="26">
        <f>+SUMIF('2015-16 12 Mnths'!$A:$A,'Variance16-17'!$A254,'2015-16 12 Mnths'!$O:$O)</f>
        <v>0</v>
      </c>
      <c r="T254" s="57">
        <f t="shared" si="2"/>
        <v>0</v>
      </c>
      <c r="U254" s="57">
        <f t="shared" si="3"/>
        <v>0</v>
      </c>
      <c r="W254" s="27"/>
      <c r="X254" s="27" t="str">
        <f t="shared" si="77"/>
        <v/>
      </c>
      <c r="Z254" s="57">
        <f t="shared" si="92"/>
        <v>0</v>
      </c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>
        <f t="shared" si="7"/>
        <v>0</v>
      </c>
    </row>
    <row r="255" ht="15.75" customHeight="1">
      <c r="A255" s="15" t="s">
        <v>668</v>
      </c>
      <c r="B255" s="15" t="s">
        <v>669</v>
      </c>
      <c r="C255" s="15" t="s">
        <v>119</v>
      </c>
      <c r="D255" s="56">
        <f>SUMIF('2015-16 12 Mnths'!$A:$A,'Variance16-17'!$A255,'2015-16 12 Mnths'!C:C)-SUMIF('Budget 12 Mnths'!$A:$A,'Variance16-17'!$A255,'Budget 12 Mnths'!D:D)</f>
        <v>0</v>
      </c>
      <c r="E255" s="56">
        <f>SUMIF('2015-16 12 Mnths'!$A:$A,'Variance16-17'!$A255,'2015-16 12 Mnths'!D:D)-SUMIF('Budget 12 Mnths'!$A:$A,'Variance16-17'!$A255,'Budget 12 Mnths'!E:E)</f>
        <v>8.92</v>
      </c>
      <c r="F255" s="56">
        <f>SUMIF('2015-16 12 Mnths'!$A:$A,'Variance16-17'!$A255,'2015-16 12 Mnths'!E:E)-SUMIF('Budget 12 Mnths'!$A:$A,'Variance16-17'!$A255,'Budget 12 Mnths'!F:F)</f>
        <v>-158.94</v>
      </c>
      <c r="G255" s="56">
        <f>SUMIF('2015-16 12 Mnths'!$A:$A,'Variance16-17'!$A255,'2015-16 12 Mnths'!F:F)-SUMIF('Budget 12 Mnths'!$A:$A,'Variance16-17'!$A255,'Budget 12 Mnths'!G:G)</f>
        <v>-148.82</v>
      </c>
      <c r="H255" s="56">
        <f>SUMIF('2015-16 12 Mnths'!$A:$A,'Variance16-17'!$A255,'2015-16 12 Mnths'!G:G)-SUMIF('Budget 12 Mnths'!$A:$A,'Variance16-17'!$A255,'Budget 12 Mnths'!H:H)</f>
        <v>-268.84</v>
      </c>
      <c r="I255" s="56">
        <f>SUMIF('2015-16 12 Mnths'!$A:$A,'Variance16-17'!$A255,'2015-16 12 Mnths'!H:H)-SUMIF('Budget 12 Mnths'!$A:$A,'Variance16-17'!$A255,'Budget 12 Mnths'!I:I)</f>
        <v>-171.91</v>
      </c>
      <c r="J255" s="56">
        <f>SUMIF('2015-16 12 Mnths'!$A:$A,'Variance16-17'!$A255,'2015-16 12 Mnths'!I:I)-SUMIF('Budget 12 Mnths'!$A:$A,'Variance16-17'!$A255,'Budget 12 Mnths'!J:J)</f>
        <v>-271.49</v>
      </c>
      <c r="K255" s="56">
        <f>SUMIF('2015-16 12 Mnths'!$A:$A,'Variance16-17'!$A255,'2015-16 12 Mnths'!J:J)-SUMIF('Budget 12 Mnths'!$A:$A,'Variance16-17'!$A255,'Budget 12 Mnths'!K:K)</f>
        <v>-189.6</v>
      </c>
      <c r="L255" s="56">
        <f>SUMIF('2015-16 12 Mnths'!$A:$A,'Variance16-17'!$A255,'2015-16 12 Mnths'!K:K)-SUMIF('Budget 12 Mnths'!$A:$A,'Variance16-17'!$A255,'Budget 12 Mnths'!L:L)</f>
        <v>-188.25</v>
      </c>
      <c r="M255" s="56"/>
      <c r="N255" s="56"/>
      <c r="O255" s="56"/>
      <c r="P255" s="56">
        <f t="shared" si="1"/>
        <v>-1388.93</v>
      </c>
      <c r="Q255" s="14" t="str">
        <f>+VLOOKUP(A255,Mapping!$A$1:$E$443,5,FALSE)</f>
        <v>Transportation Exp</v>
      </c>
      <c r="R255" s="26">
        <f>+SUMIF('Budget 12 Mnths'!$A:$A,'Variance16-17'!$A255,'Budget 12 Mnths'!$P:$P)</f>
        <v>3000</v>
      </c>
      <c r="S255" s="26">
        <f>+SUMIF('2015-16 12 Mnths'!$A:$A,'Variance16-17'!$A255,'2015-16 12 Mnths'!$O:$O)</f>
        <v>1062.67</v>
      </c>
      <c r="T255" s="57">
        <f t="shared" si="2"/>
        <v>-0.4629766667</v>
      </c>
      <c r="U255" s="57">
        <f t="shared" si="3"/>
        <v>-1.307019112</v>
      </c>
      <c r="V255" s="8" t="s">
        <v>641</v>
      </c>
      <c r="W255" s="27">
        <v>3000.0</v>
      </c>
      <c r="X255" s="27">
        <f t="shared" si="77"/>
        <v>3000</v>
      </c>
      <c r="Z255" s="57">
        <f t="shared" si="92"/>
        <v>1500</v>
      </c>
      <c r="AA255" s="57">
        <f t="shared" ref="AA255:AL255" si="93">+$X255/12</f>
        <v>250</v>
      </c>
      <c r="AB255" s="57">
        <f t="shared" si="93"/>
        <v>250</v>
      </c>
      <c r="AC255" s="57">
        <f t="shared" si="93"/>
        <v>250</v>
      </c>
      <c r="AD255" s="57">
        <f t="shared" si="93"/>
        <v>250</v>
      </c>
      <c r="AE255" s="57">
        <f t="shared" si="93"/>
        <v>250</v>
      </c>
      <c r="AF255" s="57">
        <f t="shared" si="93"/>
        <v>250</v>
      </c>
      <c r="AG255" s="57">
        <f t="shared" si="93"/>
        <v>250</v>
      </c>
      <c r="AH255" s="57">
        <f t="shared" si="93"/>
        <v>250</v>
      </c>
      <c r="AI255" s="57">
        <f t="shared" si="93"/>
        <v>250</v>
      </c>
      <c r="AJ255" s="57">
        <f t="shared" si="93"/>
        <v>250</v>
      </c>
      <c r="AK255" s="57">
        <f t="shared" si="93"/>
        <v>250</v>
      </c>
      <c r="AL255" s="57">
        <f t="shared" si="93"/>
        <v>250</v>
      </c>
      <c r="AM255" s="27">
        <f t="shared" si="7"/>
        <v>0</v>
      </c>
    </row>
    <row r="256" ht="15.75" customHeight="1">
      <c r="A256" s="15" t="s">
        <v>670</v>
      </c>
      <c r="B256" s="15" t="s">
        <v>671</v>
      </c>
      <c r="C256" s="15" t="s">
        <v>119</v>
      </c>
      <c r="D256" s="56">
        <f>SUMIF('2015-16 12 Mnths'!$A:$A,'Variance16-17'!$A256,'2015-16 12 Mnths'!C:C)-SUMIF('Budget 12 Mnths'!$A:$A,'Variance16-17'!$A256,'Budget 12 Mnths'!D:D)</f>
        <v>-41.67</v>
      </c>
      <c r="E256" s="56">
        <f>SUMIF('2015-16 12 Mnths'!$A:$A,'Variance16-17'!$A256,'2015-16 12 Mnths'!D:D)-SUMIF('Budget 12 Mnths'!$A:$A,'Variance16-17'!$A256,'Budget 12 Mnths'!E:E)</f>
        <v>1007.02</v>
      </c>
      <c r="F256" s="56">
        <f>SUMIF('2015-16 12 Mnths'!$A:$A,'Variance16-17'!$A256,'2015-16 12 Mnths'!E:E)-SUMIF('Budget 12 Mnths'!$A:$A,'Variance16-17'!$A256,'Budget 12 Mnths'!F:F)</f>
        <v>-41.67</v>
      </c>
      <c r="G256" s="56">
        <f>SUMIF('2015-16 12 Mnths'!$A:$A,'Variance16-17'!$A256,'2015-16 12 Mnths'!F:F)-SUMIF('Budget 12 Mnths'!$A:$A,'Variance16-17'!$A256,'Budget 12 Mnths'!G:G)</f>
        <v>78.28</v>
      </c>
      <c r="H256" s="56">
        <f>SUMIF('2015-16 12 Mnths'!$A:$A,'Variance16-17'!$A256,'2015-16 12 Mnths'!G:G)-SUMIF('Budget 12 Mnths'!$A:$A,'Variance16-17'!$A256,'Budget 12 Mnths'!H:H)</f>
        <v>-41.67</v>
      </c>
      <c r="I256" s="56">
        <f>SUMIF('2015-16 12 Mnths'!$A:$A,'Variance16-17'!$A256,'2015-16 12 Mnths'!H:H)-SUMIF('Budget 12 Mnths'!$A:$A,'Variance16-17'!$A256,'Budget 12 Mnths'!I:I)</f>
        <v>-41.67</v>
      </c>
      <c r="J256" s="56">
        <f>SUMIF('2015-16 12 Mnths'!$A:$A,'Variance16-17'!$A256,'2015-16 12 Mnths'!I:I)-SUMIF('Budget 12 Mnths'!$A:$A,'Variance16-17'!$A256,'Budget 12 Mnths'!J:J)</f>
        <v>-41.67</v>
      </c>
      <c r="K256" s="56">
        <f>SUMIF('2015-16 12 Mnths'!$A:$A,'Variance16-17'!$A256,'2015-16 12 Mnths'!J:J)-SUMIF('Budget 12 Mnths'!$A:$A,'Variance16-17'!$A256,'Budget 12 Mnths'!K:K)</f>
        <v>84.78</v>
      </c>
      <c r="L256" s="56">
        <f>SUMIF('2015-16 12 Mnths'!$A:$A,'Variance16-17'!$A256,'2015-16 12 Mnths'!K:K)-SUMIF('Budget 12 Mnths'!$A:$A,'Variance16-17'!$A256,'Budget 12 Mnths'!L:L)</f>
        <v>-41.67</v>
      </c>
      <c r="M256" s="56"/>
      <c r="N256" s="56"/>
      <c r="O256" s="56"/>
      <c r="P256" s="56">
        <f t="shared" si="1"/>
        <v>920.06</v>
      </c>
      <c r="Q256" s="14" t="str">
        <f>+VLOOKUP(A256,Mapping!$A$1:$E$443,5,FALSE)</f>
        <v>Transportation Exp</v>
      </c>
      <c r="R256" s="26">
        <f>+SUMIF('Budget 12 Mnths'!$A:$A,'Variance16-17'!$A256,'Budget 12 Mnths'!$P:$P)</f>
        <v>500.04</v>
      </c>
      <c r="S256" s="26">
        <f>+SUMIF('2015-16 12 Mnths'!$A:$A,'Variance16-17'!$A256,'2015-16 12 Mnths'!$O:$O)</f>
        <v>1295.09</v>
      </c>
      <c r="T256" s="57">
        <f t="shared" si="2"/>
        <v>1.839972802</v>
      </c>
      <c r="U256" s="57">
        <f t="shared" si="3"/>
        <v>0.7104216695</v>
      </c>
      <c r="V256" s="8" t="s">
        <v>641</v>
      </c>
      <c r="W256" s="27">
        <v>500.0</v>
      </c>
      <c r="X256" s="27">
        <f t="shared" si="77"/>
        <v>500</v>
      </c>
      <c r="Z256" s="57">
        <f t="shared" si="92"/>
        <v>250</v>
      </c>
      <c r="AA256" s="57">
        <f t="shared" ref="AA256:AL256" si="94">+$X256/12</f>
        <v>41.66666667</v>
      </c>
      <c r="AB256" s="57">
        <f t="shared" si="94"/>
        <v>41.66666667</v>
      </c>
      <c r="AC256" s="57">
        <f t="shared" si="94"/>
        <v>41.66666667</v>
      </c>
      <c r="AD256" s="57">
        <f t="shared" si="94"/>
        <v>41.66666667</v>
      </c>
      <c r="AE256" s="57">
        <f t="shared" si="94"/>
        <v>41.66666667</v>
      </c>
      <c r="AF256" s="57">
        <f t="shared" si="94"/>
        <v>41.66666667</v>
      </c>
      <c r="AG256" s="57">
        <f t="shared" si="94"/>
        <v>41.66666667</v>
      </c>
      <c r="AH256" s="57">
        <f t="shared" si="94"/>
        <v>41.66666667</v>
      </c>
      <c r="AI256" s="57">
        <f t="shared" si="94"/>
        <v>41.66666667</v>
      </c>
      <c r="AJ256" s="57">
        <f t="shared" si="94"/>
        <v>41.66666667</v>
      </c>
      <c r="AK256" s="57">
        <f t="shared" si="94"/>
        <v>41.66666667</v>
      </c>
      <c r="AL256" s="57">
        <f t="shared" si="94"/>
        <v>41.66666667</v>
      </c>
      <c r="AM256" s="27">
        <f t="shared" si="7"/>
        <v>0</v>
      </c>
    </row>
    <row r="257" ht="15.75" customHeight="1">
      <c r="A257" s="15" t="s">
        <v>672</v>
      </c>
      <c r="B257" s="15" t="s">
        <v>673</v>
      </c>
      <c r="C257" s="15" t="s">
        <v>119</v>
      </c>
      <c r="D257" s="56">
        <f>SUMIF('2015-16 12 Mnths'!$A:$A,'Variance16-17'!$A257,'2015-16 12 Mnths'!C:C)-SUMIF('Budget 12 Mnths'!$A:$A,'Variance16-17'!$A257,'Budget 12 Mnths'!D:D)</f>
        <v>-41.67</v>
      </c>
      <c r="E257" s="56">
        <f>SUMIF('2015-16 12 Mnths'!$A:$A,'Variance16-17'!$A257,'2015-16 12 Mnths'!D:D)-SUMIF('Budget 12 Mnths'!$A:$A,'Variance16-17'!$A257,'Budget 12 Mnths'!E:E)</f>
        <v>77.83</v>
      </c>
      <c r="F257" s="56">
        <f>SUMIF('2015-16 12 Mnths'!$A:$A,'Variance16-17'!$A257,'2015-16 12 Mnths'!E:E)-SUMIF('Budget 12 Mnths'!$A:$A,'Variance16-17'!$A257,'Budget 12 Mnths'!F:F)</f>
        <v>-8.47</v>
      </c>
      <c r="G257" s="56">
        <f>SUMIF('2015-16 12 Mnths'!$A:$A,'Variance16-17'!$A257,'2015-16 12 Mnths'!F:F)-SUMIF('Budget 12 Mnths'!$A:$A,'Variance16-17'!$A257,'Budget 12 Mnths'!G:G)</f>
        <v>-41.67</v>
      </c>
      <c r="H257" s="56">
        <f>SUMIF('2015-16 12 Mnths'!$A:$A,'Variance16-17'!$A257,'2015-16 12 Mnths'!G:G)-SUMIF('Budget 12 Mnths'!$A:$A,'Variance16-17'!$A257,'Budget 12 Mnths'!H:H)</f>
        <v>-41.67</v>
      </c>
      <c r="I257" s="56">
        <f>SUMIF('2015-16 12 Mnths'!$A:$A,'Variance16-17'!$A257,'2015-16 12 Mnths'!H:H)-SUMIF('Budget 12 Mnths'!$A:$A,'Variance16-17'!$A257,'Budget 12 Mnths'!I:I)</f>
        <v>26.73</v>
      </c>
      <c r="J257" s="56">
        <f>SUMIF('2015-16 12 Mnths'!$A:$A,'Variance16-17'!$A257,'2015-16 12 Mnths'!I:I)-SUMIF('Budget 12 Mnths'!$A:$A,'Variance16-17'!$A257,'Budget 12 Mnths'!J:J)</f>
        <v>-41.67</v>
      </c>
      <c r="K257" s="56">
        <f>SUMIF('2015-16 12 Mnths'!$A:$A,'Variance16-17'!$A257,'2015-16 12 Mnths'!J:J)-SUMIF('Budget 12 Mnths'!$A:$A,'Variance16-17'!$A257,'Budget 12 Mnths'!K:K)</f>
        <v>210.33</v>
      </c>
      <c r="L257" s="56">
        <f>SUMIF('2015-16 12 Mnths'!$A:$A,'Variance16-17'!$A257,'2015-16 12 Mnths'!K:K)-SUMIF('Budget 12 Mnths'!$A:$A,'Variance16-17'!$A257,'Budget 12 Mnths'!L:L)</f>
        <v>53.91</v>
      </c>
      <c r="M257" s="56"/>
      <c r="N257" s="56"/>
      <c r="O257" s="56"/>
      <c r="P257" s="56">
        <f t="shared" si="1"/>
        <v>193.65</v>
      </c>
      <c r="Q257" s="14" t="str">
        <f>+VLOOKUP(A257,Mapping!$A$1:$E$443,5,FALSE)</f>
        <v>Transportation Exp</v>
      </c>
      <c r="R257" s="26">
        <f>+SUMIF('Budget 12 Mnths'!$A:$A,'Variance16-17'!$A257,'Budget 12 Mnths'!$P:$P)</f>
        <v>500.04</v>
      </c>
      <c r="S257" s="26">
        <f>+SUMIF('2015-16 12 Mnths'!$A:$A,'Variance16-17'!$A257,'2015-16 12 Mnths'!$O:$O)</f>
        <v>568.68</v>
      </c>
      <c r="T257" s="57">
        <f t="shared" si="2"/>
        <v>0.3872690185</v>
      </c>
      <c r="U257" s="57">
        <f t="shared" si="3"/>
        <v>0.3405254273</v>
      </c>
      <c r="V257" s="8" t="s">
        <v>641</v>
      </c>
      <c r="W257" s="27">
        <v>500.0</v>
      </c>
      <c r="X257" s="27">
        <f t="shared" si="77"/>
        <v>500</v>
      </c>
      <c r="Z257" s="57">
        <f t="shared" si="92"/>
        <v>250</v>
      </c>
      <c r="AA257" s="57">
        <f t="shared" ref="AA257:AL257" si="95">+$X257/12</f>
        <v>41.66666667</v>
      </c>
      <c r="AB257" s="57">
        <f t="shared" si="95"/>
        <v>41.66666667</v>
      </c>
      <c r="AC257" s="57">
        <f t="shared" si="95"/>
        <v>41.66666667</v>
      </c>
      <c r="AD257" s="57">
        <f t="shared" si="95"/>
        <v>41.66666667</v>
      </c>
      <c r="AE257" s="57">
        <f t="shared" si="95"/>
        <v>41.66666667</v>
      </c>
      <c r="AF257" s="57">
        <f t="shared" si="95"/>
        <v>41.66666667</v>
      </c>
      <c r="AG257" s="57">
        <f t="shared" si="95"/>
        <v>41.66666667</v>
      </c>
      <c r="AH257" s="57">
        <f t="shared" si="95"/>
        <v>41.66666667</v>
      </c>
      <c r="AI257" s="57">
        <f t="shared" si="95"/>
        <v>41.66666667</v>
      </c>
      <c r="AJ257" s="57">
        <f t="shared" si="95"/>
        <v>41.66666667</v>
      </c>
      <c r="AK257" s="57">
        <f t="shared" si="95"/>
        <v>41.66666667</v>
      </c>
      <c r="AL257" s="57">
        <f t="shared" si="95"/>
        <v>41.66666667</v>
      </c>
      <c r="AM257" s="27">
        <f t="shared" si="7"/>
        <v>0</v>
      </c>
    </row>
    <row r="258" ht="15.75" customHeight="1">
      <c r="A258" s="15" t="s">
        <v>674</v>
      </c>
      <c r="B258" s="15" t="s">
        <v>675</v>
      </c>
      <c r="C258" s="15" t="s">
        <v>119</v>
      </c>
      <c r="D258" s="56">
        <f>SUMIF('2015-16 12 Mnths'!$A:$A,'Variance16-17'!$A258,'2015-16 12 Mnths'!C:C)-SUMIF('Budget 12 Mnths'!$A:$A,'Variance16-17'!$A258,'Budget 12 Mnths'!D:D)</f>
        <v>-20.83</v>
      </c>
      <c r="E258" s="56">
        <f>SUMIF('2015-16 12 Mnths'!$A:$A,'Variance16-17'!$A258,'2015-16 12 Mnths'!D:D)-SUMIF('Budget 12 Mnths'!$A:$A,'Variance16-17'!$A258,'Budget 12 Mnths'!E:E)</f>
        <v>-20.83</v>
      </c>
      <c r="F258" s="56">
        <f>SUMIF('2015-16 12 Mnths'!$A:$A,'Variance16-17'!$A258,'2015-16 12 Mnths'!E:E)-SUMIF('Budget 12 Mnths'!$A:$A,'Variance16-17'!$A258,'Budget 12 Mnths'!F:F)</f>
        <v>-20.83</v>
      </c>
      <c r="G258" s="56">
        <f>SUMIF('2015-16 12 Mnths'!$A:$A,'Variance16-17'!$A258,'2015-16 12 Mnths'!F:F)-SUMIF('Budget 12 Mnths'!$A:$A,'Variance16-17'!$A258,'Budget 12 Mnths'!G:G)</f>
        <v>-20.83</v>
      </c>
      <c r="H258" s="56">
        <f>SUMIF('2015-16 12 Mnths'!$A:$A,'Variance16-17'!$A258,'2015-16 12 Mnths'!G:G)-SUMIF('Budget 12 Mnths'!$A:$A,'Variance16-17'!$A258,'Budget 12 Mnths'!H:H)</f>
        <v>-20.83</v>
      </c>
      <c r="I258" s="56">
        <f>SUMIF('2015-16 12 Mnths'!$A:$A,'Variance16-17'!$A258,'2015-16 12 Mnths'!H:H)-SUMIF('Budget 12 Mnths'!$A:$A,'Variance16-17'!$A258,'Budget 12 Mnths'!I:I)</f>
        <v>-20.83</v>
      </c>
      <c r="J258" s="56">
        <f>SUMIF('2015-16 12 Mnths'!$A:$A,'Variance16-17'!$A258,'2015-16 12 Mnths'!I:I)-SUMIF('Budget 12 Mnths'!$A:$A,'Variance16-17'!$A258,'Budget 12 Mnths'!J:J)</f>
        <v>-20.83</v>
      </c>
      <c r="K258" s="56">
        <f>SUMIF('2015-16 12 Mnths'!$A:$A,'Variance16-17'!$A258,'2015-16 12 Mnths'!J:J)-SUMIF('Budget 12 Mnths'!$A:$A,'Variance16-17'!$A258,'Budget 12 Mnths'!K:K)</f>
        <v>195.72</v>
      </c>
      <c r="L258" s="56">
        <f>SUMIF('2015-16 12 Mnths'!$A:$A,'Variance16-17'!$A258,'2015-16 12 Mnths'!K:K)-SUMIF('Budget 12 Mnths'!$A:$A,'Variance16-17'!$A258,'Budget 12 Mnths'!L:L)</f>
        <v>-20.83</v>
      </c>
      <c r="M258" s="56"/>
      <c r="N258" s="56"/>
      <c r="O258" s="56"/>
      <c r="P258" s="56">
        <f t="shared" si="1"/>
        <v>29.08</v>
      </c>
      <c r="Q258" s="14" t="str">
        <f>+VLOOKUP(A258,Mapping!$A$1:$E$443,5,FALSE)</f>
        <v>Transportation Exp</v>
      </c>
      <c r="R258" s="26">
        <f>+SUMIF('Budget 12 Mnths'!$A:$A,'Variance16-17'!$A258,'Budget 12 Mnths'!$P:$P)</f>
        <v>249.96</v>
      </c>
      <c r="S258" s="26">
        <f>+SUMIF('2015-16 12 Mnths'!$A:$A,'Variance16-17'!$A258,'2015-16 12 Mnths'!$O:$O)</f>
        <v>216.55</v>
      </c>
      <c r="T258" s="57">
        <f t="shared" si="2"/>
        <v>0.1163386142</v>
      </c>
      <c r="U258" s="57">
        <f t="shared" si="3"/>
        <v>0.1342876934</v>
      </c>
      <c r="V258" s="8" t="s">
        <v>641</v>
      </c>
      <c r="W258" s="27">
        <v>250.0</v>
      </c>
      <c r="X258" s="27">
        <f t="shared" si="77"/>
        <v>250</v>
      </c>
      <c r="Z258" s="57">
        <f t="shared" si="92"/>
        <v>125</v>
      </c>
      <c r="AA258" s="57">
        <f t="shared" ref="AA258:AL258" si="96">+$X258/12</f>
        <v>20.83333333</v>
      </c>
      <c r="AB258" s="57">
        <f t="shared" si="96"/>
        <v>20.83333333</v>
      </c>
      <c r="AC258" s="57">
        <f t="shared" si="96"/>
        <v>20.83333333</v>
      </c>
      <c r="AD258" s="57">
        <f t="shared" si="96"/>
        <v>20.83333333</v>
      </c>
      <c r="AE258" s="57">
        <f t="shared" si="96"/>
        <v>20.83333333</v>
      </c>
      <c r="AF258" s="57">
        <f t="shared" si="96"/>
        <v>20.83333333</v>
      </c>
      <c r="AG258" s="57">
        <f t="shared" si="96"/>
        <v>20.83333333</v>
      </c>
      <c r="AH258" s="57">
        <f t="shared" si="96"/>
        <v>20.83333333</v>
      </c>
      <c r="AI258" s="57">
        <f t="shared" si="96"/>
        <v>20.83333333</v>
      </c>
      <c r="AJ258" s="57">
        <f t="shared" si="96"/>
        <v>20.83333333</v>
      </c>
      <c r="AK258" s="57">
        <f t="shared" si="96"/>
        <v>20.83333333</v>
      </c>
      <c r="AL258" s="57">
        <f t="shared" si="96"/>
        <v>20.83333333</v>
      </c>
      <c r="AM258" s="27">
        <f t="shared" si="7"/>
        <v>0</v>
      </c>
    </row>
    <row r="259" ht="15.75" customHeight="1">
      <c r="A259" s="15" t="s">
        <v>676</v>
      </c>
      <c r="B259" s="15" t="s">
        <v>677</v>
      </c>
      <c r="C259" s="15" t="s">
        <v>119</v>
      </c>
      <c r="D259" s="56">
        <f>SUMIF('2015-16 12 Mnths'!$A:$A,'Variance16-17'!$A259,'2015-16 12 Mnths'!C:C)-SUMIF('Budget 12 Mnths'!$A:$A,'Variance16-17'!$A259,'Budget 12 Mnths'!D:D)</f>
        <v>-26.62</v>
      </c>
      <c r="E259" s="56">
        <f>SUMIF('2015-16 12 Mnths'!$A:$A,'Variance16-17'!$A259,'2015-16 12 Mnths'!D:D)-SUMIF('Budget 12 Mnths'!$A:$A,'Variance16-17'!$A259,'Budget 12 Mnths'!E:E)</f>
        <v>-23.65</v>
      </c>
      <c r="F259" s="56">
        <f>SUMIF('2015-16 12 Mnths'!$A:$A,'Variance16-17'!$A259,'2015-16 12 Mnths'!E:E)-SUMIF('Budget 12 Mnths'!$A:$A,'Variance16-17'!$A259,'Budget 12 Mnths'!F:F)</f>
        <v>-26.62</v>
      </c>
      <c r="G259" s="56">
        <f>SUMIF('2015-16 12 Mnths'!$A:$A,'Variance16-17'!$A259,'2015-16 12 Mnths'!F:F)-SUMIF('Budget 12 Mnths'!$A:$A,'Variance16-17'!$A259,'Budget 12 Mnths'!G:G)</f>
        <v>-35.38</v>
      </c>
      <c r="H259" s="56">
        <f>SUMIF('2015-16 12 Mnths'!$A:$A,'Variance16-17'!$A259,'2015-16 12 Mnths'!G:G)-SUMIF('Budget 12 Mnths'!$A:$A,'Variance16-17'!$A259,'Budget 12 Mnths'!H:H)</f>
        <v>-32.64</v>
      </c>
      <c r="I259" s="56">
        <f>SUMIF('2015-16 12 Mnths'!$A:$A,'Variance16-17'!$A259,'2015-16 12 Mnths'!H:H)-SUMIF('Budget 12 Mnths'!$A:$A,'Variance16-17'!$A259,'Budget 12 Mnths'!I:I)</f>
        <v>-41.02</v>
      </c>
      <c r="J259" s="56">
        <f>SUMIF('2015-16 12 Mnths'!$A:$A,'Variance16-17'!$A259,'2015-16 12 Mnths'!I:I)-SUMIF('Budget 12 Mnths'!$A:$A,'Variance16-17'!$A259,'Budget 12 Mnths'!J:J)</f>
        <v>-38.7</v>
      </c>
      <c r="K259" s="56">
        <f>SUMIF('2015-16 12 Mnths'!$A:$A,'Variance16-17'!$A259,'2015-16 12 Mnths'!J:J)-SUMIF('Budget 12 Mnths'!$A:$A,'Variance16-17'!$A259,'Budget 12 Mnths'!K:K)</f>
        <v>-41.74</v>
      </c>
      <c r="L259" s="56">
        <f>SUMIF('2015-16 12 Mnths'!$A:$A,'Variance16-17'!$A259,'2015-16 12 Mnths'!K:K)-SUMIF('Budget 12 Mnths'!$A:$A,'Variance16-17'!$A259,'Budget 12 Mnths'!L:L)</f>
        <v>-55.25</v>
      </c>
      <c r="M259" s="56"/>
      <c r="N259" s="56"/>
      <c r="O259" s="56"/>
      <c r="P259" s="56">
        <f t="shared" si="1"/>
        <v>-321.62</v>
      </c>
      <c r="Q259" s="14" t="str">
        <f>+VLOOKUP(A259,Mapping!$A$1:$E$443,5,FALSE)</f>
        <v>Interest Exp</v>
      </c>
      <c r="R259" s="26">
        <f>+SUMIF('Budget 12 Mnths'!$A:$A,'Variance16-17'!$A259,'Budget 12 Mnths'!$P:$P)</f>
        <v>2500</v>
      </c>
      <c r="S259" s="26">
        <f>+SUMIF('2015-16 12 Mnths'!$A:$A,'Variance16-17'!$A259,'2015-16 12 Mnths'!$O:$O)</f>
        <v>1553.35</v>
      </c>
      <c r="T259" s="57">
        <f t="shared" si="2"/>
        <v>-0.128648</v>
      </c>
      <c r="U259" s="57">
        <f t="shared" si="3"/>
        <v>-0.2070492806</v>
      </c>
      <c r="V259" s="8" t="s">
        <v>594</v>
      </c>
      <c r="W259" s="27">
        <v>1575.0</v>
      </c>
      <c r="X259" s="27">
        <f t="shared" si="77"/>
        <v>1575</v>
      </c>
      <c r="Z259" s="57">
        <f t="shared" si="92"/>
        <v>787.5</v>
      </c>
      <c r="AA259" s="57">
        <f t="shared" ref="AA259:AL259" si="97">+$X259/12</f>
        <v>131.25</v>
      </c>
      <c r="AB259" s="57">
        <f t="shared" si="97"/>
        <v>131.25</v>
      </c>
      <c r="AC259" s="57">
        <f t="shared" si="97"/>
        <v>131.25</v>
      </c>
      <c r="AD259" s="57">
        <f t="shared" si="97"/>
        <v>131.25</v>
      </c>
      <c r="AE259" s="57">
        <f t="shared" si="97"/>
        <v>131.25</v>
      </c>
      <c r="AF259" s="57">
        <f t="shared" si="97"/>
        <v>131.25</v>
      </c>
      <c r="AG259" s="57">
        <f t="shared" si="97"/>
        <v>131.25</v>
      </c>
      <c r="AH259" s="57">
        <f t="shared" si="97"/>
        <v>131.25</v>
      </c>
      <c r="AI259" s="57">
        <f t="shared" si="97"/>
        <v>131.25</v>
      </c>
      <c r="AJ259" s="57">
        <f t="shared" si="97"/>
        <v>131.25</v>
      </c>
      <c r="AK259" s="57">
        <f t="shared" si="97"/>
        <v>131.25</v>
      </c>
      <c r="AL259" s="57">
        <f t="shared" si="97"/>
        <v>131.25</v>
      </c>
      <c r="AM259" s="27">
        <f t="shared" si="7"/>
        <v>0</v>
      </c>
    </row>
    <row r="260" ht="15.75" customHeight="1">
      <c r="A260" s="15" t="s">
        <v>678</v>
      </c>
      <c r="B260" s="15" t="s">
        <v>255</v>
      </c>
      <c r="C260" s="15" t="s">
        <v>119</v>
      </c>
      <c r="D260" s="56">
        <f>SUMIF('2015-16 12 Mnths'!$A:$A,'Variance16-17'!$A260,'2015-16 12 Mnths'!C:C)-SUMIF('Budget 12 Mnths'!$A:$A,'Variance16-17'!$A260,'Budget 12 Mnths'!D:D)</f>
        <v>0</v>
      </c>
      <c r="E260" s="56">
        <f>SUMIF('2015-16 12 Mnths'!$A:$A,'Variance16-17'!$A260,'2015-16 12 Mnths'!D:D)-SUMIF('Budget 12 Mnths'!$A:$A,'Variance16-17'!$A260,'Budget 12 Mnths'!E:E)</f>
        <v>0</v>
      </c>
      <c r="F260" s="56">
        <f>SUMIF('2015-16 12 Mnths'!$A:$A,'Variance16-17'!$A260,'2015-16 12 Mnths'!E:E)-SUMIF('Budget 12 Mnths'!$A:$A,'Variance16-17'!$A260,'Budget 12 Mnths'!F:F)</f>
        <v>0</v>
      </c>
      <c r="G260" s="56">
        <f>SUMIF('2015-16 12 Mnths'!$A:$A,'Variance16-17'!$A260,'2015-16 12 Mnths'!F:F)-SUMIF('Budget 12 Mnths'!$A:$A,'Variance16-17'!$A260,'Budget 12 Mnths'!G:G)</f>
        <v>0</v>
      </c>
      <c r="H260" s="56">
        <f>SUMIF('2015-16 12 Mnths'!$A:$A,'Variance16-17'!$A260,'2015-16 12 Mnths'!G:G)-SUMIF('Budget 12 Mnths'!$A:$A,'Variance16-17'!$A260,'Budget 12 Mnths'!H:H)</f>
        <v>0</v>
      </c>
      <c r="I260" s="56">
        <f>SUMIF('2015-16 12 Mnths'!$A:$A,'Variance16-17'!$A260,'2015-16 12 Mnths'!H:H)-SUMIF('Budget 12 Mnths'!$A:$A,'Variance16-17'!$A260,'Budget 12 Mnths'!I:I)</f>
        <v>0</v>
      </c>
      <c r="J260" s="56">
        <f>SUMIF('2015-16 12 Mnths'!$A:$A,'Variance16-17'!$A260,'2015-16 12 Mnths'!I:I)-SUMIF('Budget 12 Mnths'!$A:$A,'Variance16-17'!$A260,'Budget 12 Mnths'!J:J)</f>
        <v>0</v>
      </c>
      <c r="K260" s="56">
        <f>SUMIF('2015-16 12 Mnths'!$A:$A,'Variance16-17'!$A260,'2015-16 12 Mnths'!J:J)-SUMIF('Budget 12 Mnths'!$A:$A,'Variance16-17'!$A260,'Budget 12 Mnths'!K:K)</f>
        <v>0</v>
      </c>
      <c r="L260" s="56">
        <f>SUMIF('2015-16 12 Mnths'!$A:$A,'Variance16-17'!$A260,'2015-16 12 Mnths'!K:K)-SUMIF('Budget 12 Mnths'!$A:$A,'Variance16-17'!$A260,'Budget 12 Mnths'!L:L)</f>
        <v>0</v>
      </c>
      <c r="M260" s="56"/>
      <c r="N260" s="56"/>
      <c r="O260" s="56"/>
      <c r="P260" s="56">
        <f t="shared" si="1"/>
        <v>0</v>
      </c>
      <c r="Q260" s="14" t="str">
        <f>+VLOOKUP(A260,Mapping!$A$1:$E$443,5,FALSE)</f>
        <v>Interest Exp</v>
      </c>
      <c r="R260" s="26">
        <f>+SUMIF('Budget 12 Mnths'!$A:$A,'Variance16-17'!$A260,'Budget 12 Mnths'!$P:$P)</f>
        <v>0</v>
      </c>
      <c r="S260" s="26">
        <f>+SUMIF('2015-16 12 Mnths'!$A:$A,'Variance16-17'!$A260,'2015-16 12 Mnths'!$O:$O)</f>
        <v>0</v>
      </c>
      <c r="T260" s="57">
        <f t="shared" si="2"/>
        <v>0</v>
      </c>
      <c r="U260" s="57">
        <f t="shared" si="3"/>
        <v>0</v>
      </c>
      <c r="W260" s="27"/>
      <c r="X260" s="27" t="str">
        <f t="shared" si="77"/>
        <v/>
      </c>
      <c r="Z260" s="57">
        <f t="shared" si="92"/>
        <v>0</v>
      </c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>
        <f t="shared" si="7"/>
        <v>0</v>
      </c>
    </row>
    <row r="261" ht="15.75" customHeight="1">
      <c r="A261" s="15" t="s">
        <v>679</v>
      </c>
      <c r="B261" s="15" t="s">
        <v>255</v>
      </c>
      <c r="C261" s="15" t="s">
        <v>119</v>
      </c>
      <c r="D261" s="56">
        <f>SUMIF('2015-16 12 Mnths'!$A:$A,'Variance16-17'!$A261,'2015-16 12 Mnths'!C:C)-SUMIF('Budget 12 Mnths'!$A:$A,'Variance16-17'!$A261,'Budget 12 Mnths'!D:D)</f>
        <v>0</v>
      </c>
      <c r="E261" s="56">
        <f>SUMIF('2015-16 12 Mnths'!$A:$A,'Variance16-17'!$A261,'2015-16 12 Mnths'!D:D)-SUMIF('Budget 12 Mnths'!$A:$A,'Variance16-17'!$A261,'Budget 12 Mnths'!E:E)</f>
        <v>0</v>
      </c>
      <c r="F261" s="56">
        <f>SUMIF('2015-16 12 Mnths'!$A:$A,'Variance16-17'!$A261,'2015-16 12 Mnths'!E:E)-SUMIF('Budget 12 Mnths'!$A:$A,'Variance16-17'!$A261,'Budget 12 Mnths'!F:F)</f>
        <v>0</v>
      </c>
      <c r="G261" s="56">
        <f>SUMIF('2015-16 12 Mnths'!$A:$A,'Variance16-17'!$A261,'2015-16 12 Mnths'!F:F)-SUMIF('Budget 12 Mnths'!$A:$A,'Variance16-17'!$A261,'Budget 12 Mnths'!G:G)</f>
        <v>0</v>
      </c>
      <c r="H261" s="56">
        <f>SUMIF('2015-16 12 Mnths'!$A:$A,'Variance16-17'!$A261,'2015-16 12 Mnths'!G:G)-SUMIF('Budget 12 Mnths'!$A:$A,'Variance16-17'!$A261,'Budget 12 Mnths'!H:H)</f>
        <v>0</v>
      </c>
      <c r="I261" s="56">
        <f>SUMIF('2015-16 12 Mnths'!$A:$A,'Variance16-17'!$A261,'2015-16 12 Mnths'!H:H)-SUMIF('Budget 12 Mnths'!$A:$A,'Variance16-17'!$A261,'Budget 12 Mnths'!I:I)</f>
        <v>0</v>
      </c>
      <c r="J261" s="56">
        <f>SUMIF('2015-16 12 Mnths'!$A:$A,'Variance16-17'!$A261,'2015-16 12 Mnths'!I:I)-SUMIF('Budget 12 Mnths'!$A:$A,'Variance16-17'!$A261,'Budget 12 Mnths'!J:J)</f>
        <v>0</v>
      </c>
      <c r="K261" s="56">
        <f>SUMIF('2015-16 12 Mnths'!$A:$A,'Variance16-17'!$A261,'2015-16 12 Mnths'!J:J)-SUMIF('Budget 12 Mnths'!$A:$A,'Variance16-17'!$A261,'Budget 12 Mnths'!K:K)</f>
        <v>0</v>
      </c>
      <c r="L261" s="56">
        <f>SUMIF('2015-16 12 Mnths'!$A:$A,'Variance16-17'!$A261,'2015-16 12 Mnths'!K:K)-SUMIF('Budget 12 Mnths'!$A:$A,'Variance16-17'!$A261,'Budget 12 Mnths'!L:L)</f>
        <v>0</v>
      </c>
      <c r="M261" s="56"/>
      <c r="N261" s="56"/>
      <c r="O261" s="56"/>
      <c r="P261" s="56">
        <f t="shared" si="1"/>
        <v>0</v>
      </c>
      <c r="Q261" s="14" t="str">
        <f>+VLOOKUP(A261,Mapping!$A$1:$E$443,5,FALSE)</f>
        <v>Interest Exp</v>
      </c>
      <c r="R261" s="26">
        <f>+SUMIF('Budget 12 Mnths'!$A:$A,'Variance16-17'!$A261,'Budget 12 Mnths'!$P:$P)</f>
        <v>0</v>
      </c>
      <c r="S261" s="26">
        <f>+SUMIF('2015-16 12 Mnths'!$A:$A,'Variance16-17'!$A261,'2015-16 12 Mnths'!$O:$O)</f>
        <v>0</v>
      </c>
      <c r="T261" s="57">
        <f t="shared" si="2"/>
        <v>0</v>
      </c>
      <c r="U261" s="57">
        <f t="shared" si="3"/>
        <v>0</v>
      </c>
      <c r="W261" s="27"/>
      <c r="X261" s="27" t="str">
        <f t="shared" si="77"/>
        <v/>
      </c>
      <c r="Z261" s="57">
        <f t="shared" si="92"/>
        <v>0</v>
      </c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>
        <f t="shared" si="7"/>
        <v>0</v>
      </c>
    </row>
    <row r="262" ht="15.75" customHeight="1">
      <c r="A262" s="15" t="s">
        <v>680</v>
      </c>
      <c r="B262" s="15" t="s">
        <v>681</v>
      </c>
      <c r="C262" s="15" t="s">
        <v>119</v>
      </c>
      <c r="D262" s="56">
        <f>SUMIF('2015-16 12 Mnths'!$A:$A,'Variance16-17'!$A262,'2015-16 12 Mnths'!C:C)-SUMIF('Budget 12 Mnths'!$A:$A,'Variance16-17'!$A262,'Budget 12 Mnths'!D:D)</f>
        <v>309.65</v>
      </c>
      <c r="E262" s="56">
        <f>SUMIF('2015-16 12 Mnths'!$A:$A,'Variance16-17'!$A262,'2015-16 12 Mnths'!D:D)-SUMIF('Budget 12 Mnths'!$A:$A,'Variance16-17'!$A262,'Budget 12 Mnths'!E:E)</f>
        <v>340.26</v>
      </c>
      <c r="F262" s="56">
        <f>SUMIF('2015-16 12 Mnths'!$A:$A,'Variance16-17'!$A262,'2015-16 12 Mnths'!E:E)-SUMIF('Budget 12 Mnths'!$A:$A,'Variance16-17'!$A262,'Budget 12 Mnths'!F:F)</f>
        <v>340.26</v>
      </c>
      <c r="G262" s="56">
        <f>SUMIF('2015-16 12 Mnths'!$A:$A,'Variance16-17'!$A262,'2015-16 12 Mnths'!F:F)-SUMIF('Budget 12 Mnths'!$A:$A,'Variance16-17'!$A262,'Budget 12 Mnths'!G:G)</f>
        <v>340.26</v>
      </c>
      <c r="H262" s="56">
        <f>SUMIF('2015-16 12 Mnths'!$A:$A,'Variance16-17'!$A262,'2015-16 12 Mnths'!G:G)-SUMIF('Budget 12 Mnths'!$A:$A,'Variance16-17'!$A262,'Budget 12 Mnths'!H:H)</f>
        <v>340.26</v>
      </c>
      <c r="I262" s="56">
        <f>SUMIF('2015-16 12 Mnths'!$A:$A,'Variance16-17'!$A262,'2015-16 12 Mnths'!H:H)-SUMIF('Budget 12 Mnths'!$A:$A,'Variance16-17'!$A262,'Budget 12 Mnths'!I:I)</f>
        <v>340.26</v>
      </c>
      <c r="J262" s="56">
        <f>SUMIF('2015-16 12 Mnths'!$A:$A,'Variance16-17'!$A262,'2015-16 12 Mnths'!I:I)-SUMIF('Budget 12 Mnths'!$A:$A,'Variance16-17'!$A262,'Budget 12 Mnths'!J:J)</f>
        <v>340.26</v>
      </c>
      <c r="K262" s="56">
        <f>SUMIF('2015-16 12 Mnths'!$A:$A,'Variance16-17'!$A262,'2015-16 12 Mnths'!J:J)-SUMIF('Budget 12 Mnths'!$A:$A,'Variance16-17'!$A262,'Budget 12 Mnths'!K:K)</f>
        <v>357.45</v>
      </c>
      <c r="L262" s="56">
        <f>SUMIF('2015-16 12 Mnths'!$A:$A,'Variance16-17'!$A262,'2015-16 12 Mnths'!K:K)-SUMIF('Budget 12 Mnths'!$A:$A,'Variance16-17'!$A262,'Budget 12 Mnths'!L:L)</f>
        <v>211.85</v>
      </c>
      <c r="M262" s="56"/>
      <c r="N262" s="56"/>
      <c r="O262" s="56"/>
      <c r="P262" s="56">
        <f t="shared" si="1"/>
        <v>2920.51</v>
      </c>
      <c r="Q262" s="14" t="str">
        <f>+VLOOKUP(A262,Mapping!$A$1:$E$443,5,FALSE)</f>
        <v>Depreciation</v>
      </c>
      <c r="R262" s="26">
        <f>+SUMIF('Budget 12 Mnths'!$A:$A,'Variance16-17'!$A262,'Budget 12 Mnths'!$P:$P)</f>
        <v>17000</v>
      </c>
      <c r="S262" s="26">
        <f>+SUMIF('2015-16 12 Mnths'!$A:$A,'Variance16-17'!$A262,'2015-16 12 Mnths'!$O:$O)</f>
        <v>15670.54</v>
      </c>
      <c r="T262" s="57">
        <f t="shared" si="2"/>
        <v>0.1717947059</v>
      </c>
      <c r="U262" s="57">
        <f t="shared" si="3"/>
        <v>0.186369455</v>
      </c>
      <c r="V262" s="8" t="s">
        <v>594</v>
      </c>
      <c r="W262" s="27">
        <v>25000.0</v>
      </c>
      <c r="X262" s="27">
        <f t="shared" si="77"/>
        <v>25000</v>
      </c>
      <c r="Z262" s="57">
        <f t="shared" si="92"/>
        <v>12500</v>
      </c>
      <c r="AA262" s="57">
        <f t="shared" ref="AA262:AL262" si="98">+$X262/12</f>
        <v>2083.333333</v>
      </c>
      <c r="AB262" s="57">
        <f t="shared" si="98"/>
        <v>2083.333333</v>
      </c>
      <c r="AC262" s="57">
        <f t="shared" si="98"/>
        <v>2083.333333</v>
      </c>
      <c r="AD262" s="57">
        <f t="shared" si="98"/>
        <v>2083.333333</v>
      </c>
      <c r="AE262" s="57">
        <f t="shared" si="98"/>
        <v>2083.333333</v>
      </c>
      <c r="AF262" s="57">
        <f t="shared" si="98"/>
        <v>2083.333333</v>
      </c>
      <c r="AG262" s="57">
        <f t="shared" si="98"/>
        <v>2083.333333</v>
      </c>
      <c r="AH262" s="57">
        <f t="shared" si="98"/>
        <v>2083.333333</v>
      </c>
      <c r="AI262" s="57">
        <f t="shared" si="98"/>
        <v>2083.333333</v>
      </c>
      <c r="AJ262" s="57">
        <f t="shared" si="98"/>
        <v>2083.333333</v>
      </c>
      <c r="AK262" s="57">
        <f t="shared" si="98"/>
        <v>2083.333333</v>
      </c>
      <c r="AL262" s="57">
        <f t="shared" si="98"/>
        <v>2083.333333</v>
      </c>
      <c r="AM262" s="27">
        <f t="shared" si="7"/>
        <v>0</v>
      </c>
    </row>
    <row r="263" ht="15.75" customHeight="1">
      <c r="A263" s="15" t="s">
        <v>682</v>
      </c>
      <c r="B263" s="15" t="s">
        <v>681</v>
      </c>
      <c r="C263" s="15" t="s">
        <v>119</v>
      </c>
      <c r="D263" s="56">
        <f>SUMIF('2015-16 12 Mnths'!$A:$A,'Variance16-17'!$A263,'2015-16 12 Mnths'!C:C)-SUMIF('Budget 12 Mnths'!$A:$A,'Variance16-17'!$A263,'Budget 12 Mnths'!D:D)</f>
        <v>0</v>
      </c>
      <c r="E263" s="56">
        <f>SUMIF('2015-16 12 Mnths'!$A:$A,'Variance16-17'!$A263,'2015-16 12 Mnths'!D:D)-SUMIF('Budget 12 Mnths'!$A:$A,'Variance16-17'!$A263,'Budget 12 Mnths'!E:E)</f>
        <v>0</v>
      </c>
      <c r="F263" s="56">
        <f>SUMIF('2015-16 12 Mnths'!$A:$A,'Variance16-17'!$A263,'2015-16 12 Mnths'!E:E)-SUMIF('Budget 12 Mnths'!$A:$A,'Variance16-17'!$A263,'Budget 12 Mnths'!F:F)</f>
        <v>0</v>
      </c>
      <c r="G263" s="56">
        <f>SUMIF('2015-16 12 Mnths'!$A:$A,'Variance16-17'!$A263,'2015-16 12 Mnths'!F:F)-SUMIF('Budget 12 Mnths'!$A:$A,'Variance16-17'!$A263,'Budget 12 Mnths'!G:G)</f>
        <v>0</v>
      </c>
      <c r="H263" s="56">
        <f>SUMIF('2015-16 12 Mnths'!$A:$A,'Variance16-17'!$A263,'2015-16 12 Mnths'!G:G)-SUMIF('Budget 12 Mnths'!$A:$A,'Variance16-17'!$A263,'Budget 12 Mnths'!H:H)</f>
        <v>0</v>
      </c>
      <c r="I263" s="56">
        <f>SUMIF('2015-16 12 Mnths'!$A:$A,'Variance16-17'!$A263,'2015-16 12 Mnths'!H:H)-SUMIF('Budget 12 Mnths'!$A:$A,'Variance16-17'!$A263,'Budget 12 Mnths'!I:I)</f>
        <v>0</v>
      </c>
      <c r="J263" s="56">
        <f>SUMIF('2015-16 12 Mnths'!$A:$A,'Variance16-17'!$A263,'2015-16 12 Mnths'!I:I)-SUMIF('Budget 12 Mnths'!$A:$A,'Variance16-17'!$A263,'Budget 12 Mnths'!J:J)</f>
        <v>0</v>
      </c>
      <c r="K263" s="56">
        <f>SUMIF('2015-16 12 Mnths'!$A:$A,'Variance16-17'!$A263,'2015-16 12 Mnths'!J:J)-SUMIF('Budget 12 Mnths'!$A:$A,'Variance16-17'!$A263,'Budget 12 Mnths'!K:K)</f>
        <v>0</v>
      </c>
      <c r="L263" s="56">
        <f>SUMIF('2015-16 12 Mnths'!$A:$A,'Variance16-17'!$A263,'2015-16 12 Mnths'!K:K)-SUMIF('Budget 12 Mnths'!$A:$A,'Variance16-17'!$A263,'Budget 12 Mnths'!L:L)</f>
        <v>0</v>
      </c>
      <c r="M263" s="56"/>
      <c r="N263" s="56"/>
      <c r="O263" s="56"/>
      <c r="P263" s="56">
        <f t="shared" si="1"/>
        <v>0</v>
      </c>
      <c r="Q263" s="14" t="str">
        <f>+VLOOKUP(A263,Mapping!$A$1:$E$443,5,FALSE)</f>
        <v>Depreciation</v>
      </c>
      <c r="R263" s="26">
        <f>+SUMIF('Budget 12 Mnths'!$A:$A,'Variance16-17'!$A263,'Budget 12 Mnths'!$P:$P)</f>
        <v>0</v>
      </c>
      <c r="S263" s="26">
        <f>+SUMIF('2015-16 12 Mnths'!$A:$A,'Variance16-17'!$A263,'2015-16 12 Mnths'!$O:$O)</f>
        <v>0</v>
      </c>
      <c r="T263" s="57">
        <f t="shared" si="2"/>
        <v>0</v>
      </c>
      <c r="U263" s="57">
        <f t="shared" si="3"/>
        <v>0</v>
      </c>
      <c r="W263" s="27"/>
      <c r="X263" s="27" t="str">
        <f t="shared" si="77"/>
        <v/>
      </c>
      <c r="Z263" s="57">
        <f t="shared" si="92"/>
        <v>0</v>
      </c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>
        <f t="shared" si="7"/>
        <v>0</v>
      </c>
    </row>
    <row r="264" ht="15.75" customHeight="1">
      <c r="A264" s="15" t="s">
        <v>683</v>
      </c>
      <c r="B264" s="15" t="s">
        <v>681</v>
      </c>
      <c r="C264" s="15" t="s">
        <v>119</v>
      </c>
      <c r="D264" s="56">
        <f>SUMIF('2015-16 12 Mnths'!$A:$A,'Variance16-17'!$A264,'2015-16 12 Mnths'!C:C)-SUMIF('Budget 12 Mnths'!$A:$A,'Variance16-17'!$A264,'Budget 12 Mnths'!D:D)</f>
        <v>0</v>
      </c>
      <c r="E264" s="56">
        <f>SUMIF('2015-16 12 Mnths'!$A:$A,'Variance16-17'!$A264,'2015-16 12 Mnths'!D:D)-SUMIF('Budget 12 Mnths'!$A:$A,'Variance16-17'!$A264,'Budget 12 Mnths'!E:E)</f>
        <v>0</v>
      </c>
      <c r="F264" s="56">
        <f>SUMIF('2015-16 12 Mnths'!$A:$A,'Variance16-17'!$A264,'2015-16 12 Mnths'!E:E)-SUMIF('Budget 12 Mnths'!$A:$A,'Variance16-17'!$A264,'Budget 12 Mnths'!F:F)</f>
        <v>0</v>
      </c>
      <c r="G264" s="56">
        <f>SUMIF('2015-16 12 Mnths'!$A:$A,'Variance16-17'!$A264,'2015-16 12 Mnths'!F:F)-SUMIF('Budget 12 Mnths'!$A:$A,'Variance16-17'!$A264,'Budget 12 Mnths'!G:G)</f>
        <v>0</v>
      </c>
      <c r="H264" s="56">
        <f>SUMIF('2015-16 12 Mnths'!$A:$A,'Variance16-17'!$A264,'2015-16 12 Mnths'!G:G)-SUMIF('Budget 12 Mnths'!$A:$A,'Variance16-17'!$A264,'Budget 12 Mnths'!H:H)</f>
        <v>0</v>
      </c>
      <c r="I264" s="56">
        <f>SUMIF('2015-16 12 Mnths'!$A:$A,'Variance16-17'!$A264,'2015-16 12 Mnths'!H:H)-SUMIF('Budget 12 Mnths'!$A:$A,'Variance16-17'!$A264,'Budget 12 Mnths'!I:I)</f>
        <v>0</v>
      </c>
      <c r="J264" s="56">
        <f>SUMIF('2015-16 12 Mnths'!$A:$A,'Variance16-17'!$A264,'2015-16 12 Mnths'!I:I)-SUMIF('Budget 12 Mnths'!$A:$A,'Variance16-17'!$A264,'Budget 12 Mnths'!J:J)</f>
        <v>0</v>
      </c>
      <c r="K264" s="56">
        <f>SUMIF('2015-16 12 Mnths'!$A:$A,'Variance16-17'!$A264,'2015-16 12 Mnths'!J:J)-SUMIF('Budget 12 Mnths'!$A:$A,'Variance16-17'!$A264,'Budget 12 Mnths'!K:K)</f>
        <v>0</v>
      </c>
      <c r="L264" s="56">
        <f>SUMIF('2015-16 12 Mnths'!$A:$A,'Variance16-17'!$A264,'2015-16 12 Mnths'!K:K)-SUMIF('Budget 12 Mnths'!$A:$A,'Variance16-17'!$A264,'Budget 12 Mnths'!L:L)</f>
        <v>0</v>
      </c>
      <c r="M264" s="56"/>
      <c r="N264" s="56"/>
      <c r="O264" s="56"/>
      <c r="P264" s="56">
        <f t="shared" si="1"/>
        <v>0</v>
      </c>
      <c r="Q264" s="14" t="str">
        <f>+VLOOKUP(A264,Mapping!$A$1:$E$443,5,FALSE)</f>
        <v>Depreciation</v>
      </c>
      <c r="R264" s="26">
        <f>+SUMIF('Budget 12 Mnths'!$A:$A,'Variance16-17'!$A264,'Budget 12 Mnths'!$P:$P)</f>
        <v>0</v>
      </c>
      <c r="S264" s="26">
        <f>+SUMIF('2015-16 12 Mnths'!$A:$A,'Variance16-17'!$A264,'2015-16 12 Mnths'!$O:$O)</f>
        <v>0</v>
      </c>
      <c r="T264" s="57">
        <f t="shared" si="2"/>
        <v>0</v>
      </c>
      <c r="U264" s="57">
        <f t="shared" si="3"/>
        <v>0</v>
      </c>
      <c r="W264" s="27"/>
      <c r="X264" s="27" t="str">
        <f t="shared" si="77"/>
        <v/>
      </c>
      <c r="Z264" s="57">
        <f t="shared" si="92"/>
        <v>0</v>
      </c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>
        <f t="shared" si="7"/>
        <v>0</v>
      </c>
    </row>
    <row r="265" ht="15.75" customHeight="1">
      <c r="A265" s="15" t="s">
        <v>684</v>
      </c>
      <c r="B265" s="15" t="s">
        <v>685</v>
      </c>
      <c r="C265" s="15" t="s">
        <v>119</v>
      </c>
      <c r="D265" s="56">
        <f>SUMIF('2015-16 12 Mnths'!$A:$A,'Variance16-17'!$A265,'2015-16 12 Mnths'!C:C)-SUMIF('Budget 12 Mnths'!$A:$A,'Variance16-17'!$A265,'Budget 12 Mnths'!D:D)</f>
        <v>-1055.81</v>
      </c>
      <c r="E265" s="56">
        <f>SUMIF('2015-16 12 Mnths'!$A:$A,'Variance16-17'!$A265,'2015-16 12 Mnths'!D:D)-SUMIF('Budget 12 Mnths'!$A:$A,'Variance16-17'!$A265,'Budget 12 Mnths'!E:E)</f>
        <v>-171</v>
      </c>
      <c r="F265" s="56">
        <f>SUMIF('2015-16 12 Mnths'!$A:$A,'Variance16-17'!$A265,'2015-16 12 Mnths'!E:E)-SUMIF('Budget 12 Mnths'!$A:$A,'Variance16-17'!$A265,'Budget 12 Mnths'!F:F)</f>
        <v>-166.67</v>
      </c>
      <c r="G265" s="56">
        <f>SUMIF('2015-16 12 Mnths'!$A:$A,'Variance16-17'!$A265,'2015-16 12 Mnths'!F:F)-SUMIF('Budget 12 Mnths'!$A:$A,'Variance16-17'!$A265,'Budget 12 Mnths'!G:G)</f>
        <v>-1455.88</v>
      </c>
      <c r="H265" s="56">
        <f>SUMIF('2015-16 12 Mnths'!$A:$A,'Variance16-17'!$A265,'2015-16 12 Mnths'!G:G)-SUMIF('Budget 12 Mnths'!$A:$A,'Variance16-17'!$A265,'Budget 12 Mnths'!H:H)</f>
        <v>-242.17</v>
      </c>
      <c r="I265" s="56">
        <f>SUMIF('2015-16 12 Mnths'!$A:$A,'Variance16-17'!$A265,'2015-16 12 Mnths'!H:H)-SUMIF('Budget 12 Mnths'!$A:$A,'Variance16-17'!$A265,'Budget 12 Mnths'!I:I)</f>
        <v>-81.67</v>
      </c>
      <c r="J265" s="56">
        <f>SUMIF('2015-16 12 Mnths'!$A:$A,'Variance16-17'!$A265,'2015-16 12 Mnths'!I:I)-SUMIF('Budget 12 Mnths'!$A:$A,'Variance16-17'!$A265,'Budget 12 Mnths'!J:J)</f>
        <v>-251.67</v>
      </c>
      <c r="K265" s="56">
        <f>SUMIF('2015-16 12 Mnths'!$A:$A,'Variance16-17'!$A265,'2015-16 12 Mnths'!J:J)-SUMIF('Budget 12 Mnths'!$A:$A,'Variance16-17'!$A265,'Budget 12 Mnths'!K:K)</f>
        <v>-166.67</v>
      </c>
      <c r="L265" s="56">
        <f>SUMIF('2015-16 12 Mnths'!$A:$A,'Variance16-17'!$A265,'2015-16 12 Mnths'!K:K)-SUMIF('Budget 12 Mnths'!$A:$A,'Variance16-17'!$A265,'Budget 12 Mnths'!L:L)</f>
        <v>6086.28</v>
      </c>
      <c r="M265" s="56"/>
      <c r="N265" s="56"/>
      <c r="O265" s="56"/>
      <c r="P265" s="56">
        <f t="shared" si="1"/>
        <v>2494.74</v>
      </c>
      <c r="Q265" s="14" t="str">
        <f>+VLOOKUP(A265,Mapping!$A$1:$E$443,5,FALSE)</f>
        <v>Misc Exp</v>
      </c>
      <c r="R265" s="26">
        <f>+SUMIF('Budget 12 Mnths'!$A:$A,'Variance16-17'!$A265,'Budget 12 Mnths'!$P:$P)</f>
        <v>2000.04</v>
      </c>
      <c r="S265" s="26">
        <f>+SUMIF('2015-16 12 Mnths'!$A:$A,'Variance16-17'!$A265,'2015-16 12 Mnths'!$O:$O)</f>
        <v>3994.77</v>
      </c>
      <c r="T265" s="57">
        <f t="shared" si="2"/>
        <v>1.247345053</v>
      </c>
      <c r="U265" s="57">
        <f t="shared" si="3"/>
        <v>0.6245015358</v>
      </c>
      <c r="V265" s="8" t="s">
        <v>641</v>
      </c>
      <c r="W265" s="27">
        <v>2000.0</v>
      </c>
      <c r="X265" s="27">
        <f t="shared" si="77"/>
        <v>2000</v>
      </c>
      <c r="Z265" s="57">
        <f t="shared" si="92"/>
        <v>1000</v>
      </c>
      <c r="AA265" s="57">
        <f t="shared" ref="AA265:AL265" si="99">+$X265/12</f>
        <v>166.6666667</v>
      </c>
      <c r="AB265" s="57">
        <f t="shared" si="99"/>
        <v>166.6666667</v>
      </c>
      <c r="AC265" s="57">
        <f t="shared" si="99"/>
        <v>166.6666667</v>
      </c>
      <c r="AD265" s="57">
        <f t="shared" si="99"/>
        <v>166.6666667</v>
      </c>
      <c r="AE265" s="57">
        <f t="shared" si="99"/>
        <v>166.6666667</v>
      </c>
      <c r="AF265" s="57">
        <f t="shared" si="99"/>
        <v>166.6666667</v>
      </c>
      <c r="AG265" s="57">
        <f t="shared" si="99"/>
        <v>166.6666667</v>
      </c>
      <c r="AH265" s="57">
        <f t="shared" si="99"/>
        <v>166.6666667</v>
      </c>
      <c r="AI265" s="57">
        <f t="shared" si="99"/>
        <v>166.6666667</v>
      </c>
      <c r="AJ265" s="57">
        <f t="shared" si="99"/>
        <v>166.6666667</v>
      </c>
      <c r="AK265" s="57">
        <f t="shared" si="99"/>
        <v>166.6666667</v>
      </c>
      <c r="AL265" s="57">
        <f t="shared" si="99"/>
        <v>166.6666667</v>
      </c>
      <c r="AM265" s="27">
        <f t="shared" si="7"/>
        <v>0</v>
      </c>
    </row>
    <row r="266" ht="15.75" customHeight="1">
      <c r="A266" s="15" t="s">
        <v>686</v>
      </c>
      <c r="B266" s="15" t="s">
        <v>685</v>
      </c>
      <c r="C266" s="15" t="s">
        <v>119</v>
      </c>
      <c r="D266" s="56">
        <f>SUMIF('2015-16 12 Mnths'!$A:$A,'Variance16-17'!$A266,'2015-16 12 Mnths'!C:C)-SUMIF('Budget 12 Mnths'!$A:$A,'Variance16-17'!$A266,'Budget 12 Mnths'!D:D)</f>
        <v>0</v>
      </c>
      <c r="E266" s="56">
        <f>SUMIF('2015-16 12 Mnths'!$A:$A,'Variance16-17'!$A266,'2015-16 12 Mnths'!D:D)-SUMIF('Budget 12 Mnths'!$A:$A,'Variance16-17'!$A266,'Budget 12 Mnths'!E:E)</f>
        <v>0</v>
      </c>
      <c r="F266" s="56">
        <f>SUMIF('2015-16 12 Mnths'!$A:$A,'Variance16-17'!$A266,'2015-16 12 Mnths'!E:E)-SUMIF('Budget 12 Mnths'!$A:$A,'Variance16-17'!$A266,'Budget 12 Mnths'!F:F)</f>
        <v>0</v>
      </c>
      <c r="G266" s="56">
        <f>SUMIF('2015-16 12 Mnths'!$A:$A,'Variance16-17'!$A266,'2015-16 12 Mnths'!F:F)-SUMIF('Budget 12 Mnths'!$A:$A,'Variance16-17'!$A266,'Budget 12 Mnths'!G:G)</f>
        <v>0</v>
      </c>
      <c r="H266" s="56">
        <f>SUMIF('2015-16 12 Mnths'!$A:$A,'Variance16-17'!$A266,'2015-16 12 Mnths'!G:G)-SUMIF('Budget 12 Mnths'!$A:$A,'Variance16-17'!$A266,'Budget 12 Mnths'!H:H)</f>
        <v>0</v>
      </c>
      <c r="I266" s="56">
        <f>SUMIF('2015-16 12 Mnths'!$A:$A,'Variance16-17'!$A266,'2015-16 12 Mnths'!H:H)-SUMIF('Budget 12 Mnths'!$A:$A,'Variance16-17'!$A266,'Budget 12 Mnths'!I:I)</f>
        <v>0</v>
      </c>
      <c r="J266" s="56">
        <f>SUMIF('2015-16 12 Mnths'!$A:$A,'Variance16-17'!$A266,'2015-16 12 Mnths'!I:I)-SUMIF('Budget 12 Mnths'!$A:$A,'Variance16-17'!$A266,'Budget 12 Mnths'!J:J)</f>
        <v>0</v>
      </c>
      <c r="K266" s="56">
        <f>SUMIF('2015-16 12 Mnths'!$A:$A,'Variance16-17'!$A266,'2015-16 12 Mnths'!J:J)-SUMIF('Budget 12 Mnths'!$A:$A,'Variance16-17'!$A266,'Budget 12 Mnths'!K:K)</f>
        <v>0</v>
      </c>
      <c r="L266" s="56">
        <f>SUMIF('2015-16 12 Mnths'!$A:$A,'Variance16-17'!$A266,'2015-16 12 Mnths'!K:K)-SUMIF('Budget 12 Mnths'!$A:$A,'Variance16-17'!$A266,'Budget 12 Mnths'!L:L)</f>
        <v>0</v>
      </c>
      <c r="M266" s="56"/>
      <c r="N266" s="56"/>
      <c r="O266" s="56"/>
      <c r="P266" s="56">
        <f t="shared" si="1"/>
        <v>0</v>
      </c>
      <c r="Q266" s="14" t="str">
        <f>+VLOOKUP(A266,Mapping!$A$1:$E$443,5,FALSE)</f>
        <v>Misc Exp</v>
      </c>
      <c r="R266" s="26">
        <f>+SUMIF('Budget 12 Mnths'!$A:$A,'Variance16-17'!$A266,'Budget 12 Mnths'!$P:$P)</f>
        <v>0</v>
      </c>
      <c r="S266" s="26">
        <f>+SUMIF('2015-16 12 Mnths'!$A:$A,'Variance16-17'!$A266,'2015-16 12 Mnths'!$O:$O)</f>
        <v>0</v>
      </c>
      <c r="T266" s="57">
        <f t="shared" si="2"/>
        <v>0</v>
      </c>
      <c r="U266" s="57">
        <f t="shared" si="3"/>
        <v>0</v>
      </c>
      <c r="W266" s="27"/>
      <c r="X266" s="27" t="str">
        <f t="shared" si="77"/>
        <v/>
      </c>
      <c r="Z266" s="57">
        <f t="shared" si="92"/>
        <v>0</v>
      </c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>
        <f t="shared" si="7"/>
        <v>0</v>
      </c>
    </row>
    <row r="267" ht="15.75" customHeight="1">
      <c r="A267" s="15" t="s">
        <v>687</v>
      </c>
      <c r="B267" s="15" t="s">
        <v>685</v>
      </c>
      <c r="C267" s="15" t="s">
        <v>119</v>
      </c>
      <c r="D267" s="56">
        <f>SUMIF('2015-16 12 Mnths'!$A:$A,'Variance16-17'!$A267,'2015-16 12 Mnths'!C:C)-SUMIF('Budget 12 Mnths'!$A:$A,'Variance16-17'!$A267,'Budget 12 Mnths'!D:D)</f>
        <v>0</v>
      </c>
      <c r="E267" s="56">
        <f>SUMIF('2015-16 12 Mnths'!$A:$A,'Variance16-17'!$A267,'2015-16 12 Mnths'!D:D)-SUMIF('Budget 12 Mnths'!$A:$A,'Variance16-17'!$A267,'Budget 12 Mnths'!E:E)</f>
        <v>0</v>
      </c>
      <c r="F267" s="56">
        <f>SUMIF('2015-16 12 Mnths'!$A:$A,'Variance16-17'!$A267,'2015-16 12 Mnths'!E:E)-SUMIF('Budget 12 Mnths'!$A:$A,'Variance16-17'!$A267,'Budget 12 Mnths'!F:F)</f>
        <v>0</v>
      </c>
      <c r="G267" s="56">
        <f>SUMIF('2015-16 12 Mnths'!$A:$A,'Variance16-17'!$A267,'2015-16 12 Mnths'!F:F)-SUMIF('Budget 12 Mnths'!$A:$A,'Variance16-17'!$A267,'Budget 12 Mnths'!G:G)</f>
        <v>0</v>
      </c>
      <c r="H267" s="56">
        <f>SUMIF('2015-16 12 Mnths'!$A:$A,'Variance16-17'!$A267,'2015-16 12 Mnths'!G:G)-SUMIF('Budget 12 Mnths'!$A:$A,'Variance16-17'!$A267,'Budget 12 Mnths'!H:H)</f>
        <v>0</v>
      </c>
      <c r="I267" s="56">
        <f>SUMIF('2015-16 12 Mnths'!$A:$A,'Variance16-17'!$A267,'2015-16 12 Mnths'!H:H)-SUMIF('Budget 12 Mnths'!$A:$A,'Variance16-17'!$A267,'Budget 12 Mnths'!I:I)</f>
        <v>0</v>
      </c>
      <c r="J267" s="56">
        <f>SUMIF('2015-16 12 Mnths'!$A:$A,'Variance16-17'!$A267,'2015-16 12 Mnths'!I:I)-SUMIF('Budget 12 Mnths'!$A:$A,'Variance16-17'!$A267,'Budget 12 Mnths'!J:J)</f>
        <v>0</v>
      </c>
      <c r="K267" s="56">
        <f>SUMIF('2015-16 12 Mnths'!$A:$A,'Variance16-17'!$A267,'2015-16 12 Mnths'!J:J)-SUMIF('Budget 12 Mnths'!$A:$A,'Variance16-17'!$A267,'Budget 12 Mnths'!K:K)</f>
        <v>0</v>
      </c>
      <c r="L267" s="56">
        <f>SUMIF('2015-16 12 Mnths'!$A:$A,'Variance16-17'!$A267,'2015-16 12 Mnths'!K:K)-SUMIF('Budget 12 Mnths'!$A:$A,'Variance16-17'!$A267,'Budget 12 Mnths'!L:L)</f>
        <v>0</v>
      </c>
      <c r="M267" s="56"/>
      <c r="N267" s="56"/>
      <c r="O267" s="56"/>
      <c r="P267" s="56">
        <f t="shared" si="1"/>
        <v>0</v>
      </c>
      <c r="Q267" s="14" t="str">
        <f>+VLOOKUP(A267,Mapping!$A$1:$E$443,5,FALSE)</f>
        <v>Misc Exp</v>
      </c>
      <c r="R267" s="26">
        <f>+SUMIF('Budget 12 Mnths'!$A:$A,'Variance16-17'!$A267,'Budget 12 Mnths'!$P:$P)</f>
        <v>0</v>
      </c>
      <c r="S267" s="26">
        <f>+SUMIF('2015-16 12 Mnths'!$A:$A,'Variance16-17'!$A267,'2015-16 12 Mnths'!$O:$O)</f>
        <v>0</v>
      </c>
      <c r="T267" s="57">
        <f t="shared" si="2"/>
        <v>0</v>
      </c>
      <c r="U267" s="57">
        <f t="shared" si="3"/>
        <v>0</v>
      </c>
      <c r="W267" s="27"/>
      <c r="X267" s="27" t="str">
        <f t="shared" si="77"/>
        <v/>
      </c>
      <c r="Z267" s="57">
        <f t="shared" si="92"/>
        <v>0</v>
      </c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>
        <f t="shared" si="7"/>
        <v>0</v>
      </c>
    </row>
    <row r="268" ht="15.75" customHeight="1">
      <c r="A268" s="15" t="s">
        <v>688</v>
      </c>
      <c r="B268" s="15" t="s">
        <v>689</v>
      </c>
      <c r="C268" s="15" t="s">
        <v>119</v>
      </c>
      <c r="D268" s="56">
        <f>SUMIF('2015-16 12 Mnths'!$A:$A,'Variance16-17'!$A268,'2015-16 12 Mnths'!C:C)-SUMIF('Budget 12 Mnths'!$A:$A,'Variance16-17'!$A268,'Budget 12 Mnths'!D:D)</f>
        <v>0</v>
      </c>
      <c r="E268" s="56">
        <f>SUMIF('2015-16 12 Mnths'!$A:$A,'Variance16-17'!$A268,'2015-16 12 Mnths'!D:D)-SUMIF('Budget 12 Mnths'!$A:$A,'Variance16-17'!$A268,'Budget 12 Mnths'!E:E)</f>
        <v>0</v>
      </c>
      <c r="F268" s="56">
        <f>SUMIF('2015-16 12 Mnths'!$A:$A,'Variance16-17'!$A268,'2015-16 12 Mnths'!E:E)-SUMIF('Budget 12 Mnths'!$A:$A,'Variance16-17'!$A268,'Budget 12 Mnths'!F:F)</f>
        <v>0</v>
      </c>
      <c r="G268" s="56">
        <f>SUMIF('2015-16 12 Mnths'!$A:$A,'Variance16-17'!$A268,'2015-16 12 Mnths'!F:F)-SUMIF('Budget 12 Mnths'!$A:$A,'Variance16-17'!$A268,'Budget 12 Mnths'!G:G)</f>
        <v>0</v>
      </c>
      <c r="H268" s="56">
        <f>SUMIF('2015-16 12 Mnths'!$A:$A,'Variance16-17'!$A268,'2015-16 12 Mnths'!G:G)-SUMIF('Budget 12 Mnths'!$A:$A,'Variance16-17'!$A268,'Budget 12 Mnths'!H:H)</f>
        <v>0</v>
      </c>
      <c r="I268" s="56">
        <f>SUMIF('2015-16 12 Mnths'!$A:$A,'Variance16-17'!$A268,'2015-16 12 Mnths'!H:H)-SUMIF('Budget 12 Mnths'!$A:$A,'Variance16-17'!$A268,'Budget 12 Mnths'!I:I)</f>
        <v>0</v>
      </c>
      <c r="J268" s="56">
        <f>SUMIF('2015-16 12 Mnths'!$A:$A,'Variance16-17'!$A268,'2015-16 12 Mnths'!I:I)-SUMIF('Budget 12 Mnths'!$A:$A,'Variance16-17'!$A268,'Budget 12 Mnths'!J:J)</f>
        <v>0</v>
      </c>
      <c r="K268" s="56">
        <f>SUMIF('2015-16 12 Mnths'!$A:$A,'Variance16-17'!$A268,'2015-16 12 Mnths'!J:J)-SUMIF('Budget 12 Mnths'!$A:$A,'Variance16-17'!$A268,'Budget 12 Mnths'!K:K)</f>
        <v>0</v>
      </c>
      <c r="L268" s="56">
        <f>SUMIF('2015-16 12 Mnths'!$A:$A,'Variance16-17'!$A268,'2015-16 12 Mnths'!K:K)-SUMIF('Budget 12 Mnths'!$A:$A,'Variance16-17'!$A268,'Budget 12 Mnths'!L:L)</f>
        <v>0</v>
      </c>
      <c r="M268" s="56"/>
      <c r="N268" s="56"/>
      <c r="O268" s="56"/>
      <c r="P268" s="56">
        <f t="shared" si="1"/>
        <v>0</v>
      </c>
      <c r="Q268" s="14" t="str">
        <f>+VLOOKUP(A268,Mapping!$A$1:$E$443,5,FALSE)</f>
        <v>Bad Debt</v>
      </c>
      <c r="R268" s="26">
        <f>+SUMIF('Budget 12 Mnths'!$A:$A,'Variance16-17'!$A268,'Budget 12 Mnths'!$P:$P)</f>
        <v>0</v>
      </c>
      <c r="S268" s="26">
        <f>+SUMIF('2015-16 12 Mnths'!$A:$A,'Variance16-17'!$A268,'2015-16 12 Mnths'!$O:$O)</f>
        <v>0</v>
      </c>
      <c r="T268" s="57">
        <f t="shared" si="2"/>
        <v>0</v>
      </c>
      <c r="U268" s="57">
        <f t="shared" si="3"/>
        <v>0</v>
      </c>
      <c r="W268" s="27"/>
      <c r="X268" s="27" t="str">
        <f t="shared" si="77"/>
        <v/>
      </c>
      <c r="Z268" s="57">
        <f t="shared" si="92"/>
        <v>0</v>
      </c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>
        <f t="shared" si="7"/>
        <v>0</v>
      </c>
    </row>
    <row r="269" ht="15.75" customHeight="1">
      <c r="A269" s="15" t="s">
        <v>690</v>
      </c>
      <c r="B269" s="15" t="s">
        <v>691</v>
      </c>
      <c r="C269" s="15" t="s">
        <v>119</v>
      </c>
      <c r="D269" s="56">
        <f>SUMIF('2015-16 12 Mnths'!$A:$A,'Variance16-17'!$A269,'2015-16 12 Mnths'!C:C)-SUMIF('Budget 12 Mnths'!$A:$A,'Variance16-17'!$A269,'Budget 12 Mnths'!D:D)</f>
        <v>0</v>
      </c>
      <c r="E269" s="56">
        <f>SUMIF('2015-16 12 Mnths'!$A:$A,'Variance16-17'!$A269,'2015-16 12 Mnths'!D:D)-SUMIF('Budget 12 Mnths'!$A:$A,'Variance16-17'!$A269,'Budget 12 Mnths'!E:E)</f>
        <v>0</v>
      </c>
      <c r="F269" s="56">
        <f>SUMIF('2015-16 12 Mnths'!$A:$A,'Variance16-17'!$A269,'2015-16 12 Mnths'!E:E)-SUMIF('Budget 12 Mnths'!$A:$A,'Variance16-17'!$A269,'Budget 12 Mnths'!F:F)</f>
        <v>0</v>
      </c>
      <c r="G269" s="56">
        <f>SUMIF('2015-16 12 Mnths'!$A:$A,'Variance16-17'!$A269,'2015-16 12 Mnths'!F:F)-SUMIF('Budget 12 Mnths'!$A:$A,'Variance16-17'!$A269,'Budget 12 Mnths'!G:G)</f>
        <v>0</v>
      </c>
      <c r="H269" s="56">
        <f>SUMIF('2015-16 12 Mnths'!$A:$A,'Variance16-17'!$A269,'2015-16 12 Mnths'!G:G)-SUMIF('Budget 12 Mnths'!$A:$A,'Variance16-17'!$A269,'Budget 12 Mnths'!H:H)</f>
        <v>0</v>
      </c>
      <c r="I269" s="56">
        <f>SUMIF('2015-16 12 Mnths'!$A:$A,'Variance16-17'!$A269,'2015-16 12 Mnths'!H:H)-SUMIF('Budget 12 Mnths'!$A:$A,'Variance16-17'!$A269,'Budget 12 Mnths'!I:I)</f>
        <v>0</v>
      </c>
      <c r="J269" s="56">
        <f>SUMIF('2015-16 12 Mnths'!$A:$A,'Variance16-17'!$A269,'2015-16 12 Mnths'!I:I)-SUMIF('Budget 12 Mnths'!$A:$A,'Variance16-17'!$A269,'Budget 12 Mnths'!J:J)</f>
        <v>0</v>
      </c>
      <c r="K269" s="56">
        <f>SUMIF('2015-16 12 Mnths'!$A:$A,'Variance16-17'!$A269,'2015-16 12 Mnths'!J:J)-SUMIF('Budget 12 Mnths'!$A:$A,'Variance16-17'!$A269,'Budget 12 Mnths'!K:K)</f>
        <v>0</v>
      </c>
      <c r="L269" s="56">
        <f>SUMIF('2015-16 12 Mnths'!$A:$A,'Variance16-17'!$A269,'2015-16 12 Mnths'!K:K)-SUMIF('Budget 12 Mnths'!$A:$A,'Variance16-17'!$A269,'Budget 12 Mnths'!L:L)</f>
        <v>0</v>
      </c>
      <c r="M269" s="56"/>
      <c r="N269" s="56"/>
      <c r="O269" s="56"/>
      <c r="P269" s="56">
        <f t="shared" si="1"/>
        <v>0</v>
      </c>
      <c r="Q269" s="14" t="str">
        <f>+VLOOKUP(A269,Mapping!$A$1:$E$443,5,FALSE)</f>
        <v>Bad Debt</v>
      </c>
      <c r="R269" s="26">
        <f>+SUMIF('Budget 12 Mnths'!$A:$A,'Variance16-17'!$A269,'Budget 12 Mnths'!$P:$P)</f>
        <v>0</v>
      </c>
      <c r="S269" s="26">
        <f>+SUMIF('2015-16 12 Mnths'!$A:$A,'Variance16-17'!$A269,'2015-16 12 Mnths'!$O:$O)</f>
        <v>0</v>
      </c>
      <c r="T269" s="57">
        <f t="shared" si="2"/>
        <v>0</v>
      </c>
      <c r="U269" s="57">
        <f t="shared" si="3"/>
        <v>0</v>
      </c>
      <c r="W269" s="27"/>
      <c r="X269" s="27" t="str">
        <f t="shared" si="77"/>
        <v/>
      </c>
      <c r="Z269" s="57">
        <f t="shared" si="92"/>
        <v>0</v>
      </c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>
        <f t="shared" si="7"/>
        <v>0</v>
      </c>
    </row>
    <row r="270" ht="15.75" customHeight="1">
      <c r="A270" s="15" t="s">
        <v>692</v>
      </c>
      <c r="B270" s="15" t="s">
        <v>245</v>
      </c>
      <c r="C270" s="15" t="s">
        <v>119</v>
      </c>
      <c r="D270" s="56">
        <f>SUMIF('2015-16 12 Mnths'!$A:$A,'Variance16-17'!$A270,'2015-16 12 Mnths'!C:C)-SUMIF('Budget 12 Mnths'!$A:$A,'Variance16-17'!$A270,'Budget 12 Mnths'!D:D)</f>
        <v>0</v>
      </c>
      <c r="E270" s="56">
        <f>SUMIF('2015-16 12 Mnths'!$A:$A,'Variance16-17'!$A270,'2015-16 12 Mnths'!D:D)-SUMIF('Budget 12 Mnths'!$A:$A,'Variance16-17'!$A270,'Budget 12 Mnths'!E:E)</f>
        <v>0</v>
      </c>
      <c r="F270" s="56">
        <f>SUMIF('2015-16 12 Mnths'!$A:$A,'Variance16-17'!$A270,'2015-16 12 Mnths'!E:E)-SUMIF('Budget 12 Mnths'!$A:$A,'Variance16-17'!$A270,'Budget 12 Mnths'!F:F)</f>
        <v>0</v>
      </c>
      <c r="G270" s="56">
        <f>SUMIF('2015-16 12 Mnths'!$A:$A,'Variance16-17'!$A270,'2015-16 12 Mnths'!F:F)-SUMIF('Budget 12 Mnths'!$A:$A,'Variance16-17'!$A270,'Budget 12 Mnths'!G:G)</f>
        <v>0</v>
      </c>
      <c r="H270" s="56">
        <f>SUMIF('2015-16 12 Mnths'!$A:$A,'Variance16-17'!$A270,'2015-16 12 Mnths'!G:G)-SUMIF('Budget 12 Mnths'!$A:$A,'Variance16-17'!$A270,'Budget 12 Mnths'!H:H)</f>
        <v>0</v>
      </c>
      <c r="I270" s="56">
        <f>SUMIF('2015-16 12 Mnths'!$A:$A,'Variance16-17'!$A270,'2015-16 12 Mnths'!H:H)-SUMIF('Budget 12 Mnths'!$A:$A,'Variance16-17'!$A270,'Budget 12 Mnths'!I:I)</f>
        <v>0</v>
      </c>
      <c r="J270" s="56">
        <f>SUMIF('2015-16 12 Mnths'!$A:$A,'Variance16-17'!$A270,'2015-16 12 Mnths'!I:I)-SUMIF('Budget 12 Mnths'!$A:$A,'Variance16-17'!$A270,'Budget 12 Mnths'!J:J)</f>
        <v>0</v>
      </c>
      <c r="K270" s="56">
        <f>SUMIF('2015-16 12 Mnths'!$A:$A,'Variance16-17'!$A270,'2015-16 12 Mnths'!J:J)-SUMIF('Budget 12 Mnths'!$A:$A,'Variance16-17'!$A270,'Budget 12 Mnths'!K:K)</f>
        <v>0</v>
      </c>
      <c r="L270" s="56">
        <f>SUMIF('2015-16 12 Mnths'!$A:$A,'Variance16-17'!$A270,'2015-16 12 Mnths'!K:K)-SUMIF('Budget 12 Mnths'!$A:$A,'Variance16-17'!$A270,'Budget 12 Mnths'!L:L)</f>
        <v>0</v>
      </c>
      <c r="M270" s="56"/>
      <c r="N270" s="56"/>
      <c r="O270" s="56"/>
      <c r="P270" s="56">
        <f t="shared" si="1"/>
        <v>0</v>
      </c>
      <c r="Q270" s="14" t="str">
        <f>+VLOOKUP(A270,Mapping!$A$1:$E$443,5,FALSE)</f>
        <v>Bad Debt</v>
      </c>
      <c r="R270" s="26">
        <f>+SUMIF('Budget 12 Mnths'!$A:$A,'Variance16-17'!$A270,'Budget 12 Mnths'!$P:$P)</f>
        <v>2500</v>
      </c>
      <c r="S270" s="26">
        <f>+SUMIF('2015-16 12 Mnths'!$A:$A,'Variance16-17'!$A270,'2015-16 12 Mnths'!$O:$O)</f>
        <v>0</v>
      </c>
      <c r="T270" s="57">
        <f t="shared" si="2"/>
        <v>0</v>
      </c>
      <c r="U270" s="57">
        <f t="shared" si="3"/>
        <v>0</v>
      </c>
      <c r="V270" s="8" t="s">
        <v>594</v>
      </c>
      <c r="W270" s="27">
        <v>3000.0</v>
      </c>
      <c r="X270" s="27">
        <f t="shared" si="77"/>
        <v>3000</v>
      </c>
      <c r="Z270" s="57">
        <v>0.0</v>
      </c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>
        <v>3000.0</v>
      </c>
      <c r="AM270" s="27">
        <f t="shared" si="7"/>
        <v>0</v>
      </c>
    </row>
    <row r="271" ht="15.75" customHeight="1">
      <c r="A271" s="15" t="s">
        <v>693</v>
      </c>
      <c r="B271" s="15" t="s">
        <v>694</v>
      </c>
      <c r="C271" s="15" t="s">
        <v>119</v>
      </c>
      <c r="D271" s="56">
        <f>SUMIF('2015-16 12 Mnths'!$A:$A,'Variance16-17'!$A271,'2015-16 12 Mnths'!C:C)-SUMIF('Budget 12 Mnths'!$A:$A,'Variance16-17'!$A271,'Budget 12 Mnths'!D:D)</f>
        <v>0</v>
      </c>
      <c r="E271" s="56">
        <f>SUMIF('2015-16 12 Mnths'!$A:$A,'Variance16-17'!$A271,'2015-16 12 Mnths'!D:D)-SUMIF('Budget 12 Mnths'!$A:$A,'Variance16-17'!$A271,'Budget 12 Mnths'!E:E)</f>
        <v>0</v>
      </c>
      <c r="F271" s="56">
        <f>SUMIF('2015-16 12 Mnths'!$A:$A,'Variance16-17'!$A271,'2015-16 12 Mnths'!E:E)-SUMIF('Budget 12 Mnths'!$A:$A,'Variance16-17'!$A271,'Budget 12 Mnths'!F:F)</f>
        <v>0</v>
      </c>
      <c r="G271" s="56">
        <f>SUMIF('2015-16 12 Mnths'!$A:$A,'Variance16-17'!$A271,'2015-16 12 Mnths'!F:F)-SUMIF('Budget 12 Mnths'!$A:$A,'Variance16-17'!$A271,'Budget 12 Mnths'!G:G)</f>
        <v>0</v>
      </c>
      <c r="H271" s="56">
        <f>SUMIF('2015-16 12 Mnths'!$A:$A,'Variance16-17'!$A271,'2015-16 12 Mnths'!G:G)-SUMIF('Budget 12 Mnths'!$A:$A,'Variance16-17'!$A271,'Budget 12 Mnths'!H:H)</f>
        <v>0</v>
      </c>
      <c r="I271" s="56">
        <f>SUMIF('2015-16 12 Mnths'!$A:$A,'Variance16-17'!$A271,'2015-16 12 Mnths'!H:H)-SUMIF('Budget 12 Mnths'!$A:$A,'Variance16-17'!$A271,'Budget 12 Mnths'!I:I)</f>
        <v>0</v>
      </c>
      <c r="J271" s="56">
        <f>SUMIF('2015-16 12 Mnths'!$A:$A,'Variance16-17'!$A271,'2015-16 12 Mnths'!I:I)-SUMIF('Budget 12 Mnths'!$A:$A,'Variance16-17'!$A271,'Budget 12 Mnths'!J:J)</f>
        <v>0</v>
      </c>
      <c r="K271" s="56">
        <f>SUMIF('2015-16 12 Mnths'!$A:$A,'Variance16-17'!$A271,'2015-16 12 Mnths'!J:J)-SUMIF('Budget 12 Mnths'!$A:$A,'Variance16-17'!$A271,'Budget 12 Mnths'!K:K)</f>
        <v>0</v>
      </c>
      <c r="L271" s="56">
        <f>SUMIF('2015-16 12 Mnths'!$A:$A,'Variance16-17'!$A271,'2015-16 12 Mnths'!K:K)-SUMIF('Budget 12 Mnths'!$A:$A,'Variance16-17'!$A271,'Budget 12 Mnths'!L:L)</f>
        <v>0</v>
      </c>
      <c r="M271" s="56"/>
      <c r="N271" s="56"/>
      <c r="O271" s="56"/>
      <c r="P271" s="56">
        <f t="shared" si="1"/>
        <v>0</v>
      </c>
      <c r="Q271" s="14" t="str">
        <f>+VLOOKUP(A271,Mapping!$A$1:$E$443,5,FALSE)</f>
        <v>Bad Debt</v>
      </c>
      <c r="R271" s="26">
        <f>+SUMIF('Budget 12 Mnths'!$A:$A,'Variance16-17'!$A271,'Budget 12 Mnths'!$P:$P)</f>
        <v>0</v>
      </c>
      <c r="S271" s="26">
        <f>+SUMIF('2015-16 12 Mnths'!$A:$A,'Variance16-17'!$A271,'2015-16 12 Mnths'!$O:$O)</f>
        <v>0</v>
      </c>
      <c r="T271" s="57">
        <f t="shared" si="2"/>
        <v>0</v>
      </c>
      <c r="U271" s="57">
        <f t="shared" si="3"/>
        <v>0</v>
      </c>
      <c r="W271" s="27"/>
      <c r="X271" s="27" t="str">
        <f t="shared" si="77"/>
        <v/>
      </c>
      <c r="Z271" s="57">
        <f t="shared" ref="Z271:Z276" si="100">+X271/2</f>
        <v>0</v>
      </c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>
        <f t="shared" si="7"/>
        <v>0</v>
      </c>
    </row>
    <row r="272" ht="15.75" customHeight="1">
      <c r="A272" s="15" t="s">
        <v>695</v>
      </c>
      <c r="B272" s="15" t="s">
        <v>249</v>
      </c>
      <c r="C272" s="15" t="s">
        <v>119</v>
      </c>
      <c r="D272" s="56">
        <f>SUMIF('2015-16 12 Mnths'!$A:$A,'Variance16-17'!$A272,'2015-16 12 Mnths'!C:C)-SUMIF('Budget 12 Mnths'!$A:$A,'Variance16-17'!$A272,'Budget 12 Mnths'!D:D)</f>
        <v>0</v>
      </c>
      <c r="E272" s="56">
        <f>SUMIF('2015-16 12 Mnths'!$A:$A,'Variance16-17'!$A272,'2015-16 12 Mnths'!D:D)-SUMIF('Budget 12 Mnths'!$A:$A,'Variance16-17'!$A272,'Budget 12 Mnths'!E:E)</f>
        <v>-340.96</v>
      </c>
      <c r="F272" s="56">
        <f>SUMIF('2015-16 12 Mnths'!$A:$A,'Variance16-17'!$A272,'2015-16 12 Mnths'!E:E)-SUMIF('Budget 12 Mnths'!$A:$A,'Variance16-17'!$A272,'Budget 12 Mnths'!F:F)</f>
        <v>-681.92</v>
      </c>
      <c r="G272" s="56">
        <f>SUMIF('2015-16 12 Mnths'!$A:$A,'Variance16-17'!$A272,'2015-16 12 Mnths'!F:F)-SUMIF('Budget 12 Mnths'!$A:$A,'Variance16-17'!$A272,'Budget 12 Mnths'!G:G)</f>
        <v>-1842.17</v>
      </c>
      <c r="H272" s="56">
        <f>SUMIF('2015-16 12 Mnths'!$A:$A,'Variance16-17'!$A272,'2015-16 12 Mnths'!G:G)-SUMIF('Budget 12 Mnths'!$A:$A,'Variance16-17'!$A272,'Budget 12 Mnths'!H:H)</f>
        <v>-1842.17</v>
      </c>
      <c r="I272" s="56">
        <f>SUMIF('2015-16 12 Mnths'!$A:$A,'Variance16-17'!$A272,'2015-16 12 Mnths'!H:H)-SUMIF('Budget 12 Mnths'!$A:$A,'Variance16-17'!$A272,'Budget 12 Mnths'!I:I)</f>
        <v>-1842.17</v>
      </c>
      <c r="J272" s="56">
        <f>SUMIF('2015-16 12 Mnths'!$A:$A,'Variance16-17'!$A272,'2015-16 12 Mnths'!I:I)-SUMIF('Budget 12 Mnths'!$A:$A,'Variance16-17'!$A272,'Budget 12 Mnths'!J:J)</f>
        <v>507.64</v>
      </c>
      <c r="K272" s="56">
        <f>SUMIF('2015-16 12 Mnths'!$A:$A,'Variance16-17'!$A272,'2015-16 12 Mnths'!J:J)-SUMIF('Budget 12 Mnths'!$A:$A,'Variance16-17'!$A272,'Budget 12 Mnths'!K:K)</f>
        <v>507.64</v>
      </c>
      <c r="L272" s="56">
        <f>SUMIF('2015-16 12 Mnths'!$A:$A,'Variance16-17'!$A272,'2015-16 12 Mnths'!K:K)-SUMIF('Budget 12 Mnths'!$A:$A,'Variance16-17'!$A272,'Budget 12 Mnths'!L:L)</f>
        <v>2057.73</v>
      </c>
      <c r="M272" s="56"/>
      <c r="N272" s="56"/>
      <c r="O272" s="56"/>
      <c r="P272" s="56">
        <f t="shared" si="1"/>
        <v>-3476.38</v>
      </c>
      <c r="Q272" s="14" t="str">
        <f>+VLOOKUP(A272,Mapping!$A$1:$E$443,5,FALSE)</f>
        <v>Insurance Loss Exp</v>
      </c>
      <c r="R272" s="26">
        <f>+SUMIF('Budget 12 Mnths'!$A:$A,'Variance16-17'!$A272,'Budget 12 Mnths'!$P:$P)</f>
        <v>17500</v>
      </c>
      <c r="S272" s="26">
        <f>+SUMIF('2015-16 12 Mnths'!$A:$A,'Variance16-17'!$A272,'2015-16 12 Mnths'!$O:$O)</f>
        <v>8599.52</v>
      </c>
      <c r="T272" s="57">
        <f t="shared" si="2"/>
        <v>-0.1986502857</v>
      </c>
      <c r="U272" s="57">
        <f t="shared" si="3"/>
        <v>-0.4042527955</v>
      </c>
      <c r="V272" s="8" t="s">
        <v>594</v>
      </c>
      <c r="W272" s="27">
        <v>22000.0</v>
      </c>
      <c r="X272" s="27">
        <f t="shared" si="77"/>
        <v>22000</v>
      </c>
      <c r="Z272" s="57">
        <f t="shared" si="100"/>
        <v>11000</v>
      </c>
      <c r="AA272" s="57">
        <f t="shared" ref="AA272:AL272" si="101">+$X272/12</f>
        <v>1833.333333</v>
      </c>
      <c r="AB272" s="57">
        <f t="shared" si="101"/>
        <v>1833.333333</v>
      </c>
      <c r="AC272" s="57">
        <f t="shared" si="101"/>
        <v>1833.333333</v>
      </c>
      <c r="AD272" s="57">
        <f t="shared" si="101"/>
        <v>1833.333333</v>
      </c>
      <c r="AE272" s="57">
        <f t="shared" si="101"/>
        <v>1833.333333</v>
      </c>
      <c r="AF272" s="57">
        <f t="shared" si="101"/>
        <v>1833.333333</v>
      </c>
      <c r="AG272" s="57">
        <f t="shared" si="101"/>
        <v>1833.333333</v>
      </c>
      <c r="AH272" s="57">
        <f t="shared" si="101"/>
        <v>1833.333333</v>
      </c>
      <c r="AI272" s="57">
        <f t="shared" si="101"/>
        <v>1833.333333</v>
      </c>
      <c r="AJ272" s="57">
        <f t="shared" si="101"/>
        <v>1833.333333</v>
      </c>
      <c r="AK272" s="57">
        <f t="shared" si="101"/>
        <v>1833.333333</v>
      </c>
      <c r="AL272" s="57">
        <f t="shared" si="101"/>
        <v>1833.333333</v>
      </c>
      <c r="AM272" s="27">
        <f t="shared" si="7"/>
        <v>0</v>
      </c>
    </row>
    <row r="273" ht="15.75" customHeight="1">
      <c r="A273" s="15" t="s">
        <v>696</v>
      </c>
      <c r="B273" s="15" t="s">
        <v>697</v>
      </c>
      <c r="C273" s="15" t="s">
        <v>119</v>
      </c>
      <c r="D273" s="56">
        <f>SUMIF('2015-16 12 Mnths'!$A:$A,'Variance16-17'!$A273,'2015-16 12 Mnths'!C:C)-SUMIF('Budget 12 Mnths'!$A:$A,'Variance16-17'!$A273,'Budget 12 Mnths'!D:D)</f>
        <v>8.43</v>
      </c>
      <c r="E273" s="56">
        <f>SUMIF('2015-16 12 Mnths'!$A:$A,'Variance16-17'!$A273,'2015-16 12 Mnths'!D:D)-SUMIF('Budget 12 Mnths'!$A:$A,'Variance16-17'!$A273,'Budget 12 Mnths'!E:E)</f>
        <v>8.77</v>
      </c>
      <c r="F273" s="56">
        <f>SUMIF('2015-16 12 Mnths'!$A:$A,'Variance16-17'!$A273,'2015-16 12 Mnths'!E:E)-SUMIF('Budget 12 Mnths'!$A:$A,'Variance16-17'!$A273,'Budget 12 Mnths'!F:F)</f>
        <v>8.49</v>
      </c>
      <c r="G273" s="56">
        <f>SUMIF('2015-16 12 Mnths'!$A:$A,'Variance16-17'!$A273,'2015-16 12 Mnths'!F:F)-SUMIF('Budget 12 Mnths'!$A:$A,'Variance16-17'!$A273,'Budget 12 Mnths'!G:G)</f>
        <v>7.67</v>
      </c>
      <c r="H273" s="56">
        <f>SUMIF('2015-16 12 Mnths'!$A:$A,'Variance16-17'!$A273,'2015-16 12 Mnths'!G:G)-SUMIF('Budget 12 Mnths'!$A:$A,'Variance16-17'!$A273,'Budget 12 Mnths'!H:H)</f>
        <v>9.04</v>
      </c>
      <c r="I273" s="56">
        <f>SUMIF('2015-16 12 Mnths'!$A:$A,'Variance16-17'!$A273,'2015-16 12 Mnths'!H:H)-SUMIF('Budget 12 Mnths'!$A:$A,'Variance16-17'!$A273,'Budget 12 Mnths'!I:I)</f>
        <v>7.95</v>
      </c>
      <c r="J273" s="56">
        <f>SUMIF('2015-16 12 Mnths'!$A:$A,'Variance16-17'!$A273,'2015-16 12 Mnths'!I:I)-SUMIF('Budget 12 Mnths'!$A:$A,'Variance16-17'!$A273,'Budget 12 Mnths'!J:J)</f>
        <v>8.77</v>
      </c>
      <c r="K273" s="56">
        <f>SUMIF('2015-16 12 Mnths'!$A:$A,'Variance16-17'!$A273,'2015-16 12 Mnths'!J:J)-SUMIF('Budget 12 Mnths'!$A:$A,'Variance16-17'!$A273,'Budget 12 Mnths'!K:K)</f>
        <v>8.49</v>
      </c>
      <c r="L273" s="56">
        <f>SUMIF('2015-16 12 Mnths'!$A:$A,'Variance16-17'!$A273,'2015-16 12 Mnths'!K:K)-SUMIF('Budget 12 Mnths'!$A:$A,'Variance16-17'!$A273,'Budget 12 Mnths'!L:L)</f>
        <v>7.95</v>
      </c>
      <c r="M273" s="56"/>
      <c r="N273" s="56"/>
      <c r="O273" s="56"/>
      <c r="P273" s="56">
        <f t="shared" si="1"/>
        <v>75.56</v>
      </c>
      <c r="Q273" s="14" t="str">
        <f>+VLOOKUP(A273,Mapping!$A$1:$E$443,5,FALSE)</f>
        <v/>
      </c>
      <c r="R273" s="26">
        <f>+SUMIF('Budget 12 Mnths'!$A:$A,'Variance16-17'!$A273,'Budget 12 Mnths'!$P:$P)</f>
        <v>0</v>
      </c>
      <c r="S273" s="26">
        <f>+SUMIF('2015-16 12 Mnths'!$A:$A,'Variance16-17'!$A273,'2015-16 12 Mnths'!$O:$O)</f>
        <v>75.56</v>
      </c>
      <c r="T273" s="57">
        <f t="shared" si="2"/>
        <v>0</v>
      </c>
      <c r="U273" s="57">
        <f t="shared" si="3"/>
        <v>1</v>
      </c>
      <c r="W273" s="27"/>
      <c r="X273" s="27" t="str">
        <f t="shared" si="77"/>
        <v/>
      </c>
      <c r="Z273" s="57">
        <f t="shared" si="100"/>
        <v>0</v>
      </c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>
        <f t="shared" si="7"/>
        <v>0</v>
      </c>
    </row>
    <row r="274" ht="15.75" customHeight="1">
      <c r="A274" s="15" t="s">
        <v>698</v>
      </c>
      <c r="B274" s="15" t="s">
        <v>699</v>
      </c>
      <c r="C274" s="15" t="s">
        <v>119</v>
      </c>
      <c r="D274" s="56">
        <f>SUMIF('2015-16 12 Mnths'!$A:$A,'Variance16-17'!$A274,'2015-16 12 Mnths'!C:C)-SUMIF('Budget 12 Mnths'!$A:$A,'Variance16-17'!$A274,'Budget 12 Mnths'!D:D)</f>
        <v>-8.43</v>
      </c>
      <c r="E274" s="56">
        <f>SUMIF('2015-16 12 Mnths'!$A:$A,'Variance16-17'!$A274,'2015-16 12 Mnths'!D:D)-SUMIF('Budget 12 Mnths'!$A:$A,'Variance16-17'!$A274,'Budget 12 Mnths'!E:E)</f>
        <v>-8.77</v>
      </c>
      <c r="F274" s="56">
        <f>SUMIF('2015-16 12 Mnths'!$A:$A,'Variance16-17'!$A274,'2015-16 12 Mnths'!E:E)-SUMIF('Budget 12 Mnths'!$A:$A,'Variance16-17'!$A274,'Budget 12 Mnths'!F:F)</f>
        <v>-8.49</v>
      </c>
      <c r="G274" s="56">
        <f>SUMIF('2015-16 12 Mnths'!$A:$A,'Variance16-17'!$A274,'2015-16 12 Mnths'!F:F)-SUMIF('Budget 12 Mnths'!$A:$A,'Variance16-17'!$A274,'Budget 12 Mnths'!G:G)</f>
        <v>-7.67</v>
      </c>
      <c r="H274" s="56">
        <f>SUMIF('2015-16 12 Mnths'!$A:$A,'Variance16-17'!$A274,'2015-16 12 Mnths'!G:G)-SUMIF('Budget 12 Mnths'!$A:$A,'Variance16-17'!$A274,'Budget 12 Mnths'!H:H)</f>
        <v>-9.04</v>
      </c>
      <c r="I274" s="56">
        <f>SUMIF('2015-16 12 Mnths'!$A:$A,'Variance16-17'!$A274,'2015-16 12 Mnths'!H:H)-SUMIF('Budget 12 Mnths'!$A:$A,'Variance16-17'!$A274,'Budget 12 Mnths'!I:I)</f>
        <v>-7.95</v>
      </c>
      <c r="J274" s="56">
        <f>SUMIF('2015-16 12 Mnths'!$A:$A,'Variance16-17'!$A274,'2015-16 12 Mnths'!I:I)-SUMIF('Budget 12 Mnths'!$A:$A,'Variance16-17'!$A274,'Budget 12 Mnths'!J:J)</f>
        <v>-8.77</v>
      </c>
      <c r="K274" s="56">
        <f>SUMIF('2015-16 12 Mnths'!$A:$A,'Variance16-17'!$A274,'2015-16 12 Mnths'!J:J)-SUMIF('Budget 12 Mnths'!$A:$A,'Variance16-17'!$A274,'Budget 12 Mnths'!K:K)</f>
        <v>-8.49</v>
      </c>
      <c r="L274" s="56">
        <f>SUMIF('2015-16 12 Mnths'!$A:$A,'Variance16-17'!$A274,'2015-16 12 Mnths'!K:K)-SUMIF('Budget 12 Mnths'!$A:$A,'Variance16-17'!$A274,'Budget 12 Mnths'!L:L)</f>
        <v>-7.95</v>
      </c>
      <c r="M274" s="56"/>
      <c r="N274" s="56"/>
      <c r="O274" s="56"/>
      <c r="P274" s="56">
        <f t="shared" si="1"/>
        <v>-75.56</v>
      </c>
      <c r="Q274" s="14" t="str">
        <f>+VLOOKUP(A274,Mapping!$A$1:$E$443,5,FALSE)</f>
        <v/>
      </c>
      <c r="R274" s="26">
        <f>+SUMIF('Budget 12 Mnths'!$A:$A,'Variance16-17'!$A274,'Budget 12 Mnths'!$P:$P)</f>
        <v>0</v>
      </c>
      <c r="S274" s="26">
        <f>+SUMIF('2015-16 12 Mnths'!$A:$A,'Variance16-17'!$A274,'2015-16 12 Mnths'!$O:$O)</f>
        <v>-75.56</v>
      </c>
      <c r="T274" s="57">
        <f t="shared" si="2"/>
        <v>0</v>
      </c>
      <c r="U274" s="57">
        <f t="shared" si="3"/>
        <v>1</v>
      </c>
      <c r="W274" s="27"/>
      <c r="X274" s="27" t="str">
        <f t="shared" si="77"/>
        <v/>
      </c>
      <c r="Z274" s="57">
        <f t="shared" si="100"/>
        <v>0</v>
      </c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>
        <f t="shared" si="7"/>
        <v>0</v>
      </c>
    </row>
    <row r="275" ht="15.75" customHeight="1">
      <c r="A275" s="15" t="s">
        <v>700</v>
      </c>
      <c r="B275" s="15" t="s">
        <v>701</v>
      </c>
      <c r="C275" s="15" t="s">
        <v>119</v>
      </c>
      <c r="D275" s="56">
        <f>SUMIF('2015-16 12 Mnths'!$A:$A,'Variance16-17'!$A275,'2015-16 12 Mnths'!C:C)-SUMIF('Budget 12 Mnths'!$A:$A,'Variance16-17'!$A275,'Budget 12 Mnths'!D:D)</f>
        <v>0</v>
      </c>
      <c r="E275" s="56">
        <f>SUMIF('2015-16 12 Mnths'!$A:$A,'Variance16-17'!$A275,'2015-16 12 Mnths'!D:D)-SUMIF('Budget 12 Mnths'!$A:$A,'Variance16-17'!$A275,'Budget 12 Mnths'!E:E)</f>
        <v>0</v>
      </c>
      <c r="F275" s="56">
        <f>SUMIF('2015-16 12 Mnths'!$A:$A,'Variance16-17'!$A275,'2015-16 12 Mnths'!E:E)-SUMIF('Budget 12 Mnths'!$A:$A,'Variance16-17'!$A275,'Budget 12 Mnths'!F:F)</f>
        <v>0</v>
      </c>
      <c r="G275" s="56">
        <f>SUMIF('2015-16 12 Mnths'!$A:$A,'Variance16-17'!$A275,'2015-16 12 Mnths'!F:F)-SUMIF('Budget 12 Mnths'!$A:$A,'Variance16-17'!$A275,'Budget 12 Mnths'!G:G)</f>
        <v>0</v>
      </c>
      <c r="H275" s="56">
        <f>SUMIF('2015-16 12 Mnths'!$A:$A,'Variance16-17'!$A275,'2015-16 12 Mnths'!G:G)-SUMIF('Budget 12 Mnths'!$A:$A,'Variance16-17'!$A275,'Budget 12 Mnths'!H:H)</f>
        <v>0</v>
      </c>
      <c r="I275" s="56">
        <f>SUMIF('2015-16 12 Mnths'!$A:$A,'Variance16-17'!$A275,'2015-16 12 Mnths'!H:H)-SUMIF('Budget 12 Mnths'!$A:$A,'Variance16-17'!$A275,'Budget 12 Mnths'!I:I)</f>
        <v>0</v>
      </c>
      <c r="J275" s="56">
        <f>SUMIF('2015-16 12 Mnths'!$A:$A,'Variance16-17'!$A275,'2015-16 12 Mnths'!I:I)-SUMIF('Budget 12 Mnths'!$A:$A,'Variance16-17'!$A275,'Budget 12 Mnths'!J:J)</f>
        <v>0</v>
      </c>
      <c r="K275" s="56">
        <f>SUMIF('2015-16 12 Mnths'!$A:$A,'Variance16-17'!$A275,'2015-16 12 Mnths'!J:J)-SUMIF('Budget 12 Mnths'!$A:$A,'Variance16-17'!$A275,'Budget 12 Mnths'!K:K)</f>
        <v>0</v>
      </c>
      <c r="L275" s="56">
        <f>SUMIF('2015-16 12 Mnths'!$A:$A,'Variance16-17'!$A275,'2015-16 12 Mnths'!K:K)-SUMIF('Budget 12 Mnths'!$A:$A,'Variance16-17'!$A275,'Budget 12 Mnths'!L:L)</f>
        <v>0</v>
      </c>
      <c r="M275" s="56"/>
      <c r="N275" s="56"/>
      <c r="O275" s="56"/>
      <c r="P275" s="56">
        <f t="shared" si="1"/>
        <v>0</v>
      </c>
      <c r="Q275" s="14" t="str">
        <f>+VLOOKUP(A275,Mapping!$A$1:$E$443,5,FALSE)</f>
        <v/>
      </c>
      <c r="R275" s="26">
        <f>+SUMIF('Budget 12 Mnths'!$A:$A,'Variance16-17'!$A275,'Budget 12 Mnths'!$P:$P)</f>
        <v>0</v>
      </c>
      <c r="S275" s="26">
        <f>+SUMIF('2015-16 12 Mnths'!$A:$A,'Variance16-17'!$A275,'2015-16 12 Mnths'!$O:$O)</f>
        <v>0</v>
      </c>
      <c r="T275" s="57">
        <f t="shared" si="2"/>
        <v>0</v>
      </c>
      <c r="U275" s="57">
        <f t="shared" si="3"/>
        <v>0</v>
      </c>
      <c r="W275" s="27"/>
      <c r="X275" s="27" t="str">
        <f t="shared" si="77"/>
        <v/>
      </c>
      <c r="Z275" s="57">
        <f t="shared" si="100"/>
        <v>0</v>
      </c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>
        <f t="shared" si="7"/>
        <v>0</v>
      </c>
    </row>
    <row r="276" ht="15.75" customHeight="1">
      <c r="A276" s="15" t="s">
        <v>702</v>
      </c>
      <c r="B276" s="15" t="s">
        <v>703</v>
      </c>
      <c r="C276" s="15" t="s">
        <v>119</v>
      </c>
      <c r="D276" s="56">
        <f>SUMIF('2015-16 12 Mnths'!$A:$A,'Variance16-17'!$A276,'2015-16 12 Mnths'!C:C)-SUMIF('Budget 12 Mnths'!$A:$A,'Variance16-17'!$A276,'Budget 12 Mnths'!D:D)</f>
        <v>0</v>
      </c>
      <c r="E276" s="56">
        <f>SUMIF('2015-16 12 Mnths'!$A:$A,'Variance16-17'!$A276,'2015-16 12 Mnths'!D:D)-SUMIF('Budget 12 Mnths'!$A:$A,'Variance16-17'!$A276,'Budget 12 Mnths'!E:E)</f>
        <v>0</v>
      </c>
      <c r="F276" s="56">
        <f>SUMIF('2015-16 12 Mnths'!$A:$A,'Variance16-17'!$A276,'2015-16 12 Mnths'!E:E)-SUMIF('Budget 12 Mnths'!$A:$A,'Variance16-17'!$A276,'Budget 12 Mnths'!F:F)</f>
        <v>0</v>
      </c>
      <c r="G276" s="56">
        <f>SUMIF('2015-16 12 Mnths'!$A:$A,'Variance16-17'!$A276,'2015-16 12 Mnths'!F:F)-SUMIF('Budget 12 Mnths'!$A:$A,'Variance16-17'!$A276,'Budget 12 Mnths'!G:G)</f>
        <v>0</v>
      </c>
      <c r="H276" s="56">
        <f>SUMIF('2015-16 12 Mnths'!$A:$A,'Variance16-17'!$A276,'2015-16 12 Mnths'!G:G)-SUMIF('Budget 12 Mnths'!$A:$A,'Variance16-17'!$A276,'Budget 12 Mnths'!H:H)</f>
        <v>0</v>
      </c>
      <c r="I276" s="56">
        <f>SUMIF('2015-16 12 Mnths'!$A:$A,'Variance16-17'!$A276,'2015-16 12 Mnths'!H:H)-SUMIF('Budget 12 Mnths'!$A:$A,'Variance16-17'!$A276,'Budget 12 Mnths'!I:I)</f>
        <v>0</v>
      </c>
      <c r="J276" s="56">
        <f>SUMIF('2015-16 12 Mnths'!$A:$A,'Variance16-17'!$A276,'2015-16 12 Mnths'!I:I)-SUMIF('Budget 12 Mnths'!$A:$A,'Variance16-17'!$A276,'Budget 12 Mnths'!J:J)</f>
        <v>0</v>
      </c>
      <c r="K276" s="56">
        <f>SUMIF('2015-16 12 Mnths'!$A:$A,'Variance16-17'!$A276,'2015-16 12 Mnths'!J:J)-SUMIF('Budget 12 Mnths'!$A:$A,'Variance16-17'!$A276,'Budget 12 Mnths'!K:K)</f>
        <v>0</v>
      </c>
      <c r="L276" s="56">
        <f>SUMIF('2015-16 12 Mnths'!$A:$A,'Variance16-17'!$A276,'2015-16 12 Mnths'!K:K)-SUMIF('Budget 12 Mnths'!$A:$A,'Variance16-17'!$A276,'Budget 12 Mnths'!L:L)</f>
        <v>0</v>
      </c>
      <c r="M276" s="56"/>
      <c r="N276" s="56"/>
      <c r="O276" s="56"/>
      <c r="P276" s="56">
        <f t="shared" si="1"/>
        <v>0</v>
      </c>
      <c r="Q276" s="14" t="str">
        <f>+VLOOKUP(A276,Mapping!$A$1:$E$443,5,FALSE)</f>
        <v/>
      </c>
      <c r="R276" s="26">
        <f>+SUMIF('Budget 12 Mnths'!$A:$A,'Variance16-17'!$A276,'Budget 12 Mnths'!$P:$P)</f>
        <v>0</v>
      </c>
      <c r="S276" s="26">
        <f>+SUMIF('2015-16 12 Mnths'!$A:$A,'Variance16-17'!$A276,'2015-16 12 Mnths'!$O:$O)</f>
        <v>0</v>
      </c>
      <c r="T276" s="57">
        <f t="shared" si="2"/>
        <v>0</v>
      </c>
      <c r="U276" s="57">
        <f t="shared" si="3"/>
        <v>0</v>
      </c>
      <c r="W276" s="27"/>
      <c r="X276" s="27" t="str">
        <f t="shared" si="77"/>
        <v/>
      </c>
      <c r="Z276" s="57">
        <f t="shared" si="100"/>
        <v>0</v>
      </c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>
        <f t="shared" si="7"/>
        <v>0</v>
      </c>
    </row>
    <row r="277" ht="15.75" customHeight="1"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</row>
    <row r="278" ht="15.75" customHeight="1">
      <c r="R278" s="57">
        <f t="shared" ref="R278:S278" si="102">+SUM(R2:R73)-SUM(R74:R276)</f>
        <v>20.76</v>
      </c>
      <c r="S278" s="57">
        <f t="shared" si="102"/>
        <v>-7865.72</v>
      </c>
      <c r="W278" s="57">
        <f t="shared" ref="W278:AL278" si="103">+SUM(W2:W73)-SUM(W74:W276)</f>
        <v>-527695.4073</v>
      </c>
      <c r="X278" s="57">
        <f t="shared" si="103"/>
        <v>-719607.4073</v>
      </c>
      <c r="Y278" s="57">
        <f t="shared" si="103"/>
        <v>0</v>
      </c>
      <c r="Z278" s="57">
        <f t="shared" si="103"/>
        <v>-389455.1026</v>
      </c>
      <c r="AA278" s="57">
        <f t="shared" si="103"/>
        <v>-91492.80584</v>
      </c>
      <c r="AB278" s="57">
        <f t="shared" si="103"/>
        <v>-49785.39009</v>
      </c>
      <c r="AC278" s="57">
        <f t="shared" si="103"/>
        <v>-48599.32021</v>
      </c>
      <c r="AD278" s="57">
        <f t="shared" si="103"/>
        <v>-53207.65354</v>
      </c>
      <c r="AE278" s="57">
        <f t="shared" si="103"/>
        <v>-54793.28354</v>
      </c>
      <c r="AF278" s="57">
        <f t="shared" si="103"/>
        <v>-56047.88354</v>
      </c>
      <c r="AG278" s="57">
        <f t="shared" si="103"/>
        <v>-62320.32328</v>
      </c>
      <c r="AH278" s="57">
        <f t="shared" si="103"/>
        <v>-48367.03381</v>
      </c>
      <c r="AI278" s="57">
        <f t="shared" si="103"/>
        <v>-47993.27021</v>
      </c>
      <c r="AJ278" s="57">
        <f t="shared" si="103"/>
        <v>-54532.33021</v>
      </c>
      <c r="AK278" s="57">
        <f t="shared" si="103"/>
        <v>-54449.32021</v>
      </c>
      <c r="AL278" s="57">
        <f t="shared" si="103"/>
        <v>-76017.63278</v>
      </c>
    </row>
    <row r="279" ht="15.75" customHeight="1">
      <c r="A279" s="15" t="s">
        <v>814</v>
      </c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</row>
    <row r="280" ht="15.75" customHeight="1">
      <c r="A280" s="8" t="s">
        <v>815</v>
      </c>
      <c r="W280" s="8">
        <v>7000.0</v>
      </c>
      <c r="X280" s="8" t="s">
        <v>816</v>
      </c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</row>
    <row r="281" ht="15.75" customHeight="1">
      <c r="A281" s="8" t="s">
        <v>817</v>
      </c>
      <c r="W281" s="8">
        <v>8000.0</v>
      </c>
      <c r="X281" s="8" t="s">
        <v>816</v>
      </c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</row>
    <row r="282" ht="15.75" customHeight="1">
      <c r="A282" s="8" t="s">
        <v>818</v>
      </c>
      <c r="W282" s="8">
        <v>10000.0</v>
      </c>
      <c r="X282" s="8" t="s">
        <v>816</v>
      </c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</row>
    <row r="283" ht="15.75" customHeight="1">
      <c r="A283" s="8" t="s">
        <v>819</v>
      </c>
      <c r="W283" s="8">
        <f>500*12</f>
        <v>6000</v>
      </c>
      <c r="X283" s="8" t="s">
        <v>816</v>
      </c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</row>
    <row r="284" ht="15.75" customHeight="1">
      <c r="A284" s="8" t="s">
        <v>820</v>
      </c>
      <c r="W284" s="8">
        <v>8000.0</v>
      </c>
      <c r="X284" s="8" t="s">
        <v>816</v>
      </c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</row>
    <row r="285" ht="15.75" customHeight="1"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</row>
    <row r="286" ht="15.75" customHeight="1"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</row>
    <row r="287" ht="15.75" customHeight="1"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</row>
    <row r="288" ht="15.75" customHeight="1"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</row>
    <row r="289" ht="15.75" customHeight="1"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</row>
    <row r="290" ht="15.75" customHeight="1"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</row>
    <row r="291" ht="15.75" customHeight="1"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</row>
    <row r="292" ht="15.75" customHeight="1"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</row>
    <row r="293" ht="15.75" customHeight="1"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</row>
    <row r="294" ht="15.75" customHeight="1"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</row>
    <row r="295" ht="15.75" customHeight="1"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</row>
    <row r="296" ht="15.75" customHeight="1"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</row>
    <row r="297" ht="15.75" customHeight="1"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</row>
    <row r="298" ht="15.75" customHeight="1"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</row>
    <row r="299" ht="15.75" customHeight="1"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</row>
    <row r="300" ht="15.75" customHeight="1"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</row>
    <row r="301" ht="15.75" customHeight="1"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</row>
    <row r="302" ht="15.75" customHeight="1"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</row>
    <row r="303" ht="15.75" customHeight="1"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</row>
    <row r="304" ht="15.75" customHeight="1"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</row>
    <row r="305" ht="15.75" customHeight="1"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</row>
    <row r="306" ht="15.75" customHeight="1"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</row>
    <row r="307" ht="15.75" customHeight="1"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</row>
    <row r="308" ht="15.75" customHeight="1"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</row>
    <row r="309" ht="15.75" customHeight="1"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</row>
    <row r="310" ht="15.75" customHeight="1"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</row>
    <row r="311" ht="15.75" customHeight="1"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</row>
    <row r="312" ht="15.75" customHeight="1"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</row>
    <row r="313" ht="15.75" customHeight="1"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</row>
    <row r="314" ht="15.75" customHeight="1"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</row>
    <row r="315" ht="15.75" customHeight="1"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</row>
    <row r="316" ht="15.75" customHeight="1"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</row>
    <row r="317" ht="15.75" customHeight="1"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</row>
    <row r="318" ht="15.75" customHeight="1"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</row>
    <row r="319" ht="15.75" customHeight="1"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</row>
    <row r="320" ht="15.75" customHeight="1"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</row>
    <row r="321" ht="15.75" customHeight="1"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</row>
    <row r="322" ht="15.75" customHeight="1"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</row>
    <row r="323" ht="15.75" customHeight="1"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</row>
    <row r="324" ht="15.75" customHeight="1"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</row>
    <row r="325" ht="15.75" customHeight="1"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</row>
    <row r="326" ht="15.75" customHeight="1"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</row>
    <row r="327" ht="15.75" customHeight="1"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</row>
    <row r="328" ht="15.75" customHeight="1"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</row>
    <row r="329" ht="15.75" customHeight="1"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</row>
    <row r="330" ht="15.75" customHeight="1"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</row>
    <row r="331" ht="15.75" customHeight="1"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</row>
    <row r="332" ht="15.75" customHeight="1"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</row>
    <row r="333" ht="15.75" customHeight="1"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</row>
    <row r="334" ht="15.75" customHeight="1"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</row>
    <row r="335" ht="15.75" customHeight="1"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</row>
    <row r="336" ht="15.75" customHeight="1"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</row>
    <row r="337" ht="15.75" customHeight="1"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</row>
    <row r="338" ht="15.75" customHeight="1"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</row>
    <row r="339" ht="15.75" customHeight="1"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</row>
    <row r="340" ht="15.75" customHeight="1"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</row>
    <row r="341" ht="15.75" customHeight="1"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</row>
    <row r="342" ht="15.75" customHeight="1"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</row>
    <row r="343" ht="15.75" customHeight="1"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</row>
    <row r="344" ht="15.75" customHeight="1"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</row>
    <row r="345" ht="15.75" customHeight="1"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</row>
    <row r="346" ht="15.75" customHeight="1"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</row>
    <row r="347" ht="15.75" customHeight="1"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</row>
    <row r="348" ht="15.75" customHeight="1"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</row>
    <row r="349" ht="15.75" customHeight="1"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</row>
    <row r="350" ht="15.75" customHeight="1"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</row>
    <row r="351" ht="15.75" customHeight="1"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</row>
    <row r="352" ht="15.75" customHeight="1"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</row>
    <row r="353" ht="15.75" customHeight="1"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</row>
    <row r="354" ht="15.75" customHeight="1"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</row>
    <row r="355" ht="15.75" customHeight="1"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</row>
    <row r="356" ht="15.75" customHeight="1"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</row>
    <row r="357" ht="15.75" customHeight="1"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</row>
    <row r="358" ht="15.75" customHeight="1"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</row>
    <row r="359" ht="15.75" customHeight="1"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</row>
    <row r="360" ht="15.75" customHeight="1"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</row>
    <row r="361" ht="15.75" customHeight="1"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</row>
    <row r="362" ht="15.75" customHeight="1"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</row>
    <row r="363" ht="15.75" customHeight="1"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</row>
    <row r="364" ht="15.75" customHeight="1"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</row>
    <row r="365" ht="15.75" customHeight="1"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</row>
    <row r="366" ht="15.75" customHeight="1"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</row>
    <row r="367" ht="15.75" customHeight="1"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</row>
    <row r="368" ht="15.75" customHeight="1"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</row>
    <row r="369" ht="15.75" customHeight="1"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</row>
    <row r="370" ht="15.75" customHeight="1"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</row>
    <row r="371" ht="15.75" customHeight="1"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</row>
    <row r="372" ht="15.75" customHeight="1"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</row>
    <row r="373" ht="15.75" customHeight="1"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</row>
    <row r="374" ht="15.75" customHeight="1"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</row>
    <row r="375" ht="15.75" customHeight="1"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</row>
    <row r="376" ht="15.75" customHeight="1"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</row>
    <row r="377" ht="15.75" customHeight="1"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</row>
    <row r="378" ht="15.75" customHeight="1"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</row>
    <row r="379" ht="15.75" customHeight="1"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</row>
    <row r="380" ht="15.75" customHeight="1"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</row>
    <row r="381" ht="15.75" customHeight="1"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</row>
    <row r="382" ht="15.75" customHeight="1"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</row>
    <row r="383" ht="15.75" customHeight="1"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</row>
    <row r="384" ht="15.75" customHeight="1"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</row>
    <row r="385" ht="15.75" customHeight="1"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</row>
    <row r="386" ht="15.75" customHeight="1"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</row>
    <row r="387" ht="15.75" customHeight="1"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</row>
    <row r="388" ht="15.75" customHeight="1"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</row>
    <row r="389" ht="15.75" customHeight="1"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</row>
    <row r="390" ht="15.75" customHeight="1"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</row>
    <row r="391" ht="15.75" customHeight="1"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</row>
    <row r="392" ht="15.75" customHeight="1"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</row>
    <row r="393" ht="15.75" customHeight="1"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</row>
    <row r="394" ht="15.75" customHeight="1"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</row>
    <row r="395" ht="15.75" customHeight="1"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</row>
    <row r="396" ht="15.75" customHeight="1"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</row>
    <row r="397" ht="15.75" customHeight="1"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</row>
    <row r="398" ht="15.75" customHeight="1"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</row>
    <row r="399" ht="15.75" customHeight="1"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</row>
    <row r="400" ht="15.75" customHeight="1"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</row>
    <row r="401" ht="15.75" customHeight="1"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</row>
    <row r="402" ht="15.75" customHeight="1"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</row>
    <row r="403" ht="15.75" customHeight="1"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</row>
    <row r="404" ht="15.75" customHeight="1"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</row>
    <row r="405" ht="15.75" customHeight="1"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</row>
    <row r="406" ht="15.75" customHeight="1"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</row>
    <row r="407" ht="15.75" customHeight="1"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</row>
    <row r="408" ht="15.75" customHeight="1"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</row>
    <row r="409" ht="15.75" customHeight="1"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</row>
    <row r="410" ht="15.75" customHeight="1"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</row>
    <row r="411" ht="15.75" customHeight="1"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</row>
    <row r="412" ht="15.75" customHeight="1"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</row>
    <row r="413" ht="15.75" customHeight="1"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</row>
    <row r="414" ht="15.75" customHeight="1"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</row>
    <row r="415" ht="15.75" customHeight="1"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</row>
    <row r="416" ht="15.75" customHeight="1"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</row>
    <row r="417" ht="15.75" customHeight="1"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</row>
    <row r="418" ht="15.75" customHeight="1"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</row>
    <row r="419" ht="15.75" customHeight="1"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</row>
    <row r="420" ht="15.75" customHeight="1"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</row>
    <row r="421" ht="15.75" customHeight="1"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</row>
    <row r="422" ht="15.75" customHeight="1"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</row>
    <row r="423" ht="15.75" customHeight="1"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</row>
    <row r="424" ht="15.75" customHeight="1"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</row>
    <row r="425" ht="15.75" customHeight="1"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</row>
    <row r="426" ht="15.75" customHeight="1"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</row>
    <row r="427" ht="15.75" customHeight="1"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</row>
    <row r="428" ht="15.75" customHeight="1"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</row>
    <row r="429" ht="15.75" customHeight="1"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</row>
    <row r="430" ht="15.75" customHeight="1"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</row>
    <row r="431" ht="15.75" customHeight="1"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</row>
    <row r="432" ht="15.75" customHeight="1"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</row>
    <row r="433" ht="15.75" customHeight="1"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</row>
    <row r="434" ht="15.75" customHeight="1"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</row>
    <row r="435" ht="15.75" customHeight="1"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</row>
    <row r="436" ht="15.75" customHeight="1"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</row>
    <row r="437" ht="15.75" customHeight="1"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</row>
    <row r="438" ht="15.75" customHeight="1"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</row>
    <row r="439" ht="15.75" customHeight="1"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</row>
    <row r="440" ht="15.75" customHeight="1"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</row>
    <row r="441" ht="15.75" customHeight="1"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</row>
    <row r="442" ht="15.75" customHeight="1"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</row>
    <row r="443" ht="15.75" customHeight="1"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</row>
    <row r="444" ht="15.75" customHeight="1"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</row>
    <row r="445" ht="15.75" customHeight="1"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</row>
    <row r="446" ht="15.75" customHeight="1"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</row>
    <row r="447" ht="15.75" customHeight="1"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</row>
    <row r="448" ht="15.75" customHeight="1"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</row>
    <row r="449" ht="15.75" customHeight="1"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</row>
    <row r="450" ht="15.75" customHeight="1"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</row>
    <row r="451" ht="15.75" customHeight="1"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</row>
    <row r="452" ht="15.75" customHeight="1"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</row>
    <row r="453" ht="15.75" customHeight="1"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</row>
    <row r="454" ht="15.75" customHeight="1"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</row>
    <row r="455" ht="15.75" customHeight="1"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</row>
    <row r="456" ht="15.75" customHeight="1"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</row>
    <row r="457" ht="15.75" customHeight="1"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</row>
    <row r="458" ht="15.75" customHeight="1"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</row>
    <row r="459" ht="15.75" customHeight="1"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</row>
    <row r="460" ht="15.75" customHeight="1"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</row>
    <row r="461" ht="15.75" customHeight="1"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</row>
    <row r="462" ht="15.75" customHeight="1"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</row>
    <row r="463" ht="15.75" customHeight="1"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</row>
    <row r="464" ht="15.75" customHeight="1"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</row>
    <row r="465" ht="15.75" customHeight="1"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</row>
    <row r="466" ht="15.75" customHeight="1"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</row>
    <row r="467" ht="15.75" customHeight="1"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</row>
    <row r="468" ht="15.75" customHeight="1"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</row>
    <row r="469" ht="15.75" customHeight="1"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</row>
    <row r="470" ht="15.75" customHeight="1"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</row>
    <row r="471" ht="15.75" customHeight="1"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</row>
    <row r="472" ht="15.75" customHeight="1"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</row>
    <row r="473" ht="15.75" customHeight="1"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</row>
    <row r="474" ht="15.75" customHeight="1"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</row>
    <row r="475" ht="15.75" customHeight="1"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</row>
    <row r="476" ht="15.75" customHeight="1"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</row>
    <row r="477" ht="15.75" customHeight="1"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</row>
    <row r="478" ht="15.75" customHeight="1"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</row>
    <row r="479" ht="15.75" customHeight="1"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</row>
    <row r="480" ht="15.75" customHeight="1"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</row>
    <row r="481" ht="15.75" customHeight="1"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</row>
    <row r="482" ht="15.75" customHeight="1"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</row>
    <row r="483" ht="15.75" customHeight="1"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</row>
    <row r="484" ht="15.75" customHeight="1"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</row>
    <row r="485" ht="15.75" customHeight="1"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</row>
    <row r="486" ht="15.75" customHeight="1"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</row>
    <row r="487" ht="15.75" customHeight="1"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</row>
    <row r="488" ht="15.75" customHeight="1"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</row>
    <row r="489" ht="15.75" customHeight="1"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</row>
    <row r="490" ht="15.75" customHeight="1"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</row>
    <row r="491" ht="15.75" customHeight="1"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</row>
    <row r="492" ht="15.75" customHeight="1"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</row>
    <row r="493" ht="15.75" customHeight="1"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</row>
    <row r="494" ht="15.75" customHeight="1"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</row>
    <row r="495" ht="15.75" customHeight="1"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</row>
    <row r="496" ht="15.75" customHeight="1"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</row>
    <row r="497" ht="15.75" customHeight="1"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</row>
    <row r="498" ht="15.75" customHeight="1"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</row>
    <row r="499" ht="15.75" customHeight="1"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</row>
    <row r="500" ht="15.75" customHeight="1"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</row>
    <row r="501" ht="15.75" customHeight="1"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</row>
    <row r="502" ht="15.75" customHeight="1"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</row>
    <row r="503" ht="15.75" customHeight="1"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</row>
    <row r="504" ht="15.75" customHeight="1"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</row>
    <row r="505" ht="15.75" customHeight="1"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</row>
    <row r="506" ht="15.75" customHeight="1"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</row>
    <row r="507" ht="15.75" customHeight="1"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</row>
    <row r="508" ht="15.75" customHeight="1"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</row>
    <row r="509" ht="15.75" customHeight="1"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</row>
    <row r="510" ht="15.75" customHeight="1"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</row>
    <row r="511" ht="15.75" customHeight="1"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</row>
    <row r="512" ht="15.75" customHeight="1"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</row>
    <row r="513" ht="15.75" customHeight="1"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</row>
    <row r="514" ht="15.75" customHeight="1"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</row>
    <row r="515" ht="15.75" customHeight="1"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</row>
    <row r="516" ht="15.75" customHeight="1"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</row>
    <row r="517" ht="15.75" customHeight="1"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</row>
    <row r="518" ht="15.75" customHeight="1"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</row>
    <row r="519" ht="15.75" customHeight="1"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</row>
    <row r="520" ht="15.75" customHeight="1"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</row>
    <row r="521" ht="15.75" customHeight="1"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</row>
    <row r="522" ht="15.75" customHeight="1"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</row>
    <row r="523" ht="15.75" customHeight="1"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</row>
    <row r="524" ht="15.75" customHeight="1"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</row>
    <row r="525" ht="15.75" customHeight="1"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</row>
    <row r="526" ht="15.75" customHeight="1"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</row>
    <row r="527" ht="15.75" customHeight="1"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</row>
    <row r="528" ht="15.75" customHeight="1"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</row>
    <row r="529" ht="15.75" customHeight="1"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</row>
    <row r="530" ht="15.75" customHeight="1"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</row>
    <row r="531" ht="15.75" customHeight="1"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</row>
    <row r="532" ht="15.75" customHeight="1"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</row>
    <row r="533" ht="15.75" customHeight="1"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</row>
    <row r="534" ht="15.75" customHeight="1"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</row>
    <row r="535" ht="15.75" customHeight="1"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</row>
    <row r="536" ht="15.75" customHeight="1"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</row>
    <row r="537" ht="15.75" customHeight="1"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</row>
    <row r="538" ht="15.75" customHeight="1"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</row>
    <row r="539" ht="15.75" customHeight="1"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</row>
    <row r="540" ht="15.75" customHeight="1"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</row>
    <row r="541" ht="15.75" customHeight="1"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</row>
    <row r="542" ht="15.75" customHeight="1"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</row>
    <row r="543" ht="15.75" customHeight="1"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</row>
    <row r="544" ht="15.75" customHeight="1"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</row>
    <row r="545" ht="15.75" customHeight="1"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</row>
    <row r="546" ht="15.75" customHeight="1"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</row>
    <row r="547" ht="15.75" customHeight="1"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</row>
    <row r="548" ht="15.75" customHeight="1"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</row>
    <row r="549" ht="15.75" customHeight="1"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</row>
    <row r="550" ht="15.75" customHeight="1"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</row>
    <row r="551" ht="15.75" customHeight="1"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</row>
    <row r="552" ht="15.75" customHeight="1"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</row>
    <row r="553" ht="15.75" customHeight="1"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</row>
    <row r="554" ht="15.75" customHeight="1"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</row>
    <row r="555" ht="15.75" customHeight="1"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</row>
    <row r="556" ht="15.75" customHeight="1"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</row>
    <row r="557" ht="15.75" customHeight="1"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</row>
    <row r="558" ht="15.75" customHeight="1"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</row>
    <row r="559" ht="15.75" customHeight="1"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</row>
    <row r="560" ht="15.75" customHeight="1"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</row>
    <row r="561" ht="15.75" customHeight="1"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</row>
    <row r="562" ht="15.75" customHeight="1"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</row>
    <row r="563" ht="15.75" customHeight="1"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</row>
    <row r="564" ht="15.75" customHeight="1"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</row>
    <row r="565" ht="15.75" customHeight="1"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</row>
    <row r="566" ht="15.75" customHeight="1"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</row>
    <row r="567" ht="15.75" customHeight="1"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</row>
    <row r="568" ht="15.75" customHeight="1"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</row>
    <row r="569" ht="15.75" customHeight="1"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</row>
    <row r="570" ht="15.75" customHeight="1"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</row>
    <row r="571" ht="15.75" customHeight="1"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</row>
    <row r="572" ht="15.75" customHeight="1"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</row>
    <row r="573" ht="15.75" customHeight="1"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</row>
    <row r="574" ht="15.75" customHeight="1"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</row>
    <row r="575" ht="15.75" customHeight="1"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</row>
    <row r="576" ht="15.75" customHeight="1"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</row>
    <row r="577" ht="15.75" customHeight="1"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</row>
    <row r="578" ht="15.75" customHeight="1"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</row>
    <row r="579" ht="15.75" customHeight="1"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</row>
    <row r="580" ht="15.75" customHeight="1"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</row>
    <row r="581" ht="15.75" customHeight="1"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</row>
    <row r="582" ht="15.75" customHeight="1"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</row>
    <row r="583" ht="15.75" customHeight="1"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</row>
    <row r="584" ht="15.75" customHeight="1"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</row>
    <row r="585" ht="15.75" customHeight="1"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</row>
    <row r="586" ht="15.75" customHeight="1"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</row>
    <row r="587" ht="15.75" customHeight="1"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</row>
    <row r="588" ht="15.75" customHeight="1"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</row>
    <row r="589" ht="15.75" customHeight="1"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</row>
    <row r="590" ht="15.75" customHeight="1"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</row>
    <row r="591" ht="15.75" customHeight="1"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</row>
    <row r="592" ht="15.75" customHeight="1"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</row>
    <row r="593" ht="15.75" customHeight="1"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</row>
    <row r="594" ht="15.75" customHeight="1"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</row>
    <row r="595" ht="15.75" customHeight="1"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</row>
    <row r="596" ht="15.75" customHeight="1"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</row>
    <row r="597" ht="15.75" customHeight="1"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</row>
    <row r="598" ht="15.75" customHeight="1"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</row>
    <row r="599" ht="15.75" customHeight="1"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</row>
    <row r="600" ht="15.75" customHeight="1"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</row>
    <row r="601" ht="15.75" customHeight="1"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</row>
    <row r="602" ht="15.75" customHeight="1"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</row>
    <row r="603" ht="15.75" customHeight="1"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</row>
    <row r="604" ht="15.75" customHeight="1"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</row>
    <row r="605" ht="15.75" customHeight="1"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</row>
    <row r="606" ht="15.75" customHeight="1"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</row>
    <row r="607" ht="15.75" customHeight="1"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</row>
    <row r="608" ht="15.75" customHeight="1"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</row>
    <row r="609" ht="15.75" customHeight="1"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</row>
    <row r="610" ht="15.75" customHeight="1"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</row>
    <row r="611" ht="15.75" customHeight="1"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</row>
    <row r="612" ht="15.75" customHeight="1"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</row>
    <row r="613" ht="15.75" customHeight="1"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</row>
    <row r="614" ht="15.75" customHeight="1"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</row>
    <row r="615" ht="15.75" customHeight="1"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</row>
    <row r="616" ht="15.75" customHeight="1"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</row>
    <row r="617" ht="15.75" customHeight="1"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</row>
    <row r="618" ht="15.75" customHeight="1"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</row>
    <row r="619" ht="15.75" customHeight="1"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</row>
    <row r="620" ht="15.75" customHeight="1"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</row>
    <row r="621" ht="15.75" customHeight="1"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</row>
    <row r="622" ht="15.75" customHeight="1"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</row>
    <row r="623" ht="15.75" customHeight="1"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</row>
    <row r="624" ht="15.75" customHeight="1"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</row>
    <row r="625" ht="15.75" customHeight="1"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</row>
    <row r="626" ht="15.75" customHeight="1"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</row>
    <row r="627" ht="15.75" customHeight="1"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</row>
    <row r="628" ht="15.75" customHeight="1"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</row>
    <row r="629" ht="15.75" customHeight="1"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</row>
    <row r="630" ht="15.75" customHeight="1"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</row>
    <row r="631" ht="15.75" customHeight="1"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</row>
    <row r="632" ht="15.75" customHeight="1"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</row>
    <row r="633" ht="15.75" customHeight="1"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</row>
    <row r="634" ht="15.75" customHeight="1"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</row>
    <row r="635" ht="15.75" customHeight="1"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</row>
    <row r="636" ht="15.75" customHeight="1"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</row>
    <row r="637" ht="15.75" customHeight="1"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</row>
    <row r="638" ht="15.75" customHeight="1"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</row>
    <row r="639" ht="15.75" customHeight="1"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</row>
    <row r="640" ht="15.75" customHeight="1"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</row>
    <row r="641" ht="15.75" customHeight="1"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</row>
    <row r="642" ht="15.75" customHeight="1"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</row>
    <row r="643" ht="15.75" customHeight="1"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</row>
    <row r="644" ht="15.75" customHeight="1"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</row>
    <row r="645" ht="15.75" customHeight="1"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</row>
    <row r="646" ht="15.75" customHeight="1"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</row>
    <row r="647" ht="15.75" customHeight="1"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</row>
    <row r="648" ht="15.75" customHeight="1"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</row>
    <row r="649" ht="15.75" customHeight="1"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</row>
    <row r="650" ht="15.75" customHeight="1"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</row>
    <row r="651" ht="15.75" customHeight="1"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</row>
    <row r="652" ht="15.75" customHeight="1"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</row>
    <row r="653" ht="15.75" customHeight="1"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</row>
    <row r="654" ht="15.75" customHeight="1"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</row>
    <row r="655" ht="15.75" customHeight="1"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</row>
    <row r="656" ht="15.75" customHeight="1"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</row>
    <row r="657" ht="15.75" customHeight="1"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</row>
    <row r="658" ht="15.75" customHeight="1"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</row>
    <row r="659" ht="15.75" customHeight="1"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</row>
    <row r="660" ht="15.75" customHeight="1"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</row>
    <row r="661" ht="15.75" customHeight="1"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</row>
    <row r="662" ht="15.75" customHeight="1"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</row>
    <row r="663" ht="15.75" customHeight="1"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</row>
    <row r="664" ht="15.75" customHeight="1"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</row>
    <row r="665" ht="15.75" customHeight="1"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</row>
    <row r="666" ht="15.75" customHeight="1"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</row>
    <row r="667" ht="15.75" customHeight="1"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</row>
    <row r="668" ht="15.75" customHeight="1"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</row>
    <row r="669" ht="15.75" customHeight="1"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</row>
    <row r="670" ht="15.75" customHeight="1"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</row>
    <row r="671" ht="15.75" customHeight="1"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</row>
    <row r="672" ht="15.75" customHeight="1"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</row>
    <row r="673" ht="15.75" customHeight="1"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</row>
    <row r="674" ht="15.75" customHeight="1"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</row>
    <row r="675" ht="15.75" customHeight="1"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</row>
    <row r="676" ht="15.75" customHeight="1"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</row>
    <row r="677" ht="15.75" customHeight="1"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</row>
    <row r="678" ht="15.75" customHeight="1"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</row>
    <row r="679" ht="15.75" customHeight="1"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</row>
    <row r="680" ht="15.75" customHeight="1"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</row>
    <row r="681" ht="15.75" customHeight="1"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</row>
    <row r="682" ht="15.75" customHeight="1"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</row>
    <row r="683" ht="15.75" customHeight="1"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</row>
    <row r="684" ht="15.75" customHeight="1"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</row>
    <row r="685" ht="15.75" customHeight="1"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</row>
    <row r="686" ht="15.75" customHeight="1"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</row>
    <row r="687" ht="15.75" customHeight="1"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</row>
    <row r="688" ht="15.75" customHeight="1"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</row>
    <row r="689" ht="15.75" customHeight="1"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</row>
    <row r="690" ht="15.75" customHeight="1"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</row>
    <row r="691" ht="15.75" customHeight="1"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</row>
    <row r="692" ht="15.75" customHeight="1"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</row>
    <row r="693" ht="15.75" customHeight="1"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</row>
    <row r="694" ht="15.75" customHeight="1"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</row>
    <row r="695" ht="15.75" customHeight="1"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</row>
    <row r="696" ht="15.75" customHeight="1"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</row>
    <row r="697" ht="15.75" customHeight="1"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</row>
    <row r="698" ht="15.75" customHeight="1"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</row>
    <row r="699" ht="15.75" customHeight="1"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</row>
    <row r="700" ht="15.75" customHeight="1"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</row>
    <row r="701" ht="15.75" customHeight="1"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</row>
    <row r="702" ht="15.75" customHeight="1"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</row>
    <row r="703" ht="15.75" customHeight="1"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</row>
    <row r="704" ht="15.75" customHeight="1"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</row>
    <row r="705" ht="15.75" customHeight="1"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</row>
    <row r="706" ht="15.75" customHeight="1"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</row>
    <row r="707" ht="15.75" customHeight="1"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</row>
    <row r="708" ht="15.75" customHeight="1"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</row>
    <row r="709" ht="15.75" customHeight="1"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</row>
    <row r="710" ht="15.75" customHeight="1"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</row>
    <row r="711" ht="15.75" customHeight="1"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</row>
    <row r="712" ht="15.75" customHeight="1"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</row>
    <row r="713" ht="15.75" customHeight="1"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</row>
    <row r="714" ht="15.75" customHeight="1"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</row>
    <row r="715" ht="15.75" customHeight="1"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</row>
    <row r="716" ht="15.75" customHeight="1"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</row>
    <row r="717" ht="15.75" customHeight="1"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</row>
    <row r="718" ht="15.75" customHeight="1"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</row>
    <row r="719" ht="15.75" customHeight="1"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</row>
    <row r="720" ht="15.75" customHeight="1"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</row>
    <row r="721" ht="15.75" customHeight="1"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</row>
    <row r="722" ht="15.75" customHeight="1"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</row>
    <row r="723" ht="15.75" customHeight="1"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</row>
    <row r="724" ht="15.75" customHeight="1"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</row>
    <row r="725" ht="15.75" customHeight="1"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</row>
    <row r="726" ht="15.75" customHeight="1"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</row>
    <row r="727" ht="15.75" customHeight="1"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</row>
    <row r="728" ht="15.75" customHeight="1"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</row>
    <row r="729" ht="15.75" customHeight="1"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</row>
    <row r="730" ht="15.75" customHeight="1"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</row>
    <row r="731" ht="15.75" customHeight="1"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</row>
    <row r="732" ht="15.75" customHeight="1"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</row>
    <row r="733" ht="15.75" customHeight="1"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</row>
    <row r="734" ht="15.75" customHeight="1"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</row>
    <row r="735" ht="15.75" customHeight="1"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</row>
    <row r="736" ht="15.75" customHeight="1"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</row>
    <row r="737" ht="15.75" customHeight="1"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</row>
    <row r="738" ht="15.75" customHeight="1"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</row>
    <row r="739" ht="15.75" customHeight="1"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</row>
    <row r="740" ht="15.75" customHeight="1"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</row>
    <row r="741" ht="15.75" customHeight="1"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</row>
    <row r="742" ht="15.75" customHeight="1"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</row>
    <row r="743" ht="15.75" customHeight="1"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</row>
    <row r="744" ht="15.75" customHeight="1"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</row>
    <row r="745" ht="15.75" customHeight="1"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</row>
    <row r="746" ht="15.75" customHeight="1"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</row>
    <row r="747" ht="15.75" customHeight="1"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</row>
    <row r="748" ht="15.75" customHeight="1"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</row>
    <row r="749" ht="15.75" customHeight="1"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</row>
    <row r="750" ht="15.75" customHeight="1"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</row>
    <row r="751" ht="15.75" customHeight="1"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</row>
    <row r="752" ht="15.75" customHeight="1"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</row>
    <row r="753" ht="15.75" customHeight="1"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</row>
    <row r="754" ht="15.75" customHeight="1"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</row>
    <row r="755" ht="15.75" customHeight="1"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</row>
    <row r="756" ht="15.75" customHeight="1"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</row>
    <row r="757" ht="15.75" customHeight="1"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</row>
    <row r="758" ht="15.75" customHeight="1"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</row>
    <row r="759" ht="15.75" customHeight="1"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</row>
    <row r="760" ht="15.75" customHeight="1"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</row>
    <row r="761" ht="15.75" customHeight="1"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</row>
    <row r="762" ht="15.75" customHeight="1"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</row>
    <row r="763" ht="15.75" customHeight="1"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</row>
    <row r="764" ht="15.75" customHeight="1"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</row>
    <row r="765" ht="15.75" customHeight="1"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</row>
    <row r="766" ht="15.75" customHeight="1"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</row>
    <row r="767" ht="15.75" customHeight="1"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</row>
    <row r="768" ht="15.75" customHeight="1"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</row>
    <row r="769" ht="15.75" customHeight="1"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</row>
    <row r="770" ht="15.75" customHeight="1"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</row>
    <row r="771" ht="15.75" customHeight="1"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</row>
    <row r="772" ht="15.75" customHeight="1"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</row>
    <row r="773" ht="15.75" customHeight="1"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</row>
    <row r="774" ht="15.75" customHeight="1"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</row>
    <row r="775" ht="15.75" customHeight="1"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</row>
    <row r="776" ht="15.75" customHeight="1"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</row>
    <row r="777" ht="15.75" customHeight="1"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</row>
    <row r="778" ht="15.75" customHeight="1"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</row>
    <row r="779" ht="15.75" customHeight="1"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</row>
    <row r="780" ht="15.75" customHeight="1"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</row>
    <row r="781" ht="15.75" customHeight="1"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</row>
    <row r="782" ht="15.75" customHeight="1"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</row>
    <row r="783" ht="15.75" customHeight="1"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</row>
    <row r="784" ht="15.75" customHeight="1"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</row>
    <row r="785" ht="15.75" customHeight="1"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</row>
    <row r="786" ht="15.75" customHeight="1"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</row>
    <row r="787" ht="15.75" customHeight="1"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</row>
    <row r="788" ht="15.75" customHeight="1"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</row>
    <row r="789" ht="15.75" customHeight="1"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</row>
    <row r="790" ht="15.75" customHeight="1"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</row>
    <row r="791" ht="15.75" customHeight="1"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</row>
    <row r="792" ht="15.75" customHeight="1"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</row>
    <row r="793" ht="15.75" customHeight="1"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</row>
    <row r="794" ht="15.75" customHeight="1"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</row>
    <row r="795" ht="15.75" customHeight="1"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</row>
    <row r="796" ht="15.75" customHeight="1"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</row>
    <row r="797" ht="15.75" customHeight="1"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</row>
    <row r="798" ht="15.75" customHeight="1"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</row>
    <row r="799" ht="15.75" customHeight="1"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</row>
    <row r="800" ht="15.75" customHeight="1"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</row>
    <row r="801" ht="15.75" customHeight="1"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</row>
    <row r="802" ht="15.75" customHeight="1"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</row>
    <row r="803" ht="15.75" customHeight="1"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</row>
    <row r="804" ht="15.75" customHeight="1"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</row>
    <row r="805" ht="15.75" customHeight="1"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</row>
    <row r="806" ht="15.75" customHeight="1"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</row>
    <row r="807" ht="15.75" customHeight="1"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</row>
    <row r="808" ht="15.75" customHeight="1"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</row>
    <row r="809" ht="15.75" customHeight="1"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</row>
    <row r="810" ht="15.75" customHeight="1"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</row>
    <row r="811" ht="15.75" customHeight="1"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</row>
    <row r="812" ht="15.75" customHeight="1"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</row>
    <row r="813" ht="15.75" customHeight="1"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</row>
    <row r="814" ht="15.75" customHeight="1"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</row>
    <row r="815" ht="15.75" customHeight="1"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</row>
    <row r="816" ht="15.75" customHeight="1"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</row>
    <row r="817" ht="15.75" customHeight="1"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</row>
    <row r="818" ht="15.75" customHeight="1"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</row>
    <row r="819" ht="15.75" customHeight="1"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</row>
    <row r="820" ht="15.75" customHeight="1"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</row>
    <row r="821" ht="15.75" customHeight="1"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</row>
    <row r="822" ht="15.75" customHeight="1"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</row>
    <row r="823" ht="15.75" customHeight="1"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</row>
    <row r="824" ht="15.75" customHeight="1"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</row>
    <row r="825" ht="15.75" customHeight="1"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</row>
    <row r="826" ht="15.75" customHeight="1"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</row>
    <row r="827" ht="15.75" customHeight="1"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</row>
    <row r="828" ht="15.75" customHeight="1"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</row>
    <row r="829" ht="15.75" customHeight="1"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</row>
    <row r="830" ht="15.75" customHeight="1"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</row>
    <row r="831" ht="15.75" customHeight="1"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</row>
    <row r="832" ht="15.75" customHeight="1"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</row>
    <row r="833" ht="15.75" customHeight="1"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</row>
    <row r="834" ht="15.75" customHeight="1"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</row>
    <row r="835" ht="15.75" customHeight="1"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</row>
    <row r="836" ht="15.75" customHeight="1"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</row>
    <row r="837" ht="15.75" customHeight="1"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</row>
    <row r="838" ht="15.75" customHeight="1"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</row>
    <row r="839" ht="15.75" customHeight="1"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</row>
    <row r="840" ht="15.75" customHeight="1"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</row>
    <row r="841" ht="15.75" customHeight="1"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</row>
    <row r="842" ht="15.75" customHeight="1"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</row>
    <row r="843" ht="15.75" customHeight="1"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</row>
    <row r="844" ht="15.75" customHeight="1"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</row>
    <row r="845" ht="15.75" customHeight="1"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</row>
    <row r="846" ht="15.75" customHeight="1"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</row>
    <row r="847" ht="15.75" customHeight="1"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</row>
    <row r="848" ht="15.75" customHeight="1"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</row>
    <row r="849" ht="15.75" customHeight="1"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</row>
    <row r="850" ht="15.75" customHeight="1"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</row>
    <row r="851" ht="15.75" customHeight="1"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</row>
    <row r="852" ht="15.75" customHeight="1"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</row>
    <row r="853" ht="15.75" customHeight="1"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</row>
    <row r="854" ht="15.75" customHeight="1"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</row>
    <row r="855" ht="15.75" customHeight="1"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</row>
    <row r="856" ht="15.75" customHeight="1"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</row>
    <row r="857" ht="15.75" customHeight="1"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</row>
    <row r="858" ht="15.75" customHeight="1"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</row>
    <row r="859" ht="15.75" customHeight="1"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</row>
    <row r="860" ht="15.75" customHeight="1"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</row>
    <row r="861" ht="15.75" customHeight="1"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</row>
    <row r="862" ht="15.75" customHeight="1"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</row>
    <row r="863" ht="15.75" customHeight="1"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</row>
    <row r="864" ht="15.75" customHeight="1"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</row>
    <row r="865" ht="15.75" customHeight="1"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</row>
    <row r="866" ht="15.75" customHeight="1"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</row>
    <row r="867" ht="15.75" customHeight="1"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</row>
    <row r="868" ht="15.75" customHeight="1"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</row>
    <row r="869" ht="15.75" customHeight="1"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</row>
    <row r="870" ht="15.75" customHeight="1"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</row>
    <row r="871" ht="15.75" customHeight="1"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</row>
    <row r="872" ht="15.75" customHeight="1"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</row>
    <row r="873" ht="15.75" customHeight="1"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</row>
    <row r="874" ht="15.75" customHeight="1"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</row>
    <row r="875" ht="15.75" customHeight="1"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</row>
    <row r="876" ht="15.75" customHeight="1"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</row>
    <row r="877" ht="15.75" customHeight="1"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</row>
    <row r="878" ht="15.75" customHeight="1"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</row>
    <row r="879" ht="15.75" customHeight="1"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</row>
    <row r="880" ht="15.75" customHeight="1"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</row>
    <row r="881" ht="15.75" customHeight="1"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</row>
    <row r="882" ht="15.75" customHeight="1"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</row>
    <row r="883" ht="15.75" customHeight="1"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</row>
    <row r="884" ht="15.75" customHeight="1"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</row>
    <row r="885" ht="15.75" customHeight="1"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</row>
    <row r="886" ht="15.75" customHeight="1"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</row>
    <row r="887" ht="15.75" customHeight="1"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</row>
    <row r="888" ht="15.75" customHeight="1"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</row>
    <row r="889" ht="15.75" customHeight="1"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</row>
    <row r="890" ht="15.75" customHeight="1"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</row>
    <row r="891" ht="15.75" customHeight="1"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</row>
    <row r="892" ht="15.75" customHeight="1"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</row>
    <row r="893" ht="15.75" customHeight="1"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</row>
    <row r="894" ht="15.75" customHeight="1"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</row>
    <row r="895" ht="15.75" customHeight="1"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</row>
    <row r="896" ht="15.75" customHeight="1"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</row>
    <row r="897" ht="15.75" customHeight="1"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</row>
    <row r="898" ht="15.75" customHeight="1"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</row>
    <row r="899" ht="15.75" customHeight="1"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</row>
    <row r="900" ht="15.75" customHeight="1"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</row>
    <row r="901" ht="15.75" customHeight="1"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</row>
    <row r="902" ht="15.75" customHeight="1"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</row>
    <row r="903" ht="15.75" customHeight="1"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</row>
    <row r="904" ht="15.75" customHeight="1"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</row>
    <row r="905" ht="15.75" customHeight="1"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</row>
    <row r="906" ht="15.75" customHeight="1"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</row>
    <row r="907" ht="15.75" customHeight="1"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</row>
    <row r="908" ht="15.75" customHeight="1"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</row>
    <row r="909" ht="15.75" customHeight="1"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</row>
    <row r="910" ht="15.75" customHeight="1"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</row>
    <row r="911" ht="15.75" customHeight="1"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</row>
    <row r="912" ht="15.75" customHeight="1"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</row>
    <row r="913" ht="15.75" customHeight="1"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</row>
    <row r="914" ht="15.75" customHeight="1"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</row>
    <row r="915" ht="15.75" customHeight="1"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</row>
    <row r="916" ht="15.75" customHeight="1"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</row>
    <row r="917" ht="15.75" customHeight="1"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</row>
    <row r="918" ht="15.75" customHeight="1"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</row>
    <row r="919" ht="15.75" customHeight="1"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</row>
    <row r="920" ht="15.75" customHeight="1"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</row>
    <row r="921" ht="15.75" customHeight="1"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</row>
    <row r="922" ht="15.75" customHeight="1"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</row>
    <row r="923" ht="15.75" customHeight="1"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</row>
    <row r="924" ht="15.75" customHeight="1"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</row>
    <row r="925" ht="15.75" customHeight="1"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</row>
    <row r="926" ht="15.75" customHeight="1"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</row>
    <row r="927" ht="15.75" customHeight="1"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</row>
    <row r="928" ht="15.75" customHeight="1"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</row>
    <row r="929" ht="15.75" customHeight="1"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</row>
    <row r="930" ht="15.75" customHeight="1"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</row>
    <row r="931" ht="15.75" customHeight="1"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</row>
    <row r="932" ht="15.75" customHeight="1"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</row>
    <row r="933" ht="15.75" customHeight="1"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</row>
    <row r="934" ht="15.75" customHeight="1"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</row>
    <row r="935" ht="15.75" customHeight="1"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</row>
    <row r="936" ht="15.75" customHeight="1"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</row>
    <row r="937" ht="15.75" customHeight="1"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</row>
    <row r="938" ht="15.75" customHeight="1"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</row>
    <row r="939" ht="15.75" customHeight="1"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</row>
    <row r="940" ht="15.75" customHeight="1"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</row>
    <row r="941" ht="15.75" customHeight="1"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</row>
    <row r="942" ht="15.75" customHeight="1"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</row>
    <row r="943" ht="15.75" customHeight="1"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</row>
    <row r="944" ht="15.75" customHeight="1"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</row>
    <row r="945" ht="15.75" customHeight="1"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</row>
    <row r="946" ht="15.75" customHeight="1"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</row>
    <row r="947" ht="15.75" customHeight="1"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</row>
    <row r="948" ht="15.75" customHeight="1"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</row>
    <row r="949" ht="15.75" customHeight="1"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</row>
    <row r="950" ht="15.75" customHeight="1"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</row>
    <row r="951" ht="15.75" customHeight="1"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</row>
    <row r="952" ht="15.75" customHeight="1"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</row>
    <row r="953" ht="15.75" customHeight="1"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</row>
    <row r="954" ht="15.75" customHeight="1"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</row>
    <row r="955" ht="15.75" customHeight="1"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</row>
    <row r="956" ht="15.75" customHeight="1"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</row>
    <row r="957" ht="15.75" customHeight="1"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</row>
    <row r="958" ht="15.75" customHeight="1"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</row>
    <row r="959" ht="15.75" customHeight="1"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</row>
    <row r="960" ht="15.75" customHeight="1"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</row>
    <row r="961" ht="15.75" customHeight="1"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</row>
    <row r="962" ht="15.75" customHeight="1"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</row>
    <row r="963" ht="15.75" customHeight="1"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</row>
    <row r="964" ht="15.75" customHeight="1"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</row>
    <row r="965" ht="15.75" customHeight="1"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</row>
    <row r="966" ht="15.75" customHeight="1"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</row>
    <row r="967" ht="15.75" customHeight="1"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</row>
    <row r="968" ht="15.75" customHeight="1"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</row>
    <row r="969" ht="15.75" customHeight="1"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</row>
    <row r="970" ht="15.75" customHeight="1"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</row>
    <row r="971" ht="15.75" customHeight="1"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</row>
    <row r="972" ht="15.75" customHeight="1"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</row>
    <row r="973" ht="15.75" customHeight="1"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</row>
    <row r="974" ht="15.75" customHeight="1"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</row>
    <row r="975" ht="15.75" customHeight="1"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</row>
    <row r="976" ht="15.75" customHeight="1"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</row>
    <row r="977" ht="15.75" customHeight="1"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</row>
    <row r="978" ht="15.75" customHeight="1"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</row>
    <row r="979" ht="15.75" customHeight="1"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</row>
    <row r="980" ht="15.75" customHeight="1"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</row>
    <row r="981" ht="15.75" customHeight="1"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</row>
    <row r="982" ht="15.75" customHeight="1"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</row>
    <row r="983" ht="15.75" customHeight="1"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</row>
    <row r="984" ht="15.75" customHeight="1"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</row>
    <row r="985" ht="15.75" customHeight="1"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</row>
    <row r="986" ht="15.75" customHeight="1"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</row>
    <row r="987" ht="15.75" customHeight="1"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</row>
    <row r="988" ht="15.75" customHeight="1"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</row>
    <row r="989" ht="15.75" customHeight="1"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</row>
    <row r="990" ht="15.75" customHeight="1"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</row>
    <row r="991" ht="15.75" customHeight="1"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</row>
    <row r="992" ht="15.75" customHeight="1"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</row>
    <row r="993" ht="15.75" customHeight="1"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</row>
    <row r="994" ht="15.75" customHeight="1"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</row>
    <row r="995" ht="15.75" customHeight="1"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</row>
    <row r="996" ht="15.75" customHeight="1"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</row>
    <row r="997" ht="15.75" customHeight="1"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</row>
    <row r="998" ht="15.75" customHeight="1"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</row>
    <row r="999" ht="15.75" customHeight="1"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</row>
    <row r="1000" ht="15.75" customHeight="1"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</row>
  </sheetData>
  <conditionalFormatting sqref="T1:T1000">
    <cfRule type="cellIs" dxfId="0" priority="1" operator="lessThan">
      <formula>-0.25</formula>
    </cfRule>
  </conditionalFormatting>
  <conditionalFormatting sqref="T1:T1000">
    <cfRule type="cellIs" dxfId="1" priority="2" operator="greaterThan">
      <formula>0.25</formula>
    </cfRule>
  </conditionalFormatting>
  <conditionalFormatting sqref="U1:U1000">
    <cfRule type="cellIs" dxfId="0" priority="3" operator="lessThan">
      <formula>-0.25</formula>
    </cfRule>
  </conditionalFormatting>
  <conditionalFormatting sqref="U1:U1000">
    <cfRule type="cellIs" dxfId="1" priority="4" operator="greaterThan">
      <formula>0.25</formula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 outlineLevelRow="1"/>
  <cols>
    <col customWidth="1" min="1" max="1" width="23.5"/>
    <col customWidth="1" min="2" max="2" width="16.25"/>
    <col customWidth="1" min="3" max="3" width="18.25"/>
    <col customWidth="1" min="4" max="5" width="9.25"/>
    <col customWidth="1" min="6" max="6" width="15.75"/>
    <col customWidth="1" min="7" max="7" width="10.63"/>
    <col customWidth="1" min="8" max="8" width="9.0"/>
    <col customWidth="1" min="9" max="11" width="15.63"/>
    <col customWidth="1" min="12" max="12" width="9.63"/>
    <col customWidth="1" min="13" max="13" width="9.25"/>
    <col customWidth="1" min="14" max="14" width="9.63"/>
    <col customWidth="1" min="15" max="17" width="9.5"/>
    <col customWidth="1" min="18" max="18" width="9.63"/>
    <col customWidth="1" min="19" max="20" width="9.5"/>
    <col customWidth="1" min="21" max="22" width="9.63"/>
    <col customWidth="1" min="23" max="23" width="9.5"/>
    <col customWidth="1" min="24" max="24" width="11.0"/>
    <col customWidth="1" min="25" max="25" width="5.75"/>
    <col customWidth="1" min="26" max="26" width="7.63"/>
  </cols>
  <sheetData>
    <row r="1">
      <c r="A1" s="65"/>
      <c r="B1" s="66" t="s">
        <v>707</v>
      </c>
      <c r="C1" s="67" t="s">
        <v>708</v>
      </c>
      <c r="D1" s="68" t="s">
        <v>709</v>
      </c>
      <c r="E1" s="68" t="s">
        <v>710</v>
      </c>
      <c r="F1" s="69" t="s">
        <v>711</v>
      </c>
      <c r="G1" s="68" t="s">
        <v>709</v>
      </c>
      <c r="H1" s="68" t="s">
        <v>710</v>
      </c>
      <c r="I1" s="70" t="s">
        <v>712</v>
      </c>
      <c r="J1" s="71" t="s">
        <v>1</v>
      </c>
      <c r="K1" s="72" t="s">
        <v>2</v>
      </c>
      <c r="L1" s="73" t="s">
        <v>418</v>
      </c>
      <c r="M1" s="73" t="s">
        <v>419</v>
      </c>
      <c r="N1" s="73" t="s">
        <v>422</v>
      </c>
      <c r="O1" s="73" t="s">
        <v>423</v>
      </c>
      <c r="P1" s="73" t="s">
        <v>424</v>
      </c>
      <c r="Q1" s="73" t="s">
        <v>425</v>
      </c>
      <c r="R1" s="73" t="s">
        <v>426</v>
      </c>
      <c r="S1" s="73" t="s">
        <v>427</v>
      </c>
      <c r="T1" s="73" t="s">
        <v>428</v>
      </c>
      <c r="U1" s="73" t="s">
        <v>429</v>
      </c>
      <c r="V1" s="73" t="s">
        <v>430</v>
      </c>
      <c r="W1" s="73" t="s">
        <v>431</v>
      </c>
      <c r="X1" s="73" t="s">
        <v>267</v>
      </c>
    </row>
    <row r="2">
      <c r="A2" s="74" t="s">
        <v>713</v>
      </c>
      <c r="B2" s="75">
        <v>64.0</v>
      </c>
      <c r="C2" s="76">
        <v>58.0</v>
      </c>
      <c r="D2" s="77"/>
      <c r="E2" s="77"/>
      <c r="F2" s="78">
        <v>64.0</v>
      </c>
      <c r="G2" s="77"/>
      <c r="H2" s="77"/>
      <c r="I2" s="79">
        <f>+'Tuition 19-20'!C58</f>
        <v>57</v>
      </c>
      <c r="J2" s="80">
        <f>+'Tuition 16-17'!B30</f>
        <v>50</v>
      </c>
      <c r="K2" s="81">
        <v>68.0</v>
      </c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" t="s">
        <v>432</v>
      </c>
    </row>
    <row r="3">
      <c r="A3" s="82" t="s">
        <v>20</v>
      </c>
      <c r="B3" s="83"/>
      <c r="C3" s="84"/>
      <c r="D3" s="85"/>
      <c r="E3" s="85"/>
      <c r="F3" s="86"/>
      <c r="G3" s="85"/>
      <c r="H3" s="85"/>
      <c r="I3" s="87"/>
      <c r="J3" s="88"/>
      <c r="K3" s="81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>
      <c r="A4" s="89" t="s">
        <v>40</v>
      </c>
      <c r="B4" s="90"/>
      <c r="C4" s="91"/>
      <c r="D4" s="92"/>
      <c r="E4" s="92"/>
      <c r="F4" s="93"/>
      <c r="G4" s="92"/>
      <c r="H4" s="92"/>
      <c r="I4" s="94"/>
      <c r="J4" s="88"/>
      <c r="K4" s="81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>
      <c r="A5" s="95" t="s">
        <v>42</v>
      </c>
      <c r="B5" s="96">
        <f>+SUMIF('Detail 19-20'!$AN:$AN,Draft!$A5,'Detail 19-20'!T:T)</f>
        <v>1030764</v>
      </c>
      <c r="C5" s="97">
        <f>+SUMIF('Detail 19-20'!$AN:$AN,Draft!$A5,'Detail 19-20'!S:S)</f>
        <v>914223.6375</v>
      </c>
      <c r="D5" s="98">
        <f t="shared" ref="D5:D11" si="1">+B5-C5</f>
        <v>116540.3625</v>
      </c>
      <c r="E5" s="99">
        <f t="shared" ref="E5:E11" si="2">+IFERROR(D5/C5,0)</f>
        <v>0.1274746766</v>
      </c>
      <c r="F5" s="100">
        <v>989524.0</v>
      </c>
      <c r="G5" s="98">
        <f t="shared" ref="G5:G11" si="3">+C5-F5</f>
        <v>-75300.3625</v>
      </c>
      <c r="H5" s="99">
        <f t="shared" ref="H5:H11" si="4">+IFERROR(G5/F5,0)</f>
        <v>-0.07609756054</v>
      </c>
      <c r="I5" s="101">
        <v>988003.0</v>
      </c>
      <c r="J5" s="102">
        <v>743822.02</v>
      </c>
      <c r="K5" s="103">
        <v>970668.0299999999</v>
      </c>
      <c r="L5" s="104">
        <f>+SUMIF('Detail 19-20'!$AN:$AN,Draft!$A5,'Detail 19-20'!Z:Z)</f>
        <v>2000</v>
      </c>
      <c r="M5" s="104">
        <f>+SUMIF('Detail 19-20'!$AN:$AN,Draft!$A5,'Detail 19-20'!AA:AA)</f>
        <v>71240.21053</v>
      </c>
      <c r="N5" s="104">
        <f>+SUMIF('Detail 19-20'!$AN:$AN,Draft!$A5,'Detail 19-20'!AB:AB)</f>
        <v>108080.4211</v>
      </c>
      <c r="O5" s="104">
        <f>+SUMIF('Detail 19-20'!$AN:$AN,Draft!$A5,'Detail 19-20'!AC:AC)</f>
        <v>105680.4211</v>
      </c>
      <c r="P5" s="104">
        <f>+SUMIF('Detail 19-20'!$AN:$AN,Draft!$A5,'Detail 19-20'!AD:AD)</f>
        <v>105680.4211</v>
      </c>
      <c r="Q5" s="104">
        <f>+SUMIF('Detail 19-20'!$AN:$AN,Draft!$A5,'Detail 19-20'!AE:AE)</f>
        <v>105680.4211</v>
      </c>
      <c r="R5" s="104">
        <f>+SUMIF('Detail 19-20'!$AN:$AN,Draft!$A5,'Detail 19-20'!AF:AF)</f>
        <v>109680.4211</v>
      </c>
      <c r="S5" s="104">
        <f>+SUMIF('Detail 19-20'!$AN:$AN,Draft!$A5,'Detail 19-20'!AG:AG)</f>
        <v>105680.4211</v>
      </c>
      <c r="T5" s="104">
        <f>+SUMIF('Detail 19-20'!$AN:$AN,Draft!$A5,'Detail 19-20'!AH:AH)</f>
        <v>105680.4211</v>
      </c>
      <c r="U5" s="104">
        <f>+SUMIF('Detail 19-20'!$AN:$AN,Draft!$A5,'Detail 19-20'!AI:AI)</f>
        <v>105680.4211</v>
      </c>
      <c r="V5" s="104">
        <f>+SUMIF('Detail 19-20'!$AN:$AN,Draft!$A5,'Detail 19-20'!AJ:AJ)</f>
        <v>105680.4211</v>
      </c>
      <c r="W5" s="104">
        <f>+SUMIF('Detail 19-20'!$AN:$AN,Draft!$A5,'Detail 19-20'!AK:AK)</f>
        <v>0</v>
      </c>
      <c r="X5" s="105">
        <f t="shared" ref="X5:X11" si="5">SUM(L5:W5)</f>
        <v>1030764</v>
      </c>
      <c r="Y5" s="26">
        <f>ROUND(X5-B5,0)</f>
        <v>0</v>
      </c>
    </row>
    <row r="6" outlineLevel="1">
      <c r="A6" s="95" t="s">
        <v>46</v>
      </c>
      <c r="B6" s="96">
        <f>+SUMIF('Detail 19-20'!$AN:$AN,Draft!$A6,'Detail 19-20'!T:T)</f>
        <v>0</v>
      </c>
      <c r="C6" s="97">
        <f>+SUMIF('Detail 19-20'!$AN:$AN,Draft!$A6,'Detail 19-20'!S:S)</f>
        <v>0</v>
      </c>
      <c r="D6" s="98">
        <f t="shared" si="1"/>
        <v>0</v>
      </c>
      <c r="E6" s="99">
        <f t="shared" si="2"/>
        <v>0</v>
      </c>
      <c r="F6" s="100" t="str">
        <f>+SUMIF('Detail 19-20'!AN:AN,Draft!#REF!,'Detail 19-20'!P:P)</f>
        <v>#ERROR!</v>
      </c>
      <c r="G6" s="98" t="str">
        <f t="shared" si="3"/>
        <v>#ERROR!</v>
      </c>
      <c r="H6" s="99">
        <f t="shared" si="4"/>
        <v>0</v>
      </c>
      <c r="I6" s="101">
        <v>0.0</v>
      </c>
      <c r="J6" s="102">
        <v>0.0</v>
      </c>
      <c r="K6" s="103">
        <v>5000.000000000001</v>
      </c>
      <c r="L6" s="104" t="str">
        <f>+SUMIF('Detail 18-19'!$Q:$Q,Draft!#REF!,'Detail 18-19'!AC:AC)</f>
        <v>#ERROR!</v>
      </c>
      <c r="M6" s="104" t="str">
        <f>+SUMIF('Detail 18-19'!$Q:$Q,Draft!#REF!,'Detail 18-19'!AD:AD)</f>
        <v>#ERROR!</v>
      </c>
      <c r="N6" s="104" t="str">
        <f>+SUMIF('Detail 18-19'!$Q:$Q,Draft!#REF!,'Detail 18-19'!AE:AE)</f>
        <v>#ERROR!</v>
      </c>
      <c r="O6" s="104" t="str">
        <f>+SUMIF('Detail 18-19'!$Q:$Q,Draft!#REF!,'Detail 18-19'!AF:AF)</f>
        <v>#ERROR!</v>
      </c>
      <c r="P6" s="104" t="str">
        <f>+SUMIF('Detail 18-19'!$Q:$Q,Draft!#REF!,'Detail 18-19'!AG:AG)</f>
        <v>#ERROR!</v>
      </c>
      <c r="Q6" s="104" t="str">
        <f>+SUMIF('Detail 18-19'!$Q:$Q,Draft!#REF!,'Detail 18-19'!AH:AH)</f>
        <v>#ERROR!</v>
      </c>
      <c r="R6" s="104" t="str">
        <f>+SUMIF('Detail 18-19'!$Q:$Q,Draft!#REF!,'Detail 18-19'!AI:AI)</f>
        <v>#ERROR!</v>
      </c>
      <c r="S6" s="104" t="str">
        <f>+SUMIF('Detail 18-19'!$Q:$Q,Draft!#REF!,'Detail 18-19'!AJ:AJ)</f>
        <v>#ERROR!</v>
      </c>
      <c r="T6" s="104" t="str">
        <f>+SUMIF('Detail 18-19'!$Q:$Q,Draft!#REF!,'Detail 18-19'!AK:AK)</f>
        <v>#ERROR!</v>
      </c>
      <c r="U6" s="104" t="str">
        <f>+SUMIF('Detail 18-19'!$Q:$Q,Draft!#REF!,'Detail 18-19'!AL:AL)</f>
        <v>#ERROR!</v>
      </c>
      <c r="V6" s="104" t="str">
        <f>+SUMIF('Detail 18-19'!$Q:$Q,Draft!#REF!,'Detail 18-19'!AM:AM)</f>
        <v>#ERROR!</v>
      </c>
      <c r="W6" s="104" t="str">
        <f>+SUMIF('Detail 18-19'!$Q:$Q,Draft!#REF!,'Detail 18-19'!AN:AN)</f>
        <v>#ERROR!</v>
      </c>
      <c r="X6" s="105" t="str">
        <f t="shared" si="5"/>
        <v>#ERROR!</v>
      </c>
      <c r="Y6" s="26" t="str">
        <f>ROUND(X6-F6,0)</f>
        <v>#ERROR!</v>
      </c>
    </row>
    <row r="7">
      <c r="A7" s="95" t="s">
        <v>50</v>
      </c>
      <c r="B7" s="96">
        <f>+SUMIF('Detail 19-20'!$AN:$AN,Draft!$A7,'Detail 19-20'!T:T)</f>
        <v>7500</v>
      </c>
      <c r="C7" s="97">
        <f>+SUMIF('Detail 19-20'!$AN:$AN,Draft!$A7,'Detail 19-20'!S:S)</f>
        <v>7495</v>
      </c>
      <c r="D7" s="98">
        <f t="shared" si="1"/>
        <v>5</v>
      </c>
      <c r="E7" s="99">
        <f t="shared" si="2"/>
        <v>0.0006671114076</v>
      </c>
      <c r="F7" s="100">
        <v>7500.0</v>
      </c>
      <c r="G7" s="98">
        <f t="shared" si="3"/>
        <v>-5</v>
      </c>
      <c r="H7" s="99">
        <f t="shared" si="4"/>
        <v>-0.0006666666667</v>
      </c>
      <c r="I7" s="101">
        <v>10000.0</v>
      </c>
      <c r="J7" s="102">
        <v>7600.000000000001</v>
      </c>
      <c r="K7" s="103">
        <v>7600.000000000001</v>
      </c>
      <c r="L7" s="104">
        <f>+SUMIF('Detail 19-20'!$AN:$AN,Draft!$A7,'Detail 19-20'!Z:Z)</f>
        <v>0</v>
      </c>
      <c r="M7" s="104">
        <f>+SUMIF('Detail 19-20'!$AN:$AN,Draft!$A7,'Detail 19-20'!AA:AA)</f>
        <v>484.2105263</v>
      </c>
      <c r="N7" s="104">
        <f>+SUMIF('Detail 19-20'!$AN:$AN,Draft!$A7,'Detail 19-20'!AB:AB)</f>
        <v>768.4210526</v>
      </c>
      <c r="O7" s="104">
        <f>+SUMIF('Detail 19-20'!$AN:$AN,Draft!$A7,'Detail 19-20'!AC:AC)</f>
        <v>768.4210526</v>
      </c>
      <c r="P7" s="104">
        <f>+SUMIF('Detail 19-20'!$AN:$AN,Draft!$A7,'Detail 19-20'!AD:AD)</f>
        <v>768.4210526</v>
      </c>
      <c r="Q7" s="104">
        <f>+SUMIF('Detail 19-20'!$AN:$AN,Draft!$A7,'Detail 19-20'!AE:AE)</f>
        <v>768.4210526</v>
      </c>
      <c r="R7" s="104">
        <f>+SUMIF('Detail 19-20'!$AN:$AN,Draft!$A7,'Detail 19-20'!AF:AF)</f>
        <v>868.4210526</v>
      </c>
      <c r="S7" s="104">
        <f>+SUMIF('Detail 19-20'!$AN:$AN,Draft!$A7,'Detail 19-20'!AG:AG)</f>
        <v>768.4210526</v>
      </c>
      <c r="T7" s="104">
        <f>+SUMIF('Detail 19-20'!$AN:$AN,Draft!$A7,'Detail 19-20'!AH:AH)</f>
        <v>768.4210526</v>
      </c>
      <c r="U7" s="104">
        <f>+SUMIF('Detail 19-20'!$AN:$AN,Draft!$A7,'Detail 19-20'!AI:AI)</f>
        <v>768.4210526</v>
      </c>
      <c r="V7" s="104">
        <f>+SUMIF('Detail 19-20'!$AN:$AN,Draft!$A7,'Detail 19-20'!AJ:AJ)</f>
        <v>768.4210526</v>
      </c>
      <c r="W7" s="104">
        <f>+SUMIF('Detail 19-20'!$AN:$AN,Draft!$A7,'Detail 19-20'!AK:AK)</f>
        <v>0</v>
      </c>
      <c r="X7" s="105">
        <f t="shared" si="5"/>
        <v>7500</v>
      </c>
      <c r="Y7" s="26">
        <f t="shared" ref="Y7:Y11" si="6">ROUND(X7-B7,0)</f>
        <v>0</v>
      </c>
    </row>
    <row r="8">
      <c r="A8" s="95" t="s">
        <v>55</v>
      </c>
      <c r="B8" s="96">
        <f>+SUMIF('Detail 19-20'!$AN:$AN,Draft!$A8,'Detail 19-20'!T:T)</f>
        <v>10500</v>
      </c>
      <c r="C8" s="97">
        <f>+SUMIF('Detail 19-20'!$AN:$AN,Draft!$A8,'Detail 19-20'!S:S)</f>
        <v>9903.15</v>
      </c>
      <c r="D8" s="98">
        <f t="shared" si="1"/>
        <v>596.85</v>
      </c>
      <c r="E8" s="99">
        <f t="shared" si="2"/>
        <v>0.06026870238</v>
      </c>
      <c r="F8" s="100">
        <v>11250.0</v>
      </c>
      <c r="G8" s="98">
        <f t="shared" si="3"/>
        <v>-1346.85</v>
      </c>
      <c r="H8" s="99">
        <f t="shared" si="4"/>
        <v>-0.11972</v>
      </c>
      <c r="I8" s="101">
        <v>5050.0</v>
      </c>
      <c r="J8" s="102">
        <v>13050.0</v>
      </c>
      <c r="K8" s="103">
        <v>12649.99</v>
      </c>
      <c r="L8" s="104">
        <f>+SUMIF('Detail 19-20'!$AN:$AN,Draft!$A8,'Detail 19-20'!Z:Z)</f>
        <v>2500</v>
      </c>
      <c r="M8" s="104">
        <f>+SUMIF('Detail 19-20'!$AN:$AN,Draft!$A8,'Detail 19-20'!AA:AA)</f>
        <v>289.4736842</v>
      </c>
      <c r="N8" s="104">
        <f>+SUMIF('Detail 19-20'!$AN:$AN,Draft!$A8,'Detail 19-20'!AB:AB)</f>
        <v>578.9473684</v>
      </c>
      <c r="O8" s="104">
        <f>+SUMIF('Detail 19-20'!$AN:$AN,Draft!$A8,'Detail 19-20'!AC:AC)</f>
        <v>578.9473684</v>
      </c>
      <c r="P8" s="104">
        <f>+SUMIF('Detail 19-20'!$AN:$AN,Draft!$A8,'Detail 19-20'!AD:AD)</f>
        <v>578.9473684</v>
      </c>
      <c r="Q8" s="104">
        <f>+SUMIF('Detail 19-20'!$AN:$AN,Draft!$A8,'Detail 19-20'!AE:AE)</f>
        <v>578.9473684</v>
      </c>
      <c r="R8" s="104">
        <f>+SUMIF('Detail 19-20'!$AN:$AN,Draft!$A8,'Detail 19-20'!AF:AF)</f>
        <v>578.9473684</v>
      </c>
      <c r="S8" s="104">
        <f>+SUMIF('Detail 19-20'!$AN:$AN,Draft!$A8,'Detail 19-20'!AG:AG)</f>
        <v>578.9473684</v>
      </c>
      <c r="T8" s="104">
        <f>+SUMIF('Detail 19-20'!$AN:$AN,Draft!$A8,'Detail 19-20'!AH:AH)</f>
        <v>578.9473684</v>
      </c>
      <c r="U8" s="104">
        <f>+SUMIF('Detail 19-20'!$AN:$AN,Draft!$A8,'Detail 19-20'!AI:AI)</f>
        <v>1828.947368</v>
      </c>
      <c r="V8" s="104">
        <f>+SUMIF('Detail 19-20'!$AN:$AN,Draft!$A8,'Detail 19-20'!AJ:AJ)</f>
        <v>1828.947368</v>
      </c>
      <c r="W8" s="104">
        <f>+SUMIF('Detail 19-20'!$AN:$AN,Draft!$A8,'Detail 19-20'!AK:AK)</f>
        <v>0</v>
      </c>
      <c r="X8" s="105">
        <f t="shared" si="5"/>
        <v>10500</v>
      </c>
      <c r="Y8" s="26">
        <f t="shared" si="6"/>
        <v>0</v>
      </c>
    </row>
    <row r="9">
      <c r="A9" s="95" t="s">
        <v>59</v>
      </c>
      <c r="B9" s="96">
        <f>+SUMIF('Detail 19-20'!$AN:$AN,Draft!$A9,'Detail 19-20'!T:T)</f>
        <v>0</v>
      </c>
      <c r="C9" s="97">
        <f>+SUMIF('Detail 19-20'!$AN:$AN,Draft!$A9,'Detail 19-20'!S:S)</f>
        <v>0</v>
      </c>
      <c r="D9" s="98">
        <f t="shared" si="1"/>
        <v>0</v>
      </c>
      <c r="E9" s="99">
        <f t="shared" si="2"/>
        <v>0</v>
      </c>
      <c r="F9" s="100">
        <v>1000.0</v>
      </c>
      <c r="G9" s="98">
        <f t="shared" si="3"/>
        <v>-1000</v>
      </c>
      <c r="H9" s="99">
        <f t="shared" si="4"/>
        <v>-1</v>
      </c>
      <c r="I9" s="101">
        <v>3500.0</v>
      </c>
      <c r="J9" s="102">
        <v>6670.0</v>
      </c>
      <c r="K9" s="103">
        <v>13500.010000000002</v>
      </c>
      <c r="L9" s="104">
        <f>+SUMIF('Detail 19-20'!$AN:$AN,Draft!$A9,'Detail 19-20'!Z:Z)</f>
        <v>0</v>
      </c>
      <c r="M9" s="104">
        <f>+SUMIF('Detail 19-20'!$AN:$AN,Draft!$A9,'Detail 19-20'!AA:AA)</f>
        <v>0</v>
      </c>
      <c r="N9" s="104">
        <f>+SUMIF('Detail 19-20'!$AN:$AN,Draft!$A9,'Detail 19-20'!AB:AB)</f>
        <v>0</v>
      </c>
      <c r="O9" s="104">
        <f>+SUMIF('Detail 19-20'!$AN:$AN,Draft!$A9,'Detail 19-20'!AC:AC)</f>
        <v>0</v>
      </c>
      <c r="P9" s="104">
        <f>+SUMIF('Detail 19-20'!$AN:$AN,Draft!$A9,'Detail 19-20'!AD:AD)</f>
        <v>0</v>
      </c>
      <c r="Q9" s="104">
        <f>+SUMIF('Detail 19-20'!$AN:$AN,Draft!$A9,'Detail 19-20'!AE:AE)</f>
        <v>0</v>
      </c>
      <c r="R9" s="104">
        <f>+SUMIF('Detail 19-20'!$AN:$AN,Draft!$A9,'Detail 19-20'!AF:AF)</f>
        <v>0</v>
      </c>
      <c r="S9" s="104">
        <f>+SUMIF('Detail 19-20'!$AN:$AN,Draft!$A9,'Detail 19-20'!AG:AG)</f>
        <v>0</v>
      </c>
      <c r="T9" s="104">
        <f>+SUMIF('Detail 19-20'!$AN:$AN,Draft!$A9,'Detail 19-20'!AH:AH)</f>
        <v>0</v>
      </c>
      <c r="U9" s="104">
        <f>+SUMIF('Detail 19-20'!$AN:$AN,Draft!$A9,'Detail 19-20'!AI:AI)</f>
        <v>0</v>
      </c>
      <c r="V9" s="104">
        <f>+SUMIF('Detail 19-20'!$AN:$AN,Draft!$A9,'Detail 19-20'!AJ:AJ)</f>
        <v>0</v>
      </c>
      <c r="W9" s="104">
        <f>+SUMIF('Detail 19-20'!$AN:$AN,Draft!$A9,'Detail 19-20'!AK:AK)</f>
        <v>0</v>
      </c>
      <c r="X9" s="105">
        <f t="shared" si="5"/>
        <v>0</v>
      </c>
      <c r="Y9" s="26">
        <f t="shared" si="6"/>
        <v>0</v>
      </c>
    </row>
    <row r="10">
      <c r="A10" s="95" t="s">
        <v>60</v>
      </c>
      <c r="B10" s="96">
        <f>+SUMIF('Detail 19-20'!$AN:$AN,Draft!$A10,'Detail 19-20'!T:T)</f>
        <v>23450</v>
      </c>
      <c r="C10" s="97">
        <f>+SUMIF('Detail 19-20'!$AN:$AN,Draft!$A10,'Detail 19-20'!S:S)</f>
        <v>23026.86667</v>
      </c>
      <c r="D10" s="98">
        <f t="shared" si="1"/>
        <v>423.1333333</v>
      </c>
      <c r="E10" s="99">
        <f t="shared" si="2"/>
        <v>0.01837563658</v>
      </c>
      <c r="F10" s="100">
        <v>28250.0</v>
      </c>
      <c r="G10" s="98">
        <f t="shared" si="3"/>
        <v>-5223.133333</v>
      </c>
      <c r="H10" s="99">
        <f t="shared" si="4"/>
        <v>-0.1848896755</v>
      </c>
      <c r="I10" s="101">
        <v>25000.0</v>
      </c>
      <c r="J10" s="102">
        <v>39217.1975</v>
      </c>
      <c r="K10" s="103">
        <v>2250.01</v>
      </c>
      <c r="L10" s="104">
        <f>+SUMIF('Detail 19-20'!$AN:$AN,Draft!$A10,'Detail 19-20'!Z:Z)</f>
        <v>0</v>
      </c>
      <c r="M10" s="104">
        <f>+SUMIF('Detail 19-20'!$AN:$AN,Draft!$A10,'Detail 19-20'!AA:AA)</f>
        <v>1435.526316</v>
      </c>
      <c r="N10" s="104">
        <f>+SUMIF('Detail 19-20'!$AN:$AN,Draft!$A10,'Detail 19-20'!AB:AB)</f>
        <v>2421.052632</v>
      </c>
      <c r="O10" s="104">
        <f>+SUMIF('Detail 19-20'!$AN:$AN,Draft!$A10,'Detail 19-20'!AC:AC)</f>
        <v>2421.052632</v>
      </c>
      <c r="P10" s="104">
        <f>+SUMIF('Detail 19-20'!$AN:$AN,Draft!$A10,'Detail 19-20'!AD:AD)</f>
        <v>2421.052632</v>
      </c>
      <c r="Q10" s="104">
        <f>+SUMIF('Detail 19-20'!$AN:$AN,Draft!$A10,'Detail 19-20'!AE:AE)</f>
        <v>2421.052632</v>
      </c>
      <c r="R10" s="104">
        <f>+SUMIF('Detail 19-20'!$AN:$AN,Draft!$A10,'Detail 19-20'!AF:AF)</f>
        <v>2646.052632</v>
      </c>
      <c r="S10" s="104">
        <f>+SUMIF('Detail 19-20'!$AN:$AN,Draft!$A10,'Detail 19-20'!AG:AG)</f>
        <v>2421.052632</v>
      </c>
      <c r="T10" s="104">
        <f>+SUMIF('Detail 19-20'!$AN:$AN,Draft!$A10,'Detail 19-20'!AH:AH)</f>
        <v>2421.052632</v>
      </c>
      <c r="U10" s="104">
        <f>+SUMIF('Detail 19-20'!$AN:$AN,Draft!$A10,'Detail 19-20'!AI:AI)</f>
        <v>2421.052632</v>
      </c>
      <c r="V10" s="104">
        <f>+SUMIF('Detail 19-20'!$AN:$AN,Draft!$A10,'Detail 19-20'!AJ:AJ)</f>
        <v>2421.052632</v>
      </c>
      <c r="W10" s="104">
        <f>+SUMIF('Detail 19-20'!$AN:$AN,Draft!$A10,'Detail 19-20'!AK:AK)</f>
        <v>0</v>
      </c>
      <c r="X10" s="105">
        <f t="shared" si="5"/>
        <v>23450</v>
      </c>
      <c r="Y10" s="26">
        <f t="shared" si="6"/>
        <v>0</v>
      </c>
    </row>
    <row r="11">
      <c r="A11" s="106" t="s">
        <v>64</v>
      </c>
      <c r="B11" s="96">
        <f>-SUMIF('Detail 19-20'!$AN:$AN,Draft!$A11,'Detail 19-20'!T:T)</f>
        <v>-17437.5</v>
      </c>
      <c r="C11" s="97">
        <f>-SUMIF('Detail 19-20'!$AN:$AN,Draft!$A11,'Detail 19-20'!S:S)</f>
        <v>-17730.77583</v>
      </c>
      <c r="D11" s="98">
        <f t="shared" si="1"/>
        <v>293.2758333</v>
      </c>
      <c r="E11" s="99">
        <f t="shared" si="2"/>
        <v>-0.01654049637</v>
      </c>
      <c r="F11" s="100">
        <v>-19250.0</v>
      </c>
      <c r="G11" s="98">
        <f t="shared" si="3"/>
        <v>1519.224167</v>
      </c>
      <c r="H11" s="99">
        <f t="shared" si="4"/>
        <v>-0.07892073593</v>
      </c>
      <c r="I11" s="101">
        <v>-23000.0</v>
      </c>
      <c r="J11" s="107">
        <v>-21417.3</v>
      </c>
      <c r="K11" s="108">
        <v>-1500.01</v>
      </c>
      <c r="L11" s="109">
        <f>-SUMIF('Detail 19-20'!$AN:$AN,Draft!$A11,'Detail 19-20'!Z:Z)</f>
        <v>0</v>
      </c>
      <c r="M11" s="109">
        <f>-SUMIF('Detail 19-20'!$AN:$AN,Draft!$A11,'Detail 19-20'!AA:AA)</f>
        <v>-1001.644737</v>
      </c>
      <c r="N11" s="109">
        <f>-SUMIF('Detail 19-20'!$AN:$AN,Draft!$A11,'Detail 19-20'!AB:AB)</f>
        <v>-1815.789474</v>
      </c>
      <c r="O11" s="109">
        <f>-SUMIF('Detail 19-20'!$AN:$AN,Draft!$A11,'Detail 19-20'!AC:AC)</f>
        <v>-1815.789474</v>
      </c>
      <c r="P11" s="109">
        <f>-SUMIF('Detail 19-20'!$AN:$AN,Draft!$A11,'Detail 19-20'!AD:AD)</f>
        <v>-1815.789474</v>
      </c>
      <c r="Q11" s="109">
        <f>-SUMIF('Detail 19-20'!$AN:$AN,Draft!$A11,'Detail 19-20'!AE:AE)</f>
        <v>-1815.789474</v>
      </c>
      <c r="R11" s="109">
        <f>-SUMIF('Detail 19-20'!$AN:$AN,Draft!$A11,'Detail 19-20'!AF:AF)</f>
        <v>-1909.539474</v>
      </c>
      <c r="S11" s="109">
        <f>-SUMIF('Detail 19-20'!$AN:$AN,Draft!$A11,'Detail 19-20'!AG:AG)</f>
        <v>-1815.789474</v>
      </c>
      <c r="T11" s="109">
        <f>-SUMIF('Detail 19-20'!$AN:$AN,Draft!$A11,'Detail 19-20'!AH:AH)</f>
        <v>-1815.789474</v>
      </c>
      <c r="U11" s="109">
        <f>-SUMIF('Detail 19-20'!$AN:$AN,Draft!$A11,'Detail 19-20'!AI:AI)</f>
        <v>-1815.789474</v>
      </c>
      <c r="V11" s="109">
        <f>-SUMIF('Detail 19-20'!$AN:$AN,Draft!$A11,'Detail 19-20'!AJ:AJ)</f>
        <v>-1815.789474</v>
      </c>
      <c r="W11" s="109">
        <f>-SUMIF('Detail 19-20'!$AN:$AN,Draft!$A11,'Detail 19-20'!AK:AK)</f>
        <v>0</v>
      </c>
      <c r="X11" s="110">
        <f t="shared" si="5"/>
        <v>-17437.5</v>
      </c>
      <c r="Y11" s="26">
        <f t="shared" si="6"/>
        <v>0</v>
      </c>
    </row>
    <row r="12">
      <c r="A12" s="111"/>
      <c r="B12" s="112"/>
      <c r="C12" s="113"/>
      <c r="D12" s="114"/>
      <c r="E12" s="114"/>
      <c r="F12" s="115"/>
      <c r="G12" s="114"/>
      <c r="H12" s="114"/>
      <c r="I12" s="116"/>
      <c r="J12" s="88"/>
      <c r="K12" s="81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>
      <c r="A13" s="95" t="s">
        <v>72</v>
      </c>
      <c r="B13" s="117">
        <f t="shared" ref="B13:C13" si="7">+SUM(B5:B11)</f>
        <v>1054776.5</v>
      </c>
      <c r="C13" s="118">
        <f t="shared" si="7"/>
        <v>936917.8783</v>
      </c>
      <c r="D13" s="98">
        <f>+B13-C13</f>
        <v>117858.6217</v>
      </c>
      <c r="E13" s="99">
        <f>+IFERROR(D13/C13,0)</f>
        <v>0.1257939723</v>
      </c>
      <c r="F13" s="119" t="str">
        <f>+SUM(F5:F11)</f>
        <v>#ERROR!</v>
      </c>
      <c r="G13" s="98" t="str">
        <f>+C13-F13</f>
        <v>#ERROR!</v>
      </c>
      <c r="H13" s="99">
        <f>+IFERROR(G13/F13,0)</f>
        <v>0</v>
      </c>
      <c r="I13" s="120">
        <f>+SUM(I5:I11)</f>
        <v>1008553</v>
      </c>
      <c r="J13" s="121">
        <v>788941.9175</v>
      </c>
      <c r="K13" s="122">
        <v>1010168.0299999999</v>
      </c>
      <c r="L13" s="105" t="str">
        <f t="shared" ref="L13:X13" si="8">+SUM(L5:L11)</f>
        <v>#ERROR!</v>
      </c>
      <c r="M13" s="105" t="str">
        <f t="shared" si="8"/>
        <v>#ERROR!</v>
      </c>
      <c r="N13" s="105" t="str">
        <f t="shared" si="8"/>
        <v>#ERROR!</v>
      </c>
      <c r="O13" s="105" t="str">
        <f t="shared" si="8"/>
        <v>#ERROR!</v>
      </c>
      <c r="P13" s="105" t="str">
        <f t="shared" si="8"/>
        <v>#ERROR!</v>
      </c>
      <c r="Q13" s="105" t="str">
        <f t="shared" si="8"/>
        <v>#ERROR!</v>
      </c>
      <c r="R13" s="105" t="str">
        <f t="shared" si="8"/>
        <v>#ERROR!</v>
      </c>
      <c r="S13" s="105" t="str">
        <f t="shared" si="8"/>
        <v>#ERROR!</v>
      </c>
      <c r="T13" s="105" t="str">
        <f t="shared" si="8"/>
        <v>#ERROR!</v>
      </c>
      <c r="U13" s="105" t="str">
        <f t="shared" si="8"/>
        <v>#ERROR!</v>
      </c>
      <c r="V13" s="105" t="str">
        <f t="shared" si="8"/>
        <v>#ERROR!</v>
      </c>
      <c r="W13" s="105" t="str">
        <f t="shared" si="8"/>
        <v>#ERROR!</v>
      </c>
      <c r="X13" s="105" t="str">
        <f t="shared" si="8"/>
        <v>#ERROR!</v>
      </c>
      <c r="Y13" s="26" t="str">
        <f>ROUND(X13-B13,0)</f>
        <v>#ERROR!</v>
      </c>
    </row>
    <row r="14">
      <c r="A14" s="123" t="s">
        <v>77</v>
      </c>
      <c r="B14" s="124"/>
      <c r="C14" s="125"/>
      <c r="D14" s="126"/>
      <c r="E14" s="126"/>
      <c r="F14" s="127"/>
      <c r="G14" s="126"/>
      <c r="H14" s="126"/>
      <c r="I14" s="128"/>
      <c r="J14" s="88"/>
      <c r="K14" s="81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>
      <c r="A15" s="89" t="s">
        <v>78</v>
      </c>
      <c r="B15" s="90"/>
      <c r="C15" s="91"/>
      <c r="D15" s="92"/>
      <c r="E15" s="92"/>
      <c r="F15" s="93"/>
      <c r="G15" s="92"/>
      <c r="H15" s="92"/>
      <c r="I15" s="94"/>
      <c r="J15" s="88"/>
      <c r="K15" s="81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>
      <c r="A16" s="95" t="s">
        <v>45</v>
      </c>
      <c r="B16" s="96">
        <f>+SUMIF('Detail 19-20'!$AN:$AN,Draft!$A16,'Detail 19-20'!T:T)</f>
        <v>35000</v>
      </c>
      <c r="C16" s="97">
        <f>+SUMIF('Detail 19-20'!$AN:$AN,Draft!$A16,'Detail 19-20'!S:S)</f>
        <v>26642.45</v>
      </c>
      <c r="D16" s="98">
        <f>+B16-C16</f>
        <v>8357.55</v>
      </c>
      <c r="E16" s="99">
        <f>+IFERROR(D16/C16,0)</f>
        <v>0.3136929975</v>
      </c>
      <c r="F16" s="100">
        <v>41500.0</v>
      </c>
      <c r="G16" s="98">
        <f>+C16-F16</f>
        <v>-14857.55</v>
      </c>
      <c r="H16" s="99">
        <f>+IFERROR(G16/F16,0)</f>
        <v>-0.358013253</v>
      </c>
      <c r="I16" s="101">
        <v>50000.0</v>
      </c>
      <c r="J16" s="102">
        <v>51500.0</v>
      </c>
      <c r="K16" s="103">
        <v>36000.0</v>
      </c>
      <c r="L16" s="104">
        <f>+SUMIF('Detail 19-20'!$AN:$AN,Draft!$A16,'Detail 19-20'!Z:Z)</f>
        <v>1666.666667</v>
      </c>
      <c r="M16" s="104">
        <f>+SUMIF('Detail 19-20'!$AN:$AN,Draft!$A16,'Detail 19-20'!AA:AA)</f>
        <v>1666.666667</v>
      </c>
      <c r="N16" s="104">
        <f>+SUMIF('Detail 19-20'!$AN:$AN,Draft!$A16,'Detail 19-20'!AB:AB)</f>
        <v>1666.666667</v>
      </c>
      <c r="O16" s="104">
        <f>+SUMIF('Detail 19-20'!$AN:$AN,Draft!$A16,'Detail 19-20'!AC:AC)</f>
        <v>4666.666667</v>
      </c>
      <c r="P16" s="104">
        <f>+SUMIF('Detail 19-20'!$AN:$AN,Draft!$A16,'Detail 19-20'!AD:AD)</f>
        <v>4666.666667</v>
      </c>
      <c r="Q16" s="104">
        <f>+SUMIF('Detail 19-20'!$AN:$AN,Draft!$A16,'Detail 19-20'!AE:AE)</f>
        <v>4666.666667</v>
      </c>
      <c r="R16" s="104">
        <f>+SUMIF('Detail 19-20'!$AN:$AN,Draft!$A16,'Detail 19-20'!AF:AF)</f>
        <v>1666.666667</v>
      </c>
      <c r="S16" s="104">
        <f>+SUMIF('Detail 19-20'!$AN:$AN,Draft!$A16,'Detail 19-20'!AG:AG)</f>
        <v>1666.666667</v>
      </c>
      <c r="T16" s="104">
        <f>+SUMIF('Detail 19-20'!$AN:$AN,Draft!$A16,'Detail 19-20'!AH:AH)</f>
        <v>1666.666667</v>
      </c>
      <c r="U16" s="104">
        <f>+SUMIF('Detail 19-20'!$AN:$AN,Draft!$A16,'Detail 19-20'!AI:AI)</f>
        <v>1666.666667</v>
      </c>
      <c r="V16" s="104">
        <f>+SUMIF('Detail 19-20'!$AN:$AN,Draft!$A16,'Detail 19-20'!AJ:AJ)</f>
        <v>3166.666667</v>
      </c>
      <c r="W16" s="104">
        <f>+SUMIF('Detail 19-20'!$AN:$AN,Draft!$A16,'Detail 19-20'!AK:AK)</f>
        <v>6166.666667</v>
      </c>
      <c r="X16" s="105">
        <f t="shared" ref="X16:X21" si="9">SUM(L16:W16)</f>
        <v>35000</v>
      </c>
      <c r="Y16" s="26">
        <f t="shared" ref="Y16:Y21" si="10">ROUND(X16-B16,0)</f>
        <v>0</v>
      </c>
    </row>
    <row r="17" hidden="1" outlineLevel="1">
      <c r="A17" s="95" t="s">
        <v>81</v>
      </c>
      <c r="B17" s="96">
        <f>+SUMIF('Detail 18-19'!P:P,Draft!A17,'Detail 18-19'!AA:AA)</f>
        <v>0</v>
      </c>
      <c r="C17" s="97" t="str">
        <f>+SUMIF('Detail 18-19'!Q:Q,Draft!#REF!,'Detail 18-19'!AB:AB)</f>
        <v>#ERROR!</v>
      </c>
      <c r="D17" s="129"/>
      <c r="E17" s="129"/>
      <c r="F17" s="100" t="str">
        <f>+SUMIF('Detail 18-19'!Q:Q,Draft!#REF!,'Detail 18-19'!AB:AB)</f>
        <v>#ERROR!</v>
      </c>
      <c r="G17" s="129"/>
      <c r="H17" s="129"/>
      <c r="I17" s="101">
        <v>0.0</v>
      </c>
      <c r="J17" s="102">
        <v>0.0</v>
      </c>
      <c r="K17" s="103">
        <v>0.0</v>
      </c>
      <c r="L17" s="104" t="str">
        <f>+SUMIF('Detail 18-19'!$Q:$Q,Draft!#REF!,'Detail 18-19'!AC:AC)</f>
        <v>#ERROR!</v>
      </c>
      <c r="M17" s="104" t="str">
        <f>+SUMIF('Detail 18-19'!$Q:$Q,Draft!#REF!,'Detail 18-19'!AD:AD)</f>
        <v>#ERROR!</v>
      </c>
      <c r="N17" s="104" t="str">
        <f>+SUMIF('Detail 18-19'!$Q:$Q,Draft!#REF!,'Detail 18-19'!AE:AE)</f>
        <v>#ERROR!</v>
      </c>
      <c r="O17" s="104" t="str">
        <f>+SUMIF('Detail 18-19'!$Q:$Q,Draft!#REF!,'Detail 18-19'!AF:AF)</f>
        <v>#ERROR!</v>
      </c>
      <c r="P17" s="104" t="str">
        <f>+SUMIF('Detail 18-19'!$Q:$Q,Draft!#REF!,'Detail 18-19'!AG:AG)</f>
        <v>#ERROR!</v>
      </c>
      <c r="Q17" s="104" t="str">
        <f>+SUMIF('Detail 18-19'!$Q:$Q,Draft!#REF!,'Detail 18-19'!AH:AH)</f>
        <v>#ERROR!</v>
      </c>
      <c r="R17" s="104" t="str">
        <f>+SUMIF('Detail 18-19'!$Q:$Q,Draft!#REF!,'Detail 18-19'!AI:AI)</f>
        <v>#ERROR!</v>
      </c>
      <c r="S17" s="104" t="str">
        <f>+SUMIF('Detail 18-19'!$Q:$Q,Draft!#REF!,'Detail 18-19'!AJ:AJ)</f>
        <v>#ERROR!</v>
      </c>
      <c r="T17" s="104" t="str">
        <f>+SUMIF('Detail 18-19'!$Q:$Q,Draft!#REF!,'Detail 18-19'!AK:AK)</f>
        <v>#ERROR!</v>
      </c>
      <c r="U17" s="104" t="str">
        <f>+SUMIF('Detail 18-19'!$Q:$Q,Draft!#REF!,'Detail 18-19'!AL:AL)</f>
        <v>#ERROR!</v>
      </c>
      <c r="V17" s="104" t="str">
        <f>+SUMIF('Detail 18-19'!$Q:$Q,Draft!#REF!,'Detail 18-19'!AM:AM)</f>
        <v>#ERROR!</v>
      </c>
      <c r="W17" s="104" t="str">
        <f>+SUMIF('Detail 18-19'!$Q:$Q,Draft!#REF!,'Detail 18-19'!AN:AN)</f>
        <v>#ERROR!</v>
      </c>
      <c r="X17" s="105" t="str">
        <f t="shared" si="9"/>
        <v>#ERROR!</v>
      </c>
      <c r="Y17" s="26" t="str">
        <f t="shared" si="10"/>
        <v>#ERROR!</v>
      </c>
    </row>
    <row r="18" collapsed="1">
      <c r="A18" s="95" t="s">
        <v>84</v>
      </c>
      <c r="B18" s="96">
        <f>+SUMIF('Detail 19-20'!$AN:$AN,Draft!$A18,'Detail 19-20'!T:T)</f>
        <v>63200</v>
      </c>
      <c r="C18" s="97">
        <f>+SUMIF('Detail 19-20'!$AN:$AN,Draft!$A18,'Detail 19-20'!S:S)</f>
        <v>53731.86</v>
      </c>
      <c r="D18" s="98">
        <f t="shared" ref="D18:D21" si="11">+B18-C18</f>
        <v>9468.14</v>
      </c>
      <c r="E18" s="99">
        <f t="shared" ref="E18:E21" si="12">+IFERROR(D18/C18,0)</f>
        <v>0.176210911</v>
      </c>
      <c r="F18" s="100">
        <v>39750.0</v>
      </c>
      <c r="G18" s="98">
        <f t="shared" ref="G18:G21" si="13">+C18-F18</f>
        <v>13981.86</v>
      </c>
      <c r="H18" s="99">
        <f t="shared" ref="H18:H21" si="14">+IFERROR(G18/F18,0)</f>
        <v>0.3517449057</v>
      </c>
      <c r="I18" s="101">
        <v>42200.0</v>
      </c>
      <c r="J18" s="102">
        <v>33700.0</v>
      </c>
      <c r="K18" s="103">
        <v>35000.0</v>
      </c>
      <c r="L18" s="104">
        <f>+SUMIF('Detail 19-20'!$AN:$AN,Draft!$A18,'Detail 19-20'!Z:Z)</f>
        <v>0</v>
      </c>
      <c r="M18" s="104">
        <f>+SUMIF('Detail 19-20'!$AN:$AN,Draft!$A18,'Detail 19-20'!AA:AA)</f>
        <v>0</v>
      </c>
      <c r="N18" s="104">
        <f>+SUMIF('Detail 19-20'!$AN:$AN,Draft!$A18,'Detail 19-20'!AB:AB)</f>
        <v>0</v>
      </c>
      <c r="O18" s="104">
        <f>+SUMIF('Detail 19-20'!$AN:$AN,Draft!$A18,'Detail 19-20'!AC:AC)</f>
        <v>0</v>
      </c>
      <c r="P18" s="104">
        <f>+SUMIF('Detail 19-20'!$AN:$AN,Draft!$A18,'Detail 19-20'!AD:AD)</f>
        <v>0</v>
      </c>
      <c r="Q18" s="104">
        <f>+SUMIF('Detail 19-20'!$AN:$AN,Draft!$A18,'Detail 19-20'!AE:AE)</f>
        <v>0</v>
      </c>
      <c r="R18" s="104">
        <f>+SUMIF('Detail 19-20'!$AN:$AN,Draft!$A18,'Detail 19-20'!AF:AF)</f>
        <v>0</v>
      </c>
      <c r="S18" s="104">
        <f>+SUMIF('Detail 19-20'!$AN:$AN,Draft!$A18,'Detail 19-20'!AG:AG)</f>
        <v>3550</v>
      </c>
      <c r="T18" s="104">
        <f>+SUMIF('Detail 19-20'!$AN:$AN,Draft!$A18,'Detail 19-20'!AH:AH)</f>
        <v>59650</v>
      </c>
      <c r="U18" s="104">
        <f>+SUMIF('Detail 19-20'!$AN:$AN,Draft!$A18,'Detail 19-20'!AI:AI)</f>
        <v>0</v>
      </c>
      <c r="V18" s="104">
        <f>+SUMIF('Detail 19-20'!$AN:$AN,Draft!$A18,'Detail 19-20'!AJ:AJ)</f>
        <v>0</v>
      </c>
      <c r="W18" s="104">
        <f>+SUMIF('Detail 19-20'!$AN:$AN,Draft!$A18,'Detail 19-20'!AK:AK)</f>
        <v>0</v>
      </c>
      <c r="X18" s="105">
        <f t="shared" si="9"/>
        <v>63200</v>
      </c>
      <c r="Y18" s="26">
        <f t="shared" si="10"/>
        <v>0</v>
      </c>
    </row>
    <row r="19">
      <c r="A19" s="95" t="s">
        <v>87</v>
      </c>
      <c r="B19" s="96">
        <f>-SUMIF('Detail 19-20'!$AN:$AN,Draft!$A19,'Detail 19-20'!T:T)</f>
        <v>-19500</v>
      </c>
      <c r="C19" s="97">
        <f>-SUMIF('Detail 19-20'!$AN:$AN,Draft!$A19,'Detail 19-20'!S:S)</f>
        <v>-17275.85</v>
      </c>
      <c r="D19" s="98">
        <f t="shared" si="11"/>
        <v>-2224.15</v>
      </c>
      <c r="E19" s="99">
        <f t="shared" si="12"/>
        <v>0.1287433035</v>
      </c>
      <c r="F19" s="100">
        <v>-19500.0</v>
      </c>
      <c r="G19" s="98">
        <f t="shared" si="13"/>
        <v>2224.15</v>
      </c>
      <c r="H19" s="99">
        <f t="shared" si="14"/>
        <v>-0.1140589744</v>
      </c>
      <c r="I19" s="101">
        <v>-14000.0</v>
      </c>
      <c r="J19" s="102">
        <v>-34000.0</v>
      </c>
      <c r="K19" s="103">
        <v>-9999.99</v>
      </c>
      <c r="L19" s="104">
        <f>-SUMIF('Detail 19-20'!$AN:$AN,Draft!$A19,'Detail 19-20'!Z:Z)</f>
        <v>0</v>
      </c>
      <c r="M19" s="104">
        <f>-SUMIF('Detail 19-20'!$AN:$AN,Draft!$A19,'Detail 19-20'!AA:AA)</f>
        <v>0</v>
      </c>
      <c r="N19" s="104">
        <f>-SUMIF('Detail 19-20'!$AN:$AN,Draft!$A19,'Detail 19-20'!AB:AB)</f>
        <v>0</v>
      </c>
      <c r="O19" s="104">
        <f>-SUMIF('Detail 19-20'!$AN:$AN,Draft!$A19,'Detail 19-20'!AC:AC)</f>
        <v>0</v>
      </c>
      <c r="P19" s="104">
        <f>-SUMIF('Detail 19-20'!$AN:$AN,Draft!$A19,'Detail 19-20'!AD:AD)</f>
        <v>0</v>
      </c>
      <c r="Q19" s="104">
        <f>-SUMIF('Detail 19-20'!$AN:$AN,Draft!$A19,'Detail 19-20'!AE:AE)</f>
        <v>0</v>
      </c>
      <c r="R19" s="104">
        <f>-SUMIF('Detail 19-20'!$AN:$AN,Draft!$A19,'Detail 19-20'!AF:AF)</f>
        <v>0</v>
      </c>
      <c r="S19" s="104">
        <f>-SUMIF('Detail 19-20'!$AN:$AN,Draft!$A19,'Detail 19-20'!AG:AG)</f>
        <v>0</v>
      </c>
      <c r="T19" s="104">
        <f>-SUMIF('Detail 19-20'!$AN:$AN,Draft!$A19,'Detail 19-20'!AH:AH)</f>
        <v>-19500</v>
      </c>
      <c r="U19" s="104">
        <f>-SUMIF('Detail 19-20'!$AN:$AN,Draft!$A19,'Detail 19-20'!AI:AI)</f>
        <v>0</v>
      </c>
      <c r="V19" s="104">
        <f>-SUMIF('Detail 19-20'!$AN:$AN,Draft!$A19,'Detail 19-20'!AJ:AJ)</f>
        <v>0</v>
      </c>
      <c r="W19" s="104">
        <f>-SUMIF('Detail 19-20'!$AN:$AN,Draft!$A19,'Detail 19-20'!AK:AK)</f>
        <v>0</v>
      </c>
      <c r="X19" s="105">
        <f t="shared" si="9"/>
        <v>-19500</v>
      </c>
      <c r="Y19" s="26">
        <f t="shared" si="10"/>
        <v>0</v>
      </c>
    </row>
    <row r="20" hidden="1" outlineLevel="1">
      <c r="A20" s="95" t="s">
        <v>90</v>
      </c>
      <c r="B20" s="96">
        <f>+SUMIF('Detail 19-20'!$AN:$AN,Draft!$A20,'Detail 19-20'!T:T)</f>
        <v>0</v>
      </c>
      <c r="C20" s="97">
        <f>+SUMIF('Detail 19-20'!$AN:$AN,Draft!$A20,'Detail 19-20'!S:S)</f>
        <v>0</v>
      </c>
      <c r="D20" s="98">
        <f t="shared" si="11"/>
        <v>0</v>
      </c>
      <c r="E20" s="99">
        <f t="shared" si="12"/>
        <v>0</v>
      </c>
      <c r="F20" s="100" t="str">
        <f>+SUMIF('Detail 19-20'!AN:AN,Draft!#REF!,'Detail 19-20'!P:P)</f>
        <v>#ERROR!</v>
      </c>
      <c r="G20" s="98" t="str">
        <f t="shared" si="13"/>
        <v>#ERROR!</v>
      </c>
      <c r="H20" s="99">
        <f t="shared" si="14"/>
        <v>0</v>
      </c>
      <c r="I20" s="101">
        <v>0.0</v>
      </c>
      <c r="J20" s="102">
        <v>0.0</v>
      </c>
      <c r="K20" s="103">
        <v>0.0</v>
      </c>
      <c r="L20" s="104" t="str">
        <f>+SUMIF('Detail 18-19'!$Q:$Q,Draft!#REF!,'Detail 18-19'!AC:AC)</f>
        <v>#ERROR!</v>
      </c>
      <c r="M20" s="104" t="str">
        <f>+SUMIF('Detail 18-19'!$Q:$Q,Draft!#REF!,'Detail 18-19'!AD:AD)</f>
        <v>#ERROR!</v>
      </c>
      <c r="N20" s="104" t="str">
        <f>+SUMIF('Detail 18-19'!$Q:$Q,Draft!#REF!,'Detail 18-19'!AE:AE)</f>
        <v>#ERROR!</v>
      </c>
      <c r="O20" s="104" t="str">
        <f>+SUMIF('Detail 18-19'!$Q:$Q,Draft!#REF!,'Detail 18-19'!AF:AF)</f>
        <v>#ERROR!</v>
      </c>
      <c r="P20" s="104" t="str">
        <f>+SUMIF('Detail 18-19'!$Q:$Q,Draft!#REF!,'Detail 18-19'!AG:AG)</f>
        <v>#ERROR!</v>
      </c>
      <c r="Q20" s="104" t="str">
        <f>+SUMIF('Detail 18-19'!$Q:$Q,Draft!#REF!,'Detail 18-19'!AH:AH)</f>
        <v>#ERROR!</v>
      </c>
      <c r="R20" s="104" t="str">
        <f>+SUMIF('Detail 18-19'!$Q:$Q,Draft!#REF!,'Detail 18-19'!AI:AI)</f>
        <v>#ERROR!</v>
      </c>
      <c r="S20" s="104" t="str">
        <f>+SUMIF('Detail 18-19'!$Q:$Q,Draft!#REF!,'Detail 18-19'!AJ:AJ)</f>
        <v>#ERROR!</v>
      </c>
      <c r="T20" s="104" t="str">
        <f>+SUMIF('Detail 18-19'!$Q:$Q,Draft!#REF!,'Detail 18-19'!AK:AK)</f>
        <v>#ERROR!</v>
      </c>
      <c r="U20" s="104" t="str">
        <f>+SUMIF('Detail 18-19'!$Q:$Q,Draft!#REF!,'Detail 18-19'!AL:AL)</f>
        <v>#ERROR!</v>
      </c>
      <c r="V20" s="104" t="str">
        <f>+SUMIF('Detail 18-19'!$Q:$Q,Draft!#REF!,'Detail 18-19'!AM:AM)</f>
        <v>#ERROR!</v>
      </c>
      <c r="W20" s="104" t="str">
        <f>+SUMIF('Detail 18-19'!$Q:$Q,Draft!#REF!,'Detail 18-19'!AN:AN)</f>
        <v>#ERROR!</v>
      </c>
      <c r="X20" s="105" t="str">
        <f t="shared" si="9"/>
        <v>#ERROR!</v>
      </c>
      <c r="Y20" s="26" t="str">
        <f t="shared" si="10"/>
        <v>#ERROR!</v>
      </c>
    </row>
    <row r="21" ht="15.75" customHeight="1" collapsed="1">
      <c r="A21" s="106" t="s">
        <v>94</v>
      </c>
      <c r="B21" s="96">
        <f>+SUMIF('Detail 19-20'!$AN:$AN,Draft!$A21,'Detail 19-20'!T:T)</f>
        <v>8000</v>
      </c>
      <c r="C21" s="97">
        <f>+SUMIF('Detail 19-20'!$AN:$AN,Draft!$A21,'Detail 19-20'!S:S)</f>
        <v>18882.99</v>
      </c>
      <c r="D21" s="98">
        <f t="shared" si="11"/>
        <v>-10882.99</v>
      </c>
      <c r="E21" s="99">
        <f t="shared" si="12"/>
        <v>-0.5763382812</v>
      </c>
      <c r="F21" s="100">
        <v>10000.0</v>
      </c>
      <c r="G21" s="98">
        <f t="shared" si="13"/>
        <v>8882.99</v>
      </c>
      <c r="H21" s="99">
        <f t="shared" si="14"/>
        <v>0.888299</v>
      </c>
      <c r="I21" s="101">
        <v>10000.0</v>
      </c>
      <c r="J21" s="107">
        <v>10000.0</v>
      </c>
      <c r="K21" s="108">
        <v>10000.000000000002</v>
      </c>
      <c r="L21" s="109">
        <f>+SUMIF('Detail 19-20'!$AN:$AN,Draft!$A21,'Detail 19-20'!Z:Z)</f>
        <v>0</v>
      </c>
      <c r="M21" s="109">
        <f>+SUMIF('Detail 19-20'!$AN:$AN,Draft!$A21,'Detail 19-20'!AA:AA)</f>
        <v>421.0526316</v>
      </c>
      <c r="N21" s="109">
        <f>+SUMIF('Detail 19-20'!$AN:$AN,Draft!$A21,'Detail 19-20'!AB:AB)</f>
        <v>842.1052632</v>
      </c>
      <c r="O21" s="109">
        <f>+SUMIF('Detail 19-20'!$AN:$AN,Draft!$A21,'Detail 19-20'!AC:AC)</f>
        <v>842.1052632</v>
      </c>
      <c r="P21" s="109">
        <f>+SUMIF('Detail 19-20'!$AN:$AN,Draft!$A21,'Detail 19-20'!AD:AD)</f>
        <v>842.1052632</v>
      </c>
      <c r="Q21" s="109">
        <f>+SUMIF('Detail 19-20'!$AN:$AN,Draft!$A21,'Detail 19-20'!AE:AE)</f>
        <v>842.1052632</v>
      </c>
      <c r="R21" s="109">
        <f>+SUMIF('Detail 19-20'!$AN:$AN,Draft!$A21,'Detail 19-20'!AF:AF)</f>
        <v>842.1052632</v>
      </c>
      <c r="S21" s="109">
        <f>+SUMIF('Detail 19-20'!$AN:$AN,Draft!$A21,'Detail 19-20'!AG:AG)</f>
        <v>842.1052632</v>
      </c>
      <c r="T21" s="109">
        <f>+SUMIF('Detail 19-20'!$AN:$AN,Draft!$A21,'Detail 19-20'!AH:AH)</f>
        <v>842.1052632</v>
      </c>
      <c r="U21" s="109">
        <f>+SUMIF('Detail 19-20'!$AN:$AN,Draft!$A21,'Detail 19-20'!AI:AI)</f>
        <v>842.1052632</v>
      </c>
      <c r="V21" s="109">
        <f>+SUMIF('Detail 19-20'!$AN:$AN,Draft!$A21,'Detail 19-20'!AJ:AJ)</f>
        <v>842.1052632</v>
      </c>
      <c r="W21" s="109">
        <f>+SUMIF('Detail 19-20'!$AN:$AN,Draft!$A21,'Detail 19-20'!AK:AK)</f>
        <v>0</v>
      </c>
      <c r="X21" s="110">
        <f t="shared" si="9"/>
        <v>8000</v>
      </c>
      <c r="Y21" s="26">
        <f t="shared" si="10"/>
        <v>0</v>
      </c>
    </row>
    <row r="22" ht="15.75" customHeight="1">
      <c r="A22" s="111"/>
      <c r="B22" s="112"/>
      <c r="C22" s="113"/>
      <c r="D22" s="114"/>
      <c r="E22" s="114"/>
      <c r="F22" s="115"/>
      <c r="G22" s="114"/>
      <c r="H22" s="114"/>
      <c r="I22" s="116"/>
      <c r="J22" s="88"/>
      <c r="K22" s="81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ht="15.75" customHeight="1">
      <c r="A23" s="95" t="s">
        <v>97</v>
      </c>
      <c r="B23" s="117">
        <f t="shared" ref="B23:C23" si="15">+SUM(B16:B21)</f>
        <v>86700</v>
      </c>
      <c r="C23" s="118" t="str">
        <f t="shared" si="15"/>
        <v>#ERROR!</v>
      </c>
      <c r="D23" s="98" t="str">
        <f>+B23-C23</f>
        <v>#ERROR!</v>
      </c>
      <c r="E23" s="99">
        <f>+IFERROR(D23/C23,0)</f>
        <v>0</v>
      </c>
      <c r="F23" s="119" t="str">
        <f>+SUM(F16:F21)</f>
        <v>#ERROR!</v>
      </c>
      <c r="G23" s="98" t="str">
        <f>+C23-F23</f>
        <v>#ERROR!</v>
      </c>
      <c r="H23" s="99">
        <f>+IFERROR(G23/F23,0)</f>
        <v>0</v>
      </c>
      <c r="I23" s="120">
        <f>+SUM(I16:I21)</f>
        <v>88200</v>
      </c>
      <c r="J23" s="121">
        <v>61200.0</v>
      </c>
      <c r="K23" s="122">
        <v>71000.01000000001</v>
      </c>
      <c r="L23" s="105" t="str">
        <f t="shared" ref="L23:X23" si="16">+SUM(L16:L21)</f>
        <v>#ERROR!</v>
      </c>
      <c r="M23" s="105" t="str">
        <f t="shared" si="16"/>
        <v>#ERROR!</v>
      </c>
      <c r="N23" s="105" t="str">
        <f t="shared" si="16"/>
        <v>#ERROR!</v>
      </c>
      <c r="O23" s="105" t="str">
        <f t="shared" si="16"/>
        <v>#ERROR!</v>
      </c>
      <c r="P23" s="105" t="str">
        <f t="shared" si="16"/>
        <v>#ERROR!</v>
      </c>
      <c r="Q23" s="105" t="str">
        <f t="shared" si="16"/>
        <v>#ERROR!</v>
      </c>
      <c r="R23" s="105" t="str">
        <f t="shared" si="16"/>
        <v>#ERROR!</v>
      </c>
      <c r="S23" s="105" t="str">
        <f t="shared" si="16"/>
        <v>#ERROR!</v>
      </c>
      <c r="T23" s="105" t="str">
        <f t="shared" si="16"/>
        <v>#ERROR!</v>
      </c>
      <c r="U23" s="105" t="str">
        <f t="shared" si="16"/>
        <v>#ERROR!</v>
      </c>
      <c r="V23" s="105" t="str">
        <f t="shared" si="16"/>
        <v>#ERROR!</v>
      </c>
      <c r="W23" s="105" t="str">
        <f t="shared" si="16"/>
        <v>#ERROR!</v>
      </c>
      <c r="X23" s="105" t="str">
        <f t="shared" si="16"/>
        <v>#ERROR!</v>
      </c>
      <c r="Y23" s="26" t="str">
        <f>ROUND(X23-B23,0)</f>
        <v>#ERROR!</v>
      </c>
    </row>
    <row r="24" ht="15.75" customHeight="1">
      <c r="A24" s="123" t="s">
        <v>77</v>
      </c>
      <c r="B24" s="124"/>
      <c r="C24" s="125"/>
      <c r="D24" s="126"/>
      <c r="E24" s="126"/>
      <c r="F24" s="127"/>
      <c r="G24" s="126"/>
      <c r="H24" s="126"/>
      <c r="I24" s="128"/>
      <c r="J24" s="88"/>
      <c r="K24" s="81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ht="15.75" customHeight="1">
      <c r="A25" s="89" t="s">
        <v>102</v>
      </c>
      <c r="B25" s="90"/>
      <c r="C25" s="91"/>
      <c r="D25" s="92"/>
      <c r="E25" s="92"/>
      <c r="F25" s="93"/>
      <c r="G25" s="92"/>
      <c r="H25" s="92"/>
      <c r="I25" s="94"/>
      <c r="J25" s="88"/>
      <c r="K25" s="81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ht="15.75" customHeight="1">
      <c r="A26" s="95" t="s">
        <v>103</v>
      </c>
      <c r="B26" s="96">
        <f>+SUMIF('Detail 19-20'!$AN:$AN,Draft!$A26,'Detail 19-20'!T:T)</f>
        <v>430</v>
      </c>
      <c r="C26" s="97">
        <f>+SUMIF('Detail 19-20'!$AN:$AN,Draft!$A26,'Detail 19-20'!S:S)</f>
        <v>413.6</v>
      </c>
      <c r="D26" s="98">
        <f t="shared" ref="D26:D27" si="17">+B26-C26</f>
        <v>16.4</v>
      </c>
      <c r="E26" s="99">
        <f t="shared" ref="E26:E27" si="18">+IFERROR(D26/C26,0)</f>
        <v>0.03965183752</v>
      </c>
      <c r="F26" s="100">
        <v>250.0</v>
      </c>
      <c r="G26" s="98">
        <f t="shared" ref="G26:G27" si="19">+C26-F26</f>
        <v>163.6</v>
      </c>
      <c r="H26" s="99">
        <f t="shared" ref="H26:H27" si="20">+IFERROR(G26/F26,0)</f>
        <v>0.6544</v>
      </c>
      <c r="I26" s="101">
        <v>250.0</v>
      </c>
      <c r="J26" s="102">
        <v>190.66666666666669</v>
      </c>
      <c r="K26" s="103">
        <v>249.95999999999992</v>
      </c>
      <c r="L26" s="104">
        <f>+SUMIF('Detail 19-20'!$AN:$AN,Draft!$A26,'Detail 19-20'!Z:Z)</f>
        <v>35.83333333</v>
      </c>
      <c r="M26" s="104">
        <f>+SUMIF('Detail 19-20'!$AN:$AN,Draft!$A26,'Detail 19-20'!AA:AA)</f>
        <v>35.83333333</v>
      </c>
      <c r="N26" s="104">
        <f>+SUMIF('Detail 19-20'!$AN:$AN,Draft!$A26,'Detail 19-20'!AB:AB)</f>
        <v>35.83333333</v>
      </c>
      <c r="O26" s="104">
        <f>+SUMIF('Detail 19-20'!$AN:$AN,Draft!$A26,'Detail 19-20'!AC:AC)</f>
        <v>35.83333333</v>
      </c>
      <c r="P26" s="104">
        <f>+SUMIF('Detail 19-20'!$AN:$AN,Draft!$A26,'Detail 19-20'!AD:AD)</f>
        <v>35.83333333</v>
      </c>
      <c r="Q26" s="104">
        <f>+SUMIF('Detail 19-20'!$AN:$AN,Draft!$A26,'Detail 19-20'!AE:AE)</f>
        <v>35.83333333</v>
      </c>
      <c r="R26" s="104">
        <f>+SUMIF('Detail 19-20'!$AN:$AN,Draft!$A26,'Detail 19-20'!AF:AF)</f>
        <v>35.83333333</v>
      </c>
      <c r="S26" s="104">
        <f>+SUMIF('Detail 19-20'!$AN:$AN,Draft!$A26,'Detail 19-20'!AG:AG)</f>
        <v>35.83333333</v>
      </c>
      <c r="T26" s="104">
        <f>+SUMIF('Detail 19-20'!$AN:$AN,Draft!$A26,'Detail 19-20'!AH:AH)</f>
        <v>35.83333333</v>
      </c>
      <c r="U26" s="104">
        <f>+SUMIF('Detail 19-20'!$AN:$AN,Draft!$A26,'Detail 19-20'!AI:AI)</f>
        <v>35.83333333</v>
      </c>
      <c r="V26" s="104">
        <f>+SUMIF('Detail 19-20'!$AN:$AN,Draft!$A26,'Detail 19-20'!AJ:AJ)</f>
        <v>35.83333333</v>
      </c>
      <c r="W26" s="104">
        <f>+SUMIF('Detail 19-20'!$AN:$AN,Draft!$A26,'Detail 19-20'!AK:AK)</f>
        <v>35.83333333</v>
      </c>
      <c r="X26" s="105">
        <f t="shared" ref="X26:X27" si="21">SUM(L26:W26)</f>
        <v>430</v>
      </c>
      <c r="Y26" s="26">
        <f t="shared" ref="Y26:Y27" si="22">ROUND(X26-B26,0)</f>
        <v>0</v>
      </c>
    </row>
    <row r="27" ht="15.75" customHeight="1">
      <c r="A27" s="106" t="s">
        <v>107</v>
      </c>
      <c r="B27" s="96">
        <f>+SUMIF('Detail 19-20'!$AN:$AN,Draft!$A27,'Detail 19-20'!T:T)</f>
        <v>0</v>
      </c>
      <c r="C27" s="97">
        <f>+SUMIF('Detail 19-20'!$AN:$AN,Draft!$A27,'Detail 19-20'!S:S)</f>
        <v>0</v>
      </c>
      <c r="D27" s="98">
        <f t="shared" si="17"/>
        <v>0</v>
      </c>
      <c r="E27" s="99">
        <f t="shared" si="18"/>
        <v>0</v>
      </c>
      <c r="F27" s="100" t="str">
        <f>+SUMIF('Detail 19-20'!AN:AN,Draft!#REF!,'Detail 19-20'!P:P)</f>
        <v>#ERROR!</v>
      </c>
      <c r="G27" s="98" t="str">
        <f t="shared" si="19"/>
        <v>#ERROR!</v>
      </c>
      <c r="H27" s="99">
        <f t="shared" si="20"/>
        <v>0</v>
      </c>
      <c r="I27" s="101">
        <v>0.0</v>
      </c>
      <c r="J27" s="107">
        <v>0.0</v>
      </c>
      <c r="K27" s="108">
        <v>0.0</v>
      </c>
      <c r="L27" s="109">
        <f>+SUMIF('Detail 19-20'!$AN:$AN,Draft!$A27,'Detail 19-20'!Z:Z)</f>
        <v>0</v>
      </c>
      <c r="M27" s="109">
        <f>+SUMIF('Detail 19-20'!$AN:$AN,Draft!$A27,'Detail 19-20'!AA:AA)</f>
        <v>0</v>
      </c>
      <c r="N27" s="109">
        <f>+SUMIF('Detail 19-20'!$AN:$AN,Draft!$A27,'Detail 19-20'!AB:AB)</f>
        <v>0</v>
      </c>
      <c r="O27" s="109">
        <f>+SUMIF('Detail 19-20'!$AN:$AN,Draft!$A27,'Detail 19-20'!AC:AC)</f>
        <v>0</v>
      </c>
      <c r="P27" s="109">
        <f>+SUMIF('Detail 19-20'!$AN:$AN,Draft!$A27,'Detail 19-20'!AD:AD)</f>
        <v>0</v>
      </c>
      <c r="Q27" s="109">
        <f>+SUMIF('Detail 19-20'!$AN:$AN,Draft!$A27,'Detail 19-20'!AE:AE)</f>
        <v>0</v>
      </c>
      <c r="R27" s="109">
        <f>+SUMIF('Detail 19-20'!$AN:$AN,Draft!$A27,'Detail 19-20'!AF:AF)</f>
        <v>0</v>
      </c>
      <c r="S27" s="109">
        <f>+SUMIF('Detail 19-20'!$AN:$AN,Draft!$A27,'Detail 19-20'!AG:AG)</f>
        <v>0</v>
      </c>
      <c r="T27" s="109">
        <f>+SUMIF('Detail 19-20'!$AN:$AN,Draft!$A27,'Detail 19-20'!AH:AH)</f>
        <v>0</v>
      </c>
      <c r="U27" s="109">
        <f>+SUMIF('Detail 19-20'!$AN:$AN,Draft!$A27,'Detail 19-20'!AI:AI)</f>
        <v>0</v>
      </c>
      <c r="V27" s="109">
        <f>+SUMIF('Detail 19-20'!$AN:$AN,Draft!$A27,'Detail 19-20'!AJ:AJ)</f>
        <v>0</v>
      </c>
      <c r="W27" s="109">
        <f>+SUMIF('Detail 19-20'!$AN:$AN,Draft!$A27,'Detail 19-20'!AK:AK)</f>
        <v>0</v>
      </c>
      <c r="X27" s="110">
        <f t="shared" si="21"/>
        <v>0</v>
      </c>
      <c r="Y27" s="26">
        <f t="shared" si="22"/>
        <v>0</v>
      </c>
    </row>
    <row r="28" ht="15.75" customHeight="1">
      <c r="A28" s="111"/>
      <c r="B28" s="112"/>
      <c r="C28" s="113"/>
      <c r="D28" s="114"/>
      <c r="E28" s="114"/>
      <c r="F28" s="115"/>
      <c r="G28" s="114"/>
      <c r="H28" s="114"/>
      <c r="I28" s="116"/>
      <c r="J28" s="88"/>
      <c r="K28" s="81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ht="15.75" customHeight="1">
      <c r="A29" s="95" t="s">
        <v>113</v>
      </c>
      <c r="B29" s="117">
        <f t="shared" ref="B29:C29" si="23">+SUM(B26:B27)</f>
        <v>430</v>
      </c>
      <c r="C29" s="118">
        <f t="shared" si="23"/>
        <v>413.6</v>
      </c>
      <c r="D29" s="98">
        <f>+B29-C29</f>
        <v>16.4</v>
      </c>
      <c r="E29" s="99">
        <f>+IFERROR(D29/C29,0)</f>
        <v>0.03965183752</v>
      </c>
      <c r="F29" s="119" t="str">
        <f>+SUM(F26:F27)</f>
        <v>#ERROR!</v>
      </c>
      <c r="G29" s="98" t="str">
        <f>+C29-F29</f>
        <v>#ERROR!</v>
      </c>
      <c r="H29" s="99">
        <f>+IFERROR(G29/F29,0)</f>
        <v>0</v>
      </c>
      <c r="I29" s="120">
        <v>250.0</v>
      </c>
      <c r="J29" s="121">
        <v>190.66666666666669</v>
      </c>
      <c r="K29" s="122">
        <v>249.95999999999992</v>
      </c>
      <c r="L29" s="105">
        <f t="shared" ref="L29:X29" si="24">+SUM(L26:L27)</f>
        <v>35.83333333</v>
      </c>
      <c r="M29" s="105">
        <f t="shared" si="24"/>
        <v>35.83333333</v>
      </c>
      <c r="N29" s="105">
        <f t="shared" si="24"/>
        <v>35.83333333</v>
      </c>
      <c r="O29" s="105">
        <f t="shared" si="24"/>
        <v>35.83333333</v>
      </c>
      <c r="P29" s="105">
        <f t="shared" si="24"/>
        <v>35.83333333</v>
      </c>
      <c r="Q29" s="105">
        <f t="shared" si="24"/>
        <v>35.83333333</v>
      </c>
      <c r="R29" s="105">
        <f t="shared" si="24"/>
        <v>35.83333333</v>
      </c>
      <c r="S29" s="105">
        <f t="shared" si="24"/>
        <v>35.83333333</v>
      </c>
      <c r="T29" s="105">
        <f t="shared" si="24"/>
        <v>35.83333333</v>
      </c>
      <c r="U29" s="105">
        <f t="shared" si="24"/>
        <v>35.83333333</v>
      </c>
      <c r="V29" s="105">
        <f t="shared" si="24"/>
        <v>35.83333333</v>
      </c>
      <c r="W29" s="105">
        <f t="shared" si="24"/>
        <v>35.83333333</v>
      </c>
      <c r="X29" s="105">
        <f t="shared" si="24"/>
        <v>430</v>
      </c>
      <c r="Y29" s="26">
        <f>ROUND(X29-B29,0)</f>
        <v>0</v>
      </c>
    </row>
    <row r="30" ht="15.75" hidden="1" customHeight="1" outlineLevel="1">
      <c r="A30" s="123" t="s">
        <v>77</v>
      </c>
      <c r="B30" s="124"/>
      <c r="C30" s="125"/>
      <c r="D30" s="126"/>
      <c r="E30" s="126"/>
      <c r="F30" s="127"/>
      <c r="G30" s="126"/>
      <c r="H30" s="126"/>
      <c r="I30" s="128"/>
      <c r="J30" s="88"/>
      <c r="K30" s="81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  <row r="31" ht="15.75" customHeight="1" collapsed="1">
      <c r="A31" s="95" t="s">
        <v>115</v>
      </c>
      <c r="B31" s="117">
        <f t="shared" ref="B31:C31" si="25">+SUM(B13,B23,B29)</f>
        <v>1141906.5</v>
      </c>
      <c r="C31" s="118" t="str">
        <f t="shared" si="25"/>
        <v>#ERROR!</v>
      </c>
      <c r="D31" s="98" t="str">
        <f>+B31-C31</f>
        <v>#ERROR!</v>
      </c>
      <c r="E31" s="99">
        <f>+IFERROR(D31/C31,0)</f>
        <v>0</v>
      </c>
      <c r="F31" s="119" t="str">
        <f>+SUM(F13,F23,F29)</f>
        <v>#ERROR!</v>
      </c>
      <c r="G31" s="98" t="str">
        <f>+C31-F31</f>
        <v>#ERROR!</v>
      </c>
      <c r="H31" s="99">
        <f>+IFERROR(G31/F31,0)</f>
        <v>0</v>
      </c>
      <c r="I31" s="120">
        <f>+SUM(I29,I23,I13)</f>
        <v>1097003</v>
      </c>
      <c r="J31" s="121">
        <v>850332.5841666666</v>
      </c>
      <c r="K31" s="122">
        <v>1081418.0</v>
      </c>
      <c r="L31" s="105" t="str">
        <f t="shared" ref="L31:X31" si="26">+SUM(L13,L23,L29)</f>
        <v>#ERROR!</v>
      </c>
      <c r="M31" s="105" t="str">
        <f t="shared" si="26"/>
        <v>#ERROR!</v>
      </c>
      <c r="N31" s="105" t="str">
        <f t="shared" si="26"/>
        <v>#ERROR!</v>
      </c>
      <c r="O31" s="105" t="str">
        <f t="shared" si="26"/>
        <v>#ERROR!</v>
      </c>
      <c r="P31" s="105" t="str">
        <f t="shared" si="26"/>
        <v>#ERROR!</v>
      </c>
      <c r="Q31" s="105" t="str">
        <f t="shared" si="26"/>
        <v>#ERROR!</v>
      </c>
      <c r="R31" s="105" t="str">
        <f t="shared" si="26"/>
        <v>#ERROR!</v>
      </c>
      <c r="S31" s="105" t="str">
        <f t="shared" si="26"/>
        <v>#ERROR!</v>
      </c>
      <c r="T31" s="105" t="str">
        <f t="shared" si="26"/>
        <v>#ERROR!</v>
      </c>
      <c r="U31" s="105" t="str">
        <f t="shared" si="26"/>
        <v>#ERROR!</v>
      </c>
      <c r="V31" s="105" t="str">
        <f t="shared" si="26"/>
        <v>#ERROR!</v>
      </c>
      <c r="W31" s="105" t="str">
        <f t="shared" si="26"/>
        <v>#ERROR!</v>
      </c>
      <c r="X31" s="105" t="str">
        <f t="shared" si="26"/>
        <v>#ERROR!</v>
      </c>
      <c r="Y31" s="26" t="str">
        <f>ROUND(X31-B31,0)</f>
        <v>#ERROR!</v>
      </c>
    </row>
    <row r="32" ht="15.75" hidden="1" customHeight="1" outlineLevel="1">
      <c r="A32" s="111"/>
      <c r="B32" s="130"/>
      <c r="C32" s="131"/>
      <c r="D32" s="132"/>
      <c r="E32" s="132"/>
      <c r="F32" s="133"/>
      <c r="G32" s="132"/>
      <c r="H32" s="132"/>
      <c r="I32" s="134"/>
      <c r="J32" s="88"/>
      <c r="K32" s="81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ht="15.75" customHeight="1" collapsed="1">
      <c r="A33" s="82" t="s">
        <v>119</v>
      </c>
      <c r="B33" s="83"/>
      <c r="C33" s="84"/>
      <c r="D33" s="85"/>
      <c r="E33" s="85"/>
      <c r="F33" s="86"/>
      <c r="G33" s="85"/>
      <c r="H33" s="85"/>
      <c r="I33" s="87"/>
      <c r="J33" s="88"/>
      <c r="K33" s="81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ht="15.75" customHeight="1">
      <c r="A34" s="89" t="s">
        <v>120</v>
      </c>
      <c r="B34" s="90"/>
      <c r="C34" s="91"/>
      <c r="D34" s="92"/>
      <c r="E34" s="92"/>
      <c r="F34" s="93"/>
      <c r="G34" s="92"/>
      <c r="H34" s="92"/>
      <c r="I34" s="94"/>
      <c r="J34" s="88"/>
      <c r="K34" s="81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ht="15.75" customHeight="1">
      <c r="A35" s="95" t="s">
        <v>121</v>
      </c>
      <c r="B35" s="96">
        <f>+SUMIF('Detail 19-20'!$AN:$AN,Draft!$A35,'Detail 19-20'!T:T)</f>
        <v>683048.4593</v>
      </c>
      <c r="C35" s="97">
        <f>+SUMIF('Detail 19-20'!$AN:$AN,Draft!$A35,'Detail 19-20'!S:S)</f>
        <v>611359.5858</v>
      </c>
      <c r="D35" s="98">
        <f t="shared" ref="D35:D60" si="27">+B35-C35</f>
        <v>71688.87344</v>
      </c>
      <c r="E35" s="99">
        <f t="shared" ref="E35:E60" si="28">+IFERROR(D35/C35,0)</f>
        <v>0.1172613877</v>
      </c>
      <c r="F35" s="100">
        <v>612308.547351</v>
      </c>
      <c r="G35" s="98">
        <f t="shared" ref="G35:G60" si="29">+C35-F35</f>
        <v>-948.9615177</v>
      </c>
      <c r="H35" s="99">
        <f t="shared" ref="H35:H60" si="30">+IFERROR(G35/F35,0)</f>
        <v>-0.00154980936</v>
      </c>
      <c r="I35" s="101">
        <v>644653.3699999999</v>
      </c>
      <c r="J35" s="102">
        <v>489814.0</v>
      </c>
      <c r="K35" s="103">
        <v>666843.9800000001</v>
      </c>
      <c r="L35" s="104">
        <f>+SUMIF('Detail 19-20'!$AN:$AN,Draft!$A35,'Detail 19-20'!Z:Z)</f>
        <v>23966.31964</v>
      </c>
      <c r="M35" s="104">
        <f>+SUMIF('Detail 19-20'!$AN:$AN,Draft!$A35,'Detail 19-20'!AA:AA)</f>
        <v>44035.21434</v>
      </c>
      <c r="N35" s="104">
        <f>+SUMIF('Detail 19-20'!$AN:$AN,Draft!$A35,'Detail 19-20'!AB:AB)</f>
        <v>64104.10904</v>
      </c>
      <c r="O35" s="104">
        <f>+SUMIF('Detail 19-20'!$AN:$AN,Draft!$A35,'Detail 19-20'!AC:AC)</f>
        <v>64104.10904</v>
      </c>
      <c r="P35" s="104">
        <f>+SUMIF('Detail 19-20'!$AN:$AN,Draft!$A35,'Detail 19-20'!AD:AD)</f>
        <v>64104.10904</v>
      </c>
      <c r="Q35" s="104">
        <f>+SUMIF('Detail 19-20'!$AN:$AN,Draft!$A35,'Detail 19-20'!AE:AE)</f>
        <v>68247.73334</v>
      </c>
      <c r="R35" s="104">
        <f>+SUMIF('Detail 19-20'!$AN:$AN,Draft!$A35,'Detail 19-20'!AF:AF)</f>
        <v>64104.10904</v>
      </c>
      <c r="S35" s="104">
        <f>+SUMIF('Detail 19-20'!$AN:$AN,Draft!$A35,'Detail 19-20'!AG:AG)</f>
        <v>64104.10904</v>
      </c>
      <c r="T35" s="104">
        <f>+SUMIF('Detail 19-20'!$AN:$AN,Draft!$A35,'Detail 19-20'!AH:AH)</f>
        <v>64104.10904</v>
      </c>
      <c r="U35" s="104">
        <f>+SUMIF('Detail 19-20'!$AN:$AN,Draft!$A35,'Detail 19-20'!AI:AI)</f>
        <v>64104.10904</v>
      </c>
      <c r="V35" s="104">
        <f>+SUMIF('Detail 19-20'!$AN:$AN,Draft!$A35,'Detail 19-20'!AJ:AJ)</f>
        <v>64104.10904</v>
      </c>
      <c r="W35" s="104">
        <f>+SUMIF('Detail 19-20'!$AN:$AN,Draft!$A35,'Detail 19-20'!AK:AK)</f>
        <v>33966.31964</v>
      </c>
      <c r="X35" s="105">
        <f t="shared" ref="X35:X60" si="31">SUM(L35:W35)</f>
        <v>683048.4593</v>
      </c>
      <c r="Y35" s="26">
        <f t="shared" ref="Y35:Y60" si="32">ROUND(X35-B35,0)</f>
        <v>0</v>
      </c>
    </row>
    <row r="36" ht="15.75" customHeight="1">
      <c r="A36" s="95" t="s">
        <v>125</v>
      </c>
      <c r="B36" s="96">
        <f>+SUMIF('Detail 19-20'!$AN:$AN,Draft!$A36,'Detail 19-20'!T:T)</f>
        <v>62633.35228</v>
      </c>
      <c r="C36" s="97">
        <f>+SUMIF('Detail 19-20'!$AN:$AN,Draft!$A36,'Detail 19-20'!S:S)</f>
        <v>50245.21333</v>
      </c>
      <c r="D36" s="98">
        <f t="shared" si="27"/>
        <v>12388.13894</v>
      </c>
      <c r="E36" s="99">
        <f t="shared" si="28"/>
        <v>0.2465536142</v>
      </c>
      <c r="F36" s="100">
        <v>80675.98651653001</v>
      </c>
      <c r="G36" s="98">
        <f t="shared" si="29"/>
        <v>-30430.77318</v>
      </c>
      <c r="H36" s="99">
        <f t="shared" si="30"/>
        <v>-0.3771974102</v>
      </c>
      <c r="I36" s="101">
        <v>66079.31</v>
      </c>
      <c r="J36" s="102">
        <v>93592.94</v>
      </c>
      <c r="K36" s="103">
        <v>72348.49</v>
      </c>
      <c r="L36" s="104">
        <f>+SUMIF('Detail 19-20'!$AN:$AN,Draft!$A36,'Detail 19-20'!Z:Z)</f>
        <v>2020</v>
      </c>
      <c r="M36" s="104">
        <f>+SUMIF('Detail 19-20'!$AN:$AN,Draft!$A36,'Detail 19-20'!AA:AA)</f>
        <v>4040.702751</v>
      </c>
      <c r="N36" s="104">
        <f>+SUMIF('Detail 19-20'!$AN:$AN,Draft!$A36,'Detail 19-20'!AB:AB)</f>
        <v>6061.405503</v>
      </c>
      <c r="O36" s="104">
        <f>+SUMIF('Detail 19-20'!$AN:$AN,Draft!$A36,'Detail 19-20'!AC:AC)</f>
        <v>6061.405503</v>
      </c>
      <c r="P36" s="104">
        <f>+SUMIF('Detail 19-20'!$AN:$AN,Draft!$A36,'Detail 19-20'!AD:AD)</f>
        <v>6061.405503</v>
      </c>
      <c r="Q36" s="104">
        <f>+SUMIF('Detail 19-20'!$AN:$AN,Draft!$A36,'Detail 19-20'!AE:AE)</f>
        <v>6061.405503</v>
      </c>
      <c r="R36" s="104">
        <f>+SUMIF('Detail 19-20'!$AN:$AN,Draft!$A36,'Detail 19-20'!AF:AF)</f>
        <v>6061.405503</v>
      </c>
      <c r="S36" s="104">
        <f>+SUMIF('Detail 19-20'!$AN:$AN,Draft!$A36,'Detail 19-20'!AG:AG)</f>
        <v>6061.405503</v>
      </c>
      <c r="T36" s="104">
        <f>+SUMIF('Detail 19-20'!$AN:$AN,Draft!$A36,'Detail 19-20'!AH:AH)</f>
        <v>6061.405503</v>
      </c>
      <c r="U36" s="104">
        <f>+SUMIF('Detail 19-20'!$AN:$AN,Draft!$A36,'Detail 19-20'!AI:AI)</f>
        <v>6061.405503</v>
      </c>
      <c r="V36" s="104">
        <f>+SUMIF('Detail 19-20'!$AN:$AN,Draft!$A36,'Detail 19-20'!AJ:AJ)</f>
        <v>6061.405503</v>
      </c>
      <c r="W36" s="104">
        <f>+SUMIF('Detail 19-20'!$AN:$AN,Draft!$A36,'Detail 19-20'!AK:AK)</f>
        <v>2020</v>
      </c>
      <c r="X36" s="105">
        <f t="shared" si="31"/>
        <v>62633.35228</v>
      </c>
      <c r="Y36" s="26">
        <f t="shared" si="32"/>
        <v>0</v>
      </c>
    </row>
    <row r="37" ht="15.75" customHeight="1">
      <c r="A37" s="95" t="s">
        <v>131</v>
      </c>
      <c r="B37" s="96">
        <f>+SUMIF('Detail 19-20'!$AN:$AN,Draft!$A37,'Detail 19-20'!T:T)</f>
        <v>47984.12711</v>
      </c>
      <c r="C37" s="97">
        <f>+SUMIF('Detail 19-20'!$AN:$AN,Draft!$A37,'Detail 19-20'!S:S)</f>
        <v>42282.24</v>
      </c>
      <c r="D37" s="98">
        <f t="shared" si="27"/>
        <v>5701.887113</v>
      </c>
      <c r="E37" s="99">
        <f t="shared" si="28"/>
        <v>0.1348530048</v>
      </c>
      <c r="F37" s="100">
        <v>46821.3313723515</v>
      </c>
      <c r="G37" s="98">
        <f t="shared" si="29"/>
        <v>-4539.091372</v>
      </c>
      <c r="H37" s="99">
        <f t="shared" si="30"/>
        <v>-0.09694494452</v>
      </c>
      <c r="I37" s="101">
        <v>50932.729999999996</v>
      </c>
      <c r="J37" s="102">
        <v>37082.786199999995</v>
      </c>
      <c r="K37" s="103">
        <v>49854.299999999996</v>
      </c>
      <c r="L37" s="104">
        <f>+SUMIF('Detail 19-20'!$AN:$AN,Draft!$A37,'Detail 19-20'!Z:Z)</f>
        <v>1954.420953</v>
      </c>
      <c r="M37" s="104">
        <f>+SUMIF('Detail 19-20'!$AN:$AN,Draft!$A37,'Detail 19-20'!AA:AA)</f>
        <v>3245.530199</v>
      </c>
      <c r="N37" s="104">
        <f>+SUMIF('Detail 19-20'!$AN:$AN,Draft!$A37,'Detail 19-20'!AB:AB)</f>
        <v>4536.639445</v>
      </c>
      <c r="O37" s="104">
        <f>+SUMIF('Detail 19-20'!$AN:$AN,Draft!$A37,'Detail 19-20'!AC:AC)</f>
        <v>4536.639445</v>
      </c>
      <c r="P37" s="104">
        <f>+SUMIF('Detail 19-20'!$AN:$AN,Draft!$A37,'Detail 19-20'!AD:AD)</f>
        <v>4536.639445</v>
      </c>
      <c r="Q37" s="104">
        <f>+SUMIF('Detail 19-20'!$AN:$AN,Draft!$A37,'Detail 19-20'!AE:AE)</f>
        <v>4536.639445</v>
      </c>
      <c r="R37" s="104">
        <f>+SUMIF('Detail 19-20'!$AN:$AN,Draft!$A37,'Detail 19-20'!AF:AF)</f>
        <v>4536.639445</v>
      </c>
      <c r="S37" s="104">
        <f>+SUMIF('Detail 19-20'!$AN:$AN,Draft!$A37,'Detail 19-20'!AG:AG)</f>
        <v>4536.639445</v>
      </c>
      <c r="T37" s="104">
        <f>+SUMIF('Detail 19-20'!$AN:$AN,Draft!$A37,'Detail 19-20'!AH:AH)</f>
        <v>4536.639445</v>
      </c>
      <c r="U37" s="104">
        <f>+SUMIF('Detail 19-20'!$AN:$AN,Draft!$A37,'Detail 19-20'!AI:AI)</f>
        <v>4536.639445</v>
      </c>
      <c r="V37" s="104">
        <f>+SUMIF('Detail 19-20'!$AN:$AN,Draft!$A37,'Detail 19-20'!AJ:AJ)</f>
        <v>4536.639445</v>
      </c>
      <c r="W37" s="104">
        <f>+SUMIF('Detail 19-20'!$AN:$AN,Draft!$A37,'Detail 19-20'!AK:AK)</f>
        <v>1954.420953</v>
      </c>
      <c r="X37" s="105">
        <f t="shared" si="31"/>
        <v>47984.12711</v>
      </c>
      <c r="Y37" s="26">
        <f t="shared" si="32"/>
        <v>0</v>
      </c>
    </row>
    <row r="38" ht="15.75" customHeight="1">
      <c r="A38" s="95" t="s">
        <v>132</v>
      </c>
      <c r="B38" s="96">
        <f>+SUMIF('Detail 19-20'!$AN:$AN,Draft!$A38,'Detail 19-20'!T:T)</f>
        <v>33700</v>
      </c>
      <c r="C38" s="97">
        <f>+SUMIF('Detail 19-20'!$AN:$AN,Draft!$A38,'Detail 19-20'!S:S)</f>
        <v>38224.01333</v>
      </c>
      <c r="D38" s="98">
        <f t="shared" si="27"/>
        <v>-4524.013333</v>
      </c>
      <c r="E38" s="99">
        <f t="shared" si="28"/>
        <v>-0.1183552678</v>
      </c>
      <c r="F38" s="100">
        <v>49300.0</v>
      </c>
      <c r="G38" s="98">
        <f t="shared" si="29"/>
        <v>-11075.98667</v>
      </c>
      <c r="H38" s="99">
        <f t="shared" si="30"/>
        <v>-0.2246650439</v>
      </c>
      <c r="I38" s="101">
        <v>37300.0</v>
      </c>
      <c r="J38" s="102">
        <v>36300.0</v>
      </c>
      <c r="K38" s="103">
        <v>31300.120000000003</v>
      </c>
      <c r="L38" s="104">
        <f>+SUMIF('Detail 19-20'!$AN:$AN,Draft!$A38,'Detail 19-20'!Z:Z)</f>
        <v>1933.333333</v>
      </c>
      <c r="M38" s="104">
        <f>+SUMIF('Detail 19-20'!$AN:$AN,Draft!$A38,'Detail 19-20'!AA:AA)</f>
        <v>2933.333333</v>
      </c>
      <c r="N38" s="104">
        <f>+SUMIF('Detail 19-20'!$AN:$AN,Draft!$A38,'Detail 19-20'!AB:AB)</f>
        <v>1933.333333</v>
      </c>
      <c r="O38" s="104">
        <f>+SUMIF('Detail 19-20'!$AN:$AN,Draft!$A38,'Detail 19-20'!AC:AC)</f>
        <v>1933.333333</v>
      </c>
      <c r="P38" s="104">
        <f>+SUMIF('Detail 19-20'!$AN:$AN,Draft!$A38,'Detail 19-20'!AD:AD)</f>
        <v>1933.333333</v>
      </c>
      <c r="Q38" s="104">
        <f>+SUMIF('Detail 19-20'!$AN:$AN,Draft!$A38,'Detail 19-20'!AE:AE)</f>
        <v>1933.333333</v>
      </c>
      <c r="R38" s="104">
        <f>+SUMIF('Detail 19-20'!$AN:$AN,Draft!$A38,'Detail 19-20'!AF:AF)</f>
        <v>2933.333333</v>
      </c>
      <c r="S38" s="104">
        <f>+SUMIF('Detail 19-20'!$AN:$AN,Draft!$A38,'Detail 19-20'!AG:AG)</f>
        <v>1933.333333</v>
      </c>
      <c r="T38" s="104">
        <f>+SUMIF('Detail 19-20'!$AN:$AN,Draft!$A38,'Detail 19-20'!AH:AH)</f>
        <v>10433.33333</v>
      </c>
      <c r="U38" s="104">
        <f>+SUMIF('Detail 19-20'!$AN:$AN,Draft!$A38,'Detail 19-20'!AI:AI)</f>
        <v>1933.333333</v>
      </c>
      <c r="V38" s="104">
        <f>+SUMIF('Detail 19-20'!$AN:$AN,Draft!$A38,'Detail 19-20'!AJ:AJ)</f>
        <v>1933.333333</v>
      </c>
      <c r="W38" s="104">
        <f>+SUMIF('Detail 19-20'!$AN:$AN,Draft!$A38,'Detail 19-20'!AK:AK)</f>
        <v>1933.333333</v>
      </c>
      <c r="X38" s="105">
        <f t="shared" si="31"/>
        <v>33700</v>
      </c>
      <c r="Y38" s="26">
        <f t="shared" si="32"/>
        <v>0</v>
      </c>
    </row>
    <row r="39" ht="15.75" customHeight="1">
      <c r="A39" s="95" t="s">
        <v>136</v>
      </c>
      <c r="B39" s="96">
        <f>+SUMIF('Detail 19-20'!$AN:$AN,Draft!$A39,'Detail 19-20'!T:T)</f>
        <v>15000</v>
      </c>
      <c r="C39" s="97">
        <f>+SUMIF('Detail 19-20'!$AN:$AN,Draft!$A39,'Detail 19-20'!S:S)</f>
        <v>14777.97333</v>
      </c>
      <c r="D39" s="98">
        <f t="shared" si="27"/>
        <v>222.0266667</v>
      </c>
      <c r="E39" s="99">
        <f t="shared" si="28"/>
        <v>0.01502416209</v>
      </c>
      <c r="F39" s="100">
        <v>14000.0</v>
      </c>
      <c r="G39" s="98">
        <f t="shared" si="29"/>
        <v>777.9733333</v>
      </c>
      <c r="H39" s="99">
        <f t="shared" si="30"/>
        <v>0.05556952381</v>
      </c>
      <c r="I39" s="101">
        <v>14000.0</v>
      </c>
      <c r="J39" s="102">
        <v>14000.0</v>
      </c>
      <c r="K39" s="103">
        <v>14000.04</v>
      </c>
      <c r="L39" s="104">
        <f>+SUMIF('Detail 19-20'!$AN:$AN,Draft!$A39,'Detail 19-20'!Z:Z)</f>
        <v>1250</v>
      </c>
      <c r="M39" s="104">
        <f>+SUMIF('Detail 19-20'!$AN:$AN,Draft!$A39,'Detail 19-20'!AA:AA)</f>
        <v>1250</v>
      </c>
      <c r="N39" s="104">
        <f>+SUMIF('Detail 19-20'!$AN:$AN,Draft!$A39,'Detail 19-20'!AB:AB)</f>
        <v>1250</v>
      </c>
      <c r="O39" s="104">
        <f>+SUMIF('Detail 19-20'!$AN:$AN,Draft!$A39,'Detail 19-20'!AC:AC)</f>
        <v>1250</v>
      </c>
      <c r="P39" s="104">
        <f>+SUMIF('Detail 19-20'!$AN:$AN,Draft!$A39,'Detail 19-20'!AD:AD)</f>
        <v>1250</v>
      </c>
      <c r="Q39" s="104">
        <f>+SUMIF('Detail 19-20'!$AN:$AN,Draft!$A39,'Detail 19-20'!AE:AE)</f>
        <v>1250</v>
      </c>
      <c r="R39" s="104">
        <f>+SUMIF('Detail 19-20'!$AN:$AN,Draft!$A39,'Detail 19-20'!AF:AF)</f>
        <v>1250</v>
      </c>
      <c r="S39" s="104">
        <f>+SUMIF('Detail 19-20'!$AN:$AN,Draft!$A39,'Detail 19-20'!AG:AG)</f>
        <v>1250</v>
      </c>
      <c r="T39" s="104">
        <f>+SUMIF('Detail 19-20'!$AN:$AN,Draft!$A39,'Detail 19-20'!AH:AH)</f>
        <v>1250</v>
      </c>
      <c r="U39" s="104">
        <f>+SUMIF('Detail 19-20'!$AN:$AN,Draft!$A39,'Detail 19-20'!AI:AI)</f>
        <v>1250</v>
      </c>
      <c r="V39" s="104">
        <f>+SUMIF('Detail 19-20'!$AN:$AN,Draft!$A39,'Detail 19-20'!AJ:AJ)</f>
        <v>1250</v>
      </c>
      <c r="W39" s="104">
        <f>+SUMIF('Detail 19-20'!$AN:$AN,Draft!$A39,'Detail 19-20'!AK:AK)</f>
        <v>1250</v>
      </c>
      <c r="X39" s="105">
        <f t="shared" si="31"/>
        <v>15000</v>
      </c>
      <c r="Y39" s="26">
        <f t="shared" si="32"/>
        <v>0</v>
      </c>
    </row>
    <row r="40" ht="15.75" customHeight="1">
      <c r="A40" s="95" t="s">
        <v>139</v>
      </c>
      <c r="B40" s="96">
        <f>+SUMIF('Detail 19-20'!$AN:$AN,Draft!$A40,'Detail 19-20'!T:T)</f>
        <v>5550</v>
      </c>
      <c r="C40" s="97">
        <f>+SUMIF('Detail 19-20'!$AN:$AN,Draft!$A40,'Detail 19-20'!S:S)</f>
        <v>5210</v>
      </c>
      <c r="D40" s="98">
        <f t="shared" si="27"/>
        <v>340</v>
      </c>
      <c r="E40" s="99">
        <f t="shared" si="28"/>
        <v>0.06525911708</v>
      </c>
      <c r="F40" s="100">
        <v>4000.0</v>
      </c>
      <c r="G40" s="98">
        <f t="shared" si="29"/>
        <v>1210</v>
      </c>
      <c r="H40" s="99">
        <f t="shared" si="30"/>
        <v>0.3025</v>
      </c>
      <c r="I40" s="101">
        <v>4500.0</v>
      </c>
      <c r="J40" s="102">
        <v>0.0</v>
      </c>
      <c r="K40" s="103">
        <v>4000.0500000000006</v>
      </c>
      <c r="L40" s="104">
        <f>+SUMIF('Detail 19-20'!$AN:$AN,Draft!$A40,'Detail 19-20'!Z:Z)</f>
        <v>375</v>
      </c>
      <c r="M40" s="104">
        <f>+SUMIF('Detail 19-20'!$AN:$AN,Draft!$A40,'Detail 19-20'!AA:AA)</f>
        <v>900</v>
      </c>
      <c r="N40" s="104">
        <f>+SUMIF('Detail 19-20'!$AN:$AN,Draft!$A40,'Detail 19-20'!AB:AB)</f>
        <v>375</v>
      </c>
      <c r="O40" s="104">
        <f>+SUMIF('Detail 19-20'!$AN:$AN,Draft!$A40,'Detail 19-20'!AC:AC)</f>
        <v>375</v>
      </c>
      <c r="P40" s="104">
        <f>+SUMIF('Detail 19-20'!$AN:$AN,Draft!$A40,'Detail 19-20'!AD:AD)</f>
        <v>375</v>
      </c>
      <c r="Q40" s="104">
        <f>+SUMIF('Detail 19-20'!$AN:$AN,Draft!$A40,'Detail 19-20'!AE:AE)</f>
        <v>375</v>
      </c>
      <c r="R40" s="104">
        <f>+SUMIF('Detail 19-20'!$AN:$AN,Draft!$A40,'Detail 19-20'!AF:AF)</f>
        <v>900</v>
      </c>
      <c r="S40" s="104">
        <f>+SUMIF('Detail 19-20'!$AN:$AN,Draft!$A40,'Detail 19-20'!AG:AG)</f>
        <v>375</v>
      </c>
      <c r="T40" s="104">
        <f>+SUMIF('Detail 19-20'!$AN:$AN,Draft!$A40,'Detail 19-20'!AH:AH)</f>
        <v>375</v>
      </c>
      <c r="U40" s="104">
        <f>+SUMIF('Detail 19-20'!$AN:$AN,Draft!$A40,'Detail 19-20'!AI:AI)</f>
        <v>375</v>
      </c>
      <c r="V40" s="104">
        <f>+SUMIF('Detail 19-20'!$AN:$AN,Draft!$A40,'Detail 19-20'!AJ:AJ)</f>
        <v>375</v>
      </c>
      <c r="W40" s="104">
        <f>+SUMIF('Detail 19-20'!$AN:$AN,Draft!$A40,'Detail 19-20'!AK:AK)</f>
        <v>375</v>
      </c>
      <c r="X40" s="105">
        <f t="shared" si="31"/>
        <v>5550</v>
      </c>
      <c r="Y40" s="26">
        <f t="shared" si="32"/>
        <v>0</v>
      </c>
    </row>
    <row r="41" ht="15.75" customHeight="1">
      <c r="A41" s="95" t="s">
        <v>142</v>
      </c>
      <c r="B41" s="96">
        <f>+SUMIF('Detail 19-20'!$AN:$AN,Draft!$A41,'Detail 19-20'!T:T)</f>
        <v>2000</v>
      </c>
      <c r="C41" s="97">
        <f>+SUMIF('Detail 19-20'!$AN:$AN,Draft!$A41,'Detail 19-20'!S:S)</f>
        <v>1308.906667</v>
      </c>
      <c r="D41" s="98">
        <f t="shared" si="27"/>
        <v>691.0933333</v>
      </c>
      <c r="E41" s="99">
        <f t="shared" si="28"/>
        <v>0.5279928286</v>
      </c>
      <c r="F41" s="100">
        <v>5000.0</v>
      </c>
      <c r="G41" s="98">
        <f t="shared" si="29"/>
        <v>-3691.093333</v>
      </c>
      <c r="H41" s="99">
        <f t="shared" si="30"/>
        <v>-0.7382186667</v>
      </c>
      <c r="I41" s="101">
        <v>3000.0</v>
      </c>
      <c r="J41" s="102">
        <v>750.0</v>
      </c>
      <c r="K41" s="103">
        <v>750.0</v>
      </c>
      <c r="L41" s="104">
        <f>+SUMIF('Detail 19-20'!$AN:$AN,Draft!$A41,'Detail 19-20'!Z:Z)</f>
        <v>166.6666667</v>
      </c>
      <c r="M41" s="104">
        <f>+SUMIF('Detail 19-20'!$AN:$AN,Draft!$A41,'Detail 19-20'!AA:AA)</f>
        <v>166.6666667</v>
      </c>
      <c r="N41" s="104">
        <f>+SUMIF('Detail 19-20'!$AN:$AN,Draft!$A41,'Detail 19-20'!AB:AB)</f>
        <v>166.6666667</v>
      </c>
      <c r="O41" s="104">
        <f>+SUMIF('Detail 19-20'!$AN:$AN,Draft!$A41,'Detail 19-20'!AC:AC)</f>
        <v>166.6666667</v>
      </c>
      <c r="P41" s="104">
        <f>+SUMIF('Detail 19-20'!$AN:$AN,Draft!$A41,'Detail 19-20'!AD:AD)</f>
        <v>166.6666667</v>
      </c>
      <c r="Q41" s="104">
        <f>+SUMIF('Detail 19-20'!$AN:$AN,Draft!$A41,'Detail 19-20'!AE:AE)</f>
        <v>166.6666667</v>
      </c>
      <c r="R41" s="104">
        <f>+SUMIF('Detail 19-20'!$AN:$AN,Draft!$A41,'Detail 19-20'!AF:AF)</f>
        <v>166.6666667</v>
      </c>
      <c r="S41" s="104">
        <f>+SUMIF('Detail 19-20'!$AN:$AN,Draft!$A41,'Detail 19-20'!AG:AG)</f>
        <v>166.6666667</v>
      </c>
      <c r="T41" s="104">
        <f>+SUMIF('Detail 19-20'!$AN:$AN,Draft!$A41,'Detail 19-20'!AH:AH)</f>
        <v>166.6666667</v>
      </c>
      <c r="U41" s="104">
        <f>+SUMIF('Detail 19-20'!$AN:$AN,Draft!$A41,'Detail 19-20'!AI:AI)</f>
        <v>166.6666667</v>
      </c>
      <c r="V41" s="104">
        <f>+SUMIF('Detail 19-20'!$AN:$AN,Draft!$A41,'Detail 19-20'!AJ:AJ)</f>
        <v>166.6666667</v>
      </c>
      <c r="W41" s="104">
        <f>+SUMIF('Detail 19-20'!$AN:$AN,Draft!$A41,'Detail 19-20'!AK:AK)</f>
        <v>166.6666667</v>
      </c>
      <c r="X41" s="105">
        <f t="shared" si="31"/>
        <v>2000</v>
      </c>
      <c r="Y41" s="26">
        <f t="shared" si="32"/>
        <v>0</v>
      </c>
    </row>
    <row r="42" ht="15.75" customHeight="1">
      <c r="A42" s="95" t="s">
        <v>146</v>
      </c>
      <c r="B42" s="96">
        <f>+SUMIF('Detail 19-20'!$AN:$AN,Draft!$A42,'Detail 19-20'!T:T)</f>
        <v>5600</v>
      </c>
      <c r="C42" s="97">
        <f>+SUMIF('Detail 19-20'!$AN:$AN,Draft!$A42,'Detail 19-20'!S:S)</f>
        <v>7170.55</v>
      </c>
      <c r="D42" s="98">
        <f t="shared" si="27"/>
        <v>-1570.55</v>
      </c>
      <c r="E42" s="99">
        <f t="shared" si="28"/>
        <v>-0.2190278291</v>
      </c>
      <c r="F42" s="100">
        <v>4500.0</v>
      </c>
      <c r="G42" s="98">
        <f t="shared" si="29"/>
        <v>2670.55</v>
      </c>
      <c r="H42" s="99">
        <f t="shared" si="30"/>
        <v>0.5934555556</v>
      </c>
      <c r="I42" s="101">
        <v>4250.0</v>
      </c>
      <c r="J42" s="102">
        <v>6269.173333333334</v>
      </c>
      <c r="K42" s="103">
        <v>3500.0300000000007</v>
      </c>
      <c r="L42" s="104">
        <f>+SUMIF('Detail 19-20'!$AN:$AN,Draft!$A42,'Detail 19-20'!Z:Z)</f>
        <v>216.6666667</v>
      </c>
      <c r="M42" s="104">
        <f>+SUMIF('Detail 19-20'!$AN:$AN,Draft!$A42,'Detail 19-20'!AA:AA)</f>
        <v>374.5614035</v>
      </c>
      <c r="N42" s="104">
        <f>+SUMIF('Detail 19-20'!$AN:$AN,Draft!$A42,'Detail 19-20'!AB:AB)</f>
        <v>532.4561404</v>
      </c>
      <c r="O42" s="104">
        <f>+SUMIF('Detail 19-20'!$AN:$AN,Draft!$A42,'Detail 19-20'!AC:AC)</f>
        <v>532.4561404</v>
      </c>
      <c r="P42" s="104">
        <f>+SUMIF('Detail 19-20'!$AN:$AN,Draft!$A42,'Detail 19-20'!AD:AD)</f>
        <v>532.4561404</v>
      </c>
      <c r="Q42" s="104">
        <f>+SUMIF('Detail 19-20'!$AN:$AN,Draft!$A42,'Detail 19-20'!AE:AE)</f>
        <v>532.4561404</v>
      </c>
      <c r="R42" s="104">
        <f>+SUMIF('Detail 19-20'!$AN:$AN,Draft!$A42,'Detail 19-20'!AF:AF)</f>
        <v>532.4561404</v>
      </c>
      <c r="S42" s="104">
        <f>+SUMIF('Detail 19-20'!$AN:$AN,Draft!$A42,'Detail 19-20'!AG:AG)</f>
        <v>532.4561404</v>
      </c>
      <c r="T42" s="104">
        <f>+SUMIF('Detail 19-20'!$AN:$AN,Draft!$A42,'Detail 19-20'!AH:AH)</f>
        <v>532.4561404</v>
      </c>
      <c r="U42" s="104">
        <f>+SUMIF('Detail 19-20'!$AN:$AN,Draft!$A42,'Detail 19-20'!AI:AI)</f>
        <v>532.4561404</v>
      </c>
      <c r="V42" s="104">
        <f>+SUMIF('Detail 19-20'!$AN:$AN,Draft!$A42,'Detail 19-20'!AJ:AJ)</f>
        <v>532.4561404</v>
      </c>
      <c r="W42" s="104">
        <f>+SUMIF('Detail 19-20'!$AN:$AN,Draft!$A42,'Detail 19-20'!AK:AK)</f>
        <v>216.6666667</v>
      </c>
      <c r="X42" s="105">
        <f t="shared" si="31"/>
        <v>5600</v>
      </c>
      <c r="Y42" s="26">
        <f t="shared" si="32"/>
        <v>0</v>
      </c>
    </row>
    <row r="43" ht="15.75" customHeight="1">
      <c r="A43" s="95" t="s">
        <v>151</v>
      </c>
      <c r="B43" s="96">
        <f>+SUMIF('Detail 19-20'!$AN:$AN,Draft!$A43,'Detail 19-20'!T:T)</f>
        <v>4500</v>
      </c>
      <c r="C43" s="97">
        <f>+SUMIF('Detail 19-20'!$AN:$AN,Draft!$A43,'Detail 19-20'!S:S)</f>
        <v>3795.053333</v>
      </c>
      <c r="D43" s="98">
        <f t="shared" si="27"/>
        <v>704.9466667</v>
      </c>
      <c r="E43" s="99">
        <f t="shared" si="28"/>
        <v>0.1857540869</v>
      </c>
      <c r="F43" s="100">
        <v>4500.0</v>
      </c>
      <c r="G43" s="98">
        <f t="shared" si="29"/>
        <v>-704.9466667</v>
      </c>
      <c r="H43" s="99">
        <f t="shared" si="30"/>
        <v>-0.1566548148</v>
      </c>
      <c r="I43" s="101">
        <v>7000.0</v>
      </c>
      <c r="J43" s="102">
        <v>7000.0</v>
      </c>
      <c r="K43" s="103">
        <v>7000.080000000001</v>
      </c>
      <c r="L43" s="104">
        <f>+SUMIF('Detail 19-20'!$AN:$AN,Draft!$A43,'Detail 19-20'!Z:Z)</f>
        <v>375</v>
      </c>
      <c r="M43" s="104">
        <f>+SUMIF('Detail 19-20'!$AN:$AN,Draft!$A43,'Detail 19-20'!AA:AA)</f>
        <v>375</v>
      </c>
      <c r="N43" s="104">
        <f>+SUMIF('Detail 19-20'!$AN:$AN,Draft!$A43,'Detail 19-20'!AB:AB)</f>
        <v>375</v>
      </c>
      <c r="O43" s="104">
        <f>+SUMIF('Detail 19-20'!$AN:$AN,Draft!$A43,'Detail 19-20'!AC:AC)</f>
        <v>375</v>
      </c>
      <c r="P43" s="104">
        <f>+SUMIF('Detail 19-20'!$AN:$AN,Draft!$A43,'Detail 19-20'!AD:AD)</f>
        <v>375</v>
      </c>
      <c r="Q43" s="104">
        <f>+SUMIF('Detail 19-20'!$AN:$AN,Draft!$A43,'Detail 19-20'!AE:AE)</f>
        <v>375</v>
      </c>
      <c r="R43" s="104">
        <f>+SUMIF('Detail 19-20'!$AN:$AN,Draft!$A43,'Detail 19-20'!AF:AF)</f>
        <v>375</v>
      </c>
      <c r="S43" s="104">
        <f>+SUMIF('Detail 19-20'!$AN:$AN,Draft!$A43,'Detail 19-20'!AG:AG)</f>
        <v>375</v>
      </c>
      <c r="T43" s="104">
        <f>+SUMIF('Detail 19-20'!$AN:$AN,Draft!$A43,'Detail 19-20'!AH:AH)</f>
        <v>375</v>
      </c>
      <c r="U43" s="104">
        <f>+SUMIF('Detail 19-20'!$AN:$AN,Draft!$A43,'Detail 19-20'!AI:AI)</f>
        <v>375</v>
      </c>
      <c r="V43" s="104">
        <f>+SUMIF('Detail 19-20'!$AN:$AN,Draft!$A43,'Detail 19-20'!AJ:AJ)</f>
        <v>375</v>
      </c>
      <c r="W43" s="104">
        <f>+SUMIF('Detail 19-20'!$AN:$AN,Draft!$A43,'Detail 19-20'!AK:AK)</f>
        <v>375</v>
      </c>
      <c r="X43" s="105">
        <f t="shared" si="31"/>
        <v>4500</v>
      </c>
      <c r="Y43" s="26">
        <f t="shared" si="32"/>
        <v>0</v>
      </c>
    </row>
    <row r="44" ht="15.75" customHeight="1">
      <c r="A44" s="95" t="s">
        <v>154</v>
      </c>
      <c r="B44" s="96">
        <f>+SUMIF('Detail 19-20'!$AN:$AN,Draft!$A44,'Detail 19-20'!T:T)</f>
        <v>5700</v>
      </c>
      <c r="C44" s="97">
        <f>+SUMIF('Detail 19-20'!$AN:$AN,Draft!$A44,'Detail 19-20'!S:S)</f>
        <v>5416.663333</v>
      </c>
      <c r="D44" s="98">
        <f t="shared" si="27"/>
        <v>283.3366667</v>
      </c>
      <c r="E44" s="99">
        <f t="shared" si="28"/>
        <v>0.05230833988</v>
      </c>
      <c r="F44" s="100">
        <v>4500.0</v>
      </c>
      <c r="G44" s="98">
        <f t="shared" si="29"/>
        <v>916.6633333</v>
      </c>
      <c r="H44" s="99">
        <f t="shared" si="30"/>
        <v>0.203702963</v>
      </c>
      <c r="I44" s="101">
        <v>4500.0</v>
      </c>
      <c r="J44" s="102">
        <v>4500.0</v>
      </c>
      <c r="K44" s="103">
        <v>4500.0</v>
      </c>
      <c r="L44" s="104">
        <f>+SUMIF('Detail 19-20'!$AN:$AN,Draft!$A44,'Detail 19-20'!Z:Z)</f>
        <v>225</v>
      </c>
      <c r="M44" s="104">
        <f>+SUMIF('Detail 19-20'!$AN:$AN,Draft!$A44,'Detail 19-20'!AA:AA)</f>
        <v>1725</v>
      </c>
      <c r="N44" s="104">
        <f>+SUMIF('Detail 19-20'!$AN:$AN,Draft!$A44,'Detail 19-20'!AB:AB)</f>
        <v>225</v>
      </c>
      <c r="O44" s="104">
        <f>+SUMIF('Detail 19-20'!$AN:$AN,Draft!$A44,'Detail 19-20'!AC:AC)</f>
        <v>225</v>
      </c>
      <c r="P44" s="104">
        <f>+SUMIF('Detail 19-20'!$AN:$AN,Draft!$A44,'Detail 19-20'!AD:AD)</f>
        <v>225</v>
      </c>
      <c r="Q44" s="104">
        <f>+SUMIF('Detail 19-20'!$AN:$AN,Draft!$A44,'Detail 19-20'!AE:AE)</f>
        <v>225</v>
      </c>
      <c r="R44" s="104">
        <f>+SUMIF('Detail 19-20'!$AN:$AN,Draft!$A44,'Detail 19-20'!AF:AF)</f>
        <v>1725</v>
      </c>
      <c r="S44" s="104">
        <f>+SUMIF('Detail 19-20'!$AN:$AN,Draft!$A44,'Detail 19-20'!AG:AG)</f>
        <v>225</v>
      </c>
      <c r="T44" s="104">
        <f>+SUMIF('Detail 19-20'!$AN:$AN,Draft!$A44,'Detail 19-20'!AH:AH)</f>
        <v>225</v>
      </c>
      <c r="U44" s="104">
        <f>+SUMIF('Detail 19-20'!$AN:$AN,Draft!$A44,'Detail 19-20'!AI:AI)</f>
        <v>225</v>
      </c>
      <c r="V44" s="104">
        <f>+SUMIF('Detail 19-20'!$AN:$AN,Draft!$A44,'Detail 19-20'!AJ:AJ)</f>
        <v>225</v>
      </c>
      <c r="W44" s="104">
        <f>+SUMIF('Detail 19-20'!$AN:$AN,Draft!$A44,'Detail 19-20'!AK:AK)</f>
        <v>225</v>
      </c>
      <c r="X44" s="105">
        <f t="shared" si="31"/>
        <v>5700</v>
      </c>
      <c r="Y44" s="26">
        <f t="shared" si="32"/>
        <v>0</v>
      </c>
    </row>
    <row r="45" ht="15.75" customHeight="1">
      <c r="A45" s="95" t="s">
        <v>157</v>
      </c>
      <c r="B45" s="96">
        <f>+SUMIF('Detail 19-20'!$AN:$AN,Draft!$A45,'Detail 19-20'!T:T)</f>
        <v>100</v>
      </c>
      <c r="C45" s="97">
        <f>+SUMIF('Detail 19-20'!$AN:$AN,Draft!$A45,'Detail 19-20'!S:S)</f>
        <v>27.29333333</v>
      </c>
      <c r="D45" s="98">
        <f t="shared" si="27"/>
        <v>72.70666667</v>
      </c>
      <c r="E45" s="99">
        <f t="shared" si="28"/>
        <v>2.663898388</v>
      </c>
      <c r="F45" s="100">
        <v>100.0</v>
      </c>
      <c r="G45" s="98">
        <f t="shared" si="29"/>
        <v>-72.70666667</v>
      </c>
      <c r="H45" s="99">
        <f t="shared" si="30"/>
        <v>-0.7270666667</v>
      </c>
      <c r="I45" s="101">
        <v>100.0</v>
      </c>
      <c r="J45" s="102">
        <v>100.0</v>
      </c>
      <c r="K45" s="103">
        <v>99.99</v>
      </c>
      <c r="L45" s="104">
        <f>+SUMIF('Detail 19-20'!$AN:$AN,Draft!$A45,'Detail 19-20'!Z:Z)</f>
        <v>8.333333333</v>
      </c>
      <c r="M45" s="104">
        <f>+SUMIF('Detail 19-20'!$AN:$AN,Draft!$A45,'Detail 19-20'!AA:AA)</f>
        <v>8.333333333</v>
      </c>
      <c r="N45" s="104">
        <f>+SUMIF('Detail 19-20'!$AN:$AN,Draft!$A45,'Detail 19-20'!AB:AB)</f>
        <v>8.333333333</v>
      </c>
      <c r="O45" s="104">
        <f>+SUMIF('Detail 19-20'!$AN:$AN,Draft!$A45,'Detail 19-20'!AC:AC)</f>
        <v>8.333333333</v>
      </c>
      <c r="P45" s="104">
        <f>+SUMIF('Detail 19-20'!$AN:$AN,Draft!$A45,'Detail 19-20'!AD:AD)</f>
        <v>8.333333333</v>
      </c>
      <c r="Q45" s="104">
        <f>+SUMIF('Detail 19-20'!$AN:$AN,Draft!$A45,'Detail 19-20'!AE:AE)</f>
        <v>8.333333333</v>
      </c>
      <c r="R45" s="104">
        <f>+SUMIF('Detail 19-20'!$AN:$AN,Draft!$A45,'Detail 19-20'!AF:AF)</f>
        <v>8.333333333</v>
      </c>
      <c r="S45" s="104">
        <f>+SUMIF('Detail 19-20'!$AN:$AN,Draft!$A45,'Detail 19-20'!AG:AG)</f>
        <v>8.333333333</v>
      </c>
      <c r="T45" s="104">
        <f>+SUMIF('Detail 19-20'!$AN:$AN,Draft!$A45,'Detail 19-20'!AH:AH)</f>
        <v>8.333333333</v>
      </c>
      <c r="U45" s="104">
        <f>+SUMIF('Detail 19-20'!$AN:$AN,Draft!$A45,'Detail 19-20'!AI:AI)</f>
        <v>8.333333333</v>
      </c>
      <c r="V45" s="104">
        <f>+SUMIF('Detail 19-20'!$AN:$AN,Draft!$A45,'Detail 19-20'!AJ:AJ)</f>
        <v>8.333333333</v>
      </c>
      <c r="W45" s="104">
        <f>+SUMIF('Detail 19-20'!$AN:$AN,Draft!$A45,'Detail 19-20'!AK:AK)</f>
        <v>8.333333333</v>
      </c>
      <c r="X45" s="105">
        <f t="shared" si="31"/>
        <v>100</v>
      </c>
      <c r="Y45" s="26">
        <f t="shared" si="32"/>
        <v>0</v>
      </c>
    </row>
    <row r="46" ht="15.75" customHeight="1">
      <c r="A46" s="95" t="s">
        <v>161</v>
      </c>
      <c r="B46" s="96">
        <f>+SUMIF('Detail 19-20'!$AN:$AN,Draft!$A46,'Detail 19-20'!T:T)</f>
        <v>2500</v>
      </c>
      <c r="C46" s="97">
        <f>+SUMIF('Detail 19-20'!$AN:$AN,Draft!$A46,'Detail 19-20'!S:S)</f>
        <v>255.4533333</v>
      </c>
      <c r="D46" s="98">
        <f t="shared" si="27"/>
        <v>2244.546667</v>
      </c>
      <c r="E46" s="99">
        <f t="shared" si="28"/>
        <v>8.786523305</v>
      </c>
      <c r="F46" s="100">
        <v>2500.0</v>
      </c>
      <c r="G46" s="98">
        <f t="shared" si="29"/>
        <v>-2244.546667</v>
      </c>
      <c r="H46" s="99">
        <f t="shared" si="30"/>
        <v>-0.8978186667</v>
      </c>
      <c r="I46" s="101">
        <v>2500.0</v>
      </c>
      <c r="J46" s="102">
        <v>2500.0</v>
      </c>
      <c r="K46" s="103">
        <v>2500.0800000000004</v>
      </c>
      <c r="L46" s="104">
        <f>+SUMIF('Detail 19-20'!$AN:$AN,Draft!$A46,'Detail 19-20'!Z:Z)</f>
        <v>41.66666667</v>
      </c>
      <c r="M46" s="104">
        <f>+SUMIF('Detail 19-20'!$AN:$AN,Draft!$A46,'Detail 19-20'!AA:AA)</f>
        <v>146.9298246</v>
      </c>
      <c r="N46" s="104">
        <f>+SUMIF('Detail 19-20'!$AN:$AN,Draft!$A46,'Detail 19-20'!AB:AB)</f>
        <v>252.1929825</v>
      </c>
      <c r="O46" s="104">
        <f>+SUMIF('Detail 19-20'!$AN:$AN,Draft!$A46,'Detail 19-20'!AC:AC)</f>
        <v>252.1929825</v>
      </c>
      <c r="P46" s="104">
        <f>+SUMIF('Detail 19-20'!$AN:$AN,Draft!$A46,'Detail 19-20'!AD:AD)</f>
        <v>252.1929825</v>
      </c>
      <c r="Q46" s="104">
        <f>+SUMIF('Detail 19-20'!$AN:$AN,Draft!$A46,'Detail 19-20'!AE:AE)</f>
        <v>252.1929825</v>
      </c>
      <c r="R46" s="104">
        <f>+SUMIF('Detail 19-20'!$AN:$AN,Draft!$A46,'Detail 19-20'!AF:AF)</f>
        <v>252.1929825</v>
      </c>
      <c r="S46" s="104">
        <f>+SUMIF('Detail 19-20'!$AN:$AN,Draft!$A46,'Detail 19-20'!AG:AG)</f>
        <v>252.1929825</v>
      </c>
      <c r="T46" s="104">
        <f>+SUMIF('Detail 19-20'!$AN:$AN,Draft!$A46,'Detail 19-20'!AH:AH)</f>
        <v>252.1929825</v>
      </c>
      <c r="U46" s="104">
        <f>+SUMIF('Detail 19-20'!$AN:$AN,Draft!$A46,'Detail 19-20'!AI:AI)</f>
        <v>252.1929825</v>
      </c>
      <c r="V46" s="104">
        <f>+SUMIF('Detail 19-20'!$AN:$AN,Draft!$A46,'Detail 19-20'!AJ:AJ)</f>
        <v>252.1929825</v>
      </c>
      <c r="W46" s="104">
        <f>+SUMIF('Detail 19-20'!$AN:$AN,Draft!$A46,'Detail 19-20'!AK:AK)</f>
        <v>41.66666667</v>
      </c>
      <c r="X46" s="105">
        <f t="shared" si="31"/>
        <v>2500</v>
      </c>
      <c r="Y46" s="26">
        <f t="shared" si="32"/>
        <v>0</v>
      </c>
    </row>
    <row r="47" ht="15.75" customHeight="1">
      <c r="A47" s="95" t="s">
        <v>720</v>
      </c>
      <c r="B47" s="96">
        <f>+SUMIF('Detail 19-20'!$AN:$AN,Draft!$A47,'Detail 19-20'!T:T)</f>
        <v>2750</v>
      </c>
      <c r="C47" s="97">
        <f>+SUMIF('Detail 19-20'!$AN:$AN,Draft!$A47,'Detail 19-20'!S:S)</f>
        <v>2577.02</v>
      </c>
      <c r="D47" s="98">
        <f t="shared" si="27"/>
        <v>172.98</v>
      </c>
      <c r="E47" s="99">
        <f t="shared" si="28"/>
        <v>0.0671240425</v>
      </c>
      <c r="F47" s="100">
        <v>2600.0</v>
      </c>
      <c r="G47" s="98">
        <f t="shared" si="29"/>
        <v>-22.98</v>
      </c>
      <c r="H47" s="99">
        <f t="shared" si="30"/>
        <v>-0.008838461538</v>
      </c>
      <c r="I47" s="101">
        <v>2500.0</v>
      </c>
      <c r="J47" s="102">
        <v>2500.0</v>
      </c>
      <c r="K47" s="103">
        <v>2500.02</v>
      </c>
      <c r="L47" s="104">
        <f>+SUMIF('Detail 19-20'!$AN:$AN,Draft!$A47,'Detail 19-20'!Z:Z)</f>
        <v>0</v>
      </c>
      <c r="M47" s="104">
        <f>+SUMIF('Detail 19-20'!$AN:$AN,Draft!$A47,'Detail 19-20'!AA:AA)</f>
        <v>1375</v>
      </c>
      <c r="N47" s="104">
        <f>+SUMIF('Detail 19-20'!$AN:$AN,Draft!$A47,'Detail 19-20'!AB:AB)</f>
        <v>0</v>
      </c>
      <c r="O47" s="104">
        <f>+SUMIF('Detail 19-20'!$AN:$AN,Draft!$A47,'Detail 19-20'!AC:AC)</f>
        <v>0</v>
      </c>
      <c r="P47" s="104">
        <f>+SUMIF('Detail 19-20'!$AN:$AN,Draft!$A47,'Detail 19-20'!AD:AD)</f>
        <v>0</v>
      </c>
      <c r="Q47" s="104">
        <f>+SUMIF('Detail 19-20'!$AN:$AN,Draft!$A47,'Detail 19-20'!AE:AE)</f>
        <v>0</v>
      </c>
      <c r="R47" s="104">
        <f>+SUMIF('Detail 19-20'!$AN:$AN,Draft!$A47,'Detail 19-20'!AF:AF)</f>
        <v>1375</v>
      </c>
      <c r="S47" s="104">
        <f>+SUMIF('Detail 19-20'!$AN:$AN,Draft!$A47,'Detail 19-20'!AG:AG)</f>
        <v>0</v>
      </c>
      <c r="T47" s="104">
        <f>+SUMIF('Detail 19-20'!$AN:$AN,Draft!$A47,'Detail 19-20'!AH:AH)</f>
        <v>0</v>
      </c>
      <c r="U47" s="104">
        <f>+SUMIF('Detail 19-20'!$AN:$AN,Draft!$A47,'Detail 19-20'!AI:AI)</f>
        <v>0</v>
      </c>
      <c r="V47" s="104">
        <f>+SUMIF('Detail 19-20'!$AN:$AN,Draft!$A47,'Detail 19-20'!AJ:AJ)</f>
        <v>0</v>
      </c>
      <c r="W47" s="104">
        <f>+SUMIF('Detail 19-20'!$AN:$AN,Draft!$A47,'Detail 19-20'!AK:AK)</f>
        <v>0</v>
      </c>
      <c r="X47" s="105">
        <f t="shared" si="31"/>
        <v>2750</v>
      </c>
      <c r="Y47" s="26">
        <f t="shared" si="32"/>
        <v>0</v>
      </c>
    </row>
    <row r="48" ht="15.75" customHeight="1">
      <c r="A48" s="95" t="s">
        <v>169</v>
      </c>
      <c r="B48" s="96">
        <f>+SUMIF('Detail 19-20'!$AN:$AN,Draft!$A48,'Detail 19-20'!T:T)</f>
        <v>6000</v>
      </c>
      <c r="C48" s="97">
        <f>+SUMIF('Detail 19-20'!$AN:$AN,Draft!$A48,'Detail 19-20'!S:S)</f>
        <v>5861.346667</v>
      </c>
      <c r="D48" s="98">
        <f t="shared" si="27"/>
        <v>138.6533333</v>
      </c>
      <c r="E48" s="99">
        <f t="shared" si="28"/>
        <v>0.02365554218</v>
      </c>
      <c r="F48" s="100">
        <v>5000.0</v>
      </c>
      <c r="G48" s="98">
        <f t="shared" si="29"/>
        <v>861.3466667</v>
      </c>
      <c r="H48" s="99">
        <f t="shared" si="30"/>
        <v>0.1722693333</v>
      </c>
      <c r="I48" s="101">
        <v>2500.0</v>
      </c>
      <c r="J48" s="102">
        <v>2500.0</v>
      </c>
      <c r="K48" s="103">
        <v>2500.0800000000004</v>
      </c>
      <c r="L48" s="104">
        <f>+SUMIF('Detail 19-20'!$AN:$AN,Draft!$A48,'Detail 19-20'!Z:Z)</f>
        <v>500</v>
      </c>
      <c r="M48" s="104">
        <f>+SUMIF('Detail 19-20'!$AN:$AN,Draft!$A48,'Detail 19-20'!AA:AA)</f>
        <v>500</v>
      </c>
      <c r="N48" s="104">
        <f>+SUMIF('Detail 19-20'!$AN:$AN,Draft!$A48,'Detail 19-20'!AB:AB)</f>
        <v>500</v>
      </c>
      <c r="O48" s="104">
        <f>+SUMIF('Detail 19-20'!$AN:$AN,Draft!$A48,'Detail 19-20'!AC:AC)</f>
        <v>500</v>
      </c>
      <c r="P48" s="104">
        <f>+SUMIF('Detail 19-20'!$AN:$AN,Draft!$A48,'Detail 19-20'!AD:AD)</f>
        <v>500</v>
      </c>
      <c r="Q48" s="104">
        <f>+SUMIF('Detail 19-20'!$AN:$AN,Draft!$A48,'Detail 19-20'!AE:AE)</f>
        <v>500</v>
      </c>
      <c r="R48" s="104">
        <f>+SUMIF('Detail 19-20'!$AN:$AN,Draft!$A48,'Detail 19-20'!AF:AF)</f>
        <v>500</v>
      </c>
      <c r="S48" s="104">
        <f>+SUMIF('Detail 19-20'!$AN:$AN,Draft!$A48,'Detail 19-20'!AG:AG)</f>
        <v>500</v>
      </c>
      <c r="T48" s="104">
        <f>+SUMIF('Detail 19-20'!$AN:$AN,Draft!$A48,'Detail 19-20'!AH:AH)</f>
        <v>500</v>
      </c>
      <c r="U48" s="104">
        <f>+SUMIF('Detail 19-20'!$AN:$AN,Draft!$A48,'Detail 19-20'!AI:AI)</f>
        <v>500</v>
      </c>
      <c r="V48" s="104">
        <f>+SUMIF('Detail 19-20'!$AN:$AN,Draft!$A48,'Detail 19-20'!AJ:AJ)</f>
        <v>500</v>
      </c>
      <c r="W48" s="104">
        <f>+SUMIF('Detail 19-20'!$AN:$AN,Draft!$A48,'Detail 19-20'!AK:AK)</f>
        <v>500</v>
      </c>
      <c r="X48" s="105">
        <f t="shared" si="31"/>
        <v>6000</v>
      </c>
      <c r="Y48" s="26">
        <f t="shared" si="32"/>
        <v>0</v>
      </c>
    </row>
    <row r="49" ht="15.75" customHeight="1">
      <c r="A49" s="95" t="s">
        <v>173</v>
      </c>
      <c r="B49" s="96">
        <f>+SUMIF('Detail 19-20'!$AN:$AN,Draft!$A49,'Detail 19-20'!T:T)</f>
        <v>53000</v>
      </c>
      <c r="C49" s="97">
        <f>+SUMIF('Detail 19-20'!$AN:$AN,Draft!$A49,'Detail 19-20'!S:S)</f>
        <v>51864.4625</v>
      </c>
      <c r="D49" s="98">
        <f t="shared" si="27"/>
        <v>1135.5375</v>
      </c>
      <c r="E49" s="99">
        <f t="shared" si="28"/>
        <v>0.02189432697</v>
      </c>
      <c r="F49" s="100">
        <v>46000.0</v>
      </c>
      <c r="G49" s="98">
        <f t="shared" si="29"/>
        <v>5864.4625</v>
      </c>
      <c r="H49" s="99">
        <f t="shared" si="30"/>
        <v>0.1274883152</v>
      </c>
      <c r="I49" s="101">
        <v>45000.0</v>
      </c>
      <c r="J49" s="102">
        <v>36500.0</v>
      </c>
      <c r="K49" s="103">
        <v>36500.03</v>
      </c>
      <c r="L49" s="104">
        <f>+SUMIF('Detail 19-20'!$AN:$AN,Draft!$A49,'Detail 19-20'!Z:Z)</f>
        <v>0</v>
      </c>
      <c r="M49" s="104">
        <f>+SUMIF('Detail 19-20'!$AN:$AN,Draft!$A49,'Detail 19-20'!AA:AA)</f>
        <v>2789.473684</v>
      </c>
      <c r="N49" s="104">
        <f>+SUMIF('Detail 19-20'!$AN:$AN,Draft!$A49,'Detail 19-20'!AB:AB)</f>
        <v>5578.947368</v>
      </c>
      <c r="O49" s="104">
        <f>+SUMIF('Detail 19-20'!$AN:$AN,Draft!$A49,'Detail 19-20'!AC:AC)</f>
        <v>5578.947368</v>
      </c>
      <c r="P49" s="104">
        <f>+SUMIF('Detail 19-20'!$AN:$AN,Draft!$A49,'Detail 19-20'!AD:AD)</f>
        <v>5578.947368</v>
      </c>
      <c r="Q49" s="104">
        <f>+SUMIF('Detail 19-20'!$AN:$AN,Draft!$A49,'Detail 19-20'!AE:AE)</f>
        <v>5578.947368</v>
      </c>
      <c r="R49" s="104">
        <f>+SUMIF('Detail 19-20'!$AN:$AN,Draft!$A49,'Detail 19-20'!AF:AF)</f>
        <v>5578.947368</v>
      </c>
      <c r="S49" s="104">
        <f>+SUMIF('Detail 19-20'!$AN:$AN,Draft!$A49,'Detail 19-20'!AG:AG)</f>
        <v>5578.947368</v>
      </c>
      <c r="T49" s="104">
        <f>+SUMIF('Detail 19-20'!$AN:$AN,Draft!$A49,'Detail 19-20'!AH:AH)</f>
        <v>5578.947368</v>
      </c>
      <c r="U49" s="104">
        <f>+SUMIF('Detail 19-20'!$AN:$AN,Draft!$A49,'Detail 19-20'!AI:AI)</f>
        <v>5578.947368</v>
      </c>
      <c r="V49" s="104">
        <f>+SUMIF('Detail 19-20'!$AN:$AN,Draft!$A49,'Detail 19-20'!AJ:AJ)</f>
        <v>5578.947368</v>
      </c>
      <c r="W49" s="104">
        <f>+SUMIF('Detail 19-20'!$AN:$AN,Draft!$A49,'Detail 19-20'!AK:AK)</f>
        <v>0</v>
      </c>
      <c r="X49" s="105">
        <f t="shared" si="31"/>
        <v>53000</v>
      </c>
      <c r="Y49" s="26">
        <f t="shared" si="32"/>
        <v>0</v>
      </c>
    </row>
    <row r="50" ht="15.75" customHeight="1">
      <c r="A50" s="95" t="s">
        <v>177</v>
      </c>
      <c r="B50" s="96">
        <f>+SUMIF('Detail 19-20'!$AN:$AN,Draft!$A50,'Detail 19-20'!T:T)</f>
        <v>7000</v>
      </c>
      <c r="C50" s="97">
        <f>+SUMIF('Detail 19-20'!$AN:$AN,Draft!$A50,'Detail 19-20'!S:S)</f>
        <v>6269.5125</v>
      </c>
      <c r="D50" s="98">
        <f t="shared" si="27"/>
        <v>730.4875</v>
      </c>
      <c r="E50" s="99">
        <f t="shared" si="28"/>
        <v>0.1165142425</v>
      </c>
      <c r="F50" s="100">
        <v>2000.0</v>
      </c>
      <c r="G50" s="98">
        <f t="shared" si="29"/>
        <v>4269.5125</v>
      </c>
      <c r="H50" s="99">
        <f t="shared" si="30"/>
        <v>2.13475625</v>
      </c>
      <c r="I50" s="101">
        <v>2000.0</v>
      </c>
      <c r="J50" s="102">
        <v>2000.0</v>
      </c>
      <c r="K50" s="103">
        <v>1999.9799999999998</v>
      </c>
      <c r="L50" s="104">
        <f>+SUMIF('Detail 19-20'!$AN:$AN,Draft!$A50,'Detail 19-20'!Z:Z)</f>
        <v>0</v>
      </c>
      <c r="M50" s="104">
        <f>+SUMIF('Detail 19-20'!$AN:$AN,Draft!$A50,'Detail 19-20'!AA:AA)</f>
        <v>3500</v>
      </c>
      <c r="N50" s="104">
        <f>+SUMIF('Detail 19-20'!$AN:$AN,Draft!$A50,'Detail 19-20'!AB:AB)</f>
        <v>0</v>
      </c>
      <c r="O50" s="104">
        <f>+SUMIF('Detail 19-20'!$AN:$AN,Draft!$A50,'Detail 19-20'!AC:AC)</f>
        <v>0</v>
      </c>
      <c r="P50" s="104">
        <f>+SUMIF('Detail 19-20'!$AN:$AN,Draft!$A50,'Detail 19-20'!AD:AD)</f>
        <v>0</v>
      </c>
      <c r="Q50" s="104">
        <f>+SUMIF('Detail 19-20'!$AN:$AN,Draft!$A50,'Detail 19-20'!AE:AE)</f>
        <v>0</v>
      </c>
      <c r="R50" s="104">
        <f>+SUMIF('Detail 19-20'!$AN:$AN,Draft!$A50,'Detail 19-20'!AF:AF)</f>
        <v>3500</v>
      </c>
      <c r="S50" s="104">
        <f>+SUMIF('Detail 19-20'!$AN:$AN,Draft!$A50,'Detail 19-20'!AG:AG)</f>
        <v>0</v>
      </c>
      <c r="T50" s="104">
        <f>+SUMIF('Detail 19-20'!$AN:$AN,Draft!$A50,'Detail 19-20'!AH:AH)</f>
        <v>0</v>
      </c>
      <c r="U50" s="104">
        <f>+SUMIF('Detail 19-20'!$AN:$AN,Draft!$A50,'Detail 19-20'!AI:AI)</f>
        <v>0</v>
      </c>
      <c r="V50" s="104">
        <f>+SUMIF('Detail 19-20'!$AN:$AN,Draft!$A50,'Detail 19-20'!AJ:AJ)</f>
        <v>0</v>
      </c>
      <c r="W50" s="104">
        <f>+SUMIF('Detail 19-20'!$AN:$AN,Draft!$A50,'Detail 19-20'!AK:AK)</f>
        <v>0</v>
      </c>
      <c r="X50" s="105">
        <f t="shared" si="31"/>
        <v>7000</v>
      </c>
      <c r="Y50" s="26">
        <f t="shared" si="32"/>
        <v>0</v>
      </c>
    </row>
    <row r="51" ht="15.75" customHeight="1">
      <c r="A51" s="95" t="s">
        <v>56</v>
      </c>
      <c r="B51" s="96">
        <f>+SUMIF('Detail 19-20'!$AN:$AN,Draft!$A51,'Detail 19-20'!T:T)</f>
        <v>23900</v>
      </c>
      <c r="C51" s="97">
        <f>+SUMIF('Detail 19-20'!$AN:$AN,Draft!$A51,'Detail 19-20'!S:S)</f>
        <v>23211.65</v>
      </c>
      <c r="D51" s="98">
        <f t="shared" si="27"/>
        <v>688.35</v>
      </c>
      <c r="E51" s="99">
        <f t="shared" si="28"/>
        <v>0.02965536702</v>
      </c>
      <c r="F51" s="100">
        <v>4100.0</v>
      </c>
      <c r="G51" s="98">
        <f t="shared" si="29"/>
        <v>19111.65</v>
      </c>
      <c r="H51" s="99">
        <f t="shared" si="30"/>
        <v>4.661378049</v>
      </c>
      <c r="I51" s="101">
        <v>11871.25</v>
      </c>
      <c r="J51" s="102">
        <v>18771.25</v>
      </c>
      <c r="K51" s="103">
        <v>25149.91</v>
      </c>
      <c r="L51" s="104">
        <f>+SUMIF('Detail 19-20'!$AN:$AN,Draft!$A51,'Detail 19-20'!Z:Z)</f>
        <v>2500</v>
      </c>
      <c r="M51" s="104">
        <f>+SUMIF('Detail 19-20'!$AN:$AN,Draft!$A51,'Detail 19-20'!AA:AA)</f>
        <v>3210.526316</v>
      </c>
      <c r="N51" s="104">
        <f>+SUMIF('Detail 19-20'!$AN:$AN,Draft!$A51,'Detail 19-20'!AB:AB)</f>
        <v>1421.052632</v>
      </c>
      <c r="O51" s="104">
        <f>+SUMIF('Detail 19-20'!$AN:$AN,Draft!$A51,'Detail 19-20'!AC:AC)</f>
        <v>1421.052632</v>
      </c>
      <c r="P51" s="104">
        <f>+SUMIF('Detail 19-20'!$AN:$AN,Draft!$A51,'Detail 19-20'!AD:AD)</f>
        <v>1646.052632</v>
      </c>
      <c r="Q51" s="104">
        <f>+SUMIF('Detail 19-20'!$AN:$AN,Draft!$A51,'Detail 19-20'!AE:AE)</f>
        <v>1646.052632</v>
      </c>
      <c r="R51" s="104">
        <f>+SUMIF('Detail 19-20'!$AN:$AN,Draft!$A51,'Detail 19-20'!AF:AF)</f>
        <v>4146.052632</v>
      </c>
      <c r="S51" s="104">
        <f>+SUMIF('Detail 19-20'!$AN:$AN,Draft!$A51,'Detail 19-20'!AG:AG)</f>
        <v>1646.052632</v>
      </c>
      <c r="T51" s="104">
        <f>+SUMIF('Detail 19-20'!$AN:$AN,Draft!$A51,'Detail 19-20'!AH:AH)</f>
        <v>1421.052632</v>
      </c>
      <c r="U51" s="104">
        <f>+SUMIF('Detail 19-20'!$AN:$AN,Draft!$A51,'Detail 19-20'!AI:AI)</f>
        <v>2421.052632</v>
      </c>
      <c r="V51" s="104">
        <f>+SUMIF('Detail 19-20'!$AN:$AN,Draft!$A51,'Detail 19-20'!AJ:AJ)</f>
        <v>2421.052632</v>
      </c>
      <c r="W51" s="104">
        <f>+SUMIF('Detail 19-20'!$AN:$AN,Draft!$A51,'Detail 19-20'!AK:AK)</f>
        <v>0</v>
      </c>
      <c r="X51" s="105">
        <f t="shared" si="31"/>
        <v>23900</v>
      </c>
      <c r="Y51" s="26">
        <f t="shared" si="32"/>
        <v>0</v>
      </c>
    </row>
    <row r="52" ht="15.75" customHeight="1">
      <c r="A52" s="95" t="s">
        <v>721</v>
      </c>
      <c r="B52" s="96">
        <f>+SUMIF('Detail 19-20'!$AN:$AN,Draft!$A52,'Detail 19-20'!T:T)</f>
        <v>1675</v>
      </c>
      <c r="C52" s="97">
        <f>+SUMIF('Detail 19-20'!$AN:$AN,Draft!$A52,'Detail 19-20'!S:S)</f>
        <v>1017.1625</v>
      </c>
      <c r="D52" s="98">
        <f t="shared" si="27"/>
        <v>657.8375</v>
      </c>
      <c r="E52" s="99">
        <f t="shared" si="28"/>
        <v>0.6467378615</v>
      </c>
      <c r="F52" s="100">
        <v>3000.0</v>
      </c>
      <c r="G52" s="98">
        <f t="shared" si="29"/>
        <v>-1982.8375</v>
      </c>
      <c r="H52" s="99">
        <f t="shared" si="30"/>
        <v>-0.6609458333</v>
      </c>
      <c r="I52" s="101">
        <v>4250.0</v>
      </c>
      <c r="J52" s="102">
        <v>4250.0</v>
      </c>
      <c r="K52" s="103">
        <v>4250.04</v>
      </c>
      <c r="L52" s="104">
        <f>+SUMIF('Detail 19-20'!$AN:$AN,Draft!$A52,'Detail 19-20'!Z:Z)</f>
        <v>139.5833333</v>
      </c>
      <c r="M52" s="104">
        <f>+SUMIF('Detail 19-20'!$AN:$AN,Draft!$A52,'Detail 19-20'!AA:AA)</f>
        <v>139.5833333</v>
      </c>
      <c r="N52" s="104">
        <f>+SUMIF('Detail 19-20'!$AN:$AN,Draft!$A52,'Detail 19-20'!AB:AB)</f>
        <v>139.5833333</v>
      </c>
      <c r="O52" s="104">
        <f>+SUMIF('Detail 19-20'!$AN:$AN,Draft!$A52,'Detail 19-20'!AC:AC)</f>
        <v>139.5833333</v>
      </c>
      <c r="P52" s="104">
        <f>+SUMIF('Detail 19-20'!$AN:$AN,Draft!$A52,'Detail 19-20'!AD:AD)</f>
        <v>139.5833333</v>
      </c>
      <c r="Q52" s="104">
        <f>+SUMIF('Detail 19-20'!$AN:$AN,Draft!$A52,'Detail 19-20'!AE:AE)</f>
        <v>139.5833333</v>
      </c>
      <c r="R52" s="104">
        <f>+SUMIF('Detail 19-20'!$AN:$AN,Draft!$A52,'Detail 19-20'!AF:AF)</f>
        <v>139.5833333</v>
      </c>
      <c r="S52" s="104">
        <f>+SUMIF('Detail 19-20'!$AN:$AN,Draft!$A52,'Detail 19-20'!AG:AG)</f>
        <v>139.5833333</v>
      </c>
      <c r="T52" s="104">
        <f>+SUMIF('Detail 19-20'!$AN:$AN,Draft!$A52,'Detail 19-20'!AH:AH)</f>
        <v>139.5833333</v>
      </c>
      <c r="U52" s="104">
        <f>+SUMIF('Detail 19-20'!$AN:$AN,Draft!$A52,'Detail 19-20'!AI:AI)</f>
        <v>139.5833333</v>
      </c>
      <c r="V52" s="104">
        <f>+SUMIF('Detail 19-20'!$AN:$AN,Draft!$A52,'Detail 19-20'!AJ:AJ)</f>
        <v>139.5833333</v>
      </c>
      <c r="W52" s="104">
        <f>+SUMIF('Detail 19-20'!$AN:$AN,Draft!$A52,'Detail 19-20'!AK:AK)</f>
        <v>139.5833333</v>
      </c>
      <c r="X52" s="105">
        <f t="shared" si="31"/>
        <v>1675</v>
      </c>
      <c r="Y52" s="26">
        <f t="shared" si="32"/>
        <v>0</v>
      </c>
    </row>
    <row r="53" ht="15.75" customHeight="1" outlineLevel="1">
      <c r="A53" s="95" t="s">
        <v>186</v>
      </c>
      <c r="B53" s="96">
        <f>+SUMIF('Detail 19-20'!$AN:$AN,Draft!$A53,'Detail 19-20'!T:T)</f>
        <v>0</v>
      </c>
      <c r="C53" s="97">
        <f>+SUMIF('Detail 19-20'!$AN:$AN,Draft!$A53,'Detail 19-20'!S:S)</f>
        <v>0</v>
      </c>
      <c r="D53" s="98">
        <f t="shared" si="27"/>
        <v>0</v>
      </c>
      <c r="E53" s="99">
        <f t="shared" si="28"/>
        <v>0</v>
      </c>
      <c r="F53" s="100">
        <v>1520.0</v>
      </c>
      <c r="G53" s="98">
        <f t="shared" si="29"/>
        <v>-1520</v>
      </c>
      <c r="H53" s="99">
        <f t="shared" si="30"/>
        <v>-1</v>
      </c>
      <c r="I53" s="101">
        <v>1440.0</v>
      </c>
      <c r="J53" s="102">
        <v>1440.0</v>
      </c>
      <c r="K53" s="103">
        <v>4500.0</v>
      </c>
      <c r="L53" s="104">
        <f>+SUMIF('Detail 19-20'!$AN:$AN,Draft!$A53,'Detail 19-20'!Z:Z)</f>
        <v>0</v>
      </c>
      <c r="M53" s="104">
        <f>+SUMIF('Detail 19-20'!$AN:$AN,Draft!$A53,'Detail 19-20'!AA:AA)</f>
        <v>0</v>
      </c>
      <c r="N53" s="104">
        <f>+SUMIF('Detail 19-20'!$AN:$AN,Draft!$A53,'Detail 19-20'!AB:AB)</f>
        <v>0</v>
      </c>
      <c r="O53" s="104">
        <f>+SUMIF('Detail 19-20'!$AN:$AN,Draft!$A53,'Detail 19-20'!AC:AC)</f>
        <v>0</v>
      </c>
      <c r="P53" s="104">
        <f>+SUMIF('Detail 19-20'!$AN:$AN,Draft!$A53,'Detail 19-20'!AD:AD)</f>
        <v>0</v>
      </c>
      <c r="Q53" s="104">
        <f>+SUMIF('Detail 19-20'!$AN:$AN,Draft!$A53,'Detail 19-20'!AE:AE)</f>
        <v>0</v>
      </c>
      <c r="R53" s="104">
        <f>+SUMIF('Detail 19-20'!$AN:$AN,Draft!$A53,'Detail 19-20'!AF:AF)</f>
        <v>0</v>
      </c>
      <c r="S53" s="104">
        <f>+SUMIF('Detail 19-20'!$AN:$AN,Draft!$A53,'Detail 19-20'!AG:AG)</f>
        <v>0</v>
      </c>
      <c r="T53" s="104">
        <f>+SUMIF('Detail 19-20'!$AN:$AN,Draft!$A53,'Detail 19-20'!AH:AH)</f>
        <v>0</v>
      </c>
      <c r="U53" s="104">
        <f>+SUMIF('Detail 19-20'!$AN:$AN,Draft!$A53,'Detail 19-20'!AI:AI)</f>
        <v>0</v>
      </c>
      <c r="V53" s="104">
        <f>+SUMIF('Detail 19-20'!$AN:$AN,Draft!$A53,'Detail 19-20'!AJ:AJ)</f>
        <v>0</v>
      </c>
      <c r="W53" s="104">
        <f>+SUMIF('Detail 19-20'!$AN:$AN,Draft!$A53,'Detail 19-20'!AK:AK)</f>
        <v>0</v>
      </c>
      <c r="X53" s="105">
        <f t="shared" si="31"/>
        <v>0</v>
      </c>
      <c r="Y53" s="26">
        <f t="shared" si="32"/>
        <v>0</v>
      </c>
    </row>
    <row r="54" ht="15.75" customHeight="1">
      <c r="A54" s="95" t="s">
        <v>191</v>
      </c>
      <c r="B54" s="96">
        <f>+SUMIF('Detail 19-20'!$AN:$AN,Draft!$A54,'Detail 19-20'!T:T)</f>
        <v>1500</v>
      </c>
      <c r="C54" s="97">
        <f>+SUMIF('Detail 19-20'!$AN:$AN,Draft!$A54,'Detail 19-20'!S:S)</f>
        <v>1500.625</v>
      </c>
      <c r="D54" s="98">
        <f t="shared" si="27"/>
        <v>-0.625</v>
      </c>
      <c r="E54" s="99">
        <f t="shared" si="28"/>
        <v>-0.0004164931279</v>
      </c>
      <c r="F54" s="100">
        <v>1000.0</v>
      </c>
      <c r="G54" s="98">
        <f t="shared" si="29"/>
        <v>500.625</v>
      </c>
      <c r="H54" s="99">
        <f t="shared" si="30"/>
        <v>0.500625</v>
      </c>
      <c r="I54" s="101">
        <v>1200.0</v>
      </c>
      <c r="J54" s="102">
        <v>1200.0</v>
      </c>
      <c r="K54" s="103">
        <v>1200.0</v>
      </c>
      <c r="L54" s="104">
        <f>+SUMIF('Detail 19-20'!$AN:$AN,Draft!$A54,'Detail 19-20'!Z:Z)</f>
        <v>0</v>
      </c>
      <c r="M54" s="104">
        <f>+SUMIF('Detail 19-20'!$AN:$AN,Draft!$A54,'Detail 19-20'!AA:AA)</f>
        <v>750</v>
      </c>
      <c r="N54" s="104">
        <f>+SUMIF('Detail 19-20'!$AN:$AN,Draft!$A54,'Detail 19-20'!AB:AB)</f>
        <v>0</v>
      </c>
      <c r="O54" s="104">
        <f>+SUMIF('Detail 19-20'!$AN:$AN,Draft!$A54,'Detail 19-20'!AC:AC)</f>
        <v>0</v>
      </c>
      <c r="P54" s="104">
        <f>+SUMIF('Detail 19-20'!$AN:$AN,Draft!$A54,'Detail 19-20'!AD:AD)</f>
        <v>0</v>
      </c>
      <c r="Q54" s="104">
        <f>+SUMIF('Detail 19-20'!$AN:$AN,Draft!$A54,'Detail 19-20'!AE:AE)</f>
        <v>0</v>
      </c>
      <c r="R54" s="104">
        <f>+SUMIF('Detail 19-20'!$AN:$AN,Draft!$A54,'Detail 19-20'!AF:AF)</f>
        <v>750</v>
      </c>
      <c r="S54" s="104">
        <f>+SUMIF('Detail 19-20'!$AN:$AN,Draft!$A54,'Detail 19-20'!AG:AG)</f>
        <v>0</v>
      </c>
      <c r="T54" s="104">
        <f>+SUMIF('Detail 19-20'!$AN:$AN,Draft!$A54,'Detail 19-20'!AH:AH)</f>
        <v>0</v>
      </c>
      <c r="U54" s="104">
        <f>+SUMIF('Detail 19-20'!$AN:$AN,Draft!$A54,'Detail 19-20'!AI:AI)</f>
        <v>0</v>
      </c>
      <c r="V54" s="104">
        <f>+SUMIF('Detail 19-20'!$AN:$AN,Draft!$A54,'Detail 19-20'!AJ:AJ)</f>
        <v>0</v>
      </c>
      <c r="W54" s="104">
        <f>+SUMIF('Detail 19-20'!$AN:$AN,Draft!$A54,'Detail 19-20'!AK:AK)</f>
        <v>0</v>
      </c>
      <c r="X54" s="105">
        <f t="shared" si="31"/>
        <v>1500</v>
      </c>
      <c r="Y54" s="26">
        <f t="shared" si="32"/>
        <v>0</v>
      </c>
    </row>
    <row r="55" ht="15.75" customHeight="1">
      <c r="A55" s="95" t="s">
        <v>196</v>
      </c>
      <c r="B55" s="96">
        <f>+SUMIF('Detail 19-20'!$AN:$AN,Draft!$A55,'Detail 19-20'!T:T)</f>
        <v>0</v>
      </c>
      <c r="C55" s="97">
        <f>+SUMIF('Detail 19-20'!$AN:$AN,Draft!$A55,'Detail 19-20'!S:S)</f>
        <v>0</v>
      </c>
      <c r="D55" s="98">
        <f t="shared" si="27"/>
        <v>0</v>
      </c>
      <c r="E55" s="99">
        <f t="shared" si="28"/>
        <v>0</v>
      </c>
      <c r="F55" s="100">
        <v>5000.0</v>
      </c>
      <c r="G55" s="98">
        <f t="shared" si="29"/>
        <v>-5000</v>
      </c>
      <c r="H55" s="99">
        <f t="shared" si="30"/>
        <v>-1</v>
      </c>
      <c r="I55" s="101">
        <v>5000.0</v>
      </c>
      <c r="J55" s="102">
        <v>5000.0</v>
      </c>
      <c r="K55" s="103">
        <v>5000.01</v>
      </c>
      <c r="L55" s="104">
        <f>+SUMIF('Detail 19-20'!$AN:$AN,Draft!$A55,'Detail 19-20'!Z:Z)</f>
        <v>0</v>
      </c>
      <c r="M55" s="104">
        <f>+SUMIF('Detail 19-20'!$AN:$AN,Draft!$A55,'Detail 19-20'!AA:AA)</f>
        <v>0</v>
      </c>
      <c r="N55" s="104">
        <f>+SUMIF('Detail 19-20'!$AN:$AN,Draft!$A55,'Detail 19-20'!AB:AB)</f>
        <v>0</v>
      </c>
      <c r="O55" s="104">
        <f>+SUMIF('Detail 19-20'!$AN:$AN,Draft!$A55,'Detail 19-20'!AC:AC)</f>
        <v>0</v>
      </c>
      <c r="P55" s="104">
        <f>+SUMIF('Detail 19-20'!$AN:$AN,Draft!$A55,'Detail 19-20'!AD:AD)</f>
        <v>0</v>
      </c>
      <c r="Q55" s="104">
        <f>+SUMIF('Detail 19-20'!$AN:$AN,Draft!$A55,'Detail 19-20'!AE:AE)</f>
        <v>0</v>
      </c>
      <c r="R55" s="104">
        <f>+SUMIF('Detail 19-20'!$AN:$AN,Draft!$A55,'Detail 19-20'!AF:AF)</f>
        <v>0</v>
      </c>
      <c r="S55" s="104">
        <f>+SUMIF('Detail 19-20'!$AN:$AN,Draft!$A55,'Detail 19-20'!AG:AG)</f>
        <v>0</v>
      </c>
      <c r="T55" s="104">
        <f>+SUMIF('Detail 19-20'!$AN:$AN,Draft!$A55,'Detail 19-20'!AH:AH)</f>
        <v>0</v>
      </c>
      <c r="U55" s="104">
        <f>+SUMIF('Detail 19-20'!$AN:$AN,Draft!$A55,'Detail 19-20'!AI:AI)</f>
        <v>0</v>
      </c>
      <c r="V55" s="104">
        <f>+SUMIF('Detail 19-20'!$AN:$AN,Draft!$A55,'Detail 19-20'!AJ:AJ)</f>
        <v>0</v>
      </c>
      <c r="W55" s="104">
        <f>+SUMIF('Detail 19-20'!$AN:$AN,Draft!$A55,'Detail 19-20'!AK:AK)</f>
        <v>0</v>
      </c>
      <c r="X55" s="105">
        <f t="shared" si="31"/>
        <v>0</v>
      </c>
      <c r="Y55" s="26">
        <f t="shared" si="32"/>
        <v>0</v>
      </c>
    </row>
    <row r="56" ht="15.75" customHeight="1">
      <c r="A56" s="95" t="s">
        <v>199</v>
      </c>
      <c r="B56" s="96">
        <f>+SUMIF('Detail 19-20'!$AN:$AN,Draft!$A56,'Detail 19-20'!T:T)</f>
        <v>0</v>
      </c>
      <c r="C56" s="97">
        <f>+SUMIF('Detail 19-20'!$AN:$AN,Draft!$A56,'Detail 19-20'!S:S)</f>
        <v>0</v>
      </c>
      <c r="D56" s="98">
        <f t="shared" si="27"/>
        <v>0</v>
      </c>
      <c r="E56" s="99">
        <f t="shared" si="28"/>
        <v>0</v>
      </c>
      <c r="F56" s="100">
        <v>2500.0</v>
      </c>
      <c r="G56" s="98">
        <f t="shared" si="29"/>
        <v>-2500</v>
      </c>
      <c r="H56" s="99">
        <f t="shared" si="30"/>
        <v>-1</v>
      </c>
      <c r="I56" s="101">
        <v>5000.0</v>
      </c>
      <c r="J56" s="102">
        <v>5000.0</v>
      </c>
      <c r="K56" s="103">
        <v>5000.0</v>
      </c>
      <c r="L56" s="104">
        <f>+SUMIF('Detail 19-20'!$AN:$AN,Draft!$A56,'Detail 19-20'!Z:Z)</f>
        <v>0</v>
      </c>
      <c r="M56" s="104">
        <f>+SUMIF('Detail 19-20'!$AN:$AN,Draft!$A56,'Detail 19-20'!AA:AA)</f>
        <v>0</v>
      </c>
      <c r="N56" s="104">
        <f>+SUMIF('Detail 19-20'!$AN:$AN,Draft!$A56,'Detail 19-20'!AB:AB)</f>
        <v>0</v>
      </c>
      <c r="O56" s="104">
        <f>+SUMIF('Detail 19-20'!$AN:$AN,Draft!$A56,'Detail 19-20'!AC:AC)</f>
        <v>0</v>
      </c>
      <c r="P56" s="104">
        <f>+SUMIF('Detail 19-20'!$AN:$AN,Draft!$A56,'Detail 19-20'!AD:AD)</f>
        <v>0</v>
      </c>
      <c r="Q56" s="104">
        <f>+SUMIF('Detail 19-20'!$AN:$AN,Draft!$A56,'Detail 19-20'!AE:AE)</f>
        <v>0</v>
      </c>
      <c r="R56" s="104">
        <f>+SUMIF('Detail 19-20'!$AN:$AN,Draft!$A56,'Detail 19-20'!AF:AF)</f>
        <v>0</v>
      </c>
      <c r="S56" s="104">
        <f>+SUMIF('Detail 19-20'!$AN:$AN,Draft!$A56,'Detail 19-20'!AG:AG)</f>
        <v>0</v>
      </c>
      <c r="T56" s="104">
        <f>+SUMIF('Detail 19-20'!$AN:$AN,Draft!$A56,'Detail 19-20'!AH:AH)</f>
        <v>0</v>
      </c>
      <c r="U56" s="104">
        <f>+SUMIF('Detail 19-20'!$AN:$AN,Draft!$A56,'Detail 19-20'!AI:AI)</f>
        <v>0</v>
      </c>
      <c r="V56" s="104">
        <f>+SUMIF('Detail 19-20'!$AN:$AN,Draft!$A56,'Detail 19-20'!AJ:AJ)</f>
        <v>0</v>
      </c>
      <c r="W56" s="104">
        <f>+SUMIF('Detail 19-20'!$AN:$AN,Draft!$A56,'Detail 19-20'!AK:AK)</f>
        <v>0</v>
      </c>
      <c r="X56" s="105">
        <f t="shared" si="31"/>
        <v>0</v>
      </c>
      <c r="Y56" s="26">
        <f t="shared" si="32"/>
        <v>0</v>
      </c>
    </row>
    <row r="57" ht="15.75" customHeight="1">
      <c r="A57" s="95" t="s">
        <v>204</v>
      </c>
      <c r="B57" s="96">
        <f>+SUMIF('Detail 19-20'!$AN:$AN,Draft!$A57,'Detail 19-20'!T:T)</f>
        <v>0</v>
      </c>
      <c r="C57" s="97">
        <f>+SUMIF('Detail 19-20'!$AN:$AN,Draft!$A57,'Detail 19-20'!S:S)</f>
        <v>0</v>
      </c>
      <c r="D57" s="98">
        <f t="shared" si="27"/>
        <v>0</v>
      </c>
      <c r="E57" s="99">
        <f t="shared" si="28"/>
        <v>0</v>
      </c>
      <c r="F57" s="100">
        <v>500.0</v>
      </c>
      <c r="G57" s="98">
        <f t="shared" si="29"/>
        <v>-500</v>
      </c>
      <c r="H57" s="99">
        <f t="shared" si="30"/>
        <v>-1</v>
      </c>
      <c r="I57" s="101">
        <v>750.0</v>
      </c>
      <c r="J57" s="102">
        <v>750.0</v>
      </c>
      <c r="K57" s="103">
        <v>750.01</v>
      </c>
      <c r="L57" s="104">
        <f>+SUMIF('Detail 19-20'!$AN:$AN,Draft!$A57,'Detail 19-20'!Z:Z)</f>
        <v>0</v>
      </c>
      <c r="M57" s="104">
        <f>+SUMIF('Detail 19-20'!$AN:$AN,Draft!$A57,'Detail 19-20'!AA:AA)</f>
        <v>0</v>
      </c>
      <c r="N57" s="104">
        <f>+SUMIF('Detail 19-20'!$AN:$AN,Draft!$A57,'Detail 19-20'!AB:AB)</f>
        <v>0</v>
      </c>
      <c r="O57" s="104">
        <f>+SUMIF('Detail 19-20'!$AN:$AN,Draft!$A57,'Detail 19-20'!AC:AC)</f>
        <v>0</v>
      </c>
      <c r="P57" s="104">
        <f>+SUMIF('Detail 19-20'!$AN:$AN,Draft!$A57,'Detail 19-20'!AD:AD)</f>
        <v>0</v>
      </c>
      <c r="Q57" s="104">
        <f>+SUMIF('Detail 19-20'!$AN:$AN,Draft!$A57,'Detail 19-20'!AE:AE)</f>
        <v>0</v>
      </c>
      <c r="R57" s="104">
        <f>+SUMIF('Detail 19-20'!$AN:$AN,Draft!$A57,'Detail 19-20'!AF:AF)</f>
        <v>0</v>
      </c>
      <c r="S57" s="104">
        <f>+SUMIF('Detail 19-20'!$AN:$AN,Draft!$A57,'Detail 19-20'!AG:AG)</f>
        <v>0</v>
      </c>
      <c r="T57" s="104">
        <f>+SUMIF('Detail 19-20'!$AN:$AN,Draft!$A57,'Detail 19-20'!AH:AH)</f>
        <v>0</v>
      </c>
      <c r="U57" s="104">
        <f>+SUMIF('Detail 19-20'!$AN:$AN,Draft!$A57,'Detail 19-20'!AI:AI)</f>
        <v>0</v>
      </c>
      <c r="V57" s="104">
        <f>+SUMIF('Detail 19-20'!$AN:$AN,Draft!$A57,'Detail 19-20'!AJ:AJ)</f>
        <v>0</v>
      </c>
      <c r="W57" s="104">
        <f>+SUMIF('Detail 19-20'!$AN:$AN,Draft!$A57,'Detail 19-20'!AK:AK)</f>
        <v>0</v>
      </c>
      <c r="X57" s="105">
        <f t="shared" si="31"/>
        <v>0</v>
      </c>
      <c r="Y57" s="26">
        <f t="shared" si="32"/>
        <v>0</v>
      </c>
    </row>
    <row r="58" ht="15.75" customHeight="1">
      <c r="A58" s="95" t="s">
        <v>208</v>
      </c>
      <c r="B58" s="96">
        <f>+SUMIF('Detail 19-20'!$AN:$AN,Draft!$A58,'Detail 19-20'!T:T)</f>
        <v>25000</v>
      </c>
      <c r="C58" s="97">
        <f>+SUMIF('Detail 19-20'!$AN:$AN,Draft!$A58,'Detail 19-20'!S:S)</f>
        <v>23084.91</v>
      </c>
      <c r="D58" s="98">
        <f t="shared" si="27"/>
        <v>1915.09</v>
      </c>
      <c r="E58" s="99">
        <f t="shared" si="28"/>
        <v>0.08295852139</v>
      </c>
      <c r="F58" s="100">
        <v>25000.0</v>
      </c>
      <c r="G58" s="98">
        <f t="shared" si="29"/>
        <v>-1915.09</v>
      </c>
      <c r="H58" s="99">
        <f t="shared" si="30"/>
        <v>-0.0766036</v>
      </c>
      <c r="I58" s="101">
        <v>20000.0</v>
      </c>
      <c r="J58" s="102">
        <v>10900.0</v>
      </c>
      <c r="K58" s="103">
        <v>10900.02</v>
      </c>
      <c r="L58" s="104">
        <f>+SUMIF('Detail 19-20'!$AN:$AN,Draft!$A58,'Detail 19-20'!Z:Z)</f>
        <v>2083.333333</v>
      </c>
      <c r="M58" s="104">
        <f>+SUMIF('Detail 19-20'!$AN:$AN,Draft!$A58,'Detail 19-20'!AA:AA)</f>
        <v>2083.333333</v>
      </c>
      <c r="N58" s="104">
        <f>+SUMIF('Detail 19-20'!$AN:$AN,Draft!$A58,'Detail 19-20'!AB:AB)</f>
        <v>2083.333333</v>
      </c>
      <c r="O58" s="104">
        <f>+SUMIF('Detail 19-20'!$AN:$AN,Draft!$A58,'Detail 19-20'!AC:AC)</f>
        <v>2083.333333</v>
      </c>
      <c r="P58" s="104">
        <f>+SUMIF('Detail 19-20'!$AN:$AN,Draft!$A58,'Detail 19-20'!AD:AD)</f>
        <v>2083.333333</v>
      </c>
      <c r="Q58" s="104">
        <f>+SUMIF('Detail 19-20'!$AN:$AN,Draft!$A58,'Detail 19-20'!AE:AE)</f>
        <v>2083.333333</v>
      </c>
      <c r="R58" s="104">
        <f>+SUMIF('Detail 19-20'!$AN:$AN,Draft!$A58,'Detail 19-20'!AF:AF)</f>
        <v>2083.333333</v>
      </c>
      <c r="S58" s="104">
        <f>+SUMIF('Detail 19-20'!$AN:$AN,Draft!$A58,'Detail 19-20'!AG:AG)</f>
        <v>2083.333333</v>
      </c>
      <c r="T58" s="104">
        <f>+SUMIF('Detail 19-20'!$AN:$AN,Draft!$A58,'Detail 19-20'!AH:AH)</f>
        <v>2083.333333</v>
      </c>
      <c r="U58" s="104">
        <f>+SUMIF('Detail 19-20'!$AN:$AN,Draft!$A58,'Detail 19-20'!AI:AI)</f>
        <v>2083.333333</v>
      </c>
      <c r="V58" s="104">
        <f>+SUMIF('Detail 19-20'!$AN:$AN,Draft!$A58,'Detail 19-20'!AJ:AJ)</f>
        <v>2083.333333</v>
      </c>
      <c r="W58" s="104">
        <f>+SUMIF('Detail 19-20'!$AN:$AN,Draft!$A58,'Detail 19-20'!AK:AK)</f>
        <v>2083.333333</v>
      </c>
      <c r="X58" s="105">
        <f t="shared" si="31"/>
        <v>25000</v>
      </c>
      <c r="Y58" s="26">
        <f t="shared" si="32"/>
        <v>0</v>
      </c>
    </row>
    <row r="59" ht="15.75" customHeight="1">
      <c r="A59" s="95" t="s">
        <v>212</v>
      </c>
      <c r="B59" s="96">
        <f>+SUMIF('Detail 19-20'!$AN:$AN,Draft!$A59,'Detail 19-20'!T:T)</f>
        <v>750</v>
      </c>
      <c r="C59" s="97">
        <f>+SUMIF('Detail 19-20'!$AN:$AN,Draft!$A59,'Detail 19-20'!S:S)</f>
        <v>763.0933333</v>
      </c>
      <c r="D59" s="98">
        <f t="shared" si="27"/>
        <v>-13.09333333</v>
      </c>
      <c r="E59" s="99">
        <f t="shared" si="28"/>
        <v>-0.01715823316</v>
      </c>
      <c r="F59" s="100">
        <v>1550.0</v>
      </c>
      <c r="G59" s="98">
        <f t="shared" si="29"/>
        <v>-786.9066667</v>
      </c>
      <c r="H59" s="99">
        <f t="shared" si="30"/>
        <v>-0.5076817204</v>
      </c>
      <c r="I59" s="101">
        <v>1200.0</v>
      </c>
      <c r="J59" s="102">
        <v>8950.0</v>
      </c>
      <c r="K59" s="103">
        <v>949.98</v>
      </c>
      <c r="L59" s="104">
        <f>+SUMIF('Detail 19-20'!$AN:$AN,Draft!$A59,'Detail 19-20'!Z:Z)</f>
        <v>62.5</v>
      </c>
      <c r="M59" s="104">
        <f>+SUMIF('Detail 19-20'!$AN:$AN,Draft!$A59,'Detail 19-20'!AA:AA)</f>
        <v>62.5</v>
      </c>
      <c r="N59" s="104">
        <f>+SUMIF('Detail 19-20'!$AN:$AN,Draft!$A59,'Detail 19-20'!AB:AB)</f>
        <v>62.5</v>
      </c>
      <c r="O59" s="104">
        <f>+SUMIF('Detail 19-20'!$AN:$AN,Draft!$A59,'Detail 19-20'!AC:AC)</f>
        <v>62.5</v>
      </c>
      <c r="P59" s="104">
        <f>+SUMIF('Detail 19-20'!$AN:$AN,Draft!$A59,'Detail 19-20'!AD:AD)</f>
        <v>62.5</v>
      </c>
      <c r="Q59" s="104">
        <f>+SUMIF('Detail 19-20'!$AN:$AN,Draft!$A59,'Detail 19-20'!AE:AE)</f>
        <v>62.5</v>
      </c>
      <c r="R59" s="104">
        <f>+SUMIF('Detail 19-20'!$AN:$AN,Draft!$A59,'Detail 19-20'!AF:AF)</f>
        <v>62.5</v>
      </c>
      <c r="S59" s="104">
        <f>+SUMIF('Detail 19-20'!$AN:$AN,Draft!$A59,'Detail 19-20'!AG:AG)</f>
        <v>62.5</v>
      </c>
      <c r="T59" s="104">
        <f>+SUMIF('Detail 19-20'!$AN:$AN,Draft!$A59,'Detail 19-20'!AH:AH)</f>
        <v>62.5</v>
      </c>
      <c r="U59" s="104">
        <f>+SUMIF('Detail 19-20'!$AN:$AN,Draft!$A59,'Detail 19-20'!AI:AI)</f>
        <v>62.5</v>
      </c>
      <c r="V59" s="104">
        <f>+SUMIF('Detail 19-20'!$AN:$AN,Draft!$A59,'Detail 19-20'!AJ:AJ)</f>
        <v>62.5</v>
      </c>
      <c r="W59" s="104">
        <f>+SUMIF('Detail 19-20'!$AN:$AN,Draft!$A59,'Detail 19-20'!AK:AK)</f>
        <v>62.5</v>
      </c>
      <c r="X59" s="105">
        <f t="shared" si="31"/>
        <v>750</v>
      </c>
      <c r="Y59" s="26">
        <f t="shared" si="32"/>
        <v>0</v>
      </c>
    </row>
    <row r="60" ht="15.75" customHeight="1">
      <c r="A60" s="106" t="s">
        <v>217</v>
      </c>
      <c r="B60" s="96">
        <f>+SUMIF('Detail 19-20'!$AN:$AN,Draft!$A60,'Detail 19-20'!T:T)</f>
        <v>3000</v>
      </c>
      <c r="C60" s="97">
        <f>+SUMIF('Detail 19-20'!$AN:$AN,Draft!$A60,'Detail 19-20'!S:S)</f>
        <v>47.08</v>
      </c>
      <c r="D60" s="98">
        <f t="shared" si="27"/>
        <v>2952.92</v>
      </c>
      <c r="E60" s="99">
        <f t="shared" si="28"/>
        <v>62.7213254</v>
      </c>
      <c r="F60" s="100">
        <v>3250.0</v>
      </c>
      <c r="G60" s="98">
        <f t="shared" si="29"/>
        <v>-3202.92</v>
      </c>
      <c r="H60" s="99">
        <f t="shared" si="30"/>
        <v>-0.9855138462</v>
      </c>
      <c r="I60" s="101">
        <v>2000.0</v>
      </c>
      <c r="J60" s="107">
        <v>2000.0</v>
      </c>
      <c r="K60" s="103">
        <v>2000.0400000000002</v>
      </c>
      <c r="L60" s="109">
        <f>+SUMIF('Detail 19-20'!$AN:$AN,Draft!$A60,'Detail 19-20'!Z:Z)</f>
        <v>250</v>
      </c>
      <c r="M60" s="109">
        <f>+SUMIF('Detail 19-20'!$AN:$AN,Draft!$A60,'Detail 19-20'!AA:AA)</f>
        <v>250</v>
      </c>
      <c r="N60" s="109">
        <f>+SUMIF('Detail 19-20'!$AN:$AN,Draft!$A60,'Detail 19-20'!AB:AB)</f>
        <v>250</v>
      </c>
      <c r="O60" s="109">
        <f>+SUMIF('Detail 19-20'!$AN:$AN,Draft!$A60,'Detail 19-20'!AC:AC)</f>
        <v>250</v>
      </c>
      <c r="P60" s="109">
        <f>+SUMIF('Detail 19-20'!$AN:$AN,Draft!$A60,'Detail 19-20'!AD:AD)</f>
        <v>250</v>
      </c>
      <c r="Q60" s="109">
        <f>+SUMIF('Detail 19-20'!$AN:$AN,Draft!$A60,'Detail 19-20'!AE:AE)</f>
        <v>250</v>
      </c>
      <c r="R60" s="109">
        <f>+SUMIF('Detail 19-20'!$AN:$AN,Draft!$A60,'Detail 19-20'!AF:AF)</f>
        <v>250</v>
      </c>
      <c r="S60" s="109">
        <f>+SUMIF('Detail 19-20'!$AN:$AN,Draft!$A60,'Detail 19-20'!AG:AG)</f>
        <v>250</v>
      </c>
      <c r="T60" s="109">
        <f>+SUMIF('Detail 19-20'!$AN:$AN,Draft!$A60,'Detail 19-20'!AH:AH)</f>
        <v>250</v>
      </c>
      <c r="U60" s="109">
        <f>+SUMIF('Detail 19-20'!$AN:$AN,Draft!$A60,'Detail 19-20'!AI:AI)</f>
        <v>250</v>
      </c>
      <c r="V60" s="109">
        <f>+SUMIF('Detail 19-20'!$AN:$AN,Draft!$A60,'Detail 19-20'!AJ:AJ)</f>
        <v>250</v>
      </c>
      <c r="W60" s="109">
        <f>+SUMIF('Detail 19-20'!$AN:$AN,Draft!$A60,'Detail 19-20'!AK:AK)</f>
        <v>250</v>
      </c>
      <c r="X60" s="110">
        <f t="shared" si="31"/>
        <v>3000</v>
      </c>
      <c r="Y60" s="26">
        <f t="shared" si="32"/>
        <v>0</v>
      </c>
    </row>
    <row r="61" ht="15.75" customHeight="1">
      <c r="A61" s="111"/>
      <c r="B61" s="112"/>
      <c r="C61" s="113"/>
      <c r="D61" s="114"/>
      <c r="E61" s="114"/>
      <c r="F61" s="115"/>
      <c r="G61" s="114"/>
      <c r="H61" s="114"/>
      <c r="I61" s="116"/>
      <c r="J61" s="88"/>
      <c r="K61" s="141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</row>
    <row r="62" ht="15.75" customHeight="1">
      <c r="A62" s="95" t="s">
        <v>223</v>
      </c>
      <c r="B62" s="117">
        <f t="shared" ref="B62:C62" si="33">+SUM(B35:B60)</f>
        <v>992890.9387</v>
      </c>
      <c r="C62" s="118">
        <f t="shared" si="33"/>
        <v>896269.8083</v>
      </c>
      <c r="D62" s="98">
        <f>+B62-C62</f>
        <v>96621.13033</v>
      </c>
      <c r="E62" s="99">
        <f>+IFERROR(D62/C62,0)</f>
        <v>0.1078036205</v>
      </c>
      <c r="F62" s="119">
        <f>+SUM(F35:F60)</f>
        <v>931225.8652</v>
      </c>
      <c r="G62" s="98">
        <f>+C62-F62</f>
        <v>-34956.05691</v>
      </c>
      <c r="H62" s="99">
        <f>+IFERROR(G62/F62,0)</f>
        <v>-0.03753767825</v>
      </c>
      <c r="I62" s="120">
        <v>943526.6599999999</v>
      </c>
      <c r="J62" s="121">
        <v>793670.1495333333</v>
      </c>
      <c r="K62" s="122">
        <v>959897.2800000003</v>
      </c>
      <c r="L62" s="105">
        <f t="shared" ref="L62:X62" si="34">+SUM(L35:L60)</f>
        <v>38067.82393</v>
      </c>
      <c r="M62" s="105">
        <f t="shared" si="34"/>
        <v>73861.68852</v>
      </c>
      <c r="N62" s="105">
        <f t="shared" si="34"/>
        <v>89855.55311</v>
      </c>
      <c r="O62" s="105">
        <f t="shared" si="34"/>
        <v>89855.55311</v>
      </c>
      <c r="P62" s="105">
        <f t="shared" si="34"/>
        <v>90080.55311</v>
      </c>
      <c r="Q62" s="105">
        <f t="shared" si="34"/>
        <v>94224.17741</v>
      </c>
      <c r="R62" s="105">
        <f t="shared" si="34"/>
        <v>101230.5531</v>
      </c>
      <c r="S62" s="105">
        <f t="shared" si="34"/>
        <v>90080.55311</v>
      </c>
      <c r="T62" s="105">
        <f t="shared" si="34"/>
        <v>98355.55311</v>
      </c>
      <c r="U62" s="105">
        <f t="shared" si="34"/>
        <v>90855.55311</v>
      </c>
      <c r="V62" s="105">
        <f t="shared" si="34"/>
        <v>90855.55311</v>
      </c>
      <c r="W62" s="105">
        <f t="shared" si="34"/>
        <v>45567.82393</v>
      </c>
      <c r="X62" s="105">
        <f t="shared" si="34"/>
        <v>992890.9387</v>
      </c>
      <c r="Y62" s="26">
        <f>ROUND(X62-B62,0)</f>
        <v>0</v>
      </c>
    </row>
    <row r="63" ht="15.75" customHeight="1">
      <c r="A63" s="123" t="s">
        <v>77</v>
      </c>
      <c r="B63" s="124"/>
      <c r="C63" s="125"/>
      <c r="D63" s="126"/>
      <c r="E63" s="126"/>
      <c r="F63" s="127"/>
      <c r="G63" s="126"/>
      <c r="H63" s="126"/>
      <c r="I63" s="128"/>
      <c r="J63" s="88"/>
      <c r="K63" s="81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</row>
    <row r="64" ht="15.75" customHeight="1">
      <c r="A64" s="89" t="s">
        <v>226</v>
      </c>
      <c r="B64" s="90"/>
      <c r="C64" s="91"/>
      <c r="D64" s="92"/>
      <c r="E64" s="92"/>
      <c r="F64" s="93"/>
      <c r="G64" s="92"/>
      <c r="H64" s="92"/>
      <c r="I64" s="94"/>
      <c r="J64" s="88"/>
      <c r="K64" s="81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</row>
    <row r="65" ht="15.75" customHeight="1">
      <c r="A65" s="95" t="s">
        <v>227</v>
      </c>
      <c r="B65" s="96">
        <f>+SUMIF('Detail 19-20'!$AN:$AN,Draft!$A65,'Detail 19-20'!T:T)</f>
        <v>0</v>
      </c>
      <c r="C65" s="97">
        <f>+SUMIF('Detail 19-20'!$AN:$AN,Draft!$A65,'Detail 19-20'!S:S)</f>
        <v>0</v>
      </c>
      <c r="D65" s="98">
        <f t="shared" ref="D65:D66" si="35">+B65-C65</f>
        <v>0</v>
      </c>
      <c r="E65" s="99">
        <f t="shared" ref="E65:E66" si="36">+IFERROR(D65/C65,0)</f>
        <v>0</v>
      </c>
      <c r="F65" s="100">
        <v>0.0</v>
      </c>
      <c r="G65" s="98">
        <f t="shared" ref="G65:G66" si="37">+C65-F65</f>
        <v>0</v>
      </c>
      <c r="H65" s="99">
        <f t="shared" ref="H65:H66" si="38">+IFERROR(G65/F65,0)</f>
        <v>0</v>
      </c>
      <c r="I65" s="101">
        <v>0.0</v>
      </c>
      <c r="J65" s="102">
        <v>0.0</v>
      </c>
      <c r="K65" s="103">
        <v>34999.92</v>
      </c>
      <c r="L65" s="104">
        <f>+SUMIF('Detail 19-20'!$AN:$AN,Draft!$A65,'Detail 19-20'!Z:Z)</f>
        <v>0</v>
      </c>
      <c r="M65" s="104">
        <f>+SUMIF('Detail 19-20'!$AN:$AN,Draft!$A65,'Detail 19-20'!AA:AA)</f>
        <v>0</v>
      </c>
      <c r="N65" s="104">
        <f>+SUMIF('Detail 19-20'!$AN:$AN,Draft!$A65,'Detail 19-20'!AB:AB)</f>
        <v>0</v>
      </c>
      <c r="O65" s="104">
        <f>+SUMIF('Detail 19-20'!$AN:$AN,Draft!$A65,'Detail 19-20'!AC:AC)</f>
        <v>0</v>
      </c>
      <c r="P65" s="104">
        <f>+SUMIF('Detail 19-20'!$AN:$AN,Draft!$A65,'Detail 19-20'!AD:AD)</f>
        <v>0</v>
      </c>
      <c r="Q65" s="104">
        <f>+SUMIF('Detail 19-20'!$AN:$AN,Draft!$A65,'Detail 19-20'!AE:AE)</f>
        <v>0</v>
      </c>
      <c r="R65" s="104">
        <f>+SUMIF('Detail 19-20'!$AN:$AN,Draft!$A65,'Detail 19-20'!AF:AF)</f>
        <v>0</v>
      </c>
      <c r="S65" s="104">
        <f>+SUMIF('Detail 19-20'!$AN:$AN,Draft!$A65,'Detail 19-20'!AG:AG)</f>
        <v>0</v>
      </c>
      <c r="T65" s="104">
        <f>+SUMIF('Detail 19-20'!$AN:$AN,Draft!$A65,'Detail 19-20'!AH:AH)</f>
        <v>0</v>
      </c>
      <c r="U65" s="104">
        <f>+SUMIF('Detail 19-20'!$AN:$AN,Draft!$A65,'Detail 19-20'!AI:AI)</f>
        <v>0</v>
      </c>
      <c r="V65" s="104">
        <f>+SUMIF('Detail 19-20'!$AN:$AN,Draft!$A65,'Detail 19-20'!AJ:AJ)</f>
        <v>0</v>
      </c>
      <c r="W65" s="104">
        <f>+SUMIF('Detail 19-20'!$AN:$AN,Draft!$A65,'Detail 19-20'!AK:AK)</f>
        <v>0</v>
      </c>
      <c r="X65" s="105">
        <f t="shared" ref="X65:X66" si="39">SUM(L65:W65)</f>
        <v>0</v>
      </c>
      <c r="Y65" s="26">
        <f t="shared" ref="Y65:Y66" si="40">ROUND(X65-B65,0)</f>
        <v>0</v>
      </c>
    </row>
    <row r="66" ht="15.75" customHeight="1">
      <c r="A66" s="106" t="s">
        <v>232</v>
      </c>
      <c r="B66" s="96">
        <f>+SUMIF('Detail 19-20'!$AN:$AN,Draft!$A66,'Detail 19-20'!T:T)</f>
        <v>90000</v>
      </c>
      <c r="C66" s="97">
        <f>+SUMIF('Detail 19-20'!$AN:$AN,Draft!$A66,'Detail 19-20'!S:S)</f>
        <v>93560</v>
      </c>
      <c r="D66" s="98">
        <f t="shared" si="35"/>
        <v>-3560</v>
      </c>
      <c r="E66" s="99">
        <f t="shared" si="36"/>
        <v>-0.03805044891</v>
      </c>
      <c r="F66" s="100">
        <v>92580.0</v>
      </c>
      <c r="G66" s="98">
        <f t="shared" si="37"/>
        <v>980</v>
      </c>
      <c r="H66" s="99">
        <f t="shared" si="38"/>
        <v>0.01058543962</v>
      </c>
      <c r="I66" s="101">
        <v>94000.0</v>
      </c>
      <c r="J66" s="102">
        <v>94000.0</v>
      </c>
      <c r="K66" s="103">
        <v>47000.039999999986</v>
      </c>
      <c r="L66" s="109">
        <f>+SUMIF('Detail 19-20'!$AN:$AN,Draft!$A66,'Detail 19-20'!Z:Z)</f>
        <v>7500</v>
      </c>
      <c r="M66" s="109">
        <f>+SUMIF('Detail 19-20'!$AN:$AN,Draft!$A66,'Detail 19-20'!AA:AA)</f>
        <v>7500</v>
      </c>
      <c r="N66" s="109">
        <f>+SUMIF('Detail 19-20'!$AN:$AN,Draft!$A66,'Detail 19-20'!AB:AB)</f>
        <v>7500</v>
      </c>
      <c r="O66" s="109">
        <f>+SUMIF('Detail 19-20'!$AN:$AN,Draft!$A66,'Detail 19-20'!AC:AC)</f>
        <v>7500</v>
      </c>
      <c r="P66" s="109">
        <f>+SUMIF('Detail 19-20'!$AN:$AN,Draft!$A66,'Detail 19-20'!AD:AD)</f>
        <v>7500</v>
      </c>
      <c r="Q66" s="109">
        <f>+SUMIF('Detail 19-20'!$AN:$AN,Draft!$A66,'Detail 19-20'!AE:AE)</f>
        <v>7500</v>
      </c>
      <c r="R66" s="109">
        <f>+SUMIF('Detail 19-20'!$AN:$AN,Draft!$A66,'Detail 19-20'!AF:AF)</f>
        <v>7500</v>
      </c>
      <c r="S66" s="109">
        <f>+SUMIF('Detail 19-20'!$AN:$AN,Draft!$A66,'Detail 19-20'!AG:AG)</f>
        <v>7500</v>
      </c>
      <c r="T66" s="109">
        <f>+SUMIF('Detail 19-20'!$AN:$AN,Draft!$A66,'Detail 19-20'!AH:AH)</f>
        <v>7500</v>
      </c>
      <c r="U66" s="109">
        <f>+SUMIF('Detail 19-20'!$AN:$AN,Draft!$A66,'Detail 19-20'!AI:AI)</f>
        <v>7500</v>
      </c>
      <c r="V66" s="109">
        <f>+SUMIF('Detail 19-20'!$AN:$AN,Draft!$A66,'Detail 19-20'!AJ:AJ)</f>
        <v>7500</v>
      </c>
      <c r="W66" s="109">
        <f>+SUMIF('Detail 19-20'!$AN:$AN,Draft!$A66,'Detail 19-20'!AK:AK)</f>
        <v>7500</v>
      </c>
      <c r="X66" s="110">
        <f t="shared" si="39"/>
        <v>90000</v>
      </c>
      <c r="Y66" s="26">
        <f t="shared" si="40"/>
        <v>0</v>
      </c>
    </row>
    <row r="67" ht="15.75" customHeight="1">
      <c r="A67" s="111"/>
      <c r="B67" s="142"/>
      <c r="C67" s="143"/>
      <c r="D67" s="144"/>
      <c r="E67" s="144"/>
      <c r="F67" s="145"/>
      <c r="G67" s="144"/>
      <c r="H67" s="144"/>
      <c r="I67" s="146"/>
      <c r="J67" s="147"/>
      <c r="K67" s="141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</row>
    <row r="68" ht="15.75" customHeight="1">
      <c r="A68" s="95" t="s">
        <v>237</v>
      </c>
      <c r="B68" s="117">
        <f t="shared" ref="B68:C68" si="41">+SUM(B65:B66)</f>
        <v>90000</v>
      </c>
      <c r="C68" s="118">
        <f t="shared" si="41"/>
        <v>93560</v>
      </c>
      <c r="D68" s="98">
        <f>+B68-C68</f>
        <v>-3560</v>
      </c>
      <c r="E68" s="99">
        <f>+IFERROR(D68/C68,0)</f>
        <v>-0.03805044891</v>
      </c>
      <c r="F68" s="119">
        <f>+SUM(F65:F66)</f>
        <v>92580</v>
      </c>
      <c r="G68" s="98">
        <f>+C68-F68</f>
        <v>980</v>
      </c>
      <c r="H68" s="99">
        <f>+IFERROR(G68/F68,0)</f>
        <v>0.01058543962</v>
      </c>
      <c r="I68" s="120">
        <v>94000.0</v>
      </c>
      <c r="J68" s="121">
        <v>94000.0</v>
      </c>
      <c r="K68" s="122">
        <v>81999.95999999999</v>
      </c>
      <c r="L68" s="105">
        <f t="shared" ref="L68:X68" si="42">+SUM(L65:L66)</f>
        <v>7500</v>
      </c>
      <c r="M68" s="105">
        <f t="shared" si="42"/>
        <v>7500</v>
      </c>
      <c r="N68" s="105">
        <f t="shared" si="42"/>
        <v>7500</v>
      </c>
      <c r="O68" s="105">
        <f t="shared" si="42"/>
        <v>7500</v>
      </c>
      <c r="P68" s="105">
        <f t="shared" si="42"/>
        <v>7500</v>
      </c>
      <c r="Q68" s="105">
        <f t="shared" si="42"/>
        <v>7500</v>
      </c>
      <c r="R68" s="105">
        <f t="shared" si="42"/>
        <v>7500</v>
      </c>
      <c r="S68" s="105">
        <f t="shared" si="42"/>
        <v>7500</v>
      </c>
      <c r="T68" s="105">
        <f t="shared" si="42"/>
        <v>7500</v>
      </c>
      <c r="U68" s="105">
        <f t="shared" si="42"/>
        <v>7500</v>
      </c>
      <c r="V68" s="105">
        <f t="shared" si="42"/>
        <v>7500</v>
      </c>
      <c r="W68" s="105">
        <f t="shared" si="42"/>
        <v>7500</v>
      </c>
      <c r="X68" s="105">
        <f t="shared" si="42"/>
        <v>90000</v>
      </c>
      <c r="Y68" s="26">
        <f>ROUND(X68-B68,0)</f>
        <v>0</v>
      </c>
    </row>
    <row r="69" ht="15.75" customHeight="1">
      <c r="A69" s="111"/>
      <c r="B69" s="130"/>
      <c r="C69" s="131"/>
      <c r="D69" s="132"/>
      <c r="E69" s="132"/>
      <c r="F69" s="133"/>
      <c r="G69" s="132"/>
      <c r="H69" s="132"/>
      <c r="I69" s="134"/>
      <c r="J69" s="88"/>
      <c r="K69" s="81"/>
      <c r="L69" s="65"/>
      <c r="M69" s="65"/>
      <c r="N69" s="65"/>
      <c r="O69" s="148"/>
      <c r="P69" s="65"/>
      <c r="Q69" s="65"/>
      <c r="R69" s="65"/>
      <c r="S69" s="65"/>
      <c r="T69" s="65"/>
      <c r="U69" s="65"/>
      <c r="V69" s="65"/>
      <c r="W69" s="65"/>
      <c r="X69" s="65"/>
    </row>
    <row r="70" ht="15.75" customHeight="1">
      <c r="A70" s="89" t="s">
        <v>242</v>
      </c>
      <c r="B70" s="117">
        <f t="shared" ref="B70:C70" si="43">+B62+B68</f>
        <v>1082890.939</v>
      </c>
      <c r="C70" s="118">
        <f t="shared" si="43"/>
        <v>989829.8083</v>
      </c>
      <c r="D70" s="98">
        <f>+B70-C70</f>
        <v>93061.13033</v>
      </c>
      <c r="E70" s="99">
        <f>+IFERROR(D70/C70,0)</f>
        <v>0.09401730433</v>
      </c>
      <c r="F70" s="119">
        <f>+F62+F68</f>
        <v>1023805.865</v>
      </c>
      <c r="G70" s="98">
        <f>+C70-F70</f>
        <v>-33976.05691</v>
      </c>
      <c r="H70" s="99">
        <f>+IFERROR(G70/F70,0)</f>
        <v>-0.03318603464</v>
      </c>
      <c r="I70" s="120">
        <v>1037526.6599999999</v>
      </c>
      <c r="J70" s="121">
        <v>887670.1495333333</v>
      </c>
      <c r="K70" s="122">
        <v>1041897.2400000002</v>
      </c>
      <c r="L70" s="105">
        <f t="shared" ref="L70:X70" si="44">+L62+L68</f>
        <v>45567.82393</v>
      </c>
      <c r="M70" s="105">
        <f t="shared" si="44"/>
        <v>81361.68852</v>
      </c>
      <c r="N70" s="105">
        <f t="shared" si="44"/>
        <v>97355.55311</v>
      </c>
      <c r="O70" s="105">
        <f t="shared" si="44"/>
        <v>97355.55311</v>
      </c>
      <c r="P70" s="105">
        <f t="shared" si="44"/>
        <v>97580.55311</v>
      </c>
      <c r="Q70" s="105">
        <f t="shared" si="44"/>
        <v>101724.1774</v>
      </c>
      <c r="R70" s="105">
        <f t="shared" si="44"/>
        <v>108730.5531</v>
      </c>
      <c r="S70" s="105">
        <f t="shared" si="44"/>
        <v>97580.55311</v>
      </c>
      <c r="T70" s="105">
        <f t="shared" si="44"/>
        <v>105855.5531</v>
      </c>
      <c r="U70" s="105">
        <f t="shared" si="44"/>
        <v>98355.55311</v>
      </c>
      <c r="V70" s="105">
        <f t="shared" si="44"/>
        <v>98355.55311</v>
      </c>
      <c r="W70" s="105">
        <f t="shared" si="44"/>
        <v>53067.82393</v>
      </c>
      <c r="X70" s="105">
        <f t="shared" si="44"/>
        <v>1082890.939</v>
      </c>
      <c r="Y70" s="26">
        <f>ROUND(X70-B70,0)</f>
        <v>0</v>
      </c>
    </row>
    <row r="71" ht="15.75" customHeight="1">
      <c r="A71" s="123" t="s">
        <v>77</v>
      </c>
      <c r="B71" s="124"/>
      <c r="C71" s="125"/>
      <c r="D71" s="126"/>
      <c r="E71" s="126"/>
      <c r="F71" s="127"/>
      <c r="G71" s="126"/>
      <c r="H71" s="126"/>
      <c r="I71" s="128"/>
      <c r="J71" s="88"/>
      <c r="K71" s="81"/>
      <c r="L71" s="65"/>
      <c r="M71" s="65"/>
      <c r="N71" s="65"/>
      <c r="O71" s="148"/>
      <c r="P71" s="65"/>
      <c r="Q71" s="65"/>
      <c r="R71" s="65"/>
      <c r="S71" s="65"/>
      <c r="T71" s="65"/>
      <c r="U71" s="65"/>
      <c r="V71" s="65"/>
      <c r="W71" s="65"/>
      <c r="X71" s="65"/>
    </row>
    <row r="72" ht="15.75" customHeight="1">
      <c r="A72" s="95" t="s">
        <v>245</v>
      </c>
      <c r="B72" s="96">
        <f>+SUMIF('Detail 19-20'!$AN:$AN,Draft!$A72,'Detail 19-20'!T:T)</f>
        <v>10000</v>
      </c>
      <c r="C72" s="97">
        <f>+SUMIF('Detail 19-20'!$AN:$AN,Draft!$A72,'Detail 19-20'!S:S)</f>
        <v>10000</v>
      </c>
      <c r="D72" s="98">
        <f t="shared" ref="D72:D74" si="45">+B72-C72</f>
        <v>0</v>
      </c>
      <c r="E72" s="99">
        <f t="shared" ref="E72:E74" si="46">+IFERROR(D72/C72,0)</f>
        <v>0</v>
      </c>
      <c r="F72" s="100">
        <v>5000.0</v>
      </c>
      <c r="G72" s="98">
        <f t="shared" ref="G72:G74" si="47">+C72-F72</f>
        <v>5000</v>
      </c>
      <c r="H72" s="99">
        <f t="shared" ref="H72:H74" si="48">+IFERROR(G72/F72,0)</f>
        <v>1</v>
      </c>
      <c r="I72" s="101">
        <v>3000.0</v>
      </c>
      <c r="J72" s="102">
        <v>3000.0</v>
      </c>
      <c r="K72" s="103">
        <v>2500.0</v>
      </c>
      <c r="L72" s="104">
        <f>+SUMIF('Detail 19-20'!$AN:$AN,Draft!$A72,'Detail 19-20'!Z:Z)</f>
        <v>0</v>
      </c>
      <c r="M72" s="104">
        <f>+SUMIF('Detail 19-20'!$AN:$AN,Draft!$A72,'Detail 19-20'!AA:AA)</f>
        <v>0</v>
      </c>
      <c r="N72" s="104">
        <f>+SUMIF('Detail 19-20'!$AN:$AN,Draft!$A72,'Detail 19-20'!AB:AB)</f>
        <v>0</v>
      </c>
      <c r="O72" s="104">
        <f>+SUMIF('Detail 19-20'!$AN:$AN,Draft!$A72,'Detail 19-20'!AC:AC)</f>
        <v>0</v>
      </c>
      <c r="P72" s="104">
        <f>+SUMIF('Detail 19-20'!$AN:$AN,Draft!$A72,'Detail 19-20'!AD:AD)</f>
        <v>0</v>
      </c>
      <c r="Q72" s="104">
        <f>+SUMIF('Detail 19-20'!$AN:$AN,Draft!$A72,'Detail 19-20'!AE:AE)</f>
        <v>0</v>
      </c>
      <c r="R72" s="104">
        <f>+SUMIF('Detail 19-20'!$AN:$AN,Draft!$A72,'Detail 19-20'!AF:AF)</f>
        <v>0</v>
      </c>
      <c r="S72" s="104">
        <f>+SUMIF('Detail 19-20'!$AN:$AN,Draft!$A72,'Detail 19-20'!AG:AG)</f>
        <v>0</v>
      </c>
      <c r="T72" s="104">
        <f>+SUMIF('Detail 19-20'!$AN:$AN,Draft!$A72,'Detail 19-20'!AH:AH)</f>
        <v>0</v>
      </c>
      <c r="U72" s="104">
        <f>+SUMIF('Detail 19-20'!$AN:$AN,Draft!$A72,'Detail 19-20'!AI:AI)</f>
        <v>0</v>
      </c>
      <c r="V72" s="104">
        <f>+SUMIF('Detail 19-20'!$AN:$AN,Draft!$A72,'Detail 19-20'!AJ:AJ)</f>
        <v>0</v>
      </c>
      <c r="W72" s="104">
        <f>+SUMIF('Detail 19-20'!$AN:$AN,Draft!$A72,'Detail 19-20'!AK:AK)</f>
        <v>10000</v>
      </c>
      <c r="X72" s="105">
        <f t="shared" ref="X72:X74" si="49">SUM(L72:W72)</f>
        <v>10000</v>
      </c>
      <c r="Y72" s="26">
        <f t="shared" ref="Y72:Y74" si="50">ROUND(X72-B72,0)</f>
        <v>0</v>
      </c>
    </row>
    <row r="73" ht="15.75" customHeight="1">
      <c r="A73" s="95" t="s">
        <v>249</v>
      </c>
      <c r="B73" s="96">
        <f>+SUMIF('Detail 19-20'!$AN:$AN,Draft!$A73,'Detail 19-20'!T:T)</f>
        <v>25000</v>
      </c>
      <c r="C73" s="97">
        <f>+SUMIF('Detail 19-20'!$AN:$AN,Draft!$A73,'Detail 19-20'!S:S)</f>
        <v>25708.4625</v>
      </c>
      <c r="D73" s="98">
        <f t="shared" si="45"/>
        <v>-708.4625</v>
      </c>
      <c r="E73" s="99">
        <f t="shared" si="46"/>
        <v>-0.02755756008</v>
      </c>
      <c r="F73" s="100">
        <v>25000.0</v>
      </c>
      <c r="G73" s="98">
        <f t="shared" si="47"/>
        <v>708.4625</v>
      </c>
      <c r="H73" s="99">
        <f t="shared" si="48"/>
        <v>0.0283385</v>
      </c>
      <c r="I73" s="101">
        <v>27000.0</v>
      </c>
      <c r="J73" s="102">
        <v>22000.0</v>
      </c>
      <c r="K73" s="103">
        <v>17500.0</v>
      </c>
      <c r="L73" s="104">
        <f>+SUMIF('Detail 19-20'!$AN:$AN,Draft!$A73,'Detail 19-20'!Z:Z)</f>
        <v>0</v>
      </c>
      <c r="M73" s="104">
        <f>+SUMIF('Detail 19-20'!$AN:$AN,Draft!$A73,'Detail 19-20'!AA:AA)</f>
        <v>1315.789474</v>
      </c>
      <c r="N73" s="104">
        <f>+SUMIF('Detail 19-20'!$AN:$AN,Draft!$A73,'Detail 19-20'!AB:AB)</f>
        <v>2631.578947</v>
      </c>
      <c r="O73" s="104">
        <f>+SUMIF('Detail 19-20'!$AN:$AN,Draft!$A73,'Detail 19-20'!AC:AC)</f>
        <v>2631.578947</v>
      </c>
      <c r="P73" s="104">
        <f>+SUMIF('Detail 19-20'!$AN:$AN,Draft!$A73,'Detail 19-20'!AD:AD)</f>
        <v>2631.578947</v>
      </c>
      <c r="Q73" s="104">
        <f>+SUMIF('Detail 19-20'!$AN:$AN,Draft!$A73,'Detail 19-20'!AE:AE)</f>
        <v>2631.578947</v>
      </c>
      <c r="R73" s="104">
        <f>+SUMIF('Detail 19-20'!$AN:$AN,Draft!$A73,'Detail 19-20'!AF:AF)</f>
        <v>2631.578947</v>
      </c>
      <c r="S73" s="104">
        <f>+SUMIF('Detail 19-20'!$AN:$AN,Draft!$A73,'Detail 19-20'!AG:AG)</f>
        <v>2631.578947</v>
      </c>
      <c r="T73" s="104">
        <f>+SUMIF('Detail 19-20'!$AN:$AN,Draft!$A73,'Detail 19-20'!AH:AH)</f>
        <v>2631.578947</v>
      </c>
      <c r="U73" s="104">
        <f>+SUMIF('Detail 19-20'!$AN:$AN,Draft!$A73,'Detail 19-20'!AI:AI)</f>
        <v>2631.578947</v>
      </c>
      <c r="V73" s="104">
        <f>+SUMIF('Detail 19-20'!$AN:$AN,Draft!$A73,'Detail 19-20'!AJ:AJ)</f>
        <v>2631.578947</v>
      </c>
      <c r="W73" s="104">
        <f>+SUMIF('Detail 19-20'!$AN:$AN,Draft!$A73,'Detail 19-20'!AK:AK)</f>
        <v>0</v>
      </c>
      <c r="X73" s="105">
        <f t="shared" si="49"/>
        <v>25000</v>
      </c>
      <c r="Y73" s="26">
        <f t="shared" si="50"/>
        <v>0</v>
      </c>
    </row>
    <row r="74" ht="15.75" customHeight="1">
      <c r="A74" s="106" t="s">
        <v>255</v>
      </c>
      <c r="B74" s="96">
        <f>+SUMIF('Detail 19-20'!$AN:$AN,Draft!$A74,'Detail 19-20'!T:T)</f>
        <v>600</v>
      </c>
      <c r="C74" s="97">
        <f>+SUMIF('Detail 19-20'!$AN:$AN,Draft!$A74,'Detail 19-20'!S:S)</f>
        <v>606.5866667</v>
      </c>
      <c r="D74" s="98">
        <f t="shared" si="45"/>
        <v>-6.586666667</v>
      </c>
      <c r="E74" s="99">
        <f t="shared" si="46"/>
        <v>-0.01085857476</v>
      </c>
      <c r="F74" s="100">
        <v>1200.0</v>
      </c>
      <c r="G74" s="98">
        <f t="shared" si="47"/>
        <v>-593.4133333</v>
      </c>
      <c r="H74" s="99">
        <f t="shared" si="48"/>
        <v>-0.4945111111</v>
      </c>
      <c r="I74" s="101">
        <v>1575.0</v>
      </c>
      <c r="J74" s="107">
        <v>1575.0</v>
      </c>
      <c r="K74" s="103">
        <v>2499.9999999999995</v>
      </c>
      <c r="L74" s="109">
        <f>+SUMIF('Detail 19-20'!$AN:$AN,Draft!$A74,'Detail 19-20'!Z:Z)</f>
        <v>50</v>
      </c>
      <c r="M74" s="109">
        <f>+SUMIF('Detail 19-20'!$AN:$AN,Draft!$A74,'Detail 19-20'!AA:AA)</f>
        <v>50</v>
      </c>
      <c r="N74" s="109">
        <f>+SUMIF('Detail 19-20'!$AN:$AN,Draft!$A74,'Detail 19-20'!AB:AB)</f>
        <v>50</v>
      </c>
      <c r="O74" s="109">
        <f>+SUMIF('Detail 19-20'!$AN:$AN,Draft!$A74,'Detail 19-20'!AC:AC)</f>
        <v>50</v>
      </c>
      <c r="P74" s="109">
        <f>+SUMIF('Detail 19-20'!$AN:$AN,Draft!$A74,'Detail 19-20'!AD:AD)</f>
        <v>50</v>
      </c>
      <c r="Q74" s="109">
        <f>+SUMIF('Detail 19-20'!$AN:$AN,Draft!$A74,'Detail 19-20'!AE:AE)</f>
        <v>50</v>
      </c>
      <c r="R74" s="109">
        <f>+SUMIF('Detail 19-20'!$AN:$AN,Draft!$A74,'Detail 19-20'!AF:AF)</f>
        <v>50</v>
      </c>
      <c r="S74" s="109">
        <f>+SUMIF('Detail 19-20'!$AN:$AN,Draft!$A74,'Detail 19-20'!AG:AG)</f>
        <v>50</v>
      </c>
      <c r="T74" s="109">
        <f>+SUMIF('Detail 19-20'!$AN:$AN,Draft!$A74,'Detail 19-20'!AH:AH)</f>
        <v>50</v>
      </c>
      <c r="U74" s="109">
        <f>+SUMIF('Detail 19-20'!$AN:$AN,Draft!$A74,'Detail 19-20'!AI:AI)</f>
        <v>50</v>
      </c>
      <c r="V74" s="109">
        <f>+SUMIF('Detail 19-20'!$AN:$AN,Draft!$A74,'Detail 19-20'!AJ:AJ)</f>
        <v>50</v>
      </c>
      <c r="W74" s="109">
        <f>+SUMIF('Detail 19-20'!$AN:$AN,Draft!$A74,'Detail 19-20'!AK:AK)</f>
        <v>50</v>
      </c>
      <c r="X74" s="110">
        <f t="shared" si="49"/>
        <v>600</v>
      </c>
      <c r="Y74" s="26">
        <f t="shared" si="50"/>
        <v>0</v>
      </c>
    </row>
    <row r="75" ht="15.75" customHeight="1">
      <c r="A75" s="123" t="s">
        <v>77</v>
      </c>
      <c r="B75" s="142"/>
      <c r="C75" s="143"/>
      <c r="D75" s="144"/>
      <c r="E75" s="144"/>
      <c r="F75" s="145"/>
      <c r="G75" s="144"/>
      <c r="H75" s="144"/>
      <c r="I75" s="146"/>
      <c r="J75" s="88"/>
      <c r="K75" s="141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</row>
    <row r="76" ht="15.75" customHeight="1">
      <c r="A76" s="149" t="s">
        <v>259</v>
      </c>
      <c r="B76" s="150">
        <f t="shared" ref="B76:C76" si="51">+B31-B62-B68-B72-B73-B74</f>
        <v>23415.56134</v>
      </c>
      <c r="C76" s="151" t="str">
        <f t="shared" si="51"/>
        <v>#ERROR!</v>
      </c>
      <c r="D76" s="152" t="str">
        <f t="shared" ref="D76:D78" si="53">+B76-C76</f>
        <v>#ERROR!</v>
      </c>
      <c r="E76" s="153">
        <f t="shared" ref="E76:E78" si="54">+IFERROR(D76/C76,0)</f>
        <v>0</v>
      </c>
      <c r="F76" s="154" t="str">
        <f>+F31-F62-F68-F72-F73-F74</f>
        <v>#ERROR!</v>
      </c>
      <c r="G76" s="152" t="str">
        <f t="shared" ref="G76:G78" si="55">+C76-F76</f>
        <v>#ERROR!</v>
      </c>
      <c r="H76" s="153">
        <f t="shared" ref="H76:H78" si="56">+IFERROR(G76/F76,0)</f>
        <v>0</v>
      </c>
      <c r="I76" s="155">
        <f>+I31-I70-I72-I73-I74</f>
        <v>27901.34</v>
      </c>
      <c r="J76" s="156">
        <v>-63912.56536666665</v>
      </c>
      <c r="K76" s="157">
        <v>17020.759999999747</v>
      </c>
      <c r="L76" s="110" t="str">
        <f t="shared" ref="L76:X76" si="52">+L31-L62-L68-L72-L73-L74</f>
        <v>#ERROR!</v>
      </c>
      <c r="M76" s="110" t="str">
        <f t="shared" si="52"/>
        <v>#ERROR!</v>
      </c>
      <c r="N76" s="110" t="str">
        <f t="shared" si="52"/>
        <v>#ERROR!</v>
      </c>
      <c r="O76" s="110" t="str">
        <f t="shared" si="52"/>
        <v>#ERROR!</v>
      </c>
      <c r="P76" s="110" t="str">
        <f t="shared" si="52"/>
        <v>#ERROR!</v>
      </c>
      <c r="Q76" s="110" t="str">
        <f t="shared" si="52"/>
        <v>#ERROR!</v>
      </c>
      <c r="R76" s="110" t="str">
        <f t="shared" si="52"/>
        <v>#ERROR!</v>
      </c>
      <c r="S76" s="110" t="str">
        <f t="shared" si="52"/>
        <v>#ERROR!</v>
      </c>
      <c r="T76" s="110" t="str">
        <f t="shared" si="52"/>
        <v>#ERROR!</v>
      </c>
      <c r="U76" s="110" t="str">
        <f t="shared" si="52"/>
        <v>#ERROR!</v>
      </c>
      <c r="V76" s="110" t="str">
        <f t="shared" si="52"/>
        <v>#ERROR!</v>
      </c>
      <c r="W76" s="110" t="str">
        <f t="shared" si="52"/>
        <v>#ERROR!</v>
      </c>
      <c r="X76" s="110" t="str">
        <f t="shared" si="52"/>
        <v>#ERROR!</v>
      </c>
      <c r="Y76" s="26" t="str">
        <f t="shared" ref="Y76:Y78" si="57">ROUND(X76-B76,0)</f>
        <v>#ERROR!</v>
      </c>
    </row>
    <row r="77" ht="15.75" customHeight="1">
      <c r="A77" s="95" t="s">
        <v>263</v>
      </c>
      <c r="B77" s="96">
        <f>+SUMIF('Detail 19-20'!$AN:$AN,Draft!$A77,'Detail 19-20'!T:T)</f>
        <v>20000</v>
      </c>
      <c r="C77" s="97">
        <f>+SUMIF('Detail 19-20'!$AN:$AN,Draft!$A77,'Detail 19-20'!S:S)</f>
        <v>18415.84</v>
      </c>
      <c r="D77" s="98">
        <f t="shared" si="53"/>
        <v>1584.16</v>
      </c>
      <c r="E77" s="99">
        <f t="shared" si="54"/>
        <v>0.0860215988</v>
      </c>
      <c r="F77" s="100">
        <v>25000.0</v>
      </c>
      <c r="G77" s="98">
        <f t="shared" si="55"/>
        <v>-6584.16</v>
      </c>
      <c r="H77" s="99">
        <f t="shared" si="56"/>
        <v>-0.2633664</v>
      </c>
      <c r="I77" s="101">
        <v>25000.0</v>
      </c>
      <c r="J77" s="102">
        <v>25000.0</v>
      </c>
      <c r="K77" s="103">
        <v>17000.0</v>
      </c>
      <c r="L77" s="104">
        <f>+SUMIF('Detail 19-20'!$AN:$AN,Draft!$A77,'Detail 19-20'!Z:Z)</f>
        <v>1666.666667</v>
      </c>
      <c r="M77" s="104">
        <f>+SUMIF('Detail 19-20'!$AN:$AN,Draft!$A77,'Detail 19-20'!AA:AA)</f>
        <v>1666.666667</v>
      </c>
      <c r="N77" s="104">
        <f>+SUMIF('Detail 19-20'!$AN:$AN,Draft!$A77,'Detail 19-20'!AB:AB)</f>
        <v>1666.666667</v>
      </c>
      <c r="O77" s="104">
        <f>+SUMIF('Detail 19-20'!$AN:$AN,Draft!$A77,'Detail 19-20'!AC:AC)</f>
        <v>1666.666667</v>
      </c>
      <c r="P77" s="104">
        <f>+SUMIF('Detail 19-20'!$AN:$AN,Draft!$A77,'Detail 19-20'!AD:AD)</f>
        <v>1666.666667</v>
      </c>
      <c r="Q77" s="104">
        <f>+SUMIF('Detail 19-20'!$AN:$AN,Draft!$A77,'Detail 19-20'!AE:AE)</f>
        <v>1666.666667</v>
      </c>
      <c r="R77" s="104">
        <f>+SUMIF('Detail 19-20'!$AN:$AN,Draft!$A77,'Detail 19-20'!AF:AF)</f>
        <v>1666.666667</v>
      </c>
      <c r="S77" s="104">
        <f>+SUMIF('Detail 19-20'!$AN:$AN,Draft!$A77,'Detail 19-20'!AG:AG)</f>
        <v>1666.666667</v>
      </c>
      <c r="T77" s="104">
        <f>+SUMIF('Detail 19-20'!$AN:$AN,Draft!$A77,'Detail 19-20'!AH:AH)</f>
        <v>1666.666667</v>
      </c>
      <c r="U77" s="104">
        <f>+SUMIF('Detail 19-20'!$AN:$AN,Draft!$A77,'Detail 19-20'!AI:AI)</f>
        <v>1666.666667</v>
      </c>
      <c r="V77" s="104">
        <f>+SUMIF('Detail 19-20'!$AN:$AN,Draft!$A77,'Detail 19-20'!AJ:AJ)</f>
        <v>1666.666667</v>
      </c>
      <c r="W77" s="104">
        <f>+SUMIF('Detail 19-20'!$AN:$AN,Draft!$A77,'Detail 19-20'!AK:AK)</f>
        <v>1666.666667</v>
      </c>
      <c r="X77" s="105">
        <f>SUM(L77:W77)</f>
        <v>20000</v>
      </c>
      <c r="Y77" s="26">
        <f t="shared" si="57"/>
        <v>0</v>
      </c>
    </row>
    <row r="78" ht="15.75" customHeight="1">
      <c r="A78" s="158" t="s">
        <v>267</v>
      </c>
      <c r="B78" s="159">
        <f t="shared" ref="B78:C78" si="58">+B76-B77</f>
        <v>3415.561341</v>
      </c>
      <c r="C78" s="160" t="str">
        <f t="shared" si="58"/>
        <v>#ERROR!</v>
      </c>
      <c r="D78" s="161" t="str">
        <f t="shared" si="53"/>
        <v>#ERROR!</v>
      </c>
      <c r="E78" s="162">
        <f t="shared" si="54"/>
        <v>0</v>
      </c>
      <c r="F78" s="163" t="str">
        <f>+F76-F77</f>
        <v>#ERROR!</v>
      </c>
      <c r="G78" s="161" t="str">
        <f t="shared" si="55"/>
        <v>#ERROR!</v>
      </c>
      <c r="H78" s="162">
        <f t="shared" si="56"/>
        <v>0</v>
      </c>
      <c r="I78" s="164">
        <f>+I76-I77</f>
        <v>2901.34</v>
      </c>
      <c r="J78" s="165">
        <v>-88912.56536666665</v>
      </c>
      <c r="K78" s="166">
        <v>20.75999999974738</v>
      </c>
      <c r="L78" s="167" t="str">
        <f t="shared" ref="L78:X78" si="59">+L76-L77</f>
        <v>#ERROR!</v>
      </c>
      <c r="M78" s="167" t="str">
        <f t="shared" si="59"/>
        <v>#ERROR!</v>
      </c>
      <c r="N78" s="167" t="str">
        <f t="shared" si="59"/>
        <v>#ERROR!</v>
      </c>
      <c r="O78" s="167" t="str">
        <f t="shared" si="59"/>
        <v>#ERROR!</v>
      </c>
      <c r="P78" s="167" t="str">
        <f t="shared" si="59"/>
        <v>#ERROR!</v>
      </c>
      <c r="Q78" s="167" t="str">
        <f t="shared" si="59"/>
        <v>#ERROR!</v>
      </c>
      <c r="R78" s="167" t="str">
        <f t="shared" si="59"/>
        <v>#ERROR!</v>
      </c>
      <c r="S78" s="167" t="str">
        <f t="shared" si="59"/>
        <v>#ERROR!</v>
      </c>
      <c r="T78" s="167" t="str">
        <f t="shared" si="59"/>
        <v>#ERROR!</v>
      </c>
      <c r="U78" s="167" t="str">
        <f t="shared" si="59"/>
        <v>#ERROR!</v>
      </c>
      <c r="V78" s="167" t="str">
        <f t="shared" si="59"/>
        <v>#ERROR!</v>
      </c>
      <c r="W78" s="167" t="str">
        <f t="shared" si="59"/>
        <v>#ERROR!</v>
      </c>
      <c r="X78" s="167" t="str">
        <f t="shared" si="59"/>
        <v>#ERROR!</v>
      </c>
      <c r="Y78" s="26" t="str">
        <f t="shared" si="57"/>
        <v>#ERROR!</v>
      </c>
    </row>
    <row r="79" ht="15.75" customHeight="1">
      <c r="A79" s="168"/>
      <c r="B79" s="169"/>
      <c r="C79" s="170"/>
      <c r="D79" s="171"/>
      <c r="E79" s="171"/>
      <c r="F79" s="172"/>
      <c r="G79" s="171"/>
      <c r="H79" s="171"/>
      <c r="I79" s="173"/>
      <c r="J79" s="88"/>
      <c r="K79" s="81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</row>
    <row r="80" ht="15.75" customHeight="1">
      <c r="A80" s="168"/>
      <c r="B80" s="169"/>
      <c r="C80" s="170"/>
      <c r="D80" s="171"/>
      <c r="E80" s="171"/>
      <c r="F80" s="172"/>
      <c r="G80" s="171"/>
      <c r="H80" s="171"/>
      <c r="I80" s="173"/>
      <c r="J80" s="88"/>
      <c r="K80" s="81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</row>
    <row r="81" ht="15.75" customHeight="1">
      <c r="A81" s="168"/>
      <c r="B81" s="169"/>
      <c r="C81" s="170"/>
      <c r="D81" s="171"/>
      <c r="E81" s="171"/>
      <c r="F81" s="172"/>
      <c r="G81" s="171"/>
      <c r="H81" s="171"/>
      <c r="I81" s="173"/>
      <c r="J81" s="88"/>
      <c r="K81" s="81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</row>
    <row r="82" ht="15.75" customHeight="1">
      <c r="A82" s="168"/>
      <c r="B82" s="169"/>
      <c r="C82" s="170"/>
      <c r="D82" s="171"/>
      <c r="E82" s="171"/>
      <c r="F82" s="172"/>
      <c r="G82" s="171"/>
      <c r="H82" s="171"/>
      <c r="I82" s="173"/>
      <c r="J82" s="88"/>
      <c r="K82" s="81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</row>
    <row r="83" ht="15.75" customHeight="1">
      <c r="A83" s="168"/>
      <c r="B83" s="169"/>
      <c r="C83" s="170"/>
      <c r="D83" s="171"/>
      <c r="E83" s="171"/>
      <c r="F83" s="172"/>
      <c r="G83" s="171"/>
      <c r="H83" s="171"/>
      <c r="I83" s="173"/>
      <c r="J83" s="88"/>
      <c r="K83" s="81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</row>
    <row r="84" ht="15.75" customHeight="1">
      <c r="A84" s="168"/>
      <c r="B84" s="169"/>
      <c r="C84" s="170"/>
      <c r="D84" s="171"/>
      <c r="E84" s="171"/>
      <c r="F84" s="172"/>
      <c r="G84" s="171"/>
      <c r="H84" s="171"/>
      <c r="I84" s="173"/>
      <c r="J84" s="88"/>
      <c r="K84" s="81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</row>
    <row r="85" ht="15.75" customHeight="1">
      <c r="A85" s="168"/>
      <c r="B85" s="169"/>
      <c r="C85" s="170"/>
      <c r="D85" s="171"/>
      <c r="E85" s="171"/>
      <c r="F85" s="172"/>
      <c r="G85" s="171"/>
      <c r="H85" s="171"/>
      <c r="I85" s="173"/>
      <c r="J85" s="88"/>
      <c r="K85" s="81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</row>
    <row r="86" ht="15.75" customHeight="1">
      <c r="A86" s="168"/>
      <c r="B86" s="169"/>
      <c r="C86" s="170"/>
      <c r="D86" s="171"/>
      <c r="E86" s="171"/>
      <c r="F86" s="172"/>
      <c r="G86" s="171"/>
      <c r="H86" s="171"/>
      <c r="I86" s="173"/>
      <c r="J86" s="88"/>
      <c r="K86" s="81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</row>
    <row r="87" ht="15.75" customHeight="1">
      <c r="A87" s="168"/>
      <c r="B87" s="169"/>
      <c r="C87" s="170"/>
      <c r="D87" s="171"/>
      <c r="E87" s="171"/>
      <c r="F87" s="172"/>
      <c r="G87" s="171"/>
      <c r="H87" s="171"/>
      <c r="I87" s="173"/>
      <c r="J87" s="88"/>
      <c r="K87" s="81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</row>
    <row r="88" ht="15.75" customHeight="1">
      <c r="A88" s="168"/>
      <c r="B88" s="169"/>
      <c r="C88" s="170"/>
      <c r="D88" s="171"/>
      <c r="E88" s="171"/>
      <c r="F88" s="172"/>
      <c r="G88" s="171"/>
      <c r="H88" s="171"/>
      <c r="I88" s="173"/>
      <c r="J88" s="88"/>
      <c r="K88" s="81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</row>
    <row r="89" ht="15.75" customHeight="1">
      <c r="A89" s="168"/>
      <c r="B89" s="169"/>
      <c r="C89" s="170"/>
      <c r="D89" s="171"/>
      <c r="E89" s="171"/>
      <c r="F89" s="172"/>
      <c r="G89" s="171"/>
      <c r="H89" s="171"/>
      <c r="I89" s="173"/>
      <c r="J89" s="88"/>
      <c r="K89" s="81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</row>
    <row r="90" ht="15.75" customHeight="1">
      <c r="A90" s="168"/>
      <c r="B90" s="169"/>
      <c r="C90" s="170"/>
      <c r="D90" s="171"/>
      <c r="E90" s="171"/>
      <c r="F90" s="172"/>
      <c r="G90" s="171"/>
      <c r="H90" s="171"/>
      <c r="I90" s="173"/>
      <c r="J90" s="88"/>
      <c r="K90" s="81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</row>
    <row r="91" ht="15.75" customHeight="1">
      <c r="A91" s="168"/>
      <c r="B91" s="169"/>
      <c r="C91" s="170"/>
      <c r="D91" s="171"/>
      <c r="E91" s="171"/>
      <c r="F91" s="172"/>
      <c r="G91" s="171"/>
      <c r="H91" s="171"/>
      <c r="I91" s="173"/>
      <c r="J91" s="88"/>
      <c r="K91" s="81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</row>
    <row r="92" ht="15.75" customHeight="1">
      <c r="A92" s="168"/>
      <c r="B92" s="169"/>
      <c r="C92" s="170"/>
      <c r="D92" s="171"/>
      <c r="E92" s="171"/>
      <c r="F92" s="172"/>
      <c r="G92" s="171"/>
      <c r="H92" s="171"/>
      <c r="I92" s="173"/>
      <c r="J92" s="88"/>
      <c r="K92" s="81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</row>
    <row r="93" ht="15.75" customHeight="1">
      <c r="A93" s="168"/>
      <c r="B93" s="169"/>
      <c r="C93" s="170"/>
      <c r="D93" s="171"/>
      <c r="E93" s="171"/>
      <c r="F93" s="172"/>
      <c r="G93" s="171"/>
      <c r="H93" s="171"/>
      <c r="I93" s="173"/>
      <c r="J93" s="88"/>
      <c r="K93" s="81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</row>
    <row r="94" ht="15.75" customHeight="1">
      <c r="A94" s="168"/>
      <c r="B94" s="169"/>
      <c r="C94" s="170"/>
      <c r="D94" s="171"/>
      <c r="E94" s="171"/>
      <c r="F94" s="172"/>
      <c r="G94" s="171"/>
      <c r="H94" s="171"/>
      <c r="I94" s="173"/>
      <c r="J94" s="88"/>
      <c r="K94" s="81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</row>
    <row r="95" ht="15.75" customHeight="1">
      <c r="A95" s="168"/>
      <c r="B95" s="169"/>
      <c r="C95" s="170"/>
      <c r="D95" s="171"/>
      <c r="E95" s="171"/>
      <c r="F95" s="172"/>
      <c r="G95" s="171"/>
      <c r="H95" s="171"/>
      <c r="I95" s="173"/>
      <c r="J95" s="88"/>
      <c r="K95" s="81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</row>
    <row r="96" ht="15.75" customHeight="1">
      <c r="A96" s="168"/>
      <c r="B96" s="169"/>
      <c r="C96" s="170"/>
      <c r="D96" s="171"/>
      <c r="E96" s="171"/>
      <c r="F96" s="172"/>
      <c r="G96" s="171"/>
      <c r="H96" s="171"/>
      <c r="I96" s="173"/>
      <c r="J96" s="88"/>
      <c r="K96" s="81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</row>
    <row r="97" ht="15.75" customHeight="1">
      <c r="A97" s="168"/>
      <c r="B97" s="169"/>
      <c r="C97" s="170"/>
      <c r="D97" s="171"/>
      <c r="E97" s="171"/>
      <c r="F97" s="172"/>
      <c r="G97" s="171"/>
      <c r="H97" s="171"/>
      <c r="I97" s="173"/>
      <c r="J97" s="88"/>
      <c r="K97" s="81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</row>
    <row r="98" ht="15.75" customHeight="1">
      <c r="A98" s="168"/>
      <c r="B98" s="169"/>
      <c r="C98" s="170"/>
      <c r="D98" s="171"/>
      <c r="E98" s="171"/>
      <c r="F98" s="172"/>
      <c r="G98" s="171"/>
      <c r="H98" s="171"/>
      <c r="I98" s="173"/>
      <c r="J98" s="88"/>
      <c r="K98" s="81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</row>
    <row r="99" ht="15.75" customHeight="1">
      <c r="A99" s="168"/>
      <c r="B99" s="169"/>
      <c r="C99" s="170"/>
      <c r="D99" s="171"/>
      <c r="E99" s="171"/>
      <c r="F99" s="172"/>
      <c r="G99" s="171"/>
      <c r="H99" s="171"/>
      <c r="I99" s="173"/>
      <c r="J99" s="88"/>
      <c r="K99" s="81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</row>
    <row r="100" ht="15.75" customHeight="1">
      <c r="A100" s="168"/>
      <c r="B100" s="169"/>
      <c r="C100" s="170"/>
      <c r="D100" s="171"/>
      <c r="E100" s="171"/>
      <c r="F100" s="172"/>
      <c r="G100" s="171"/>
      <c r="H100" s="171"/>
      <c r="I100" s="173"/>
      <c r="J100" s="88"/>
      <c r="K100" s="81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</row>
    <row r="101" ht="15.75" customHeight="1">
      <c r="A101" s="168"/>
      <c r="B101" s="169"/>
      <c r="C101" s="170"/>
      <c r="D101" s="171"/>
      <c r="E101" s="171"/>
      <c r="F101" s="172"/>
      <c r="G101" s="171"/>
      <c r="H101" s="171"/>
      <c r="I101" s="173"/>
      <c r="J101" s="88"/>
      <c r="K101" s="81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</row>
    <row r="102" ht="15.75" customHeight="1">
      <c r="A102" s="168"/>
      <c r="B102" s="169"/>
      <c r="C102" s="170"/>
      <c r="D102" s="171"/>
      <c r="E102" s="171"/>
      <c r="F102" s="172"/>
      <c r="G102" s="171"/>
      <c r="H102" s="171"/>
      <c r="I102" s="173"/>
      <c r="J102" s="88"/>
      <c r="K102" s="81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</row>
    <row r="103" ht="15.75" customHeight="1">
      <c r="A103" s="168"/>
      <c r="B103" s="169"/>
      <c r="C103" s="170"/>
      <c r="D103" s="171"/>
      <c r="E103" s="171"/>
      <c r="F103" s="172"/>
      <c r="G103" s="171"/>
      <c r="H103" s="171"/>
      <c r="I103" s="173"/>
      <c r="J103" s="88"/>
      <c r="K103" s="81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</row>
    <row r="104" ht="15.75" customHeight="1">
      <c r="A104" s="168"/>
      <c r="B104" s="169"/>
      <c r="C104" s="170"/>
      <c r="D104" s="171"/>
      <c r="E104" s="171"/>
      <c r="F104" s="172"/>
      <c r="G104" s="171"/>
      <c r="H104" s="171"/>
      <c r="I104" s="173"/>
      <c r="J104" s="88"/>
      <c r="K104" s="81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</row>
    <row r="105" ht="15.75" customHeight="1">
      <c r="A105" s="168"/>
      <c r="B105" s="169"/>
      <c r="C105" s="170"/>
      <c r="D105" s="171"/>
      <c r="E105" s="171"/>
      <c r="F105" s="172"/>
      <c r="G105" s="171"/>
      <c r="H105" s="171"/>
      <c r="I105" s="173"/>
      <c r="J105" s="88"/>
      <c r="K105" s="81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</row>
    <row r="106" ht="15.75" customHeight="1">
      <c r="A106" s="168"/>
      <c r="B106" s="169"/>
      <c r="C106" s="170"/>
      <c r="D106" s="171"/>
      <c r="E106" s="171"/>
      <c r="F106" s="172"/>
      <c r="G106" s="171"/>
      <c r="H106" s="171"/>
      <c r="I106" s="173"/>
      <c r="J106" s="88"/>
      <c r="K106" s="81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</row>
    <row r="107" ht="15.75" customHeight="1">
      <c r="A107" s="168"/>
      <c r="B107" s="169"/>
      <c r="C107" s="170"/>
      <c r="D107" s="171"/>
      <c r="E107" s="171"/>
      <c r="F107" s="172"/>
      <c r="G107" s="171"/>
      <c r="H107" s="171"/>
      <c r="I107" s="173"/>
      <c r="J107" s="88"/>
      <c r="K107" s="81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</row>
    <row r="108" ht="15.75" customHeight="1">
      <c r="A108" s="168"/>
      <c r="B108" s="169"/>
      <c r="C108" s="170"/>
      <c r="D108" s="171"/>
      <c r="E108" s="171"/>
      <c r="F108" s="172"/>
      <c r="G108" s="171"/>
      <c r="H108" s="171"/>
      <c r="I108" s="173"/>
      <c r="J108" s="88"/>
      <c r="K108" s="81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</row>
    <row r="109" ht="15.75" customHeight="1">
      <c r="A109" s="168"/>
      <c r="B109" s="169"/>
      <c r="C109" s="170"/>
      <c r="D109" s="171"/>
      <c r="E109" s="171"/>
      <c r="F109" s="172"/>
      <c r="G109" s="171"/>
      <c r="H109" s="171"/>
      <c r="I109" s="173"/>
      <c r="J109" s="88"/>
      <c r="K109" s="81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</row>
    <row r="110" ht="15.75" customHeight="1">
      <c r="A110" s="168"/>
      <c r="B110" s="169"/>
      <c r="C110" s="170"/>
      <c r="D110" s="171"/>
      <c r="E110" s="171"/>
      <c r="F110" s="172"/>
      <c r="G110" s="171"/>
      <c r="H110" s="171"/>
      <c r="I110" s="173"/>
      <c r="J110" s="88"/>
      <c r="K110" s="81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</row>
    <row r="111" ht="15.75" customHeight="1">
      <c r="A111" s="168"/>
      <c r="B111" s="169"/>
      <c r="C111" s="170"/>
      <c r="D111" s="171"/>
      <c r="E111" s="171"/>
      <c r="F111" s="172"/>
      <c r="G111" s="171"/>
      <c r="H111" s="171"/>
      <c r="I111" s="173"/>
      <c r="J111" s="88"/>
      <c r="K111" s="81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</row>
    <row r="112" ht="15.75" customHeight="1">
      <c r="A112" s="168"/>
      <c r="B112" s="169"/>
      <c r="C112" s="170"/>
      <c r="D112" s="171"/>
      <c r="E112" s="171"/>
      <c r="F112" s="172"/>
      <c r="G112" s="171"/>
      <c r="H112" s="171"/>
      <c r="I112" s="173"/>
      <c r="J112" s="88"/>
      <c r="K112" s="81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</row>
    <row r="113" ht="15.75" customHeight="1">
      <c r="A113" s="168"/>
      <c r="B113" s="169"/>
      <c r="C113" s="170"/>
      <c r="D113" s="171"/>
      <c r="E113" s="171"/>
      <c r="F113" s="172"/>
      <c r="G113" s="171"/>
      <c r="H113" s="171"/>
      <c r="I113" s="173"/>
      <c r="J113" s="88"/>
      <c r="K113" s="81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</row>
    <row r="114" ht="15.75" customHeight="1">
      <c r="A114" s="168"/>
      <c r="B114" s="169"/>
      <c r="C114" s="170"/>
      <c r="D114" s="171"/>
      <c r="E114" s="171"/>
      <c r="F114" s="172"/>
      <c r="G114" s="171"/>
      <c r="H114" s="171"/>
      <c r="I114" s="173"/>
      <c r="J114" s="88"/>
      <c r="K114" s="81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</row>
    <row r="115" ht="15.75" customHeight="1">
      <c r="A115" s="168"/>
      <c r="B115" s="169"/>
      <c r="C115" s="170"/>
      <c r="D115" s="171"/>
      <c r="E115" s="171"/>
      <c r="F115" s="172"/>
      <c r="G115" s="171"/>
      <c r="H115" s="171"/>
      <c r="I115" s="173"/>
      <c r="J115" s="88"/>
      <c r="K115" s="81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</row>
    <row r="116" ht="15.75" customHeight="1">
      <c r="A116" s="168"/>
      <c r="B116" s="169"/>
      <c r="C116" s="170"/>
      <c r="D116" s="171"/>
      <c r="E116" s="171"/>
      <c r="F116" s="172"/>
      <c r="G116" s="171"/>
      <c r="H116" s="171"/>
      <c r="I116" s="173"/>
      <c r="J116" s="88"/>
      <c r="K116" s="81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</row>
    <row r="117" ht="15.75" customHeight="1">
      <c r="A117" s="168"/>
      <c r="B117" s="169"/>
      <c r="C117" s="170"/>
      <c r="D117" s="171"/>
      <c r="E117" s="171"/>
      <c r="F117" s="172"/>
      <c r="G117" s="171"/>
      <c r="H117" s="171"/>
      <c r="I117" s="173"/>
      <c r="J117" s="88"/>
      <c r="K117" s="81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</row>
    <row r="118" ht="15.75" customHeight="1">
      <c r="A118" s="168"/>
      <c r="B118" s="169"/>
      <c r="C118" s="170"/>
      <c r="D118" s="171"/>
      <c r="E118" s="171"/>
      <c r="F118" s="172"/>
      <c r="G118" s="171"/>
      <c r="H118" s="171"/>
      <c r="I118" s="173"/>
      <c r="J118" s="88"/>
      <c r="K118" s="81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</row>
    <row r="119" ht="15.75" customHeight="1">
      <c r="A119" s="168"/>
      <c r="B119" s="169"/>
      <c r="C119" s="170"/>
      <c r="D119" s="171"/>
      <c r="E119" s="171"/>
      <c r="F119" s="172"/>
      <c r="G119" s="171"/>
      <c r="H119" s="171"/>
      <c r="I119" s="173"/>
      <c r="J119" s="88"/>
      <c r="K119" s="81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</row>
    <row r="120" ht="15.75" customHeight="1">
      <c r="A120" s="168"/>
      <c r="B120" s="169"/>
      <c r="C120" s="170"/>
      <c r="D120" s="171"/>
      <c r="E120" s="171"/>
      <c r="F120" s="172"/>
      <c r="G120" s="171"/>
      <c r="H120" s="171"/>
      <c r="I120" s="173"/>
      <c r="J120" s="88"/>
      <c r="K120" s="81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</row>
    <row r="121" ht="15.75" customHeight="1">
      <c r="A121" s="168"/>
      <c r="B121" s="169"/>
      <c r="C121" s="170"/>
      <c r="D121" s="171"/>
      <c r="E121" s="171"/>
      <c r="F121" s="172"/>
      <c r="G121" s="171"/>
      <c r="H121" s="171"/>
      <c r="I121" s="173"/>
      <c r="J121" s="88"/>
      <c r="K121" s="81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</row>
    <row r="122" ht="15.75" customHeight="1">
      <c r="A122" s="168"/>
      <c r="B122" s="169"/>
      <c r="C122" s="170"/>
      <c r="D122" s="171"/>
      <c r="E122" s="171"/>
      <c r="F122" s="172"/>
      <c r="G122" s="171"/>
      <c r="H122" s="171"/>
      <c r="I122" s="173"/>
      <c r="J122" s="88"/>
      <c r="K122" s="81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</row>
    <row r="123" ht="15.75" customHeight="1">
      <c r="A123" s="168"/>
      <c r="B123" s="169"/>
      <c r="C123" s="170"/>
      <c r="D123" s="171"/>
      <c r="E123" s="171"/>
      <c r="F123" s="172"/>
      <c r="G123" s="171"/>
      <c r="H123" s="171"/>
      <c r="I123" s="173"/>
      <c r="J123" s="88"/>
      <c r="K123" s="81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</row>
    <row r="124" ht="15.75" customHeight="1">
      <c r="A124" s="168"/>
      <c r="B124" s="169"/>
      <c r="C124" s="170"/>
      <c r="D124" s="171"/>
      <c r="E124" s="171"/>
      <c r="F124" s="172"/>
      <c r="G124" s="171"/>
      <c r="H124" s="171"/>
      <c r="I124" s="173"/>
      <c r="J124" s="88"/>
      <c r="K124" s="81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</row>
    <row r="125" ht="15.75" customHeight="1">
      <c r="A125" s="168"/>
      <c r="B125" s="169"/>
      <c r="C125" s="170"/>
      <c r="D125" s="171"/>
      <c r="E125" s="171"/>
      <c r="F125" s="172"/>
      <c r="G125" s="171"/>
      <c r="H125" s="171"/>
      <c r="I125" s="173"/>
      <c r="J125" s="88"/>
      <c r="K125" s="81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</row>
    <row r="126" ht="15.75" customHeight="1">
      <c r="A126" s="168"/>
      <c r="B126" s="169"/>
      <c r="C126" s="170"/>
      <c r="D126" s="171"/>
      <c r="E126" s="171"/>
      <c r="F126" s="172"/>
      <c r="G126" s="171"/>
      <c r="H126" s="171"/>
      <c r="I126" s="173"/>
      <c r="J126" s="88"/>
      <c r="K126" s="81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</row>
    <row r="127" ht="15.75" customHeight="1">
      <c r="A127" s="168"/>
      <c r="B127" s="169"/>
      <c r="C127" s="170"/>
      <c r="D127" s="171"/>
      <c r="E127" s="171"/>
      <c r="F127" s="172"/>
      <c r="G127" s="171"/>
      <c r="H127" s="171"/>
      <c r="I127" s="173"/>
      <c r="J127" s="88"/>
      <c r="K127" s="81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</row>
    <row r="128" ht="15.75" customHeight="1">
      <c r="A128" s="168"/>
      <c r="B128" s="169"/>
      <c r="C128" s="170"/>
      <c r="D128" s="171"/>
      <c r="E128" s="171"/>
      <c r="F128" s="172"/>
      <c r="G128" s="171"/>
      <c r="H128" s="171"/>
      <c r="I128" s="173"/>
      <c r="J128" s="88"/>
      <c r="K128" s="81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</row>
    <row r="129" ht="15.75" customHeight="1">
      <c r="A129" s="168"/>
      <c r="B129" s="169"/>
      <c r="C129" s="170"/>
      <c r="D129" s="171"/>
      <c r="E129" s="171"/>
      <c r="F129" s="172"/>
      <c r="G129" s="171"/>
      <c r="H129" s="171"/>
      <c r="I129" s="173"/>
      <c r="J129" s="88"/>
      <c r="K129" s="81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</row>
    <row r="130" ht="15.75" customHeight="1">
      <c r="A130" s="168"/>
      <c r="B130" s="169"/>
      <c r="C130" s="170"/>
      <c r="D130" s="171"/>
      <c r="E130" s="171"/>
      <c r="F130" s="172"/>
      <c r="G130" s="171"/>
      <c r="H130" s="171"/>
      <c r="I130" s="173"/>
      <c r="J130" s="88"/>
      <c r="K130" s="81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</row>
    <row r="131" ht="15.75" customHeight="1">
      <c r="A131" s="168"/>
      <c r="B131" s="169"/>
      <c r="C131" s="170"/>
      <c r="D131" s="171"/>
      <c r="E131" s="171"/>
      <c r="F131" s="172"/>
      <c r="G131" s="171"/>
      <c r="H131" s="171"/>
      <c r="I131" s="173"/>
      <c r="J131" s="88"/>
      <c r="K131" s="81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</row>
    <row r="132" ht="15.75" customHeight="1">
      <c r="A132" s="168"/>
      <c r="B132" s="169"/>
      <c r="C132" s="170"/>
      <c r="D132" s="171"/>
      <c r="E132" s="171"/>
      <c r="F132" s="172"/>
      <c r="G132" s="171"/>
      <c r="H132" s="171"/>
      <c r="I132" s="173"/>
      <c r="J132" s="88"/>
      <c r="K132" s="81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</row>
    <row r="133" ht="15.75" customHeight="1">
      <c r="A133" s="168"/>
      <c r="B133" s="169"/>
      <c r="C133" s="170"/>
      <c r="D133" s="171"/>
      <c r="E133" s="171"/>
      <c r="F133" s="172"/>
      <c r="G133" s="171"/>
      <c r="H133" s="171"/>
      <c r="I133" s="173"/>
      <c r="J133" s="88"/>
      <c r="K133" s="81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</row>
    <row r="134" ht="15.75" customHeight="1">
      <c r="A134" s="168"/>
      <c r="B134" s="169"/>
      <c r="C134" s="170"/>
      <c r="D134" s="171"/>
      <c r="E134" s="171"/>
      <c r="F134" s="172"/>
      <c r="G134" s="171"/>
      <c r="H134" s="171"/>
      <c r="I134" s="173"/>
      <c r="J134" s="88"/>
      <c r="K134" s="81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</row>
    <row r="135" ht="15.75" customHeight="1">
      <c r="A135" s="168"/>
      <c r="B135" s="169"/>
      <c r="C135" s="170"/>
      <c r="D135" s="171"/>
      <c r="E135" s="171"/>
      <c r="F135" s="172"/>
      <c r="G135" s="171"/>
      <c r="H135" s="171"/>
      <c r="I135" s="173"/>
      <c r="J135" s="88"/>
      <c r="K135" s="81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</row>
    <row r="136" ht="15.75" customHeight="1">
      <c r="A136" s="168"/>
      <c r="B136" s="169"/>
      <c r="C136" s="170"/>
      <c r="D136" s="171"/>
      <c r="E136" s="171"/>
      <c r="F136" s="172"/>
      <c r="G136" s="171"/>
      <c r="H136" s="171"/>
      <c r="I136" s="173"/>
      <c r="J136" s="88"/>
      <c r="K136" s="81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</row>
    <row r="137" ht="15.75" customHeight="1">
      <c r="A137" s="168"/>
      <c r="B137" s="169"/>
      <c r="C137" s="170"/>
      <c r="D137" s="171"/>
      <c r="E137" s="171"/>
      <c r="F137" s="172"/>
      <c r="G137" s="171"/>
      <c r="H137" s="171"/>
      <c r="I137" s="173"/>
      <c r="J137" s="88"/>
      <c r="K137" s="81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</row>
    <row r="138" ht="15.75" customHeight="1">
      <c r="A138" s="168"/>
      <c r="B138" s="169"/>
      <c r="C138" s="170"/>
      <c r="D138" s="171"/>
      <c r="E138" s="171"/>
      <c r="F138" s="172"/>
      <c r="G138" s="171"/>
      <c r="H138" s="171"/>
      <c r="I138" s="173"/>
      <c r="J138" s="88"/>
      <c r="K138" s="81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</row>
    <row r="139" ht="15.75" customHeight="1">
      <c r="A139" s="168"/>
      <c r="B139" s="169"/>
      <c r="C139" s="170"/>
      <c r="D139" s="171"/>
      <c r="E139" s="171"/>
      <c r="F139" s="172"/>
      <c r="G139" s="171"/>
      <c r="H139" s="171"/>
      <c r="I139" s="173"/>
      <c r="J139" s="88"/>
      <c r="K139" s="81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</row>
    <row r="140" ht="15.75" customHeight="1">
      <c r="A140" s="168"/>
      <c r="B140" s="169"/>
      <c r="C140" s="170"/>
      <c r="D140" s="171"/>
      <c r="E140" s="171"/>
      <c r="F140" s="172"/>
      <c r="G140" s="171"/>
      <c r="H140" s="171"/>
      <c r="I140" s="173"/>
      <c r="J140" s="88"/>
      <c r="K140" s="81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</row>
    <row r="141" ht="15.75" customHeight="1">
      <c r="A141" s="168"/>
      <c r="B141" s="169"/>
      <c r="C141" s="170"/>
      <c r="D141" s="171"/>
      <c r="E141" s="171"/>
      <c r="F141" s="172"/>
      <c r="G141" s="171"/>
      <c r="H141" s="171"/>
      <c r="I141" s="173"/>
      <c r="J141" s="88"/>
      <c r="K141" s="81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</row>
    <row r="142" ht="15.75" customHeight="1">
      <c r="A142" s="168"/>
      <c r="B142" s="169"/>
      <c r="C142" s="170"/>
      <c r="D142" s="171"/>
      <c r="E142" s="171"/>
      <c r="F142" s="172"/>
      <c r="G142" s="171"/>
      <c r="H142" s="171"/>
      <c r="I142" s="173"/>
      <c r="J142" s="88"/>
      <c r="K142" s="81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</row>
    <row r="143" ht="15.75" customHeight="1">
      <c r="A143" s="168"/>
      <c r="B143" s="169"/>
      <c r="C143" s="170"/>
      <c r="D143" s="171"/>
      <c r="E143" s="171"/>
      <c r="F143" s="172"/>
      <c r="G143" s="171"/>
      <c r="H143" s="171"/>
      <c r="I143" s="173"/>
      <c r="J143" s="88"/>
      <c r="K143" s="81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</row>
    <row r="144" ht="15.75" customHeight="1">
      <c r="A144" s="168"/>
      <c r="B144" s="169"/>
      <c r="C144" s="170"/>
      <c r="D144" s="171"/>
      <c r="E144" s="171"/>
      <c r="F144" s="172"/>
      <c r="G144" s="171"/>
      <c r="H144" s="171"/>
      <c r="I144" s="173"/>
      <c r="J144" s="88"/>
      <c r="K144" s="81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</row>
    <row r="145" ht="15.75" customHeight="1">
      <c r="A145" s="168"/>
      <c r="B145" s="169"/>
      <c r="C145" s="170"/>
      <c r="D145" s="171"/>
      <c r="E145" s="171"/>
      <c r="F145" s="172"/>
      <c r="G145" s="171"/>
      <c r="H145" s="171"/>
      <c r="I145" s="173"/>
      <c r="J145" s="88"/>
      <c r="K145" s="81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</row>
    <row r="146" ht="15.75" customHeight="1">
      <c r="A146" s="168"/>
      <c r="B146" s="169"/>
      <c r="C146" s="170"/>
      <c r="D146" s="171"/>
      <c r="E146" s="171"/>
      <c r="F146" s="172"/>
      <c r="G146" s="171"/>
      <c r="H146" s="171"/>
      <c r="I146" s="173"/>
      <c r="J146" s="88"/>
      <c r="K146" s="81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</row>
    <row r="147" ht="15.75" customHeight="1">
      <c r="A147" s="168"/>
      <c r="B147" s="169"/>
      <c r="C147" s="170"/>
      <c r="D147" s="171"/>
      <c r="E147" s="171"/>
      <c r="F147" s="172"/>
      <c r="G147" s="171"/>
      <c r="H147" s="171"/>
      <c r="I147" s="173"/>
      <c r="J147" s="88"/>
      <c r="K147" s="81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</row>
    <row r="148" ht="15.75" customHeight="1">
      <c r="A148" s="168"/>
      <c r="B148" s="169"/>
      <c r="C148" s="170"/>
      <c r="D148" s="171"/>
      <c r="E148" s="171"/>
      <c r="F148" s="172"/>
      <c r="G148" s="171"/>
      <c r="H148" s="171"/>
      <c r="I148" s="173"/>
      <c r="J148" s="88"/>
      <c r="K148" s="81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</row>
    <row r="149" ht="15.75" customHeight="1">
      <c r="A149" s="168"/>
      <c r="B149" s="169"/>
      <c r="C149" s="170"/>
      <c r="D149" s="171"/>
      <c r="E149" s="171"/>
      <c r="F149" s="172"/>
      <c r="G149" s="171"/>
      <c r="H149" s="171"/>
      <c r="I149" s="173"/>
      <c r="J149" s="88"/>
      <c r="K149" s="81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</row>
    <row r="150" ht="15.75" customHeight="1">
      <c r="A150" s="168"/>
      <c r="B150" s="169"/>
      <c r="C150" s="170"/>
      <c r="D150" s="171"/>
      <c r="E150" s="171"/>
      <c r="F150" s="172"/>
      <c r="G150" s="171"/>
      <c r="H150" s="171"/>
      <c r="I150" s="173"/>
      <c r="J150" s="88"/>
      <c r="K150" s="81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</row>
    <row r="151" ht="15.75" customHeight="1">
      <c r="A151" s="168"/>
      <c r="B151" s="169"/>
      <c r="C151" s="170"/>
      <c r="D151" s="171"/>
      <c r="E151" s="171"/>
      <c r="F151" s="172"/>
      <c r="G151" s="171"/>
      <c r="H151" s="171"/>
      <c r="I151" s="173"/>
      <c r="J151" s="88"/>
      <c r="K151" s="81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</row>
    <row r="152" ht="15.75" customHeight="1">
      <c r="A152" s="168"/>
      <c r="B152" s="169"/>
      <c r="C152" s="170"/>
      <c r="D152" s="171"/>
      <c r="E152" s="171"/>
      <c r="F152" s="172"/>
      <c r="G152" s="171"/>
      <c r="H152" s="171"/>
      <c r="I152" s="173"/>
      <c r="J152" s="88"/>
      <c r="K152" s="81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</row>
    <row r="153" ht="15.75" customHeight="1">
      <c r="A153" s="168"/>
      <c r="B153" s="169"/>
      <c r="C153" s="170"/>
      <c r="D153" s="171"/>
      <c r="E153" s="171"/>
      <c r="F153" s="172"/>
      <c r="G153" s="171"/>
      <c r="H153" s="171"/>
      <c r="I153" s="173"/>
      <c r="J153" s="88"/>
      <c r="K153" s="81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</row>
    <row r="154" ht="15.75" customHeight="1">
      <c r="A154" s="168"/>
      <c r="B154" s="169"/>
      <c r="C154" s="170"/>
      <c r="D154" s="171"/>
      <c r="E154" s="171"/>
      <c r="F154" s="172"/>
      <c r="G154" s="171"/>
      <c r="H154" s="171"/>
      <c r="I154" s="173"/>
      <c r="J154" s="88"/>
      <c r="K154" s="81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</row>
    <row r="155" ht="15.75" customHeight="1">
      <c r="A155" s="168"/>
      <c r="B155" s="169"/>
      <c r="C155" s="170"/>
      <c r="D155" s="171"/>
      <c r="E155" s="171"/>
      <c r="F155" s="172"/>
      <c r="G155" s="171"/>
      <c r="H155" s="171"/>
      <c r="I155" s="173"/>
      <c r="J155" s="88"/>
      <c r="K155" s="81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</row>
    <row r="156" ht="15.75" customHeight="1">
      <c r="A156" s="168"/>
      <c r="B156" s="169"/>
      <c r="C156" s="170"/>
      <c r="D156" s="171"/>
      <c r="E156" s="171"/>
      <c r="F156" s="172"/>
      <c r="G156" s="171"/>
      <c r="H156" s="171"/>
      <c r="I156" s="173"/>
      <c r="J156" s="88"/>
      <c r="K156" s="81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</row>
    <row r="157" ht="15.75" customHeight="1">
      <c r="A157" s="168"/>
      <c r="B157" s="169"/>
      <c r="C157" s="170"/>
      <c r="D157" s="171"/>
      <c r="E157" s="171"/>
      <c r="F157" s="172"/>
      <c r="G157" s="171"/>
      <c r="H157" s="171"/>
      <c r="I157" s="173"/>
      <c r="J157" s="88"/>
      <c r="K157" s="81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</row>
    <row r="158" ht="15.75" customHeight="1">
      <c r="A158" s="168"/>
      <c r="B158" s="169"/>
      <c r="C158" s="170"/>
      <c r="D158" s="171"/>
      <c r="E158" s="171"/>
      <c r="F158" s="172"/>
      <c r="G158" s="171"/>
      <c r="H158" s="171"/>
      <c r="I158" s="173"/>
      <c r="J158" s="88"/>
      <c r="K158" s="81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</row>
    <row r="159" ht="15.75" customHeight="1">
      <c r="A159" s="168"/>
      <c r="B159" s="169"/>
      <c r="C159" s="170"/>
      <c r="D159" s="171"/>
      <c r="E159" s="171"/>
      <c r="F159" s="172"/>
      <c r="G159" s="171"/>
      <c r="H159" s="171"/>
      <c r="I159" s="173"/>
      <c r="J159" s="88"/>
      <c r="K159" s="81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</row>
    <row r="160" ht="15.75" customHeight="1">
      <c r="A160" s="168"/>
      <c r="B160" s="169"/>
      <c r="C160" s="170"/>
      <c r="D160" s="171"/>
      <c r="E160" s="171"/>
      <c r="F160" s="172"/>
      <c r="G160" s="171"/>
      <c r="H160" s="171"/>
      <c r="I160" s="173"/>
      <c r="J160" s="88"/>
      <c r="K160" s="81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</row>
    <row r="161" ht="15.75" customHeight="1">
      <c r="A161" s="168"/>
      <c r="B161" s="169"/>
      <c r="C161" s="170"/>
      <c r="D161" s="171"/>
      <c r="E161" s="171"/>
      <c r="F161" s="172"/>
      <c r="G161" s="171"/>
      <c r="H161" s="171"/>
      <c r="I161" s="173"/>
      <c r="J161" s="88"/>
      <c r="K161" s="81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</row>
    <row r="162" ht="15.75" customHeight="1">
      <c r="A162" s="168"/>
      <c r="B162" s="169"/>
      <c r="C162" s="170"/>
      <c r="D162" s="171"/>
      <c r="E162" s="171"/>
      <c r="F162" s="172"/>
      <c r="G162" s="171"/>
      <c r="H162" s="171"/>
      <c r="I162" s="173"/>
      <c r="J162" s="88"/>
      <c r="K162" s="81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</row>
    <row r="163" ht="15.75" customHeight="1">
      <c r="A163" s="168"/>
      <c r="B163" s="169"/>
      <c r="C163" s="170"/>
      <c r="D163" s="171"/>
      <c r="E163" s="171"/>
      <c r="F163" s="172"/>
      <c r="G163" s="171"/>
      <c r="H163" s="171"/>
      <c r="I163" s="173"/>
      <c r="J163" s="88"/>
      <c r="K163" s="81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</row>
    <row r="164" ht="15.75" customHeight="1">
      <c r="A164" s="168"/>
      <c r="B164" s="169"/>
      <c r="C164" s="170"/>
      <c r="D164" s="171"/>
      <c r="E164" s="171"/>
      <c r="F164" s="172"/>
      <c r="G164" s="171"/>
      <c r="H164" s="171"/>
      <c r="I164" s="173"/>
      <c r="J164" s="88"/>
      <c r="K164" s="81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</row>
    <row r="165" ht="15.75" customHeight="1">
      <c r="A165" s="168"/>
      <c r="B165" s="169"/>
      <c r="C165" s="170"/>
      <c r="D165" s="171"/>
      <c r="E165" s="171"/>
      <c r="F165" s="172"/>
      <c r="G165" s="171"/>
      <c r="H165" s="171"/>
      <c r="I165" s="173"/>
      <c r="J165" s="88"/>
      <c r="K165" s="81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</row>
    <row r="166" ht="15.75" customHeight="1">
      <c r="A166" s="168"/>
      <c r="B166" s="169"/>
      <c r="C166" s="170"/>
      <c r="D166" s="171"/>
      <c r="E166" s="171"/>
      <c r="F166" s="172"/>
      <c r="G166" s="171"/>
      <c r="H166" s="171"/>
      <c r="I166" s="173"/>
      <c r="J166" s="88"/>
      <c r="K166" s="81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</row>
    <row r="167" ht="15.75" customHeight="1">
      <c r="A167" s="168"/>
      <c r="B167" s="169"/>
      <c r="C167" s="170"/>
      <c r="D167" s="171"/>
      <c r="E167" s="171"/>
      <c r="F167" s="172"/>
      <c r="G167" s="171"/>
      <c r="H167" s="171"/>
      <c r="I167" s="173"/>
      <c r="J167" s="88"/>
      <c r="K167" s="81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</row>
    <row r="168" ht="15.75" customHeight="1">
      <c r="A168" s="168"/>
      <c r="B168" s="169"/>
      <c r="C168" s="170"/>
      <c r="D168" s="171"/>
      <c r="E168" s="171"/>
      <c r="F168" s="172"/>
      <c r="G168" s="171"/>
      <c r="H168" s="171"/>
      <c r="I168" s="173"/>
      <c r="J168" s="88"/>
      <c r="K168" s="81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</row>
    <row r="169" ht="15.75" customHeight="1">
      <c r="A169" s="168"/>
      <c r="B169" s="169"/>
      <c r="C169" s="170"/>
      <c r="D169" s="171"/>
      <c r="E169" s="171"/>
      <c r="F169" s="172"/>
      <c r="G169" s="171"/>
      <c r="H169" s="171"/>
      <c r="I169" s="173"/>
      <c r="J169" s="88"/>
      <c r="K169" s="81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</row>
    <row r="170" ht="15.75" customHeight="1">
      <c r="A170" s="168"/>
      <c r="B170" s="169"/>
      <c r="C170" s="170"/>
      <c r="D170" s="171"/>
      <c r="E170" s="171"/>
      <c r="F170" s="172"/>
      <c r="G170" s="171"/>
      <c r="H170" s="171"/>
      <c r="I170" s="173"/>
      <c r="J170" s="88"/>
      <c r="K170" s="81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</row>
    <row r="171" ht="15.75" customHeight="1">
      <c r="A171" s="168"/>
      <c r="B171" s="169"/>
      <c r="C171" s="170"/>
      <c r="D171" s="171"/>
      <c r="E171" s="171"/>
      <c r="F171" s="172"/>
      <c r="G171" s="171"/>
      <c r="H171" s="171"/>
      <c r="I171" s="173"/>
      <c r="J171" s="88"/>
      <c r="K171" s="81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</row>
    <row r="172" ht="15.75" customHeight="1">
      <c r="A172" s="168"/>
      <c r="B172" s="169"/>
      <c r="C172" s="170"/>
      <c r="D172" s="171"/>
      <c r="E172" s="171"/>
      <c r="F172" s="172"/>
      <c r="G172" s="171"/>
      <c r="H172" s="171"/>
      <c r="I172" s="173"/>
      <c r="J172" s="88"/>
      <c r="K172" s="81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</row>
    <row r="173" ht="15.75" customHeight="1">
      <c r="A173" s="168"/>
      <c r="B173" s="169"/>
      <c r="C173" s="170"/>
      <c r="D173" s="171"/>
      <c r="E173" s="171"/>
      <c r="F173" s="172"/>
      <c r="G173" s="171"/>
      <c r="H173" s="171"/>
      <c r="I173" s="173"/>
      <c r="J173" s="88"/>
      <c r="K173" s="81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</row>
    <row r="174" ht="15.75" customHeight="1">
      <c r="A174" s="168"/>
      <c r="B174" s="169"/>
      <c r="C174" s="170"/>
      <c r="D174" s="171"/>
      <c r="E174" s="171"/>
      <c r="F174" s="172"/>
      <c r="G174" s="171"/>
      <c r="H174" s="171"/>
      <c r="I174" s="173"/>
      <c r="J174" s="88"/>
      <c r="K174" s="81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</row>
    <row r="175" ht="15.75" customHeight="1">
      <c r="A175" s="168"/>
      <c r="B175" s="169"/>
      <c r="C175" s="170"/>
      <c r="D175" s="171"/>
      <c r="E175" s="171"/>
      <c r="F175" s="172"/>
      <c r="G175" s="171"/>
      <c r="H175" s="171"/>
      <c r="I175" s="173"/>
      <c r="J175" s="88"/>
      <c r="K175" s="81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</row>
    <row r="176" ht="15.75" customHeight="1">
      <c r="A176" s="168"/>
      <c r="B176" s="169"/>
      <c r="C176" s="170"/>
      <c r="D176" s="171"/>
      <c r="E176" s="171"/>
      <c r="F176" s="172"/>
      <c r="G176" s="171"/>
      <c r="H176" s="171"/>
      <c r="I176" s="173"/>
      <c r="J176" s="88"/>
      <c r="K176" s="81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</row>
    <row r="177" ht="15.75" customHeight="1">
      <c r="A177" s="168"/>
      <c r="B177" s="169"/>
      <c r="C177" s="170"/>
      <c r="D177" s="171"/>
      <c r="E177" s="171"/>
      <c r="F177" s="172"/>
      <c r="G177" s="171"/>
      <c r="H177" s="171"/>
      <c r="I177" s="173"/>
      <c r="J177" s="88"/>
      <c r="K177" s="81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</row>
    <row r="178" ht="15.75" customHeight="1">
      <c r="A178" s="168"/>
      <c r="B178" s="169"/>
      <c r="C178" s="170"/>
      <c r="D178" s="171"/>
      <c r="E178" s="171"/>
      <c r="F178" s="172"/>
      <c r="G178" s="171"/>
      <c r="H178" s="171"/>
      <c r="I178" s="173"/>
      <c r="J178" s="88"/>
      <c r="K178" s="81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</row>
    <row r="179" ht="15.75" customHeight="1">
      <c r="A179" s="168"/>
      <c r="B179" s="169"/>
      <c r="C179" s="170"/>
      <c r="D179" s="171"/>
      <c r="E179" s="171"/>
      <c r="F179" s="172"/>
      <c r="G179" s="171"/>
      <c r="H179" s="171"/>
      <c r="I179" s="173"/>
      <c r="J179" s="88"/>
      <c r="K179" s="81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</row>
    <row r="180" ht="15.75" customHeight="1">
      <c r="A180" s="168"/>
      <c r="B180" s="169"/>
      <c r="C180" s="170"/>
      <c r="D180" s="171"/>
      <c r="E180" s="171"/>
      <c r="F180" s="172"/>
      <c r="G180" s="171"/>
      <c r="H180" s="171"/>
      <c r="I180" s="173"/>
      <c r="J180" s="88"/>
      <c r="K180" s="81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</row>
    <row r="181" ht="15.75" customHeight="1">
      <c r="A181" s="168"/>
      <c r="B181" s="169"/>
      <c r="C181" s="170"/>
      <c r="D181" s="171"/>
      <c r="E181" s="171"/>
      <c r="F181" s="172"/>
      <c r="G181" s="171"/>
      <c r="H181" s="171"/>
      <c r="I181" s="173"/>
      <c r="J181" s="88"/>
      <c r="K181" s="81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</row>
    <row r="182" ht="15.75" customHeight="1">
      <c r="A182" s="168"/>
      <c r="B182" s="169"/>
      <c r="C182" s="170"/>
      <c r="D182" s="171"/>
      <c r="E182" s="171"/>
      <c r="F182" s="172"/>
      <c r="G182" s="171"/>
      <c r="H182" s="171"/>
      <c r="I182" s="173"/>
      <c r="J182" s="88"/>
      <c r="K182" s="81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</row>
    <row r="183" ht="15.75" customHeight="1">
      <c r="A183" s="168"/>
      <c r="B183" s="169"/>
      <c r="C183" s="170"/>
      <c r="D183" s="171"/>
      <c r="E183" s="171"/>
      <c r="F183" s="172"/>
      <c r="G183" s="171"/>
      <c r="H183" s="171"/>
      <c r="I183" s="173"/>
      <c r="J183" s="88"/>
      <c r="K183" s="81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</row>
    <row r="184" ht="15.75" customHeight="1">
      <c r="A184" s="168"/>
      <c r="B184" s="169"/>
      <c r="C184" s="170"/>
      <c r="D184" s="171"/>
      <c r="E184" s="171"/>
      <c r="F184" s="172"/>
      <c r="G184" s="171"/>
      <c r="H184" s="171"/>
      <c r="I184" s="173"/>
      <c r="J184" s="88"/>
      <c r="K184" s="81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</row>
    <row r="185" ht="15.75" customHeight="1">
      <c r="A185" s="168"/>
      <c r="B185" s="169"/>
      <c r="C185" s="170"/>
      <c r="D185" s="171"/>
      <c r="E185" s="171"/>
      <c r="F185" s="172"/>
      <c r="G185" s="171"/>
      <c r="H185" s="171"/>
      <c r="I185" s="173"/>
      <c r="J185" s="88"/>
      <c r="K185" s="81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</row>
    <row r="186" ht="15.75" customHeight="1">
      <c r="A186" s="168"/>
      <c r="B186" s="169"/>
      <c r="C186" s="170"/>
      <c r="D186" s="171"/>
      <c r="E186" s="171"/>
      <c r="F186" s="172"/>
      <c r="G186" s="171"/>
      <c r="H186" s="171"/>
      <c r="I186" s="173"/>
      <c r="J186" s="88"/>
      <c r="K186" s="81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</row>
    <row r="187" ht="15.75" customHeight="1">
      <c r="A187" s="168"/>
      <c r="B187" s="169"/>
      <c r="C187" s="170"/>
      <c r="D187" s="171"/>
      <c r="E187" s="171"/>
      <c r="F187" s="172"/>
      <c r="G187" s="171"/>
      <c r="H187" s="171"/>
      <c r="I187" s="173"/>
      <c r="J187" s="88"/>
      <c r="K187" s="81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</row>
    <row r="188" ht="15.75" customHeight="1">
      <c r="A188" s="168"/>
      <c r="B188" s="169"/>
      <c r="C188" s="170"/>
      <c r="D188" s="171"/>
      <c r="E188" s="171"/>
      <c r="F188" s="172"/>
      <c r="G188" s="171"/>
      <c r="H188" s="171"/>
      <c r="I188" s="173"/>
      <c r="J188" s="88"/>
      <c r="K188" s="81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</row>
    <row r="189" ht="15.75" customHeight="1">
      <c r="A189" s="168"/>
      <c r="B189" s="169"/>
      <c r="C189" s="170"/>
      <c r="D189" s="171"/>
      <c r="E189" s="171"/>
      <c r="F189" s="172"/>
      <c r="G189" s="171"/>
      <c r="H189" s="171"/>
      <c r="I189" s="173"/>
      <c r="J189" s="88"/>
      <c r="K189" s="81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</row>
    <row r="190" ht="15.75" customHeight="1">
      <c r="A190" s="168"/>
      <c r="B190" s="169"/>
      <c r="C190" s="170"/>
      <c r="D190" s="171"/>
      <c r="E190" s="171"/>
      <c r="F190" s="172"/>
      <c r="G190" s="171"/>
      <c r="H190" s="171"/>
      <c r="I190" s="173"/>
      <c r="J190" s="88"/>
      <c r="K190" s="81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</row>
    <row r="191" ht="15.75" customHeight="1">
      <c r="A191" s="168"/>
      <c r="B191" s="169"/>
      <c r="C191" s="170"/>
      <c r="D191" s="171"/>
      <c r="E191" s="171"/>
      <c r="F191" s="172"/>
      <c r="G191" s="171"/>
      <c r="H191" s="171"/>
      <c r="I191" s="173"/>
      <c r="J191" s="88"/>
      <c r="K191" s="81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</row>
    <row r="192" ht="15.75" customHeight="1">
      <c r="A192" s="168"/>
      <c r="B192" s="169"/>
      <c r="C192" s="170"/>
      <c r="D192" s="171"/>
      <c r="E192" s="171"/>
      <c r="F192" s="172"/>
      <c r="G192" s="171"/>
      <c r="H192" s="171"/>
      <c r="I192" s="173"/>
      <c r="J192" s="88"/>
      <c r="K192" s="81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</row>
    <row r="193" ht="15.75" customHeight="1">
      <c r="A193" s="168"/>
      <c r="B193" s="169"/>
      <c r="C193" s="170"/>
      <c r="D193" s="171"/>
      <c r="E193" s="171"/>
      <c r="F193" s="172"/>
      <c r="G193" s="171"/>
      <c r="H193" s="171"/>
      <c r="I193" s="173"/>
      <c r="J193" s="88"/>
      <c r="K193" s="81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</row>
    <row r="194" ht="15.75" customHeight="1">
      <c r="A194" s="168"/>
      <c r="B194" s="169"/>
      <c r="C194" s="170"/>
      <c r="D194" s="171"/>
      <c r="E194" s="171"/>
      <c r="F194" s="172"/>
      <c r="G194" s="171"/>
      <c r="H194" s="171"/>
      <c r="I194" s="173"/>
      <c r="J194" s="88"/>
      <c r="K194" s="81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</row>
    <row r="195" ht="15.75" customHeight="1">
      <c r="A195" s="168"/>
      <c r="B195" s="169"/>
      <c r="C195" s="170"/>
      <c r="D195" s="171"/>
      <c r="E195" s="171"/>
      <c r="F195" s="172"/>
      <c r="G195" s="171"/>
      <c r="H195" s="171"/>
      <c r="I195" s="173"/>
      <c r="J195" s="88"/>
      <c r="K195" s="81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</row>
    <row r="196" ht="15.75" customHeight="1">
      <c r="A196" s="168"/>
      <c r="B196" s="169"/>
      <c r="C196" s="170"/>
      <c r="D196" s="171"/>
      <c r="E196" s="171"/>
      <c r="F196" s="172"/>
      <c r="G196" s="171"/>
      <c r="H196" s="171"/>
      <c r="I196" s="173"/>
      <c r="J196" s="88"/>
      <c r="K196" s="81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</row>
    <row r="197" ht="15.75" customHeight="1">
      <c r="A197" s="168"/>
      <c r="B197" s="169"/>
      <c r="C197" s="170"/>
      <c r="D197" s="171"/>
      <c r="E197" s="171"/>
      <c r="F197" s="172"/>
      <c r="G197" s="171"/>
      <c r="H197" s="171"/>
      <c r="I197" s="173"/>
      <c r="J197" s="88"/>
      <c r="K197" s="81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</row>
    <row r="198" ht="15.75" customHeight="1">
      <c r="A198" s="168"/>
      <c r="B198" s="169"/>
      <c r="C198" s="170"/>
      <c r="D198" s="171"/>
      <c r="E198" s="171"/>
      <c r="F198" s="172"/>
      <c r="G198" s="171"/>
      <c r="H198" s="171"/>
      <c r="I198" s="173"/>
      <c r="J198" s="88"/>
      <c r="K198" s="81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</row>
    <row r="199" ht="15.75" customHeight="1">
      <c r="A199" s="168"/>
      <c r="B199" s="169"/>
      <c r="C199" s="170"/>
      <c r="D199" s="171"/>
      <c r="E199" s="171"/>
      <c r="F199" s="172"/>
      <c r="G199" s="171"/>
      <c r="H199" s="171"/>
      <c r="I199" s="173"/>
      <c r="J199" s="88"/>
      <c r="K199" s="81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</row>
    <row r="200" ht="15.75" customHeight="1">
      <c r="A200" s="168"/>
      <c r="B200" s="169"/>
      <c r="C200" s="170"/>
      <c r="D200" s="171"/>
      <c r="E200" s="171"/>
      <c r="F200" s="172"/>
      <c r="G200" s="171"/>
      <c r="H200" s="171"/>
      <c r="I200" s="173"/>
      <c r="J200" s="88"/>
      <c r="K200" s="81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</row>
    <row r="201" ht="15.75" customHeight="1">
      <c r="A201" s="168"/>
      <c r="B201" s="169"/>
      <c r="C201" s="170"/>
      <c r="D201" s="171"/>
      <c r="E201" s="171"/>
      <c r="F201" s="172"/>
      <c r="G201" s="171"/>
      <c r="H201" s="171"/>
      <c r="I201" s="173"/>
      <c r="J201" s="88"/>
      <c r="K201" s="81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</row>
    <row r="202" ht="15.75" customHeight="1">
      <c r="A202" s="168"/>
      <c r="B202" s="169"/>
      <c r="C202" s="170"/>
      <c r="D202" s="171"/>
      <c r="E202" s="171"/>
      <c r="F202" s="172"/>
      <c r="G202" s="171"/>
      <c r="H202" s="171"/>
      <c r="I202" s="173"/>
      <c r="J202" s="88"/>
      <c r="K202" s="81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</row>
    <row r="203" ht="15.75" customHeight="1">
      <c r="A203" s="168"/>
      <c r="B203" s="169"/>
      <c r="C203" s="170"/>
      <c r="D203" s="171"/>
      <c r="E203" s="171"/>
      <c r="F203" s="172"/>
      <c r="G203" s="171"/>
      <c r="H203" s="171"/>
      <c r="I203" s="173"/>
      <c r="J203" s="88"/>
      <c r="K203" s="81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</row>
    <row r="204" ht="15.75" customHeight="1">
      <c r="A204" s="168"/>
      <c r="B204" s="169"/>
      <c r="C204" s="170"/>
      <c r="D204" s="171"/>
      <c r="E204" s="171"/>
      <c r="F204" s="172"/>
      <c r="G204" s="171"/>
      <c r="H204" s="171"/>
      <c r="I204" s="173"/>
      <c r="J204" s="88"/>
      <c r="K204" s="81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</row>
    <row r="205" ht="15.75" customHeight="1">
      <c r="A205" s="168"/>
      <c r="B205" s="169"/>
      <c r="C205" s="170"/>
      <c r="D205" s="171"/>
      <c r="E205" s="171"/>
      <c r="F205" s="172"/>
      <c r="G205" s="171"/>
      <c r="H205" s="171"/>
      <c r="I205" s="173"/>
      <c r="J205" s="88"/>
      <c r="K205" s="81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</row>
    <row r="206" ht="15.75" customHeight="1">
      <c r="A206" s="168"/>
      <c r="B206" s="169"/>
      <c r="C206" s="170"/>
      <c r="D206" s="171"/>
      <c r="E206" s="171"/>
      <c r="F206" s="172"/>
      <c r="G206" s="171"/>
      <c r="H206" s="171"/>
      <c r="I206" s="173"/>
      <c r="J206" s="88"/>
      <c r="K206" s="81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</row>
    <row r="207" ht="15.75" customHeight="1">
      <c r="A207" s="168"/>
      <c r="B207" s="169"/>
      <c r="C207" s="170"/>
      <c r="D207" s="171"/>
      <c r="E207" s="171"/>
      <c r="F207" s="172"/>
      <c r="G207" s="171"/>
      <c r="H207" s="171"/>
      <c r="I207" s="173"/>
      <c r="J207" s="88"/>
      <c r="K207" s="81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</row>
    <row r="208" ht="15.75" customHeight="1">
      <c r="A208" s="168"/>
      <c r="B208" s="169"/>
      <c r="C208" s="170"/>
      <c r="D208" s="171"/>
      <c r="E208" s="171"/>
      <c r="F208" s="172"/>
      <c r="G208" s="171"/>
      <c r="H208" s="171"/>
      <c r="I208" s="173"/>
      <c r="J208" s="88"/>
      <c r="K208" s="81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</row>
    <row r="209" ht="15.75" customHeight="1">
      <c r="A209" s="168"/>
      <c r="B209" s="169"/>
      <c r="C209" s="170"/>
      <c r="D209" s="171"/>
      <c r="E209" s="171"/>
      <c r="F209" s="172"/>
      <c r="G209" s="171"/>
      <c r="H209" s="171"/>
      <c r="I209" s="173"/>
      <c r="J209" s="88"/>
      <c r="K209" s="81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</row>
    <row r="210" ht="15.75" customHeight="1">
      <c r="A210" s="168"/>
      <c r="B210" s="169"/>
      <c r="C210" s="170"/>
      <c r="D210" s="171"/>
      <c r="E210" s="171"/>
      <c r="F210" s="172"/>
      <c r="G210" s="171"/>
      <c r="H210" s="171"/>
      <c r="I210" s="173"/>
      <c r="J210" s="88"/>
      <c r="K210" s="81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</row>
    <row r="211" ht="15.75" customHeight="1">
      <c r="A211" s="168"/>
      <c r="B211" s="169"/>
      <c r="C211" s="170"/>
      <c r="D211" s="171"/>
      <c r="E211" s="171"/>
      <c r="F211" s="172"/>
      <c r="G211" s="171"/>
      <c r="H211" s="171"/>
      <c r="I211" s="173"/>
      <c r="J211" s="88"/>
      <c r="K211" s="81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</row>
    <row r="212" ht="15.75" customHeight="1">
      <c r="A212" s="168"/>
      <c r="B212" s="169"/>
      <c r="C212" s="170"/>
      <c r="D212" s="171"/>
      <c r="E212" s="171"/>
      <c r="F212" s="172"/>
      <c r="G212" s="171"/>
      <c r="H212" s="171"/>
      <c r="I212" s="173"/>
      <c r="J212" s="88"/>
      <c r="K212" s="81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</row>
    <row r="213" ht="15.75" customHeight="1">
      <c r="A213" s="168"/>
      <c r="B213" s="169"/>
      <c r="C213" s="170"/>
      <c r="D213" s="171"/>
      <c r="E213" s="171"/>
      <c r="F213" s="172"/>
      <c r="G213" s="171"/>
      <c r="H213" s="171"/>
      <c r="I213" s="173"/>
      <c r="J213" s="88"/>
      <c r="K213" s="81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</row>
    <row r="214" ht="15.75" customHeight="1">
      <c r="A214" s="168"/>
      <c r="B214" s="169"/>
      <c r="C214" s="170"/>
      <c r="D214" s="171"/>
      <c r="E214" s="171"/>
      <c r="F214" s="172"/>
      <c r="G214" s="171"/>
      <c r="H214" s="171"/>
      <c r="I214" s="173"/>
      <c r="J214" s="88"/>
      <c r="K214" s="81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</row>
    <row r="215" ht="15.75" customHeight="1">
      <c r="A215" s="168"/>
      <c r="B215" s="169"/>
      <c r="C215" s="170"/>
      <c r="D215" s="171"/>
      <c r="E215" s="171"/>
      <c r="F215" s="172"/>
      <c r="G215" s="171"/>
      <c r="H215" s="171"/>
      <c r="I215" s="173"/>
      <c r="J215" s="88"/>
      <c r="K215" s="81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</row>
    <row r="216" ht="15.75" customHeight="1">
      <c r="A216" s="168"/>
      <c r="B216" s="169"/>
      <c r="C216" s="170"/>
      <c r="D216" s="171"/>
      <c r="E216" s="171"/>
      <c r="F216" s="172"/>
      <c r="G216" s="171"/>
      <c r="H216" s="171"/>
      <c r="I216" s="173"/>
      <c r="J216" s="88"/>
      <c r="K216" s="81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</row>
    <row r="217" ht="15.75" customHeight="1">
      <c r="A217" s="168"/>
      <c r="B217" s="169"/>
      <c r="C217" s="170"/>
      <c r="D217" s="171"/>
      <c r="E217" s="171"/>
      <c r="F217" s="172"/>
      <c r="G217" s="171"/>
      <c r="H217" s="171"/>
      <c r="I217" s="173"/>
      <c r="J217" s="88"/>
      <c r="K217" s="81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</row>
    <row r="218" ht="15.75" customHeight="1">
      <c r="A218" s="168"/>
      <c r="B218" s="169"/>
      <c r="C218" s="170"/>
      <c r="D218" s="171"/>
      <c r="E218" s="171"/>
      <c r="F218" s="172"/>
      <c r="G218" s="171"/>
      <c r="H218" s="171"/>
      <c r="I218" s="173"/>
      <c r="J218" s="88"/>
      <c r="K218" s="81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</row>
    <row r="219" ht="15.75" customHeight="1">
      <c r="A219" s="168"/>
      <c r="B219" s="169"/>
      <c r="C219" s="170"/>
      <c r="D219" s="171"/>
      <c r="E219" s="171"/>
      <c r="F219" s="172"/>
      <c r="G219" s="171"/>
      <c r="H219" s="171"/>
      <c r="I219" s="173"/>
      <c r="J219" s="88"/>
      <c r="K219" s="81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</row>
    <row r="220" ht="15.75" customHeight="1">
      <c r="A220" s="168"/>
      <c r="B220" s="169"/>
      <c r="C220" s="170"/>
      <c r="D220" s="171"/>
      <c r="E220" s="171"/>
      <c r="F220" s="172"/>
      <c r="G220" s="171"/>
      <c r="H220" s="171"/>
      <c r="I220" s="173"/>
      <c r="J220" s="88"/>
      <c r="K220" s="81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</row>
    <row r="221" ht="15.75" customHeight="1">
      <c r="A221" s="168"/>
      <c r="B221" s="169"/>
      <c r="C221" s="170"/>
      <c r="D221" s="171"/>
      <c r="E221" s="171"/>
      <c r="F221" s="172"/>
      <c r="G221" s="171"/>
      <c r="H221" s="171"/>
      <c r="I221" s="173"/>
      <c r="J221" s="88"/>
      <c r="K221" s="81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</row>
    <row r="222" ht="15.75" customHeight="1">
      <c r="A222" s="168"/>
      <c r="B222" s="169"/>
      <c r="C222" s="170"/>
      <c r="D222" s="171"/>
      <c r="E222" s="171"/>
      <c r="F222" s="172"/>
      <c r="G222" s="171"/>
      <c r="H222" s="171"/>
      <c r="I222" s="173"/>
      <c r="J222" s="88"/>
      <c r="K222" s="81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</row>
    <row r="223" ht="15.75" customHeight="1">
      <c r="A223" s="168"/>
      <c r="B223" s="169"/>
      <c r="C223" s="170"/>
      <c r="D223" s="171"/>
      <c r="E223" s="171"/>
      <c r="F223" s="172"/>
      <c r="G223" s="171"/>
      <c r="H223" s="171"/>
      <c r="I223" s="173"/>
      <c r="J223" s="88"/>
      <c r="K223" s="81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</row>
    <row r="224" ht="15.75" customHeight="1">
      <c r="A224" s="168"/>
      <c r="B224" s="169"/>
      <c r="C224" s="170"/>
      <c r="D224" s="171"/>
      <c r="E224" s="171"/>
      <c r="F224" s="172"/>
      <c r="G224" s="171"/>
      <c r="H224" s="171"/>
      <c r="I224" s="173"/>
      <c r="J224" s="88"/>
      <c r="K224" s="81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</row>
    <row r="225" ht="15.75" customHeight="1">
      <c r="A225" s="168"/>
      <c r="B225" s="169"/>
      <c r="C225" s="170"/>
      <c r="D225" s="171"/>
      <c r="E225" s="171"/>
      <c r="F225" s="172"/>
      <c r="G225" s="171"/>
      <c r="H225" s="171"/>
      <c r="I225" s="173"/>
      <c r="J225" s="88"/>
      <c r="K225" s="81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</row>
    <row r="226" ht="15.75" customHeight="1">
      <c r="A226" s="168"/>
      <c r="B226" s="169"/>
      <c r="C226" s="170"/>
      <c r="D226" s="171"/>
      <c r="E226" s="171"/>
      <c r="F226" s="172"/>
      <c r="G226" s="171"/>
      <c r="H226" s="171"/>
      <c r="I226" s="173"/>
      <c r="J226" s="88"/>
      <c r="K226" s="81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</row>
    <row r="227" ht="15.75" customHeight="1">
      <c r="A227" s="168"/>
      <c r="B227" s="169"/>
      <c r="C227" s="170"/>
      <c r="D227" s="171"/>
      <c r="E227" s="171"/>
      <c r="F227" s="172"/>
      <c r="G227" s="171"/>
      <c r="H227" s="171"/>
      <c r="I227" s="173"/>
      <c r="J227" s="88"/>
      <c r="K227" s="81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</row>
    <row r="228" ht="15.75" customHeight="1">
      <c r="A228" s="168"/>
      <c r="B228" s="169"/>
      <c r="C228" s="170"/>
      <c r="D228" s="171"/>
      <c r="E228" s="171"/>
      <c r="F228" s="172"/>
      <c r="G228" s="171"/>
      <c r="H228" s="171"/>
      <c r="I228" s="173"/>
      <c r="J228" s="88"/>
      <c r="K228" s="81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</row>
    <row r="229" ht="15.75" customHeight="1">
      <c r="A229" s="168"/>
      <c r="B229" s="169"/>
      <c r="C229" s="170"/>
      <c r="D229" s="171"/>
      <c r="E229" s="171"/>
      <c r="F229" s="172"/>
      <c r="G229" s="171"/>
      <c r="H229" s="171"/>
      <c r="I229" s="173"/>
      <c r="J229" s="88"/>
      <c r="K229" s="81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</row>
    <row r="230" ht="15.75" customHeight="1">
      <c r="A230" s="168"/>
      <c r="B230" s="169"/>
      <c r="C230" s="170"/>
      <c r="D230" s="171"/>
      <c r="E230" s="171"/>
      <c r="F230" s="172"/>
      <c r="G230" s="171"/>
      <c r="H230" s="171"/>
      <c r="I230" s="173"/>
      <c r="J230" s="88"/>
      <c r="K230" s="81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</row>
    <row r="231" ht="15.75" customHeight="1">
      <c r="A231" s="168"/>
      <c r="B231" s="169"/>
      <c r="C231" s="170"/>
      <c r="D231" s="171"/>
      <c r="E231" s="171"/>
      <c r="F231" s="172"/>
      <c r="G231" s="171"/>
      <c r="H231" s="171"/>
      <c r="I231" s="173"/>
      <c r="J231" s="88"/>
      <c r="K231" s="81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</row>
    <row r="232" ht="15.75" customHeight="1">
      <c r="A232" s="168"/>
      <c r="B232" s="169"/>
      <c r="C232" s="170"/>
      <c r="D232" s="171"/>
      <c r="E232" s="171"/>
      <c r="F232" s="172"/>
      <c r="G232" s="171"/>
      <c r="H232" s="171"/>
      <c r="I232" s="173"/>
      <c r="J232" s="88"/>
      <c r="K232" s="81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</row>
    <row r="233" ht="15.75" customHeight="1">
      <c r="A233" s="168"/>
      <c r="B233" s="169"/>
      <c r="C233" s="170"/>
      <c r="D233" s="171"/>
      <c r="E233" s="171"/>
      <c r="F233" s="172"/>
      <c r="G233" s="171"/>
      <c r="H233" s="171"/>
      <c r="I233" s="173"/>
      <c r="J233" s="88"/>
      <c r="K233" s="81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</row>
    <row r="234" ht="15.75" customHeight="1">
      <c r="A234" s="168"/>
      <c r="B234" s="169"/>
      <c r="C234" s="170"/>
      <c r="D234" s="171"/>
      <c r="E234" s="171"/>
      <c r="F234" s="172"/>
      <c r="G234" s="171"/>
      <c r="H234" s="171"/>
      <c r="I234" s="173"/>
      <c r="J234" s="88"/>
      <c r="K234" s="81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</row>
    <row r="235" ht="15.75" customHeight="1">
      <c r="A235" s="168"/>
      <c r="B235" s="169"/>
      <c r="C235" s="170"/>
      <c r="D235" s="171"/>
      <c r="E235" s="171"/>
      <c r="F235" s="172"/>
      <c r="G235" s="171"/>
      <c r="H235" s="171"/>
      <c r="I235" s="173"/>
      <c r="J235" s="88"/>
      <c r="K235" s="81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</row>
    <row r="236" ht="15.75" customHeight="1">
      <c r="A236" s="168"/>
      <c r="B236" s="169"/>
      <c r="C236" s="170"/>
      <c r="D236" s="171"/>
      <c r="E236" s="171"/>
      <c r="F236" s="172"/>
      <c r="G236" s="171"/>
      <c r="H236" s="171"/>
      <c r="I236" s="173"/>
      <c r="J236" s="88"/>
      <c r="K236" s="81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</row>
    <row r="237" ht="15.75" customHeight="1">
      <c r="A237" s="168"/>
      <c r="B237" s="169"/>
      <c r="C237" s="170"/>
      <c r="D237" s="171"/>
      <c r="E237" s="171"/>
      <c r="F237" s="172"/>
      <c r="G237" s="171"/>
      <c r="H237" s="171"/>
      <c r="I237" s="173"/>
      <c r="J237" s="88"/>
      <c r="K237" s="81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</row>
    <row r="238" ht="15.75" customHeight="1">
      <c r="A238" s="168"/>
      <c r="B238" s="169"/>
      <c r="C238" s="170"/>
      <c r="D238" s="171"/>
      <c r="E238" s="171"/>
      <c r="F238" s="172"/>
      <c r="G238" s="171"/>
      <c r="H238" s="171"/>
      <c r="I238" s="173"/>
      <c r="J238" s="88"/>
      <c r="K238" s="81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</row>
    <row r="239" ht="15.75" customHeight="1">
      <c r="A239" s="168"/>
      <c r="B239" s="169"/>
      <c r="C239" s="170"/>
      <c r="D239" s="171"/>
      <c r="E239" s="171"/>
      <c r="F239" s="172"/>
      <c r="G239" s="171"/>
      <c r="H239" s="171"/>
      <c r="I239" s="173"/>
      <c r="J239" s="88"/>
      <c r="K239" s="81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</row>
    <row r="240" ht="15.75" customHeight="1">
      <c r="A240" s="168"/>
      <c r="B240" s="169"/>
      <c r="C240" s="170"/>
      <c r="D240" s="171"/>
      <c r="E240" s="171"/>
      <c r="F240" s="172"/>
      <c r="G240" s="171"/>
      <c r="H240" s="171"/>
      <c r="I240" s="173"/>
      <c r="J240" s="88"/>
      <c r="K240" s="81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</row>
    <row r="241" ht="15.75" customHeight="1">
      <c r="A241" s="168"/>
      <c r="B241" s="169"/>
      <c r="C241" s="170"/>
      <c r="D241" s="171"/>
      <c r="E241" s="171"/>
      <c r="F241" s="172"/>
      <c r="G241" s="171"/>
      <c r="H241" s="171"/>
      <c r="I241" s="173"/>
      <c r="J241" s="88"/>
      <c r="K241" s="81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</row>
    <row r="242" ht="15.75" customHeight="1">
      <c r="A242" s="168"/>
      <c r="B242" s="169"/>
      <c r="C242" s="170"/>
      <c r="D242" s="171"/>
      <c r="E242" s="171"/>
      <c r="F242" s="172"/>
      <c r="G242" s="171"/>
      <c r="H242" s="171"/>
      <c r="I242" s="173"/>
      <c r="J242" s="88"/>
      <c r="K242" s="81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</row>
    <row r="243" ht="15.75" customHeight="1">
      <c r="A243" s="168"/>
      <c r="B243" s="169"/>
      <c r="C243" s="170"/>
      <c r="D243" s="171"/>
      <c r="E243" s="171"/>
      <c r="F243" s="172"/>
      <c r="G243" s="171"/>
      <c r="H243" s="171"/>
      <c r="I243" s="173"/>
      <c r="J243" s="88"/>
      <c r="K243" s="81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</row>
    <row r="244" ht="15.75" customHeight="1">
      <c r="A244" s="168"/>
      <c r="B244" s="169"/>
      <c r="C244" s="170"/>
      <c r="D244" s="171"/>
      <c r="E244" s="171"/>
      <c r="F244" s="172"/>
      <c r="G244" s="171"/>
      <c r="H244" s="171"/>
      <c r="I244" s="173"/>
      <c r="J244" s="88"/>
      <c r="K244" s="81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</row>
    <row r="245" ht="15.75" customHeight="1">
      <c r="A245" s="168"/>
      <c r="B245" s="169"/>
      <c r="C245" s="170"/>
      <c r="D245" s="171"/>
      <c r="E245" s="171"/>
      <c r="F245" s="172"/>
      <c r="G245" s="171"/>
      <c r="H245" s="171"/>
      <c r="I245" s="173"/>
      <c r="J245" s="88"/>
      <c r="K245" s="81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</row>
    <row r="246" ht="15.75" customHeight="1">
      <c r="A246" s="168"/>
      <c r="B246" s="169"/>
      <c r="C246" s="170"/>
      <c r="D246" s="171"/>
      <c r="E246" s="171"/>
      <c r="F246" s="172"/>
      <c r="G246" s="171"/>
      <c r="H246" s="171"/>
      <c r="I246" s="173"/>
      <c r="J246" s="88"/>
      <c r="K246" s="81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</row>
    <row r="247" ht="15.75" customHeight="1">
      <c r="A247" s="168"/>
      <c r="B247" s="169"/>
      <c r="C247" s="170"/>
      <c r="D247" s="171"/>
      <c r="E247" s="171"/>
      <c r="F247" s="172"/>
      <c r="G247" s="171"/>
      <c r="H247" s="171"/>
      <c r="I247" s="173"/>
      <c r="J247" s="88"/>
      <c r="K247" s="81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</row>
    <row r="248" ht="15.75" customHeight="1">
      <c r="A248" s="168"/>
      <c r="B248" s="169"/>
      <c r="C248" s="170"/>
      <c r="D248" s="171"/>
      <c r="E248" s="171"/>
      <c r="F248" s="172"/>
      <c r="G248" s="171"/>
      <c r="H248" s="171"/>
      <c r="I248" s="173"/>
      <c r="J248" s="88"/>
      <c r="K248" s="81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</row>
    <row r="249" ht="15.75" customHeight="1">
      <c r="A249" s="168"/>
      <c r="B249" s="169"/>
      <c r="C249" s="170"/>
      <c r="D249" s="171"/>
      <c r="E249" s="171"/>
      <c r="F249" s="172"/>
      <c r="G249" s="171"/>
      <c r="H249" s="171"/>
      <c r="I249" s="173"/>
      <c r="J249" s="88"/>
      <c r="K249" s="81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</row>
    <row r="250" ht="15.75" customHeight="1">
      <c r="A250" s="168"/>
      <c r="B250" s="169"/>
      <c r="C250" s="170"/>
      <c r="D250" s="171"/>
      <c r="E250" s="171"/>
      <c r="F250" s="172"/>
      <c r="G250" s="171"/>
      <c r="H250" s="171"/>
      <c r="I250" s="173"/>
      <c r="J250" s="88"/>
      <c r="K250" s="81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</row>
    <row r="251" ht="15.75" customHeight="1">
      <c r="A251" s="168"/>
      <c r="B251" s="169"/>
      <c r="C251" s="170"/>
      <c r="D251" s="171"/>
      <c r="E251" s="171"/>
      <c r="F251" s="172"/>
      <c r="G251" s="171"/>
      <c r="H251" s="171"/>
      <c r="I251" s="173"/>
      <c r="J251" s="88"/>
      <c r="K251" s="81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</row>
    <row r="252" ht="15.75" customHeight="1">
      <c r="A252" s="168"/>
      <c r="B252" s="169"/>
      <c r="C252" s="170"/>
      <c r="D252" s="171"/>
      <c r="E252" s="171"/>
      <c r="F252" s="172"/>
      <c r="G252" s="171"/>
      <c r="H252" s="171"/>
      <c r="I252" s="173"/>
      <c r="J252" s="88"/>
      <c r="K252" s="81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</row>
    <row r="253" ht="15.75" customHeight="1">
      <c r="A253" s="168"/>
      <c r="B253" s="169"/>
      <c r="C253" s="170"/>
      <c r="D253" s="171"/>
      <c r="E253" s="171"/>
      <c r="F253" s="172"/>
      <c r="G253" s="171"/>
      <c r="H253" s="171"/>
      <c r="I253" s="173"/>
      <c r="J253" s="88"/>
      <c r="K253" s="81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</row>
    <row r="254" ht="15.75" customHeight="1">
      <c r="A254" s="168"/>
      <c r="B254" s="169"/>
      <c r="C254" s="170"/>
      <c r="D254" s="171"/>
      <c r="E254" s="171"/>
      <c r="F254" s="172"/>
      <c r="G254" s="171"/>
      <c r="H254" s="171"/>
      <c r="I254" s="173"/>
      <c r="J254" s="88"/>
      <c r="K254" s="81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</row>
    <row r="255" ht="15.75" customHeight="1">
      <c r="A255" s="168"/>
      <c r="B255" s="169"/>
      <c r="C255" s="170"/>
      <c r="D255" s="171"/>
      <c r="E255" s="171"/>
      <c r="F255" s="172"/>
      <c r="G255" s="171"/>
      <c r="H255" s="171"/>
      <c r="I255" s="173"/>
      <c r="J255" s="88"/>
      <c r="K255" s="81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</row>
    <row r="256" ht="15.75" customHeight="1">
      <c r="A256" s="168"/>
      <c r="B256" s="169"/>
      <c r="C256" s="170"/>
      <c r="D256" s="171"/>
      <c r="E256" s="171"/>
      <c r="F256" s="172"/>
      <c r="G256" s="171"/>
      <c r="H256" s="171"/>
      <c r="I256" s="173"/>
      <c r="J256" s="88"/>
      <c r="K256" s="81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</row>
    <row r="257" ht="15.75" customHeight="1">
      <c r="A257" s="168"/>
      <c r="B257" s="169"/>
      <c r="C257" s="170"/>
      <c r="D257" s="171"/>
      <c r="E257" s="171"/>
      <c r="F257" s="172"/>
      <c r="G257" s="171"/>
      <c r="H257" s="171"/>
      <c r="I257" s="173"/>
      <c r="J257" s="88"/>
      <c r="K257" s="81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</row>
    <row r="258" ht="15.75" customHeight="1">
      <c r="A258" s="168"/>
      <c r="B258" s="169"/>
      <c r="C258" s="170"/>
      <c r="D258" s="171"/>
      <c r="E258" s="171"/>
      <c r="F258" s="172"/>
      <c r="G258" s="171"/>
      <c r="H258" s="171"/>
      <c r="I258" s="173"/>
      <c r="J258" s="88"/>
      <c r="K258" s="81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</row>
    <row r="259" ht="15.75" customHeight="1">
      <c r="A259" s="168"/>
      <c r="B259" s="169"/>
      <c r="C259" s="170"/>
      <c r="D259" s="171"/>
      <c r="E259" s="171"/>
      <c r="F259" s="172"/>
      <c r="G259" s="171"/>
      <c r="H259" s="171"/>
      <c r="I259" s="173"/>
      <c r="J259" s="88"/>
      <c r="K259" s="81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</row>
    <row r="260" ht="15.75" customHeight="1">
      <c r="A260" s="168"/>
      <c r="B260" s="169"/>
      <c r="C260" s="170"/>
      <c r="D260" s="171"/>
      <c r="E260" s="171"/>
      <c r="F260" s="172"/>
      <c r="G260" s="171"/>
      <c r="H260" s="171"/>
      <c r="I260" s="173"/>
      <c r="J260" s="88"/>
      <c r="K260" s="81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</row>
    <row r="261" ht="15.75" customHeight="1">
      <c r="A261" s="168"/>
      <c r="B261" s="169"/>
      <c r="C261" s="170"/>
      <c r="D261" s="171"/>
      <c r="E261" s="171"/>
      <c r="F261" s="172"/>
      <c r="G261" s="171"/>
      <c r="H261" s="171"/>
      <c r="I261" s="173"/>
      <c r="J261" s="88"/>
      <c r="K261" s="81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</row>
    <row r="262" ht="15.75" customHeight="1">
      <c r="A262" s="168"/>
      <c r="B262" s="169"/>
      <c r="C262" s="170"/>
      <c r="D262" s="171"/>
      <c r="E262" s="171"/>
      <c r="F262" s="172"/>
      <c r="G262" s="171"/>
      <c r="H262" s="171"/>
      <c r="I262" s="173"/>
      <c r="J262" s="88"/>
      <c r="K262" s="81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</row>
    <row r="263" ht="15.75" customHeight="1">
      <c r="A263" s="168"/>
      <c r="B263" s="169"/>
      <c r="C263" s="170"/>
      <c r="D263" s="171"/>
      <c r="E263" s="171"/>
      <c r="F263" s="172"/>
      <c r="G263" s="171"/>
      <c r="H263" s="171"/>
      <c r="I263" s="173"/>
      <c r="J263" s="88"/>
      <c r="K263" s="81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</row>
    <row r="264" ht="15.75" customHeight="1">
      <c r="A264" s="168"/>
      <c r="B264" s="169"/>
      <c r="C264" s="170"/>
      <c r="D264" s="171"/>
      <c r="E264" s="171"/>
      <c r="F264" s="172"/>
      <c r="G264" s="171"/>
      <c r="H264" s="171"/>
      <c r="I264" s="173"/>
      <c r="J264" s="88"/>
      <c r="K264" s="81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</row>
    <row r="265" ht="15.75" customHeight="1">
      <c r="A265" s="168"/>
      <c r="B265" s="169"/>
      <c r="C265" s="170"/>
      <c r="D265" s="171"/>
      <c r="E265" s="171"/>
      <c r="F265" s="172"/>
      <c r="G265" s="171"/>
      <c r="H265" s="171"/>
      <c r="I265" s="173"/>
      <c r="J265" s="88"/>
      <c r="K265" s="81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</row>
    <row r="266" ht="15.75" customHeight="1">
      <c r="A266" s="168"/>
      <c r="B266" s="169"/>
      <c r="C266" s="170"/>
      <c r="D266" s="171"/>
      <c r="E266" s="171"/>
      <c r="F266" s="172"/>
      <c r="G266" s="171"/>
      <c r="H266" s="171"/>
      <c r="I266" s="173"/>
      <c r="J266" s="88"/>
      <c r="K266" s="81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</row>
    <row r="267" ht="15.75" customHeight="1">
      <c r="A267" s="168"/>
      <c r="B267" s="169"/>
      <c r="C267" s="170"/>
      <c r="D267" s="171"/>
      <c r="E267" s="171"/>
      <c r="F267" s="172"/>
      <c r="G267" s="171"/>
      <c r="H267" s="171"/>
      <c r="I267" s="173"/>
      <c r="J267" s="88"/>
      <c r="K267" s="81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</row>
    <row r="268" ht="15.75" customHeight="1">
      <c r="A268" s="168"/>
      <c r="B268" s="169"/>
      <c r="C268" s="170"/>
      <c r="D268" s="171"/>
      <c r="E268" s="171"/>
      <c r="F268" s="172"/>
      <c r="G268" s="171"/>
      <c r="H268" s="171"/>
      <c r="I268" s="173"/>
      <c r="J268" s="88"/>
      <c r="K268" s="81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</row>
    <row r="269" ht="15.75" customHeight="1">
      <c r="A269" s="168"/>
      <c r="B269" s="169"/>
      <c r="C269" s="170"/>
      <c r="D269" s="171"/>
      <c r="E269" s="171"/>
      <c r="F269" s="172"/>
      <c r="G269" s="171"/>
      <c r="H269" s="171"/>
      <c r="I269" s="173"/>
      <c r="J269" s="88"/>
      <c r="K269" s="81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</row>
    <row r="270" ht="15.75" customHeight="1">
      <c r="A270" s="168"/>
      <c r="B270" s="169"/>
      <c r="C270" s="170"/>
      <c r="D270" s="171"/>
      <c r="E270" s="171"/>
      <c r="F270" s="172"/>
      <c r="G270" s="171"/>
      <c r="H270" s="171"/>
      <c r="I270" s="173"/>
      <c r="J270" s="88"/>
      <c r="K270" s="81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</row>
    <row r="271" ht="15.75" customHeight="1">
      <c r="A271" s="168"/>
      <c r="B271" s="169"/>
      <c r="C271" s="170"/>
      <c r="D271" s="171"/>
      <c r="E271" s="171"/>
      <c r="F271" s="172"/>
      <c r="G271" s="171"/>
      <c r="H271" s="171"/>
      <c r="I271" s="173"/>
      <c r="J271" s="88"/>
      <c r="K271" s="81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</row>
    <row r="272" ht="15.75" customHeight="1">
      <c r="A272" s="168"/>
      <c r="B272" s="169"/>
      <c r="C272" s="170"/>
      <c r="D272" s="171"/>
      <c r="E272" s="171"/>
      <c r="F272" s="172"/>
      <c r="G272" s="171"/>
      <c r="H272" s="171"/>
      <c r="I272" s="173"/>
      <c r="J272" s="88"/>
      <c r="K272" s="81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</row>
    <row r="273" ht="15.75" customHeight="1">
      <c r="A273" s="65"/>
      <c r="B273" s="175"/>
      <c r="C273" s="76"/>
      <c r="D273" s="77"/>
      <c r="E273" s="77"/>
      <c r="F273" s="78"/>
      <c r="G273" s="77"/>
      <c r="H273" s="77"/>
      <c r="I273" s="79"/>
      <c r="J273" s="88"/>
      <c r="K273" s="81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</row>
    <row r="274" ht="15.75" customHeight="1">
      <c r="A274" s="65"/>
      <c r="B274" s="175"/>
      <c r="C274" s="76"/>
      <c r="D274" s="77"/>
      <c r="E274" s="77"/>
      <c r="F274" s="78"/>
      <c r="G274" s="77"/>
      <c r="H274" s="77"/>
      <c r="I274" s="79"/>
      <c r="J274" s="88"/>
      <c r="K274" s="81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</row>
    <row r="275" ht="15.75" customHeight="1">
      <c r="A275" s="65"/>
      <c r="B275" s="175"/>
      <c r="C275" s="76"/>
      <c r="D275" s="77"/>
      <c r="E275" s="77"/>
      <c r="F275" s="78"/>
      <c r="G275" s="77"/>
      <c r="H275" s="77"/>
      <c r="I275" s="79"/>
      <c r="J275" s="88"/>
      <c r="K275" s="81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</row>
    <row r="276" ht="15.75" customHeight="1">
      <c r="A276" s="65"/>
      <c r="B276" s="175"/>
      <c r="C276" s="76"/>
      <c r="D276" s="77"/>
      <c r="E276" s="77"/>
      <c r="F276" s="78"/>
      <c r="G276" s="77"/>
      <c r="H276" s="77"/>
      <c r="I276" s="79"/>
      <c r="J276" s="88"/>
      <c r="K276" s="81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</row>
    <row r="277" ht="15.75" customHeight="1">
      <c r="A277" s="65"/>
      <c r="B277" s="175"/>
      <c r="C277" s="76"/>
      <c r="D277" s="77"/>
      <c r="E277" s="77"/>
      <c r="F277" s="78"/>
      <c r="G277" s="77"/>
      <c r="H277" s="77"/>
      <c r="I277" s="79"/>
      <c r="J277" s="88"/>
      <c r="K277" s="81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</row>
    <row r="278" ht="15.75" customHeight="1">
      <c r="A278" s="65"/>
      <c r="B278" s="175"/>
      <c r="C278" s="76"/>
      <c r="D278" s="77"/>
      <c r="E278" s="77"/>
      <c r="F278" s="78"/>
      <c r="G278" s="77"/>
      <c r="H278" s="77"/>
      <c r="I278" s="79"/>
      <c r="J278" s="88"/>
      <c r="K278" s="81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</row>
    <row r="279" ht="15.75" customHeight="1">
      <c r="A279" s="65"/>
      <c r="B279" s="175"/>
      <c r="C279" s="76"/>
      <c r="D279" s="77"/>
      <c r="E279" s="77"/>
      <c r="F279" s="78"/>
      <c r="G279" s="77"/>
      <c r="H279" s="77"/>
      <c r="I279" s="79"/>
      <c r="J279" s="88"/>
      <c r="K279" s="81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</row>
    <row r="280" ht="15.75" customHeight="1">
      <c r="A280" s="65"/>
      <c r="B280" s="175"/>
      <c r="C280" s="76"/>
      <c r="D280" s="77"/>
      <c r="E280" s="77"/>
      <c r="F280" s="78"/>
      <c r="G280" s="77"/>
      <c r="H280" s="77"/>
      <c r="I280" s="79"/>
      <c r="J280" s="88"/>
      <c r="K280" s="81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</row>
    <row r="281" ht="15.75" customHeight="1">
      <c r="A281" s="65"/>
      <c r="B281" s="175"/>
      <c r="C281" s="76"/>
      <c r="D281" s="77"/>
      <c r="E281" s="77"/>
      <c r="F281" s="78"/>
      <c r="G281" s="77"/>
      <c r="H281" s="77"/>
      <c r="I281" s="79"/>
      <c r="J281" s="88"/>
      <c r="K281" s="81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</row>
    <row r="282" ht="15.75" customHeight="1">
      <c r="A282" s="65"/>
      <c r="B282" s="175"/>
      <c r="C282" s="76"/>
      <c r="D282" s="77"/>
      <c r="E282" s="77"/>
      <c r="F282" s="78"/>
      <c r="G282" s="77"/>
      <c r="H282" s="77"/>
      <c r="I282" s="79"/>
      <c r="J282" s="88"/>
      <c r="K282" s="81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</row>
    <row r="283" ht="15.75" customHeight="1">
      <c r="A283" s="65"/>
      <c r="B283" s="175"/>
      <c r="C283" s="76"/>
      <c r="D283" s="77"/>
      <c r="E283" s="77"/>
      <c r="F283" s="78"/>
      <c r="G283" s="77"/>
      <c r="H283" s="77"/>
      <c r="I283" s="79"/>
      <c r="J283" s="88"/>
      <c r="K283" s="81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</row>
    <row r="284" ht="15.75" customHeight="1">
      <c r="A284" s="65"/>
      <c r="B284" s="175"/>
      <c r="C284" s="76"/>
      <c r="D284" s="77"/>
      <c r="E284" s="77"/>
      <c r="F284" s="78"/>
      <c r="G284" s="77"/>
      <c r="H284" s="77"/>
      <c r="I284" s="79"/>
      <c r="J284" s="88"/>
      <c r="K284" s="81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</row>
    <row r="285" ht="15.75" customHeight="1">
      <c r="A285" s="65"/>
      <c r="B285" s="175"/>
      <c r="C285" s="76"/>
      <c r="D285" s="77"/>
      <c r="E285" s="77"/>
      <c r="F285" s="78"/>
      <c r="G285" s="77"/>
      <c r="H285" s="77"/>
      <c r="I285" s="79"/>
      <c r="J285" s="88"/>
      <c r="K285" s="81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</row>
    <row r="286" ht="15.75" customHeight="1">
      <c r="A286" s="65"/>
      <c r="B286" s="175"/>
      <c r="C286" s="76"/>
      <c r="D286" s="77"/>
      <c r="E286" s="77"/>
      <c r="F286" s="78"/>
      <c r="G286" s="77"/>
      <c r="H286" s="77"/>
      <c r="I286" s="79"/>
      <c r="J286" s="88"/>
      <c r="K286" s="81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</row>
    <row r="287" ht="15.75" customHeight="1">
      <c r="A287" s="65"/>
      <c r="B287" s="175"/>
      <c r="C287" s="76"/>
      <c r="D287" s="77"/>
      <c r="E287" s="77"/>
      <c r="F287" s="78"/>
      <c r="G287" s="77"/>
      <c r="H287" s="77"/>
      <c r="I287" s="79"/>
      <c r="J287" s="88"/>
      <c r="K287" s="81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</row>
    <row r="288" ht="15.75" customHeight="1">
      <c r="A288" s="65"/>
      <c r="B288" s="175"/>
      <c r="C288" s="76"/>
      <c r="D288" s="77"/>
      <c r="E288" s="77"/>
      <c r="F288" s="78"/>
      <c r="G288" s="77"/>
      <c r="H288" s="77"/>
      <c r="I288" s="79"/>
      <c r="J288" s="88"/>
      <c r="K288" s="81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</row>
    <row r="289" ht="15.75" customHeight="1">
      <c r="A289" s="65"/>
      <c r="B289" s="175"/>
      <c r="C289" s="76"/>
      <c r="D289" s="77"/>
      <c r="E289" s="77"/>
      <c r="F289" s="78"/>
      <c r="G289" s="77"/>
      <c r="H289" s="77"/>
      <c r="I289" s="79"/>
      <c r="J289" s="88"/>
      <c r="K289" s="81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</row>
    <row r="290" ht="15.75" customHeight="1">
      <c r="A290" s="65"/>
      <c r="B290" s="175"/>
      <c r="C290" s="76"/>
      <c r="D290" s="77"/>
      <c r="E290" s="77"/>
      <c r="F290" s="78"/>
      <c r="G290" s="77"/>
      <c r="H290" s="77"/>
      <c r="I290" s="79"/>
      <c r="J290" s="88"/>
      <c r="K290" s="81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</row>
    <row r="291" ht="15.75" customHeight="1">
      <c r="A291" s="65"/>
      <c r="B291" s="175"/>
      <c r="C291" s="76"/>
      <c r="D291" s="77"/>
      <c r="E291" s="77"/>
      <c r="F291" s="78"/>
      <c r="G291" s="77"/>
      <c r="H291" s="77"/>
      <c r="I291" s="79"/>
      <c r="J291" s="88"/>
      <c r="K291" s="81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</row>
    <row r="292" ht="15.75" customHeight="1">
      <c r="A292" s="65"/>
      <c r="B292" s="175"/>
      <c r="C292" s="76"/>
      <c r="D292" s="77"/>
      <c r="E292" s="77"/>
      <c r="F292" s="78"/>
      <c r="G292" s="77"/>
      <c r="H292" s="77"/>
      <c r="I292" s="79"/>
      <c r="J292" s="88"/>
      <c r="K292" s="81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</row>
    <row r="293" ht="15.75" customHeight="1">
      <c r="A293" s="65"/>
      <c r="B293" s="175"/>
      <c r="C293" s="76"/>
      <c r="D293" s="77"/>
      <c r="E293" s="77"/>
      <c r="F293" s="78"/>
      <c r="G293" s="77"/>
      <c r="H293" s="77"/>
      <c r="I293" s="79"/>
      <c r="J293" s="88"/>
      <c r="K293" s="81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</row>
    <row r="294" ht="15.75" customHeight="1">
      <c r="A294" s="65"/>
      <c r="B294" s="175"/>
      <c r="C294" s="76"/>
      <c r="D294" s="77"/>
      <c r="E294" s="77"/>
      <c r="F294" s="78"/>
      <c r="G294" s="77"/>
      <c r="H294" s="77"/>
      <c r="I294" s="79"/>
      <c r="J294" s="88"/>
      <c r="K294" s="81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</row>
    <row r="295" ht="15.75" customHeight="1">
      <c r="A295" s="65"/>
      <c r="B295" s="175"/>
      <c r="C295" s="76"/>
      <c r="D295" s="77"/>
      <c r="E295" s="77"/>
      <c r="F295" s="78"/>
      <c r="G295" s="77"/>
      <c r="H295" s="77"/>
      <c r="I295" s="79"/>
      <c r="J295" s="88"/>
      <c r="K295" s="81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</row>
    <row r="296" ht="15.75" customHeight="1">
      <c r="A296" s="65"/>
      <c r="B296" s="175"/>
      <c r="C296" s="76"/>
      <c r="D296" s="77"/>
      <c r="E296" s="77"/>
      <c r="F296" s="78"/>
      <c r="G296" s="77"/>
      <c r="H296" s="77"/>
      <c r="I296" s="79"/>
      <c r="J296" s="88"/>
      <c r="K296" s="81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</row>
    <row r="297" ht="15.75" customHeight="1">
      <c r="A297" s="65"/>
      <c r="B297" s="175"/>
      <c r="C297" s="76"/>
      <c r="D297" s="77"/>
      <c r="E297" s="77"/>
      <c r="F297" s="78"/>
      <c r="G297" s="77"/>
      <c r="H297" s="77"/>
      <c r="I297" s="79"/>
      <c r="J297" s="88"/>
      <c r="K297" s="81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</row>
    <row r="298" ht="15.75" customHeight="1">
      <c r="A298" s="65"/>
      <c r="B298" s="175"/>
      <c r="C298" s="76"/>
      <c r="D298" s="77"/>
      <c r="E298" s="77"/>
      <c r="F298" s="78"/>
      <c r="G298" s="77"/>
      <c r="H298" s="77"/>
      <c r="I298" s="79"/>
      <c r="J298" s="88"/>
      <c r="K298" s="81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</row>
    <row r="299" ht="15.75" customHeight="1">
      <c r="A299" s="65"/>
      <c r="B299" s="175"/>
      <c r="C299" s="76"/>
      <c r="D299" s="77"/>
      <c r="E299" s="77"/>
      <c r="F299" s="78"/>
      <c r="G299" s="77"/>
      <c r="H299" s="77"/>
      <c r="I299" s="79"/>
      <c r="J299" s="88"/>
      <c r="K299" s="81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</row>
    <row r="300" ht="15.75" customHeight="1">
      <c r="A300" s="65"/>
      <c r="B300" s="175"/>
      <c r="C300" s="76"/>
      <c r="D300" s="77"/>
      <c r="E300" s="77"/>
      <c r="F300" s="78"/>
      <c r="G300" s="77"/>
      <c r="H300" s="77"/>
      <c r="I300" s="79"/>
      <c r="J300" s="88"/>
      <c r="K300" s="81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</row>
    <row r="301" ht="15.75" customHeight="1">
      <c r="A301" s="65"/>
      <c r="B301" s="175"/>
      <c r="C301" s="76"/>
      <c r="D301" s="77"/>
      <c r="E301" s="77"/>
      <c r="F301" s="78"/>
      <c r="G301" s="77"/>
      <c r="H301" s="77"/>
      <c r="I301" s="79"/>
      <c r="J301" s="88"/>
      <c r="K301" s="81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</row>
    <row r="302" ht="15.75" customHeight="1">
      <c r="A302" s="65"/>
      <c r="B302" s="175"/>
      <c r="C302" s="76"/>
      <c r="D302" s="77"/>
      <c r="E302" s="77"/>
      <c r="F302" s="78"/>
      <c r="G302" s="77"/>
      <c r="H302" s="77"/>
      <c r="I302" s="79"/>
      <c r="J302" s="88"/>
      <c r="K302" s="81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</row>
    <row r="303" ht="15.75" customHeight="1">
      <c r="A303" s="65"/>
      <c r="B303" s="175"/>
      <c r="C303" s="76"/>
      <c r="D303" s="77"/>
      <c r="E303" s="77"/>
      <c r="F303" s="78"/>
      <c r="G303" s="77"/>
      <c r="H303" s="77"/>
      <c r="I303" s="79"/>
      <c r="J303" s="88"/>
      <c r="K303" s="81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</row>
    <row r="304" ht="15.75" customHeight="1">
      <c r="A304" s="65"/>
      <c r="B304" s="175"/>
      <c r="C304" s="76"/>
      <c r="D304" s="77"/>
      <c r="E304" s="77"/>
      <c r="F304" s="78"/>
      <c r="G304" s="77"/>
      <c r="H304" s="77"/>
      <c r="I304" s="79"/>
      <c r="J304" s="88"/>
      <c r="K304" s="81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</row>
    <row r="305" ht="15.75" customHeight="1">
      <c r="A305" s="65"/>
      <c r="B305" s="175"/>
      <c r="C305" s="76"/>
      <c r="D305" s="77"/>
      <c r="E305" s="77"/>
      <c r="F305" s="78"/>
      <c r="G305" s="77"/>
      <c r="H305" s="77"/>
      <c r="I305" s="79"/>
      <c r="J305" s="88"/>
      <c r="K305" s="81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</row>
    <row r="306" ht="15.75" customHeight="1">
      <c r="A306" s="65"/>
      <c r="B306" s="175"/>
      <c r="C306" s="76"/>
      <c r="D306" s="77"/>
      <c r="E306" s="77"/>
      <c r="F306" s="78"/>
      <c r="G306" s="77"/>
      <c r="H306" s="77"/>
      <c r="I306" s="79"/>
      <c r="J306" s="88"/>
      <c r="K306" s="81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</row>
    <row r="307" ht="15.75" customHeight="1">
      <c r="A307" s="65"/>
      <c r="B307" s="175"/>
      <c r="C307" s="76"/>
      <c r="D307" s="77"/>
      <c r="E307" s="77"/>
      <c r="F307" s="78"/>
      <c r="G307" s="77"/>
      <c r="H307" s="77"/>
      <c r="I307" s="79"/>
      <c r="J307" s="88"/>
      <c r="K307" s="81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</row>
    <row r="308" ht="15.75" customHeight="1">
      <c r="A308" s="65"/>
      <c r="B308" s="175"/>
      <c r="C308" s="76"/>
      <c r="D308" s="77"/>
      <c r="E308" s="77"/>
      <c r="F308" s="78"/>
      <c r="G308" s="77"/>
      <c r="H308" s="77"/>
      <c r="I308" s="79"/>
      <c r="J308" s="88"/>
      <c r="K308" s="81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</row>
    <row r="309" ht="15.75" customHeight="1">
      <c r="A309" s="65"/>
      <c r="B309" s="175"/>
      <c r="C309" s="76"/>
      <c r="D309" s="77"/>
      <c r="E309" s="77"/>
      <c r="F309" s="78"/>
      <c r="G309" s="77"/>
      <c r="H309" s="77"/>
      <c r="I309" s="79"/>
      <c r="J309" s="88"/>
      <c r="K309" s="81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</row>
    <row r="310" ht="15.75" customHeight="1">
      <c r="A310" s="65"/>
      <c r="B310" s="175"/>
      <c r="C310" s="76"/>
      <c r="D310" s="77"/>
      <c r="E310" s="77"/>
      <c r="F310" s="78"/>
      <c r="G310" s="77"/>
      <c r="H310" s="77"/>
      <c r="I310" s="79"/>
      <c r="J310" s="88"/>
      <c r="K310" s="81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</row>
    <row r="311" ht="15.75" customHeight="1">
      <c r="A311" s="65"/>
      <c r="B311" s="175"/>
      <c r="C311" s="76"/>
      <c r="D311" s="77"/>
      <c r="E311" s="77"/>
      <c r="F311" s="78"/>
      <c r="G311" s="77"/>
      <c r="H311" s="77"/>
      <c r="I311" s="79"/>
      <c r="J311" s="88"/>
      <c r="K311" s="81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</row>
    <row r="312" ht="15.75" customHeight="1">
      <c r="A312" s="65"/>
      <c r="B312" s="175"/>
      <c r="C312" s="76"/>
      <c r="D312" s="77"/>
      <c r="E312" s="77"/>
      <c r="F312" s="78"/>
      <c r="G312" s="77"/>
      <c r="H312" s="77"/>
      <c r="I312" s="79"/>
      <c r="J312" s="88"/>
      <c r="K312" s="81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</row>
    <row r="313" ht="15.75" customHeight="1">
      <c r="A313" s="65"/>
      <c r="B313" s="175"/>
      <c r="C313" s="76"/>
      <c r="D313" s="77"/>
      <c r="E313" s="77"/>
      <c r="F313" s="78"/>
      <c r="G313" s="77"/>
      <c r="H313" s="77"/>
      <c r="I313" s="79"/>
      <c r="J313" s="88"/>
      <c r="K313" s="81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</row>
    <row r="314" ht="15.75" customHeight="1">
      <c r="A314" s="65"/>
      <c r="B314" s="175"/>
      <c r="C314" s="76"/>
      <c r="D314" s="77"/>
      <c r="E314" s="77"/>
      <c r="F314" s="78"/>
      <c r="G314" s="77"/>
      <c r="H314" s="77"/>
      <c r="I314" s="79"/>
      <c r="J314" s="88"/>
      <c r="K314" s="81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</row>
    <row r="315" ht="15.75" customHeight="1">
      <c r="A315" s="65"/>
      <c r="B315" s="175"/>
      <c r="C315" s="76"/>
      <c r="D315" s="77"/>
      <c r="E315" s="77"/>
      <c r="F315" s="78"/>
      <c r="G315" s="77"/>
      <c r="H315" s="77"/>
      <c r="I315" s="79"/>
      <c r="J315" s="88"/>
      <c r="K315" s="81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</row>
    <row r="316" ht="15.75" customHeight="1">
      <c r="A316" s="65"/>
      <c r="B316" s="175"/>
      <c r="C316" s="76"/>
      <c r="D316" s="77"/>
      <c r="E316" s="77"/>
      <c r="F316" s="78"/>
      <c r="G316" s="77"/>
      <c r="H316" s="77"/>
      <c r="I316" s="79"/>
      <c r="J316" s="88"/>
      <c r="K316" s="81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</row>
    <row r="317" ht="15.75" customHeight="1">
      <c r="A317" s="65"/>
      <c r="B317" s="175"/>
      <c r="C317" s="76"/>
      <c r="D317" s="77"/>
      <c r="E317" s="77"/>
      <c r="F317" s="78"/>
      <c r="G317" s="77"/>
      <c r="H317" s="77"/>
      <c r="I317" s="79"/>
      <c r="J317" s="88"/>
      <c r="K317" s="81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</row>
    <row r="318" ht="15.75" customHeight="1">
      <c r="A318" s="65"/>
      <c r="B318" s="175"/>
      <c r="C318" s="76"/>
      <c r="D318" s="77"/>
      <c r="E318" s="77"/>
      <c r="F318" s="78"/>
      <c r="G318" s="77"/>
      <c r="H318" s="77"/>
      <c r="I318" s="79"/>
      <c r="J318" s="88"/>
      <c r="K318" s="81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</row>
    <row r="319" ht="15.75" customHeight="1">
      <c r="A319" s="65"/>
      <c r="B319" s="175"/>
      <c r="C319" s="76"/>
      <c r="D319" s="77"/>
      <c r="E319" s="77"/>
      <c r="F319" s="78"/>
      <c r="G319" s="77"/>
      <c r="H319" s="77"/>
      <c r="I319" s="79"/>
      <c r="J319" s="88"/>
      <c r="K319" s="81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</row>
    <row r="320" ht="15.75" customHeight="1">
      <c r="A320" s="65"/>
      <c r="B320" s="175"/>
      <c r="C320" s="76"/>
      <c r="D320" s="77"/>
      <c r="E320" s="77"/>
      <c r="F320" s="78"/>
      <c r="G320" s="77"/>
      <c r="H320" s="77"/>
      <c r="I320" s="79"/>
      <c r="J320" s="88"/>
      <c r="K320" s="81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</row>
    <row r="321" ht="15.75" customHeight="1">
      <c r="A321" s="65"/>
      <c r="B321" s="175"/>
      <c r="C321" s="76"/>
      <c r="D321" s="77"/>
      <c r="E321" s="77"/>
      <c r="F321" s="78"/>
      <c r="G321" s="77"/>
      <c r="H321" s="77"/>
      <c r="I321" s="79"/>
      <c r="J321" s="88"/>
      <c r="K321" s="81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</row>
    <row r="322" ht="15.75" customHeight="1">
      <c r="A322" s="65"/>
      <c r="B322" s="175"/>
      <c r="C322" s="76"/>
      <c r="D322" s="77"/>
      <c r="E322" s="77"/>
      <c r="F322" s="78"/>
      <c r="G322" s="77"/>
      <c r="H322" s="77"/>
      <c r="I322" s="79"/>
      <c r="J322" s="88"/>
      <c r="K322" s="81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</row>
    <row r="323" ht="15.75" customHeight="1">
      <c r="A323" s="65"/>
      <c r="B323" s="175"/>
      <c r="C323" s="76"/>
      <c r="D323" s="77"/>
      <c r="E323" s="77"/>
      <c r="F323" s="78"/>
      <c r="G323" s="77"/>
      <c r="H323" s="77"/>
      <c r="I323" s="79"/>
      <c r="J323" s="88"/>
      <c r="K323" s="81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</row>
    <row r="324" ht="15.75" customHeight="1">
      <c r="A324" s="65"/>
      <c r="B324" s="175"/>
      <c r="C324" s="76"/>
      <c r="D324" s="77"/>
      <c r="E324" s="77"/>
      <c r="F324" s="78"/>
      <c r="G324" s="77"/>
      <c r="H324" s="77"/>
      <c r="I324" s="79"/>
      <c r="J324" s="88"/>
      <c r="K324" s="81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</row>
    <row r="325" ht="15.75" customHeight="1">
      <c r="A325" s="65"/>
      <c r="B325" s="175"/>
      <c r="C325" s="76"/>
      <c r="D325" s="77"/>
      <c r="E325" s="77"/>
      <c r="F325" s="78"/>
      <c r="G325" s="77"/>
      <c r="H325" s="77"/>
      <c r="I325" s="79"/>
      <c r="J325" s="88"/>
      <c r="K325" s="81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</row>
    <row r="326" ht="15.75" customHeight="1">
      <c r="A326" s="65"/>
      <c r="B326" s="175"/>
      <c r="C326" s="76"/>
      <c r="D326" s="77"/>
      <c r="E326" s="77"/>
      <c r="F326" s="78"/>
      <c r="G326" s="77"/>
      <c r="H326" s="77"/>
      <c r="I326" s="79"/>
      <c r="J326" s="88"/>
      <c r="K326" s="81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</row>
    <row r="327" ht="15.75" customHeight="1">
      <c r="A327" s="65"/>
      <c r="B327" s="175"/>
      <c r="C327" s="76"/>
      <c r="D327" s="77"/>
      <c r="E327" s="77"/>
      <c r="F327" s="78"/>
      <c r="G327" s="77"/>
      <c r="H327" s="77"/>
      <c r="I327" s="79"/>
      <c r="J327" s="88"/>
      <c r="K327" s="81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</row>
    <row r="328" ht="15.75" customHeight="1">
      <c r="A328" s="65"/>
      <c r="B328" s="175"/>
      <c r="C328" s="76"/>
      <c r="D328" s="77"/>
      <c r="E328" s="77"/>
      <c r="F328" s="78"/>
      <c r="G328" s="77"/>
      <c r="H328" s="77"/>
      <c r="I328" s="79"/>
      <c r="J328" s="88"/>
      <c r="K328" s="81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</row>
    <row r="329" ht="15.75" customHeight="1">
      <c r="A329" s="65"/>
      <c r="B329" s="175"/>
      <c r="C329" s="76"/>
      <c r="D329" s="77"/>
      <c r="E329" s="77"/>
      <c r="F329" s="78"/>
      <c r="G329" s="77"/>
      <c r="H329" s="77"/>
      <c r="I329" s="79"/>
      <c r="J329" s="88"/>
      <c r="K329" s="81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</row>
    <row r="330" ht="15.75" customHeight="1">
      <c r="A330" s="65"/>
      <c r="B330" s="175"/>
      <c r="C330" s="76"/>
      <c r="D330" s="77"/>
      <c r="E330" s="77"/>
      <c r="F330" s="78"/>
      <c r="G330" s="77"/>
      <c r="H330" s="77"/>
      <c r="I330" s="79"/>
      <c r="J330" s="88"/>
      <c r="K330" s="81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</row>
    <row r="331" ht="15.75" customHeight="1">
      <c r="A331" s="65"/>
      <c r="B331" s="175"/>
      <c r="C331" s="76"/>
      <c r="D331" s="77"/>
      <c r="E331" s="77"/>
      <c r="F331" s="78"/>
      <c r="G331" s="77"/>
      <c r="H331" s="77"/>
      <c r="I331" s="79"/>
      <c r="J331" s="88"/>
      <c r="K331" s="81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</row>
    <row r="332" ht="15.75" customHeight="1">
      <c r="A332" s="65"/>
      <c r="B332" s="175"/>
      <c r="C332" s="76"/>
      <c r="D332" s="77"/>
      <c r="E332" s="77"/>
      <c r="F332" s="78"/>
      <c r="G332" s="77"/>
      <c r="H332" s="77"/>
      <c r="I332" s="79"/>
      <c r="J332" s="88"/>
      <c r="K332" s="81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</row>
    <row r="333" ht="15.75" customHeight="1">
      <c r="A333" s="65"/>
      <c r="B333" s="175"/>
      <c r="C333" s="76"/>
      <c r="D333" s="77"/>
      <c r="E333" s="77"/>
      <c r="F333" s="78"/>
      <c r="G333" s="77"/>
      <c r="H333" s="77"/>
      <c r="I333" s="79"/>
      <c r="J333" s="88"/>
      <c r="K333" s="81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</row>
    <row r="334" ht="15.75" customHeight="1">
      <c r="A334" s="65"/>
      <c r="B334" s="175"/>
      <c r="C334" s="76"/>
      <c r="D334" s="77"/>
      <c r="E334" s="77"/>
      <c r="F334" s="78"/>
      <c r="G334" s="77"/>
      <c r="H334" s="77"/>
      <c r="I334" s="79"/>
      <c r="J334" s="88"/>
      <c r="K334" s="81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</row>
    <row r="335" ht="15.75" customHeight="1">
      <c r="A335" s="65"/>
      <c r="B335" s="175"/>
      <c r="C335" s="76"/>
      <c r="D335" s="77"/>
      <c r="E335" s="77"/>
      <c r="F335" s="78"/>
      <c r="G335" s="77"/>
      <c r="H335" s="77"/>
      <c r="I335" s="79"/>
      <c r="J335" s="88"/>
      <c r="K335" s="81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</row>
    <row r="336" ht="15.75" customHeight="1">
      <c r="A336" s="65"/>
      <c r="B336" s="175"/>
      <c r="C336" s="76"/>
      <c r="D336" s="77"/>
      <c r="E336" s="77"/>
      <c r="F336" s="78"/>
      <c r="G336" s="77"/>
      <c r="H336" s="77"/>
      <c r="I336" s="79"/>
      <c r="J336" s="88"/>
      <c r="K336" s="81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</row>
    <row r="337" ht="15.75" customHeight="1">
      <c r="A337" s="65"/>
      <c r="B337" s="175"/>
      <c r="C337" s="76"/>
      <c r="D337" s="77"/>
      <c r="E337" s="77"/>
      <c r="F337" s="78"/>
      <c r="G337" s="77"/>
      <c r="H337" s="77"/>
      <c r="I337" s="79"/>
      <c r="J337" s="88"/>
      <c r="K337" s="81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</row>
    <row r="338" ht="15.75" customHeight="1">
      <c r="A338" s="65"/>
      <c r="B338" s="175"/>
      <c r="C338" s="76"/>
      <c r="D338" s="77"/>
      <c r="E338" s="77"/>
      <c r="F338" s="78"/>
      <c r="G338" s="77"/>
      <c r="H338" s="77"/>
      <c r="I338" s="79"/>
      <c r="J338" s="88"/>
      <c r="K338" s="81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</row>
    <row r="339" ht="15.75" customHeight="1">
      <c r="A339" s="65"/>
      <c r="B339" s="175"/>
      <c r="C339" s="76"/>
      <c r="D339" s="77"/>
      <c r="E339" s="77"/>
      <c r="F339" s="78"/>
      <c r="G339" s="77"/>
      <c r="H339" s="77"/>
      <c r="I339" s="79"/>
      <c r="J339" s="88"/>
      <c r="K339" s="81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</row>
    <row r="340" ht="15.75" customHeight="1">
      <c r="A340" s="65"/>
      <c r="B340" s="175"/>
      <c r="C340" s="76"/>
      <c r="D340" s="77"/>
      <c r="E340" s="77"/>
      <c r="F340" s="78"/>
      <c r="G340" s="77"/>
      <c r="H340" s="77"/>
      <c r="I340" s="79"/>
      <c r="J340" s="88"/>
      <c r="K340" s="81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</row>
    <row r="341" ht="15.75" customHeight="1">
      <c r="A341" s="65"/>
      <c r="B341" s="175"/>
      <c r="C341" s="76"/>
      <c r="D341" s="77"/>
      <c r="E341" s="77"/>
      <c r="F341" s="78"/>
      <c r="G341" s="77"/>
      <c r="H341" s="77"/>
      <c r="I341" s="79"/>
      <c r="J341" s="88"/>
      <c r="K341" s="81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</row>
    <row r="342" ht="15.75" customHeight="1">
      <c r="A342" s="65"/>
      <c r="B342" s="175"/>
      <c r="C342" s="76"/>
      <c r="D342" s="77"/>
      <c r="E342" s="77"/>
      <c r="F342" s="78"/>
      <c r="G342" s="77"/>
      <c r="H342" s="77"/>
      <c r="I342" s="79"/>
      <c r="J342" s="88"/>
      <c r="K342" s="81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</row>
    <row r="343" ht="15.75" customHeight="1">
      <c r="A343" s="65"/>
      <c r="B343" s="175"/>
      <c r="C343" s="76"/>
      <c r="D343" s="77"/>
      <c r="E343" s="77"/>
      <c r="F343" s="78"/>
      <c r="G343" s="77"/>
      <c r="H343" s="77"/>
      <c r="I343" s="79"/>
      <c r="J343" s="88"/>
      <c r="K343" s="81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</row>
    <row r="344" ht="15.75" customHeight="1">
      <c r="A344" s="65"/>
      <c r="B344" s="175"/>
      <c r="C344" s="76"/>
      <c r="D344" s="77"/>
      <c r="E344" s="77"/>
      <c r="F344" s="78"/>
      <c r="G344" s="77"/>
      <c r="H344" s="77"/>
      <c r="I344" s="79"/>
      <c r="J344" s="88"/>
      <c r="K344" s="81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</row>
    <row r="345" ht="15.75" customHeight="1">
      <c r="A345" s="65"/>
      <c r="B345" s="175"/>
      <c r="C345" s="76"/>
      <c r="D345" s="77"/>
      <c r="E345" s="77"/>
      <c r="F345" s="78"/>
      <c r="G345" s="77"/>
      <c r="H345" s="77"/>
      <c r="I345" s="79"/>
      <c r="J345" s="88"/>
      <c r="K345" s="81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</row>
    <row r="346" ht="15.75" customHeight="1">
      <c r="A346" s="65"/>
      <c r="B346" s="175"/>
      <c r="C346" s="76"/>
      <c r="D346" s="77"/>
      <c r="E346" s="77"/>
      <c r="F346" s="78"/>
      <c r="G346" s="77"/>
      <c r="H346" s="77"/>
      <c r="I346" s="79"/>
      <c r="J346" s="88"/>
      <c r="K346" s="81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</row>
    <row r="347" ht="15.75" customHeight="1">
      <c r="A347" s="65"/>
      <c r="B347" s="175"/>
      <c r="C347" s="76"/>
      <c r="D347" s="77"/>
      <c r="E347" s="77"/>
      <c r="F347" s="78"/>
      <c r="G347" s="77"/>
      <c r="H347" s="77"/>
      <c r="I347" s="79"/>
      <c r="J347" s="88"/>
      <c r="K347" s="81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</row>
    <row r="348" ht="15.75" customHeight="1">
      <c r="A348" s="65"/>
      <c r="B348" s="175"/>
      <c r="C348" s="76"/>
      <c r="D348" s="77"/>
      <c r="E348" s="77"/>
      <c r="F348" s="78"/>
      <c r="G348" s="77"/>
      <c r="H348" s="77"/>
      <c r="I348" s="79"/>
      <c r="J348" s="88"/>
      <c r="K348" s="81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</row>
    <row r="349" ht="15.75" customHeight="1">
      <c r="A349" s="65"/>
      <c r="B349" s="175"/>
      <c r="C349" s="76"/>
      <c r="D349" s="77"/>
      <c r="E349" s="77"/>
      <c r="F349" s="78"/>
      <c r="G349" s="77"/>
      <c r="H349" s="77"/>
      <c r="I349" s="79"/>
      <c r="J349" s="88"/>
      <c r="K349" s="81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</row>
    <row r="350" ht="15.75" customHeight="1">
      <c r="A350" s="65"/>
      <c r="B350" s="175"/>
      <c r="C350" s="76"/>
      <c r="D350" s="77"/>
      <c r="E350" s="77"/>
      <c r="F350" s="78"/>
      <c r="G350" s="77"/>
      <c r="H350" s="77"/>
      <c r="I350" s="79"/>
      <c r="J350" s="88"/>
      <c r="K350" s="81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</row>
    <row r="351" ht="15.75" customHeight="1">
      <c r="A351" s="65"/>
      <c r="B351" s="175"/>
      <c r="C351" s="76"/>
      <c r="D351" s="77"/>
      <c r="E351" s="77"/>
      <c r="F351" s="78"/>
      <c r="G351" s="77"/>
      <c r="H351" s="77"/>
      <c r="I351" s="79"/>
      <c r="J351" s="88"/>
      <c r="K351" s="81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</row>
    <row r="352" ht="15.75" customHeight="1">
      <c r="A352" s="65"/>
      <c r="B352" s="175"/>
      <c r="C352" s="76"/>
      <c r="D352" s="77"/>
      <c r="E352" s="77"/>
      <c r="F352" s="78"/>
      <c r="G352" s="77"/>
      <c r="H352" s="77"/>
      <c r="I352" s="79"/>
      <c r="J352" s="88"/>
      <c r="K352" s="81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</row>
    <row r="353" ht="15.75" customHeight="1">
      <c r="A353" s="65"/>
      <c r="B353" s="175"/>
      <c r="C353" s="76"/>
      <c r="D353" s="77"/>
      <c r="E353" s="77"/>
      <c r="F353" s="78"/>
      <c r="G353" s="77"/>
      <c r="H353" s="77"/>
      <c r="I353" s="79"/>
      <c r="J353" s="88"/>
      <c r="K353" s="81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</row>
    <row r="354" ht="15.75" customHeight="1">
      <c r="A354" s="65"/>
      <c r="B354" s="175"/>
      <c r="C354" s="76"/>
      <c r="D354" s="77"/>
      <c r="E354" s="77"/>
      <c r="F354" s="78"/>
      <c r="G354" s="77"/>
      <c r="H354" s="77"/>
      <c r="I354" s="79"/>
      <c r="J354" s="88"/>
      <c r="K354" s="81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</row>
    <row r="355" ht="15.75" customHeight="1">
      <c r="A355" s="65"/>
      <c r="B355" s="175"/>
      <c r="C355" s="76"/>
      <c r="D355" s="77"/>
      <c r="E355" s="77"/>
      <c r="F355" s="78"/>
      <c r="G355" s="77"/>
      <c r="H355" s="77"/>
      <c r="I355" s="79"/>
      <c r="J355" s="88"/>
      <c r="K355" s="81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</row>
    <row r="356" ht="15.75" customHeight="1">
      <c r="A356" s="65"/>
      <c r="B356" s="175"/>
      <c r="C356" s="76"/>
      <c r="D356" s="77"/>
      <c r="E356" s="77"/>
      <c r="F356" s="78"/>
      <c r="G356" s="77"/>
      <c r="H356" s="77"/>
      <c r="I356" s="79"/>
      <c r="J356" s="88"/>
      <c r="K356" s="81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</row>
    <row r="357" ht="15.75" customHeight="1">
      <c r="A357" s="65"/>
      <c r="B357" s="175"/>
      <c r="C357" s="76"/>
      <c r="D357" s="77"/>
      <c r="E357" s="77"/>
      <c r="F357" s="78"/>
      <c r="G357" s="77"/>
      <c r="H357" s="77"/>
      <c r="I357" s="79"/>
      <c r="J357" s="88"/>
      <c r="K357" s="81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</row>
    <row r="358" ht="15.75" customHeight="1">
      <c r="A358" s="65"/>
      <c r="B358" s="175"/>
      <c r="C358" s="76"/>
      <c r="D358" s="77"/>
      <c r="E358" s="77"/>
      <c r="F358" s="78"/>
      <c r="G358" s="77"/>
      <c r="H358" s="77"/>
      <c r="I358" s="79"/>
      <c r="J358" s="88"/>
      <c r="K358" s="81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</row>
    <row r="359" ht="15.75" customHeight="1">
      <c r="A359" s="65"/>
      <c r="B359" s="175"/>
      <c r="C359" s="76"/>
      <c r="D359" s="77"/>
      <c r="E359" s="77"/>
      <c r="F359" s="78"/>
      <c r="G359" s="77"/>
      <c r="H359" s="77"/>
      <c r="I359" s="79"/>
      <c r="J359" s="88"/>
      <c r="K359" s="81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</row>
    <row r="360" ht="15.75" customHeight="1">
      <c r="A360" s="65"/>
      <c r="B360" s="175"/>
      <c r="C360" s="76"/>
      <c r="D360" s="77"/>
      <c r="E360" s="77"/>
      <c r="F360" s="78"/>
      <c r="G360" s="77"/>
      <c r="H360" s="77"/>
      <c r="I360" s="79"/>
      <c r="J360" s="88"/>
      <c r="K360" s="81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</row>
    <row r="361" ht="15.75" customHeight="1">
      <c r="A361" s="65"/>
      <c r="B361" s="175"/>
      <c r="C361" s="76"/>
      <c r="D361" s="77"/>
      <c r="E361" s="77"/>
      <c r="F361" s="78"/>
      <c r="G361" s="77"/>
      <c r="H361" s="77"/>
      <c r="I361" s="79"/>
      <c r="J361" s="88"/>
      <c r="K361" s="81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</row>
    <row r="362" ht="15.75" customHeight="1">
      <c r="A362" s="65"/>
      <c r="B362" s="175"/>
      <c r="C362" s="76"/>
      <c r="D362" s="77"/>
      <c r="E362" s="77"/>
      <c r="F362" s="78"/>
      <c r="G362" s="77"/>
      <c r="H362" s="77"/>
      <c r="I362" s="79"/>
      <c r="J362" s="88"/>
      <c r="K362" s="81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</row>
    <row r="363" ht="15.75" customHeight="1">
      <c r="A363" s="65"/>
      <c r="B363" s="175"/>
      <c r="C363" s="76"/>
      <c r="D363" s="77"/>
      <c r="E363" s="77"/>
      <c r="F363" s="78"/>
      <c r="G363" s="77"/>
      <c r="H363" s="77"/>
      <c r="I363" s="79"/>
      <c r="J363" s="88"/>
      <c r="K363" s="81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</row>
    <row r="364" ht="15.75" customHeight="1">
      <c r="A364" s="65"/>
      <c r="B364" s="175"/>
      <c r="C364" s="76"/>
      <c r="D364" s="77"/>
      <c r="E364" s="77"/>
      <c r="F364" s="78"/>
      <c r="G364" s="77"/>
      <c r="H364" s="77"/>
      <c r="I364" s="79"/>
      <c r="J364" s="88"/>
      <c r="K364" s="81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</row>
    <row r="365" ht="15.75" customHeight="1">
      <c r="A365" s="65"/>
      <c r="B365" s="175"/>
      <c r="C365" s="76"/>
      <c r="D365" s="77"/>
      <c r="E365" s="77"/>
      <c r="F365" s="78"/>
      <c r="G365" s="77"/>
      <c r="H365" s="77"/>
      <c r="I365" s="79"/>
      <c r="J365" s="88"/>
      <c r="K365" s="81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</row>
    <row r="366" ht="15.75" customHeight="1">
      <c r="A366" s="65"/>
      <c r="B366" s="175"/>
      <c r="C366" s="76"/>
      <c r="D366" s="77"/>
      <c r="E366" s="77"/>
      <c r="F366" s="78"/>
      <c r="G366" s="77"/>
      <c r="H366" s="77"/>
      <c r="I366" s="79"/>
      <c r="J366" s="88"/>
      <c r="K366" s="81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</row>
    <row r="367" ht="15.75" customHeight="1">
      <c r="A367" s="65"/>
      <c r="B367" s="175"/>
      <c r="C367" s="76"/>
      <c r="D367" s="77"/>
      <c r="E367" s="77"/>
      <c r="F367" s="78"/>
      <c r="G367" s="77"/>
      <c r="H367" s="77"/>
      <c r="I367" s="79"/>
      <c r="J367" s="88"/>
      <c r="K367" s="81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</row>
    <row r="368" ht="15.75" customHeight="1">
      <c r="A368" s="65"/>
      <c r="B368" s="175"/>
      <c r="C368" s="76"/>
      <c r="D368" s="77"/>
      <c r="E368" s="77"/>
      <c r="F368" s="78"/>
      <c r="G368" s="77"/>
      <c r="H368" s="77"/>
      <c r="I368" s="79"/>
      <c r="J368" s="88"/>
      <c r="K368" s="81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</row>
    <row r="369" ht="15.75" customHeight="1">
      <c r="A369" s="65"/>
      <c r="B369" s="175"/>
      <c r="C369" s="76"/>
      <c r="D369" s="77"/>
      <c r="E369" s="77"/>
      <c r="F369" s="78"/>
      <c r="G369" s="77"/>
      <c r="H369" s="77"/>
      <c r="I369" s="79"/>
      <c r="J369" s="88"/>
      <c r="K369" s="81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</row>
    <row r="370" ht="15.75" customHeight="1">
      <c r="A370" s="65"/>
      <c r="B370" s="175"/>
      <c r="C370" s="76"/>
      <c r="D370" s="77"/>
      <c r="E370" s="77"/>
      <c r="F370" s="78"/>
      <c r="G370" s="77"/>
      <c r="H370" s="77"/>
      <c r="I370" s="79"/>
      <c r="J370" s="88"/>
      <c r="K370" s="81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</row>
    <row r="371" ht="15.75" customHeight="1">
      <c r="A371" s="65"/>
      <c r="B371" s="175"/>
      <c r="C371" s="76"/>
      <c r="D371" s="77"/>
      <c r="E371" s="77"/>
      <c r="F371" s="78"/>
      <c r="G371" s="77"/>
      <c r="H371" s="77"/>
      <c r="I371" s="79"/>
      <c r="J371" s="88"/>
      <c r="K371" s="81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</row>
    <row r="372" ht="15.75" customHeight="1">
      <c r="A372" s="65"/>
      <c r="B372" s="175"/>
      <c r="C372" s="76"/>
      <c r="D372" s="77"/>
      <c r="E372" s="77"/>
      <c r="F372" s="78"/>
      <c r="G372" s="77"/>
      <c r="H372" s="77"/>
      <c r="I372" s="79"/>
      <c r="J372" s="88"/>
      <c r="K372" s="81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</row>
    <row r="373" ht="15.75" customHeight="1">
      <c r="A373" s="65"/>
      <c r="B373" s="175"/>
      <c r="C373" s="76"/>
      <c r="D373" s="77"/>
      <c r="E373" s="77"/>
      <c r="F373" s="78"/>
      <c r="G373" s="77"/>
      <c r="H373" s="77"/>
      <c r="I373" s="79"/>
      <c r="J373" s="88"/>
      <c r="K373" s="81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</row>
    <row r="374" ht="15.75" customHeight="1">
      <c r="A374" s="65"/>
      <c r="B374" s="175"/>
      <c r="C374" s="76"/>
      <c r="D374" s="77"/>
      <c r="E374" s="77"/>
      <c r="F374" s="78"/>
      <c r="G374" s="77"/>
      <c r="H374" s="77"/>
      <c r="I374" s="79"/>
      <c r="J374" s="88"/>
      <c r="K374" s="81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</row>
    <row r="375" ht="15.75" customHeight="1">
      <c r="A375" s="65"/>
      <c r="B375" s="175"/>
      <c r="C375" s="76"/>
      <c r="D375" s="77"/>
      <c r="E375" s="77"/>
      <c r="F375" s="78"/>
      <c r="G375" s="77"/>
      <c r="H375" s="77"/>
      <c r="I375" s="79"/>
      <c r="J375" s="88"/>
      <c r="K375" s="81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</row>
    <row r="376" ht="15.75" customHeight="1">
      <c r="A376" s="65"/>
      <c r="B376" s="175"/>
      <c r="C376" s="76"/>
      <c r="D376" s="77"/>
      <c r="E376" s="77"/>
      <c r="F376" s="78"/>
      <c r="G376" s="77"/>
      <c r="H376" s="77"/>
      <c r="I376" s="79"/>
      <c r="J376" s="88"/>
      <c r="K376" s="81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</row>
    <row r="377" ht="15.75" customHeight="1">
      <c r="A377" s="65"/>
      <c r="B377" s="175"/>
      <c r="C377" s="76"/>
      <c r="D377" s="77"/>
      <c r="E377" s="77"/>
      <c r="F377" s="78"/>
      <c r="G377" s="77"/>
      <c r="H377" s="77"/>
      <c r="I377" s="79"/>
      <c r="J377" s="88"/>
      <c r="K377" s="81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</row>
    <row r="378" ht="15.75" customHeight="1">
      <c r="A378" s="65"/>
      <c r="B378" s="175"/>
      <c r="C378" s="76"/>
      <c r="D378" s="77"/>
      <c r="E378" s="77"/>
      <c r="F378" s="78"/>
      <c r="G378" s="77"/>
      <c r="H378" s="77"/>
      <c r="I378" s="79"/>
      <c r="J378" s="88"/>
      <c r="K378" s="81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</row>
    <row r="379" ht="15.75" customHeight="1">
      <c r="A379" s="65"/>
      <c r="B379" s="175"/>
      <c r="C379" s="76"/>
      <c r="D379" s="77"/>
      <c r="E379" s="77"/>
      <c r="F379" s="78"/>
      <c r="G379" s="77"/>
      <c r="H379" s="77"/>
      <c r="I379" s="79"/>
      <c r="J379" s="88"/>
      <c r="K379" s="81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</row>
    <row r="380" ht="15.75" customHeight="1">
      <c r="A380" s="65"/>
      <c r="B380" s="175"/>
      <c r="C380" s="76"/>
      <c r="D380" s="77"/>
      <c r="E380" s="77"/>
      <c r="F380" s="78"/>
      <c r="G380" s="77"/>
      <c r="H380" s="77"/>
      <c r="I380" s="79"/>
      <c r="J380" s="88"/>
      <c r="K380" s="81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</row>
    <row r="381" ht="15.75" customHeight="1">
      <c r="A381" s="65"/>
      <c r="B381" s="175"/>
      <c r="C381" s="76"/>
      <c r="D381" s="77"/>
      <c r="E381" s="77"/>
      <c r="F381" s="78"/>
      <c r="G381" s="77"/>
      <c r="H381" s="77"/>
      <c r="I381" s="79"/>
      <c r="J381" s="88"/>
      <c r="K381" s="81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</row>
    <row r="382" ht="15.75" customHeight="1">
      <c r="A382" s="65"/>
      <c r="B382" s="175"/>
      <c r="C382" s="76"/>
      <c r="D382" s="77"/>
      <c r="E382" s="77"/>
      <c r="F382" s="78"/>
      <c r="G382" s="77"/>
      <c r="H382" s="77"/>
      <c r="I382" s="79"/>
      <c r="J382" s="88"/>
      <c r="K382" s="81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</row>
    <row r="383" ht="15.75" customHeight="1">
      <c r="A383" s="65"/>
      <c r="B383" s="175"/>
      <c r="C383" s="76"/>
      <c r="D383" s="77"/>
      <c r="E383" s="77"/>
      <c r="F383" s="78"/>
      <c r="G383" s="77"/>
      <c r="H383" s="77"/>
      <c r="I383" s="79"/>
      <c r="J383" s="88"/>
      <c r="K383" s="81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</row>
    <row r="384" ht="15.75" customHeight="1">
      <c r="A384" s="65"/>
      <c r="B384" s="175"/>
      <c r="C384" s="76"/>
      <c r="D384" s="77"/>
      <c r="E384" s="77"/>
      <c r="F384" s="78"/>
      <c r="G384" s="77"/>
      <c r="H384" s="77"/>
      <c r="I384" s="79"/>
      <c r="J384" s="88"/>
      <c r="K384" s="81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</row>
    <row r="385" ht="15.75" customHeight="1">
      <c r="A385" s="65"/>
      <c r="B385" s="175"/>
      <c r="C385" s="76"/>
      <c r="D385" s="77"/>
      <c r="E385" s="77"/>
      <c r="F385" s="78"/>
      <c r="G385" s="77"/>
      <c r="H385" s="77"/>
      <c r="I385" s="79"/>
      <c r="J385" s="88"/>
      <c r="K385" s="81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</row>
    <row r="386" ht="15.75" customHeight="1">
      <c r="A386" s="65"/>
      <c r="B386" s="175"/>
      <c r="C386" s="76"/>
      <c r="D386" s="77"/>
      <c r="E386" s="77"/>
      <c r="F386" s="78"/>
      <c r="G386" s="77"/>
      <c r="H386" s="77"/>
      <c r="I386" s="79"/>
      <c r="J386" s="88"/>
      <c r="K386" s="81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</row>
    <row r="387" ht="15.75" customHeight="1">
      <c r="A387" s="65"/>
      <c r="B387" s="175"/>
      <c r="C387" s="76"/>
      <c r="D387" s="77"/>
      <c r="E387" s="77"/>
      <c r="F387" s="78"/>
      <c r="G387" s="77"/>
      <c r="H387" s="77"/>
      <c r="I387" s="79"/>
      <c r="J387" s="88"/>
      <c r="K387" s="81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</row>
    <row r="388" ht="15.75" customHeight="1">
      <c r="A388" s="65"/>
      <c r="B388" s="175"/>
      <c r="C388" s="76"/>
      <c r="D388" s="77"/>
      <c r="E388" s="77"/>
      <c r="F388" s="78"/>
      <c r="G388" s="77"/>
      <c r="H388" s="77"/>
      <c r="I388" s="79"/>
      <c r="J388" s="88"/>
      <c r="K388" s="81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</row>
    <row r="389" ht="15.75" customHeight="1">
      <c r="A389" s="65"/>
      <c r="B389" s="175"/>
      <c r="C389" s="76"/>
      <c r="D389" s="77"/>
      <c r="E389" s="77"/>
      <c r="F389" s="78"/>
      <c r="G389" s="77"/>
      <c r="H389" s="77"/>
      <c r="I389" s="79"/>
      <c r="J389" s="88"/>
      <c r="K389" s="81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</row>
    <row r="390" ht="15.75" customHeight="1">
      <c r="A390" s="65"/>
      <c r="B390" s="175"/>
      <c r="C390" s="76"/>
      <c r="D390" s="77"/>
      <c r="E390" s="77"/>
      <c r="F390" s="78"/>
      <c r="G390" s="77"/>
      <c r="H390" s="77"/>
      <c r="I390" s="79"/>
      <c r="J390" s="88"/>
      <c r="K390" s="81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</row>
    <row r="391" ht="15.75" customHeight="1">
      <c r="A391" s="65"/>
      <c r="B391" s="175"/>
      <c r="C391" s="76"/>
      <c r="D391" s="77"/>
      <c r="E391" s="77"/>
      <c r="F391" s="78"/>
      <c r="G391" s="77"/>
      <c r="H391" s="77"/>
      <c r="I391" s="79"/>
      <c r="J391" s="88"/>
      <c r="K391" s="81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</row>
    <row r="392" ht="15.75" customHeight="1">
      <c r="A392" s="65"/>
      <c r="B392" s="175"/>
      <c r="C392" s="76"/>
      <c r="D392" s="77"/>
      <c r="E392" s="77"/>
      <c r="F392" s="78"/>
      <c r="G392" s="77"/>
      <c r="H392" s="77"/>
      <c r="I392" s="79"/>
      <c r="J392" s="88"/>
      <c r="K392" s="81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</row>
    <row r="393" ht="15.75" customHeight="1">
      <c r="A393" s="65"/>
      <c r="B393" s="175"/>
      <c r="C393" s="76"/>
      <c r="D393" s="77"/>
      <c r="E393" s="77"/>
      <c r="F393" s="78"/>
      <c r="G393" s="77"/>
      <c r="H393" s="77"/>
      <c r="I393" s="79"/>
      <c r="J393" s="88"/>
      <c r="K393" s="81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</row>
    <row r="394" ht="15.75" customHeight="1">
      <c r="A394" s="65"/>
      <c r="B394" s="175"/>
      <c r="C394" s="76"/>
      <c r="D394" s="77"/>
      <c r="E394" s="77"/>
      <c r="F394" s="78"/>
      <c r="G394" s="77"/>
      <c r="H394" s="77"/>
      <c r="I394" s="79"/>
      <c r="J394" s="88"/>
      <c r="K394" s="81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</row>
    <row r="395" ht="15.75" customHeight="1">
      <c r="A395" s="65"/>
      <c r="B395" s="175"/>
      <c r="C395" s="76"/>
      <c r="D395" s="77"/>
      <c r="E395" s="77"/>
      <c r="F395" s="78"/>
      <c r="G395" s="77"/>
      <c r="H395" s="77"/>
      <c r="I395" s="79"/>
      <c r="J395" s="88"/>
      <c r="K395" s="81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</row>
    <row r="396" ht="15.75" customHeight="1">
      <c r="A396" s="65"/>
      <c r="B396" s="175"/>
      <c r="C396" s="76"/>
      <c r="D396" s="77"/>
      <c r="E396" s="77"/>
      <c r="F396" s="78"/>
      <c r="G396" s="77"/>
      <c r="H396" s="77"/>
      <c r="I396" s="79"/>
      <c r="J396" s="88"/>
      <c r="K396" s="81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</row>
    <row r="397" ht="15.75" customHeight="1">
      <c r="A397" s="65"/>
      <c r="B397" s="175"/>
      <c r="C397" s="76"/>
      <c r="D397" s="77"/>
      <c r="E397" s="77"/>
      <c r="F397" s="78"/>
      <c r="G397" s="77"/>
      <c r="H397" s="77"/>
      <c r="I397" s="79"/>
      <c r="J397" s="88"/>
      <c r="K397" s="81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</row>
    <row r="398" ht="15.75" customHeight="1">
      <c r="A398" s="65"/>
      <c r="B398" s="175"/>
      <c r="C398" s="76"/>
      <c r="D398" s="77"/>
      <c r="E398" s="77"/>
      <c r="F398" s="78"/>
      <c r="G398" s="77"/>
      <c r="H398" s="77"/>
      <c r="I398" s="79"/>
      <c r="J398" s="88"/>
      <c r="K398" s="81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</row>
    <row r="399" ht="15.75" customHeight="1">
      <c r="A399" s="65"/>
      <c r="B399" s="175"/>
      <c r="C399" s="76"/>
      <c r="D399" s="77"/>
      <c r="E399" s="77"/>
      <c r="F399" s="78"/>
      <c r="G399" s="77"/>
      <c r="H399" s="77"/>
      <c r="I399" s="79"/>
      <c r="J399" s="88"/>
      <c r="K399" s="81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</row>
    <row r="400" ht="15.75" customHeight="1">
      <c r="A400" s="65"/>
      <c r="B400" s="175"/>
      <c r="C400" s="76"/>
      <c r="D400" s="77"/>
      <c r="E400" s="77"/>
      <c r="F400" s="78"/>
      <c r="G400" s="77"/>
      <c r="H400" s="77"/>
      <c r="I400" s="79"/>
      <c r="J400" s="88"/>
      <c r="K400" s="81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</row>
    <row r="401" ht="15.75" customHeight="1">
      <c r="A401" s="65"/>
      <c r="B401" s="175"/>
      <c r="C401" s="76"/>
      <c r="D401" s="77"/>
      <c r="E401" s="77"/>
      <c r="F401" s="78"/>
      <c r="G401" s="77"/>
      <c r="H401" s="77"/>
      <c r="I401" s="79"/>
      <c r="J401" s="88"/>
      <c r="K401" s="81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</row>
    <row r="402" ht="15.75" customHeight="1">
      <c r="A402" s="65"/>
      <c r="B402" s="175"/>
      <c r="C402" s="76"/>
      <c r="D402" s="77"/>
      <c r="E402" s="77"/>
      <c r="F402" s="78"/>
      <c r="G402" s="77"/>
      <c r="H402" s="77"/>
      <c r="I402" s="79"/>
      <c r="J402" s="88"/>
      <c r="K402" s="81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</row>
    <row r="403" ht="15.75" customHeight="1">
      <c r="A403" s="65"/>
      <c r="B403" s="175"/>
      <c r="C403" s="76"/>
      <c r="D403" s="77"/>
      <c r="E403" s="77"/>
      <c r="F403" s="78"/>
      <c r="G403" s="77"/>
      <c r="H403" s="77"/>
      <c r="I403" s="79"/>
      <c r="J403" s="88"/>
      <c r="K403" s="81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</row>
    <row r="404" ht="15.75" customHeight="1">
      <c r="A404" s="65"/>
      <c r="B404" s="175"/>
      <c r="C404" s="76"/>
      <c r="D404" s="77"/>
      <c r="E404" s="77"/>
      <c r="F404" s="78"/>
      <c r="G404" s="77"/>
      <c r="H404" s="77"/>
      <c r="I404" s="79"/>
      <c r="J404" s="88"/>
      <c r="K404" s="81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</row>
    <row r="405" ht="15.75" customHeight="1">
      <c r="A405" s="65"/>
      <c r="B405" s="175"/>
      <c r="C405" s="76"/>
      <c r="D405" s="77"/>
      <c r="E405" s="77"/>
      <c r="F405" s="78"/>
      <c r="G405" s="77"/>
      <c r="H405" s="77"/>
      <c r="I405" s="79"/>
      <c r="J405" s="88"/>
      <c r="K405" s="81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</row>
    <row r="406" ht="15.75" customHeight="1">
      <c r="A406" s="65"/>
      <c r="B406" s="175"/>
      <c r="C406" s="76"/>
      <c r="D406" s="77"/>
      <c r="E406" s="77"/>
      <c r="F406" s="78"/>
      <c r="G406" s="77"/>
      <c r="H406" s="77"/>
      <c r="I406" s="79"/>
      <c r="J406" s="88"/>
      <c r="K406" s="81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</row>
    <row r="407" ht="15.75" customHeight="1">
      <c r="A407" s="65"/>
      <c r="B407" s="175"/>
      <c r="C407" s="76"/>
      <c r="D407" s="77"/>
      <c r="E407" s="77"/>
      <c r="F407" s="78"/>
      <c r="G407" s="77"/>
      <c r="H407" s="77"/>
      <c r="I407" s="79"/>
      <c r="J407" s="88"/>
      <c r="K407" s="81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</row>
    <row r="408" ht="15.75" customHeight="1">
      <c r="A408" s="65"/>
      <c r="B408" s="175"/>
      <c r="C408" s="76"/>
      <c r="D408" s="77"/>
      <c r="E408" s="77"/>
      <c r="F408" s="78"/>
      <c r="G408" s="77"/>
      <c r="H408" s="77"/>
      <c r="I408" s="79"/>
      <c r="J408" s="88"/>
      <c r="K408" s="81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</row>
    <row r="409" ht="15.75" customHeight="1">
      <c r="A409" s="65"/>
      <c r="B409" s="175"/>
      <c r="C409" s="76"/>
      <c r="D409" s="77"/>
      <c r="E409" s="77"/>
      <c r="F409" s="78"/>
      <c r="G409" s="77"/>
      <c r="H409" s="77"/>
      <c r="I409" s="79"/>
      <c r="J409" s="88"/>
      <c r="K409" s="81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</row>
    <row r="410" ht="15.75" customHeight="1">
      <c r="A410" s="65"/>
      <c r="B410" s="175"/>
      <c r="C410" s="76"/>
      <c r="D410" s="77"/>
      <c r="E410" s="77"/>
      <c r="F410" s="78"/>
      <c r="G410" s="77"/>
      <c r="H410" s="77"/>
      <c r="I410" s="79"/>
      <c r="J410" s="88"/>
      <c r="K410" s="81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</row>
    <row r="411" ht="15.75" customHeight="1">
      <c r="A411" s="65"/>
      <c r="B411" s="175"/>
      <c r="C411" s="76"/>
      <c r="D411" s="77"/>
      <c r="E411" s="77"/>
      <c r="F411" s="78"/>
      <c r="G411" s="77"/>
      <c r="H411" s="77"/>
      <c r="I411" s="79"/>
      <c r="J411" s="88"/>
      <c r="K411" s="81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</row>
    <row r="412" ht="15.75" customHeight="1">
      <c r="A412" s="65"/>
      <c r="B412" s="175"/>
      <c r="C412" s="76"/>
      <c r="D412" s="77"/>
      <c r="E412" s="77"/>
      <c r="F412" s="78"/>
      <c r="G412" s="77"/>
      <c r="H412" s="77"/>
      <c r="I412" s="79"/>
      <c r="J412" s="88"/>
      <c r="K412" s="81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</row>
    <row r="413" ht="15.75" customHeight="1">
      <c r="A413" s="65"/>
      <c r="B413" s="175"/>
      <c r="C413" s="76"/>
      <c r="D413" s="77"/>
      <c r="E413" s="77"/>
      <c r="F413" s="78"/>
      <c r="G413" s="77"/>
      <c r="H413" s="77"/>
      <c r="I413" s="79"/>
      <c r="J413" s="88"/>
      <c r="K413" s="81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</row>
    <row r="414" ht="15.75" customHeight="1">
      <c r="A414" s="65"/>
      <c r="B414" s="175"/>
      <c r="C414" s="76"/>
      <c r="D414" s="77"/>
      <c r="E414" s="77"/>
      <c r="F414" s="78"/>
      <c r="G414" s="77"/>
      <c r="H414" s="77"/>
      <c r="I414" s="79"/>
      <c r="J414" s="88"/>
      <c r="K414" s="81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</row>
    <row r="415" ht="15.75" customHeight="1">
      <c r="A415" s="65"/>
      <c r="B415" s="175"/>
      <c r="C415" s="76"/>
      <c r="D415" s="77"/>
      <c r="E415" s="77"/>
      <c r="F415" s="78"/>
      <c r="G415" s="77"/>
      <c r="H415" s="77"/>
      <c r="I415" s="79"/>
      <c r="J415" s="88"/>
      <c r="K415" s="81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</row>
    <row r="416" ht="15.75" customHeight="1">
      <c r="A416" s="65"/>
      <c r="B416" s="175"/>
      <c r="C416" s="76"/>
      <c r="D416" s="77"/>
      <c r="E416" s="77"/>
      <c r="F416" s="78"/>
      <c r="G416" s="77"/>
      <c r="H416" s="77"/>
      <c r="I416" s="79"/>
      <c r="J416" s="88"/>
      <c r="K416" s="81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</row>
    <row r="417" ht="15.75" customHeight="1">
      <c r="A417" s="65"/>
      <c r="B417" s="175"/>
      <c r="C417" s="76"/>
      <c r="D417" s="77"/>
      <c r="E417" s="77"/>
      <c r="F417" s="78"/>
      <c r="G417" s="77"/>
      <c r="H417" s="77"/>
      <c r="I417" s="79"/>
      <c r="J417" s="88"/>
      <c r="K417" s="81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</row>
    <row r="418" ht="15.75" customHeight="1">
      <c r="A418" s="65"/>
      <c r="B418" s="175"/>
      <c r="C418" s="76"/>
      <c r="D418" s="77"/>
      <c r="E418" s="77"/>
      <c r="F418" s="78"/>
      <c r="G418" s="77"/>
      <c r="H418" s="77"/>
      <c r="I418" s="79"/>
      <c r="J418" s="88"/>
      <c r="K418" s="81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</row>
    <row r="419" ht="15.75" customHeight="1">
      <c r="A419" s="65"/>
      <c r="B419" s="175"/>
      <c r="C419" s="76"/>
      <c r="D419" s="77"/>
      <c r="E419" s="77"/>
      <c r="F419" s="78"/>
      <c r="G419" s="77"/>
      <c r="H419" s="77"/>
      <c r="I419" s="79"/>
      <c r="J419" s="88"/>
      <c r="K419" s="81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</row>
    <row r="420" ht="15.75" customHeight="1">
      <c r="A420" s="65"/>
      <c r="B420" s="175"/>
      <c r="C420" s="76"/>
      <c r="D420" s="77"/>
      <c r="E420" s="77"/>
      <c r="F420" s="78"/>
      <c r="G420" s="77"/>
      <c r="H420" s="77"/>
      <c r="I420" s="79"/>
      <c r="J420" s="88"/>
      <c r="K420" s="81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</row>
    <row r="421" ht="15.75" customHeight="1">
      <c r="A421" s="65"/>
      <c r="B421" s="175"/>
      <c r="C421" s="76"/>
      <c r="D421" s="77"/>
      <c r="E421" s="77"/>
      <c r="F421" s="78"/>
      <c r="G421" s="77"/>
      <c r="H421" s="77"/>
      <c r="I421" s="79"/>
      <c r="J421" s="88"/>
      <c r="K421" s="81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</row>
    <row r="422" ht="15.75" customHeight="1">
      <c r="A422" s="65"/>
      <c r="B422" s="175"/>
      <c r="C422" s="76"/>
      <c r="D422" s="77"/>
      <c r="E422" s="77"/>
      <c r="F422" s="78"/>
      <c r="G422" s="77"/>
      <c r="H422" s="77"/>
      <c r="I422" s="79"/>
      <c r="J422" s="88"/>
      <c r="K422" s="81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</row>
    <row r="423" ht="15.75" customHeight="1">
      <c r="A423" s="65"/>
      <c r="B423" s="175"/>
      <c r="C423" s="76"/>
      <c r="D423" s="77"/>
      <c r="E423" s="77"/>
      <c r="F423" s="78"/>
      <c r="G423" s="77"/>
      <c r="H423" s="77"/>
      <c r="I423" s="79"/>
      <c r="J423" s="88"/>
      <c r="K423" s="81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</row>
    <row r="424" ht="15.75" customHeight="1">
      <c r="A424" s="65"/>
      <c r="B424" s="175"/>
      <c r="C424" s="76"/>
      <c r="D424" s="77"/>
      <c r="E424" s="77"/>
      <c r="F424" s="78"/>
      <c r="G424" s="77"/>
      <c r="H424" s="77"/>
      <c r="I424" s="79"/>
      <c r="J424" s="88"/>
      <c r="K424" s="81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</row>
    <row r="425" ht="15.75" customHeight="1">
      <c r="A425" s="65"/>
      <c r="B425" s="175"/>
      <c r="C425" s="76"/>
      <c r="D425" s="77"/>
      <c r="E425" s="77"/>
      <c r="F425" s="78"/>
      <c r="G425" s="77"/>
      <c r="H425" s="77"/>
      <c r="I425" s="79"/>
      <c r="J425" s="88"/>
      <c r="K425" s="81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</row>
    <row r="426" ht="15.75" customHeight="1">
      <c r="A426" s="65"/>
      <c r="B426" s="175"/>
      <c r="C426" s="76"/>
      <c r="D426" s="77"/>
      <c r="E426" s="77"/>
      <c r="F426" s="78"/>
      <c r="G426" s="77"/>
      <c r="H426" s="77"/>
      <c r="I426" s="79"/>
      <c r="J426" s="88"/>
      <c r="K426" s="81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</row>
    <row r="427" ht="15.75" customHeight="1">
      <c r="A427" s="65"/>
      <c r="B427" s="175"/>
      <c r="C427" s="76"/>
      <c r="D427" s="77"/>
      <c r="E427" s="77"/>
      <c r="F427" s="78"/>
      <c r="G427" s="77"/>
      <c r="H427" s="77"/>
      <c r="I427" s="79"/>
      <c r="J427" s="88"/>
      <c r="K427" s="81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</row>
    <row r="428" ht="15.75" customHeight="1">
      <c r="A428" s="65"/>
      <c r="B428" s="175"/>
      <c r="C428" s="76"/>
      <c r="D428" s="77"/>
      <c r="E428" s="77"/>
      <c r="F428" s="78"/>
      <c r="G428" s="77"/>
      <c r="H428" s="77"/>
      <c r="I428" s="79"/>
      <c r="J428" s="88"/>
      <c r="K428" s="81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</row>
    <row r="429" ht="15.75" customHeight="1">
      <c r="A429" s="65"/>
      <c r="B429" s="175"/>
      <c r="C429" s="76"/>
      <c r="D429" s="77"/>
      <c r="E429" s="77"/>
      <c r="F429" s="78"/>
      <c r="G429" s="77"/>
      <c r="H429" s="77"/>
      <c r="I429" s="79"/>
      <c r="J429" s="88"/>
      <c r="K429" s="81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</row>
    <row r="430" ht="15.75" customHeight="1">
      <c r="A430" s="65"/>
      <c r="B430" s="175"/>
      <c r="C430" s="76"/>
      <c r="D430" s="77"/>
      <c r="E430" s="77"/>
      <c r="F430" s="78"/>
      <c r="G430" s="77"/>
      <c r="H430" s="77"/>
      <c r="I430" s="79"/>
      <c r="J430" s="88"/>
      <c r="K430" s="81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</row>
    <row r="431" ht="15.75" customHeight="1">
      <c r="A431" s="65"/>
      <c r="B431" s="175"/>
      <c r="C431" s="76"/>
      <c r="D431" s="77"/>
      <c r="E431" s="77"/>
      <c r="F431" s="78"/>
      <c r="G431" s="77"/>
      <c r="H431" s="77"/>
      <c r="I431" s="79"/>
      <c r="J431" s="88"/>
      <c r="K431" s="81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</row>
    <row r="432" ht="15.75" customHeight="1">
      <c r="A432" s="65"/>
      <c r="B432" s="175"/>
      <c r="C432" s="76"/>
      <c r="D432" s="77"/>
      <c r="E432" s="77"/>
      <c r="F432" s="78"/>
      <c r="G432" s="77"/>
      <c r="H432" s="77"/>
      <c r="I432" s="79"/>
      <c r="J432" s="88"/>
      <c r="K432" s="81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</row>
    <row r="433" ht="15.75" customHeight="1">
      <c r="A433" s="65"/>
      <c r="B433" s="175"/>
      <c r="C433" s="76"/>
      <c r="D433" s="77"/>
      <c r="E433" s="77"/>
      <c r="F433" s="78"/>
      <c r="G433" s="77"/>
      <c r="H433" s="77"/>
      <c r="I433" s="79"/>
      <c r="J433" s="88"/>
      <c r="K433" s="81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</row>
    <row r="434" ht="15.75" customHeight="1">
      <c r="A434" s="65"/>
      <c r="B434" s="175"/>
      <c r="C434" s="76"/>
      <c r="D434" s="77"/>
      <c r="E434" s="77"/>
      <c r="F434" s="78"/>
      <c r="G434" s="77"/>
      <c r="H434" s="77"/>
      <c r="I434" s="79"/>
      <c r="J434" s="88"/>
      <c r="K434" s="81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</row>
    <row r="435" ht="15.75" customHeight="1">
      <c r="A435" s="65"/>
      <c r="B435" s="175"/>
      <c r="C435" s="76"/>
      <c r="D435" s="77"/>
      <c r="E435" s="77"/>
      <c r="F435" s="78"/>
      <c r="G435" s="77"/>
      <c r="H435" s="77"/>
      <c r="I435" s="79"/>
      <c r="J435" s="88"/>
      <c r="K435" s="81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</row>
    <row r="436" ht="15.75" customHeight="1">
      <c r="A436" s="65"/>
      <c r="B436" s="175"/>
      <c r="C436" s="76"/>
      <c r="D436" s="77"/>
      <c r="E436" s="77"/>
      <c r="F436" s="78"/>
      <c r="G436" s="77"/>
      <c r="H436" s="77"/>
      <c r="I436" s="79"/>
      <c r="J436" s="88"/>
      <c r="K436" s="81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</row>
    <row r="437" ht="15.75" customHeight="1">
      <c r="A437" s="65"/>
      <c r="B437" s="175"/>
      <c r="C437" s="76"/>
      <c r="D437" s="77"/>
      <c r="E437" s="77"/>
      <c r="F437" s="78"/>
      <c r="G437" s="77"/>
      <c r="H437" s="77"/>
      <c r="I437" s="79"/>
      <c r="J437" s="88"/>
      <c r="K437" s="81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</row>
    <row r="438" ht="15.75" customHeight="1">
      <c r="A438" s="65"/>
      <c r="B438" s="175"/>
      <c r="C438" s="76"/>
      <c r="D438" s="77"/>
      <c r="E438" s="77"/>
      <c r="F438" s="78"/>
      <c r="G438" s="77"/>
      <c r="H438" s="77"/>
      <c r="I438" s="79"/>
      <c r="J438" s="88"/>
      <c r="K438" s="81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</row>
    <row r="439" ht="15.75" customHeight="1">
      <c r="A439" s="65"/>
      <c r="B439" s="175"/>
      <c r="C439" s="76"/>
      <c r="D439" s="77"/>
      <c r="E439" s="77"/>
      <c r="F439" s="78"/>
      <c r="G439" s="77"/>
      <c r="H439" s="77"/>
      <c r="I439" s="79"/>
      <c r="J439" s="88"/>
      <c r="K439" s="81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</row>
    <row r="440" ht="15.75" customHeight="1">
      <c r="A440" s="65"/>
      <c r="B440" s="175"/>
      <c r="C440" s="76"/>
      <c r="D440" s="77"/>
      <c r="E440" s="77"/>
      <c r="F440" s="78"/>
      <c r="G440" s="77"/>
      <c r="H440" s="77"/>
      <c r="I440" s="79"/>
      <c r="J440" s="88"/>
      <c r="K440" s="81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</row>
    <row r="441" ht="15.75" customHeight="1">
      <c r="A441" s="65"/>
      <c r="B441" s="175"/>
      <c r="C441" s="76"/>
      <c r="D441" s="77"/>
      <c r="E441" s="77"/>
      <c r="F441" s="78"/>
      <c r="G441" s="77"/>
      <c r="H441" s="77"/>
      <c r="I441" s="79"/>
      <c r="J441" s="88"/>
      <c r="K441" s="81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</row>
    <row r="442" ht="15.75" customHeight="1">
      <c r="A442" s="65"/>
      <c r="B442" s="175"/>
      <c r="C442" s="76"/>
      <c r="D442" s="77"/>
      <c r="E442" s="77"/>
      <c r="F442" s="78"/>
      <c r="G442" s="77"/>
      <c r="H442" s="77"/>
      <c r="I442" s="79"/>
      <c r="J442" s="88"/>
      <c r="K442" s="81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</row>
    <row r="443" ht="15.75" customHeight="1">
      <c r="A443" s="65"/>
      <c r="B443" s="175"/>
      <c r="C443" s="76"/>
      <c r="D443" s="77"/>
      <c r="E443" s="77"/>
      <c r="F443" s="78"/>
      <c r="G443" s="77"/>
      <c r="H443" s="77"/>
      <c r="I443" s="79"/>
      <c r="J443" s="88"/>
      <c r="K443" s="81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</row>
    <row r="444" ht="15.75" customHeight="1">
      <c r="A444" s="65"/>
      <c r="B444" s="175"/>
      <c r="C444" s="76"/>
      <c r="D444" s="77"/>
      <c r="E444" s="77"/>
      <c r="F444" s="78"/>
      <c r="G444" s="77"/>
      <c r="H444" s="77"/>
      <c r="I444" s="79"/>
      <c r="J444" s="88"/>
      <c r="K444" s="81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</row>
    <row r="445" ht="15.75" customHeight="1">
      <c r="A445" s="65"/>
      <c r="B445" s="175"/>
      <c r="C445" s="76"/>
      <c r="D445" s="77"/>
      <c r="E445" s="77"/>
      <c r="F445" s="78"/>
      <c r="G445" s="77"/>
      <c r="H445" s="77"/>
      <c r="I445" s="79"/>
      <c r="J445" s="88"/>
      <c r="K445" s="81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</row>
    <row r="446" ht="15.75" customHeight="1">
      <c r="A446" s="65"/>
      <c r="B446" s="175"/>
      <c r="C446" s="76"/>
      <c r="D446" s="77"/>
      <c r="E446" s="77"/>
      <c r="F446" s="78"/>
      <c r="G446" s="77"/>
      <c r="H446" s="77"/>
      <c r="I446" s="79"/>
      <c r="J446" s="88"/>
      <c r="K446" s="81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</row>
    <row r="447" ht="15.75" customHeight="1">
      <c r="A447" s="65"/>
      <c r="B447" s="175"/>
      <c r="C447" s="76"/>
      <c r="D447" s="77"/>
      <c r="E447" s="77"/>
      <c r="F447" s="78"/>
      <c r="G447" s="77"/>
      <c r="H447" s="77"/>
      <c r="I447" s="79"/>
      <c r="J447" s="88"/>
      <c r="K447" s="81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</row>
    <row r="448" ht="15.75" customHeight="1">
      <c r="A448" s="65"/>
      <c r="B448" s="175"/>
      <c r="C448" s="76"/>
      <c r="D448" s="77"/>
      <c r="E448" s="77"/>
      <c r="F448" s="78"/>
      <c r="G448" s="77"/>
      <c r="H448" s="77"/>
      <c r="I448" s="79"/>
      <c r="J448" s="88"/>
      <c r="K448" s="81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</row>
    <row r="449" ht="15.75" customHeight="1">
      <c r="A449" s="65"/>
      <c r="B449" s="175"/>
      <c r="C449" s="76"/>
      <c r="D449" s="77"/>
      <c r="E449" s="77"/>
      <c r="F449" s="78"/>
      <c r="G449" s="77"/>
      <c r="H449" s="77"/>
      <c r="I449" s="79"/>
      <c r="J449" s="88"/>
      <c r="K449" s="81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</row>
    <row r="450" ht="15.75" customHeight="1">
      <c r="A450" s="65"/>
      <c r="B450" s="175"/>
      <c r="C450" s="76"/>
      <c r="D450" s="77"/>
      <c r="E450" s="77"/>
      <c r="F450" s="78"/>
      <c r="G450" s="77"/>
      <c r="H450" s="77"/>
      <c r="I450" s="79"/>
      <c r="J450" s="88"/>
      <c r="K450" s="81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</row>
    <row r="451" ht="15.75" customHeight="1">
      <c r="A451" s="65"/>
      <c r="B451" s="175"/>
      <c r="C451" s="76"/>
      <c r="D451" s="77"/>
      <c r="E451" s="77"/>
      <c r="F451" s="78"/>
      <c r="G451" s="77"/>
      <c r="H451" s="77"/>
      <c r="I451" s="79"/>
      <c r="J451" s="88"/>
      <c r="K451" s="81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</row>
    <row r="452" ht="15.75" customHeight="1">
      <c r="A452" s="65"/>
      <c r="B452" s="175"/>
      <c r="C452" s="76"/>
      <c r="D452" s="77"/>
      <c r="E452" s="77"/>
      <c r="F452" s="78"/>
      <c r="G452" s="77"/>
      <c r="H452" s="77"/>
      <c r="I452" s="79"/>
      <c r="J452" s="88"/>
      <c r="K452" s="81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</row>
    <row r="453" ht="15.75" customHeight="1">
      <c r="A453" s="65"/>
      <c r="B453" s="175"/>
      <c r="C453" s="76"/>
      <c r="D453" s="77"/>
      <c r="E453" s="77"/>
      <c r="F453" s="78"/>
      <c r="G453" s="77"/>
      <c r="H453" s="77"/>
      <c r="I453" s="79"/>
      <c r="J453" s="88"/>
      <c r="K453" s="81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</row>
    <row r="454" ht="15.75" customHeight="1">
      <c r="A454" s="65"/>
      <c r="B454" s="175"/>
      <c r="C454" s="76"/>
      <c r="D454" s="77"/>
      <c r="E454" s="77"/>
      <c r="F454" s="78"/>
      <c r="G454" s="77"/>
      <c r="H454" s="77"/>
      <c r="I454" s="79"/>
      <c r="J454" s="88"/>
      <c r="K454" s="81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</row>
    <row r="455" ht="15.75" customHeight="1">
      <c r="A455" s="65"/>
      <c r="B455" s="175"/>
      <c r="C455" s="76"/>
      <c r="D455" s="77"/>
      <c r="E455" s="77"/>
      <c r="F455" s="78"/>
      <c r="G455" s="77"/>
      <c r="H455" s="77"/>
      <c r="I455" s="79"/>
      <c r="J455" s="88"/>
      <c r="K455" s="81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</row>
    <row r="456" ht="15.75" customHeight="1">
      <c r="A456" s="65"/>
      <c r="B456" s="175"/>
      <c r="C456" s="76"/>
      <c r="D456" s="77"/>
      <c r="E456" s="77"/>
      <c r="F456" s="78"/>
      <c r="G456" s="77"/>
      <c r="H456" s="77"/>
      <c r="I456" s="79"/>
      <c r="J456" s="88"/>
      <c r="K456" s="81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</row>
    <row r="457" ht="15.75" customHeight="1">
      <c r="A457" s="65"/>
      <c r="B457" s="175"/>
      <c r="C457" s="76"/>
      <c r="D457" s="77"/>
      <c r="E457" s="77"/>
      <c r="F457" s="78"/>
      <c r="G457" s="77"/>
      <c r="H457" s="77"/>
      <c r="I457" s="79"/>
      <c r="J457" s="88"/>
      <c r="K457" s="81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</row>
    <row r="458" ht="15.75" customHeight="1">
      <c r="A458" s="65"/>
      <c r="B458" s="175"/>
      <c r="C458" s="76"/>
      <c r="D458" s="77"/>
      <c r="E458" s="77"/>
      <c r="F458" s="78"/>
      <c r="G458" s="77"/>
      <c r="H458" s="77"/>
      <c r="I458" s="79"/>
      <c r="J458" s="88"/>
      <c r="K458" s="81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</row>
    <row r="459" ht="15.75" customHeight="1">
      <c r="A459" s="65"/>
      <c r="B459" s="175"/>
      <c r="C459" s="76"/>
      <c r="D459" s="77"/>
      <c r="E459" s="77"/>
      <c r="F459" s="78"/>
      <c r="G459" s="77"/>
      <c r="H459" s="77"/>
      <c r="I459" s="79"/>
      <c r="J459" s="88"/>
      <c r="K459" s="81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</row>
    <row r="460" ht="15.75" customHeight="1">
      <c r="A460" s="65"/>
      <c r="B460" s="175"/>
      <c r="C460" s="76"/>
      <c r="D460" s="77"/>
      <c r="E460" s="77"/>
      <c r="F460" s="78"/>
      <c r="G460" s="77"/>
      <c r="H460" s="77"/>
      <c r="I460" s="79"/>
      <c r="J460" s="88"/>
      <c r="K460" s="81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</row>
    <row r="461" ht="15.75" customHeight="1">
      <c r="A461" s="65"/>
      <c r="B461" s="175"/>
      <c r="C461" s="76"/>
      <c r="D461" s="77"/>
      <c r="E461" s="77"/>
      <c r="F461" s="78"/>
      <c r="G461" s="77"/>
      <c r="H461" s="77"/>
      <c r="I461" s="79"/>
      <c r="J461" s="88"/>
      <c r="K461" s="81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</row>
    <row r="462" ht="15.75" customHeight="1">
      <c r="A462" s="65"/>
      <c r="B462" s="175"/>
      <c r="C462" s="76"/>
      <c r="D462" s="77"/>
      <c r="E462" s="77"/>
      <c r="F462" s="78"/>
      <c r="G462" s="77"/>
      <c r="H462" s="77"/>
      <c r="I462" s="79"/>
      <c r="J462" s="88"/>
      <c r="K462" s="81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</row>
    <row r="463" ht="15.75" customHeight="1">
      <c r="A463" s="65"/>
      <c r="B463" s="175"/>
      <c r="C463" s="76"/>
      <c r="D463" s="77"/>
      <c r="E463" s="77"/>
      <c r="F463" s="78"/>
      <c r="G463" s="77"/>
      <c r="H463" s="77"/>
      <c r="I463" s="79"/>
      <c r="J463" s="88"/>
      <c r="K463" s="81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</row>
    <row r="464" ht="15.75" customHeight="1">
      <c r="A464" s="65"/>
      <c r="B464" s="175"/>
      <c r="C464" s="76"/>
      <c r="D464" s="77"/>
      <c r="E464" s="77"/>
      <c r="F464" s="78"/>
      <c r="G464" s="77"/>
      <c r="H464" s="77"/>
      <c r="I464" s="79"/>
      <c r="J464" s="88"/>
      <c r="K464" s="81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</row>
    <row r="465" ht="15.75" customHeight="1">
      <c r="A465" s="65"/>
      <c r="B465" s="175"/>
      <c r="C465" s="76"/>
      <c r="D465" s="77"/>
      <c r="E465" s="77"/>
      <c r="F465" s="78"/>
      <c r="G465" s="77"/>
      <c r="H465" s="77"/>
      <c r="I465" s="79"/>
      <c r="J465" s="88"/>
      <c r="K465" s="81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</row>
    <row r="466" ht="15.75" customHeight="1">
      <c r="A466" s="65"/>
      <c r="B466" s="175"/>
      <c r="C466" s="76"/>
      <c r="D466" s="77"/>
      <c r="E466" s="77"/>
      <c r="F466" s="78"/>
      <c r="G466" s="77"/>
      <c r="H466" s="77"/>
      <c r="I466" s="79"/>
      <c r="J466" s="88"/>
      <c r="K466" s="81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</row>
    <row r="467" ht="15.75" customHeight="1">
      <c r="A467" s="65"/>
      <c r="B467" s="175"/>
      <c r="C467" s="76"/>
      <c r="D467" s="77"/>
      <c r="E467" s="77"/>
      <c r="F467" s="78"/>
      <c r="G467" s="77"/>
      <c r="H467" s="77"/>
      <c r="I467" s="79"/>
      <c r="J467" s="88"/>
      <c r="K467" s="81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</row>
    <row r="468" ht="15.75" customHeight="1">
      <c r="A468" s="65"/>
      <c r="B468" s="175"/>
      <c r="C468" s="76"/>
      <c r="D468" s="77"/>
      <c r="E468" s="77"/>
      <c r="F468" s="78"/>
      <c r="G468" s="77"/>
      <c r="H468" s="77"/>
      <c r="I468" s="79"/>
      <c r="J468" s="88"/>
      <c r="K468" s="81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</row>
    <row r="469" ht="15.75" customHeight="1">
      <c r="A469" s="65"/>
      <c r="B469" s="175"/>
      <c r="C469" s="76"/>
      <c r="D469" s="77"/>
      <c r="E469" s="77"/>
      <c r="F469" s="78"/>
      <c r="G469" s="77"/>
      <c r="H469" s="77"/>
      <c r="I469" s="79"/>
      <c r="J469" s="88"/>
      <c r="K469" s="81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</row>
    <row r="470" ht="15.75" customHeight="1">
      <c r="A470" s="65"/>
      <c r="B470" s="175"/>
      <c r="C470" s="76"/>
      <c r="D470" s="77"/>
      <c r="E470" s="77"/>
      <c r="F470" s="78"/>
      <c r="G470" s="77"/>
      <c r="H470" s="77"/>
      <c r="I470" s="79"/>
      <c r="J470" s="88"/>
      <c r="K470" s="81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</row>
    <row r="471" ht="15.75" customHeight="1">
      <c r="A471" s="65"/>
      <c r="B471" s="175"/>
      <c r="C471" s="76"/>
      <c r="D471" s="77"/>
      <c r="E471" s="77"/>
      <c r="F471" s="78"/>
      <c r="G471" s="77"/>
      <c r="H471" s="77"/>
      <c r="I471" s="79"/>
      <c r="J471" s="88"/>
      <c r="K471" s="81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</row>
    <row r="472" ht="15.75" customHeight="1">
      <c r="A472" s="65"/>
      <c r="B472" s="175"/>
      <c r="C472" s="76"/>
      <c r="D472" s="77"/>
      <c r="E472" s="77"/>
      <c r="F472" s="78"/>
      <c r="G472" s="77"/>
      <c r="H472" s="77"/>
      <c r="I472" s="79"/>
      <c r="J472" s="88"/>
      <c r="K472" s="81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</row>
    <row r="473" ht="15.75" customHeight="1">
      <c r="A473" s="65"/>
      <c r="B473" s="175"/>
      <c r="C473" s="76"/>
      <c r="D473" s="77"/>
      <c r="E473" s="77"/>
      <c r="F473" s="78"/>
      <c r="G473" s="77"/>
      <c r="H473" s="77"/>
      <c r="I473" s="79"/>
      <c r="J473" s="88"/>
      <c r="K473" s="81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</row>
    <row r="474" ht="15.75" customHeight="1">
      <c r="A474" s="65"/>
      <c r="B474" s="175"/>
      <c r="C474" s="76"/>
      <c r="D474" s="77"/>
      <c r="E474" s="77"/>
      <c r="F474" s="78"/>
      <c r="G474" s="77"/>
      <c r="H474" s="77"/>
      <c r="I474" s="79"/>
      <c r="J474" s="88"/>
      <c r="K474" s="81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</row>
    <row r="475" ht="15.75" customHeight="1">
      <c r="A475" s="65"/>
      <c r="B475" s="175"/>
      <c r="C475" s="76"/>
      <c r="D475" s="77"/>
      <c r="E475" s="77"/>
      <c r="F475" s="78"/>
      <c r="G475" s="77"/>
      <c r="H475" s="77"/>
      <c r="I475" s="79"/>
      <c r="J475" s="88"/>
      <c r="K475" s="81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</row>
    <row r="476" ht="15.75" customHeight="1">
      <c r="A476" s="65"/>
      <c r="B476" s="175"/>
      <c r="C476" s="76"/>
      <c r="D476" s="77"/>
      <c r="E476" s="77"/>
      <c r="F476" s="78"/>
      <c r="G476" s="77"/>
      <c r="H476" s="77"/>
      <c r="I476" s="79"/>
      <c r="J476" s="88"/>
      <c r="K476" s="81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</row>
    <row r="477" ht="15.75" customHeight="1">
      <c r="A477" s="65"/>
      <c r="B477" s="175"/>
      <c r="C477" s="76"/>
      <c r="D477" s="77"/>
      <c r="E477" s="77"/>
      <c r="F477" s="78"/>
      <c r="G477" s="77"/>
      <c r="H477" s="77"/>
      <c r="I477" s="79"/>
      <c r="J477" s="88"/>
      <c r="K477" s="81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</row>
    <row r="478" ht="15.75" customHeight="1">
      <c r="A478" s="65"/>
      <c r="B478" s="175"/>
      <c r="C478" s="76"/>
      <c r="D478" s="77"/>
      <c r="E478" s="77"/>
      <c r="F478" s="78"/>
      <c r="G478" s="77"/>
      <c r="H478" s="77"/>
      <c r="I478" s="79"/>
      <c r="J478" s="88"/>
      <c r="K478" s="81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</row>
    <row r="479" ht="15.75" customHeight="1">
      <c r="A479" s="65"/>
      <c r="B479" s="175"/>
      <c r="C479" s="76"/>
      <c r="D479" s="77"/>
      <c r="E479" s="77"/>
      <c r="F479" s="78"/>
      <c r="G479" s="77"/>
      <c r="H479" s="77"/>
      <c r="I479" s="79"/>
      <c r="J479" s="88"/>
      <c r="K479" s="81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</row>
    <row r="480" ht="15.75" customHeight="1">
      <c r="A480" s="65"/>
      <c r="B480" s="175"/>
      <c r="C480" s="76"/>
      <c r="D480" s="77"/>
      <c r="E480" s="77"/>
      <c r="F480" s="78"/>
      <c r="G480" s="77"/>
      <c r="H480" s="77"/>
      <c r="I480" s="79"/>
      <c r="J480" s="88"/>
      <c r="K480" s="81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</row>
    <row r="481" ht="15.75" customHeight="1">
      <c r="A481" s="65"/>
      <c r="B481" s="175"/>
      <c r="C481" s="76"/>
      <c r="D481" s="77"/>
      <c r="E481" s="77"/>
      <c r="F481" s="78"/>
      <c r="G481" s="77"/>
      <c r="H481" s="77"/>
      <c r="I481" s="79"/>
      <c r="J481" s="88"/>
      <c r="K481" s="81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</row>
    <row r="482" ht="15.75" customHeight="1">
      <c r="A482" s="65"/>
      <c r="B482" s="175"/>
      <c r="C482" s="76"/>
      <c r="D482" s="77"/>
      <c r="E482" s="77"/>
      <c r="F482" s="78"/>
      <c r="G482" s="77"/>
      <c r="H482" s="77"/>
      <c r="I482" s="79"/>
      <c r="J482" s="88"/>
      <c r="K482" s="81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</row>
    <row r="483" ht="15.75" customHeight="1">
      <c r="A483" s="65"/>
      <c r="B483" s="175"/>
      <c r="C483" s="76"/>
      <c r="D483" s="77"/>
      <c r="E483" s="77"/>
      <c r="F483" s="78"/>
      <c r="G483" s="77"/>
      <c r="H483" s="77"/>
      <c r="I483" s="79"/>
      <c r="J483" s="88"/>
      <c r="K483" s="81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</row>
    <row r="484" ht="15.75" customHeight="1">
      <c r="A484" s="65"/>
      <c r="B484" s="175"/>
      <c r="C484" s="76"/>
      <c r="D484" s="77"/>
      <c r="E484" s="77"/>
      <c r="F484" s="78"/>
      <c r="G484" s="77"/>
      <c r="H484" s="77"/>
      <c r="I484" s="79"/>
      <c r="J484" s="88"/>
      <c r="K484" s="81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</row>
    <row r="485" ht="15.75" customHeight="1">
      <c r="A485" s="65"/>
      <c r="B485" s="175"/>
      <c r="C485" s="76"/>
      <c r="D485" s="77"/>
      <c r="E485" s="77"/>
      <c r="F485" s="78"/>
      <c r="G485" s="77"/>
      <c r="H485" s="77"/>
      <c r="I485" s="79"/>
      <c r="J485" s="88"/>
      <c r="K485" s="81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</row>
    <row r="486" ht="15.75" customHeight="1">
      <c r="A486" s="65"/>
      <c r="B486" s="175"/>
      <c r="C486" s="76"/>
      <c r="D486" s="77"/>
      <c r="E486" s="77"/>
      <c r="F486" s="78"/>
      <c r="G486" s="77"/>
      <c r="H486" s="77"/>
      <c r="I486" s="79"/>
      <c r="J486" s="88"/>
      <c r="K486" s="81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</row>
    <row r="487" ht="15.75" customHeight="1">
      <c r="A487" s="65"/>
      <c r="B487" s="175"/>
      <c r="C487" s="76"/>
      <c r="D487" s="77"/>
      <c r="E487" s="77"/>
      <c r="F487" s="78"/>
      <c r="G487" s="77"/>
      <c r="H487" s="77"/>
      <c r="I487" s="79"/>
      <c r="J487" s="88"/>
      <c r="K487" s="81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</row>
    <row r="488" ht="15.75" customHeight="1">
      <c r="A488" s="65"/>
      <c r="B488" s="175"/>
      <c r="C488" s="76"/>
      <c r="D488" s="77"/>
      <c r="E488" s="77"/>
      <c r="F488" s="78"/>
      <c r="G488" s="77"/>
      <c r="H488" s="77"/>
      <c r="I488" s="79"/>
      <c r="J488" s="88"/>
      <c r="K488" s="81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</row>
    <row r="489" ht="15.75" customHeight="1">
      <c r="A489" s="65"/>
      <c r="B489" s="175"/>
      <c r="C489" s="76"/>
      <c r="D489" s="77"/>
      <c r="E489" s="77"/>
      <c r="F489" s="78"/>
      <c r="G489" s="77"/>
      <c r="H489" s="77"/>
      <c r="I489" s="79"/>
      <c r="J489" s="88"/>
      <c r="K489" s="81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</row>
    <row r="490" ht="15.75" customHeight="1">
      <c r="A490" s="65"/>
      <c r="B490" s="175"/>
      <c r="C490" s="76"/>
      <c r="D490" s="77"/>
      <c r="E490" s="77"/>
      <c r="F490" s="78"/>
      <c r="G490" s="77"/>
      <c r="H490" s="77"/>
      <c r="I490" s="79"/>
      <c r="J490" s="88"/>
      <c r="K490" s="81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</row>
    <row r="491" ht="15.75" customHeight="1">
      <c r="A491" s="65"/>
      <c r="B491" s="175"/>
      <c r="C491" s="76"/>
      <c r="D491" s="77"/>
      <c r="E491" s="77"/>
      <c r="F491" s="78"/>
      <c r="G491" s="77"/>
      <c r="H491" s="77"/>
      <c r="I491" s="79"/>
      <c r="J491" s="88"/>
      <c r="K491" s="81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</row>
    <row r="492" ht="15.75" customHeight="1">
      <c r="A492" s="65"/>
      <c r="B492" s="175"/>
      <c r="C492" s="76"/>
      <c r="D492" s="77"/>
      <c r="E492" s="77"/>
      <c r="F492" s="78"/>
      <c r="G492" s="77"/>
      <c r="H492" s="77"/>
      <c r="I492" s="79"/>
      <c r="J492" s="88"/>
      <c r="K492" s="81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</row>
    <row r="493" ht="15.75" customHeight="1">
      <c r="A493" s="65"/>
      <c r="B493" s="175"/>
      <c r="C493" s="76"/>
      <c r="D493" s="77"/>
      <c r="E493" s="77"/>
      <c r="F493" s="78"/>
      <c r="G493" s="77"/>
      <c r="H493" s="77"/>
      <c r="I493" s="79"/>
      <c r="J493" s="88"/>
      <c r="K493" s="81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</row>
    <row r="494" ht="15.75" customHeight="1">
      <c r="A494" s="65"/>
      <c r="B494" s="175"/>
      <c r="C494" s="76"/>
      <c r="D494" s="77"/>
      <c r="E494" s="77"/>
      <c r="F494" s="78"/>
      <c r="G494" s="77"/>
      <c r="H494" s="77"/>
      <c r="I494" s="79"/>
      <c r="J494" s="88"/>
      <c r="K494" s="81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</row>
    <row r="495" ht="15.75" customHeight="1">
      <c r="A495" s="65"/>
      <c r="B495" s="175"/>
      <c r="C495" s="76"/>
      <c r="D495" s="77"/>
      <c r="E495" s="77"/>
      <c r="F495" s="78"/>
      <c r="G495" s="77"/>
      <c r="H495" s="77"/>
      <c r="I495" s="79"/>
      <c r="J495" s="88"/>
      <c r="K495" s="81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</row>
    <row r="496" ht="15.75" customHeight="1">
      <c r="A496" s="65"/>
      <c r="B496" s="175"/>
      <c r="C496" s="76"/>
      <c r="D496" s="77"/>
      <c r="E496" s="77"/>
      <c r="F496" s="78"/>
      <c r="G496" s="77"/>
      <c r="H496" s="77"/>
      <c r="I496" s="79"/>
      <c r="J496" s="88"/>
      <c r="K496" s="81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</row>
    <row r="497" ht="15.75" customHeight="1">
      <c r="A497" s="65"/>
      <c r="B497" s="175"/>
      <c r="C497" s="76"/>
      <c r="D497" s="77"/>
      <c r="E497" s="77"/>
      <c r="F497" s="78"/>
      <c r="G497" s="77"/>
      <c r="H497" s="77"/>
      <c r="I497" s="79"/>
      <c r="J497" s="88"/>
      <c r="K497" s="81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</row>
    <row r="498" ht="15.75" customHeight="1">
      <c r="A498" s="65"/>
      <c r="B498" s="175"/>
      <c r="C498" s="76"/>
      <c r="D498" s="77"/>
      <c r="E498" s="77"/>
      <c r="F498" s="78"/>
      <c r="G498" s="77"/>
      <c r="H498" s="77"/>
      <c r="I498" s="79"/>
      <c r="J498" s="88"/>
      <c r="K498" s="81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</row>
    <row r="499" ht="15.75" customHeight="1">
      <c r="A499" s="65"/>
      <c r="B499" s="175"/>
      <c r="C499" s="76"/>
      <c r="D499" s="77"/>
      <c r="E499" s="77"/>
      <c r="F499" s="78"/>
      <c r="G499" s="77"/>
      <c r="H499" s="77"/>
      <c r="I499" s="79"/>
      <c r="J499" s="88"/>
      <c r="K499" s="81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</row>
    <row r="500" ht="15.75" customHeight="1">
      <c r="A500" s="65"/>
      <c r="B500" s="175"/>
      <c r="C500" s="76"/>
      <c r="D500" s="77"/>
      <c r="E500" s="77"/>
      <c r="F500" s="78"/>
      <c r="G500" s="77"/>
      <c r="H500" s="77"/>
      <c r="I500" s="79"/>
      <c r="J500" s="88"/>
      <c r="K500" s="81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</row>
    <row r="501" ht="15.75" customHeight="1">
      <c r="A501" s="65"/>
      <c r="B501" s="175"/>
      <c r="C501" s="76"/>
      <c r="D501" s="77"/>
      <c r="E501" s="77"/>
      <c r="F501" s="78"/>
      <c r="G501" s="77"/>
      <c r="H501" s="77"/>
      <c r="I501" s="79"/>
      <c r="J501" s="88"/>
      <c r="K501" s="81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</row>
    <row r="502" ht="15.75" customHeight="1">
      <c r="A502" s="65"/>
      <c r="B502" s="175"/>
      <c r="C502" s="76"/>
      <c r="D502" s="77"/>
      <c r="E502" s="77"/>
      <c r="F502" s="78"/>
      <c r="G502" s="77"/>
      <c r="H502" s="77"/>
      <c r="I502" s="79"/>
      <c r="J502" s="88"/>
      <c r="K502" s="81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</row>
    <row r="503" ht="15.75" customHeight="1">
      <c r="A503" s="65"/>
      <c r="B503" s="175"/>
      <c r="C503" s="76"/>
      <c r="D503" s="77"/>
      <c r="E503" s="77"/>
      <c r="F503" s="78"/>
      <c r="G503" s="77"/>
      <c r="H503" s="77"/>
      <c r="I503" s="79"/>
      <c r="J503" s="88"/>
      <c r="K503" s="81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</row>
    <row r="504" ht="15.75" customHeight="1">
      <c r="A504" s="65"/>
      <c r="B504" s="175"/>
      <c r="C504" s="76"/>
      <c r="D504" s="77"/>
      <c r="E504" s="77"/>
      <c r="F504" s="78"/>
      <c r="G504" s="77"/>
      <c r="H504" s="77"/>
      <c r="I504" s="79"/>
      <c r="J504" s="88"/>
      <c r="K504" s="81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</row>
    <row r="505" ht="15.75" customHeight="1">
      <c r="A505" s="65"/>
      <c r="B505" s="175"/>
      <c r="C505" s="76"/>
      <c r="D505" s="77"/>
      <c r="E505" s="77"/>
      <c r="F505" s="78"/>
      <c r="G505" s="77"/>
      <c r="H505" s="77"/>
      <c r="I505" s="79"/>
      <c r="J505" s="88"/>
      <c r="K505" s="81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</row>
    <row r="506" ht="15.75" customHeight="1">
      <c r="A506" s="65"/>
      <c r="B506" s="175"/>
      <c r="C506" s="76"/>
      <c r="D506" s="77"/>
      <c r="E506" s="77"/>
      <c r="F506" s="78"/>
      <c r="G506" s="77"/>
      <c r="H506" s="77"/>
      <c r="I506" s="79"/>
      <c r="J506" s="88"/>
      <c r="K506" s="81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</row>
    <row r="507" ht="15.75" customHeight="1">
      <c r="A507" s="65"/>
      <c r="B507" s="175"/>
      <c r="C507" s="76"/>
      <c r="D507" s="77"/>
      <c r="E507" s="77"/>
      <c r="F507" s="78"/>
      <c r="G507" s="77"/>
      <c r="H507" s="77"/>
      <c r="I507" s="79"/>
      <c r="J507" s="88"/>
      <c r="K507" s="81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</row>
    <row r="508" ht="15.75" customHeight="1">
      <c r="A508" s="65"/>
      <c r="B508" s="175"/>
      <c r="C508" s="76"/>
      <c r="D508" s="77"/>
      <c r="E508" s="77"/>
      <c r="F508" s="78"/>
      <c r="G508" s="77"/>
      <c r="H508" s="77"/>
      <c r="I508" s="79"/>
      <c r="J508" s="88"/>
      <c r="K508" s="81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</row>
    <row r="509" ht="15.75" customHeight="1">
      <c r="A509" s="65"/>
      <c r="B509" s="175"/>
      <c r="C509" s="76"/>
      <c r="D509" s="77"/>
      <c r="E509" s="77"/>
      <c r="F509" s="78"/>
      <c r="G509" s="77"/>
      <c r="H509" s="77"/>
      <c r="I509" s="79"/>
      <c r="J509" s="88"/>
      <c r="K509" s="81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</row>
    <row r="510" ht="15.75" customHeight="1">
      <c r="A510" s="65"/>
      <c r="B510" s="175"/>
      <c r="C510" s="76"/>
      <c r="D510" s="77"/>
      <c r="E510" s="77"/>
      <c r="F510" s="78"/>
      <c r="G510" s="77"/>
      <c r="H510" s="77"/>
      <c r="I510" s="79"/>
      <c r="J510" s="88"/>
      <c r="K510" s="81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</row>
    <row r="511" ht="15.75" customHeight="1">
      <c r="A511" s="65"/>
      <c r="B511" s="175"/>
      <c r="C511" s="76"/>
      <c r="D511" s="77"/>
      <c r="E511" s="77"/>
      <c r="F511" s="78"/>
      <c r="G511" s="77"/>
      <c r="H511" s="77"/>
      <c r="I511" s="79"/>
      <c r="J511" s="88"/>
      <c r="K511" s="81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</row>
    <row r="512" ht="15.75" customHeight="1">
      <c r="A512" s="65"/>
      <c r="B512" s="175"/>
      <c r="C512" s="76"/>
      <c r="D512" s="77"/>
      <c r="E512" s="77"/>
      <c r="F512" s="78"/>
      <c r="G512" s="77"/>
      <c r="H512" s="77"/>
      <c r="I512" s="79"/>
      <c r="J512" s="88"/>
      <c r="K512" s="81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</row>
    <row r="513" ht="15.75" customHeight="1">
      <c r="A513" s="65"/>
      <c r="B513" s="175"/>
      <c r="C513" s="76"/>
      <c r="D513" s="77"/>
      <c r="E513" s="77"/>
      <c r="F513" s="78"/>
      <c r="G513" s="77"/>
      <c r="H513" s="77"/>
      <c r="I513" s="79"/>
      <c r="J513" s="88"/>
      <c r="K513" s="81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</row>
    <row r="514" ht="15.75" customHeight="1">
      <c r="A514" s="65"/>
      <c r="B514" s="175"/>
      <c r="C514" s="76"/>
      <c r="D514" s="77"/>
      <c r="E514" s="77"/>
      <c r="F514" s="78"/>
      <c r="G514" s="77"/>
      <c r="H514" s="77"/>
      <c r="I514" s="79"/>
      <c r="J514" s="88"/>
      <c r="K514" s="81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</row>
    <row r="515" ht="15.75" customHeight="1">
      <c r="A515" s="65"/>
      <c r="B515" s="175"/>
      <c r="C515" s="76"/>
      <c r="D515" s="77"/>
      <c r="E515" s="77"/>
      <c r="F515" s="78"/>
      <c r="G515" s="77"/>
      <c r="H515" s="77"/>
      <c r="I515" s="79"/>
      <c r="J515" s="88"/>
      <c r="K515" s="81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</row>
    <row r="516" ht="15.75" customHeight="1">
      <c r="A516" s="65"/>
      <c r="B516" s="175"/>
      <c r="C516" s="76"/>
      <c r="D516" s="77"/>
      <c r="E516" s="77"/>
      <c r="F516" s="78"/>
      <c r="G516" s="77"/>
      <c r="H516" s="77"/>
      <c r="I516" s="79"/>
      <c r="J516" s="88"/>
      <c r="K516" s="81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</row>
    <row r="517" ht="15.75" customHeight="1">
      <c r="A517" s="65"/>
      <c r="B517" s="175"/>
      <c r="C517" s="76"/>
      <c r="D517" s="77"/>
      <c r="E517" s="77"/>
      <c r="F517" s="78"/>
      <c r="G517" s="77"/>
      <c r="H517" s="77"/>
      <c r="I517" s="79"/>
      <c r="J517" s="88"/>
      <c r="K517" s="81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</row>
    <row r="518" ht="15.75" customHeight="1">
      <c r="A518" s="65"/>
      <c r="B518" s="175"/>
      <c r="C518" s="76"/>
      <c r="D518" s="77"/>
      <c r="E518" s="77"/>
      <c r="F518" s="78"/>
      <c r="G518" s="77"/>
      <c r="H518" s="77"/>
      <c r="I518" s="79"/>
      <c r="J518" s="88"/>
      <c r="K518" s="81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</row>
    <row r="519" ht="15.75" customHeight="1">
      <c r="A519" s="65"/>
      <c r="B519" s="175"/>
      <c r="C519" s="76"/>
      <c r="D519" s="77"/>
      <c r="E519" s="77"/>
      <c r="F519" s="78"/>
      <c r="G519" s="77"/>
      <c r="H519" s="77"/>
      <c r="I519" s="79"/>
      <c r="J519" s="88"/>
      <c r="K519" s="81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</row>
    <row r="520" ht="15.75" customHeight="1">
      <c r="A520" s="65"/>
      <c r="B520" s="175"/>
      <c r="C520" s="76"/>
      <c r="D520" s="77"/>
      <c r="E520" s="77"/>
      <c r="F520" s="78"/>
      <c r="G520" s="77"/>
      <c r="H520" s="77"/>
      <c r="I520" s="79"/>
      <c r="J520" s="88"/>
      <c r="K520" s="81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</row>
    <row r="521" ht="15.75" customHeight="1">
      <c r="A521" s="65"/>
      <c r="B521" s="175"/>
      <c r="C521" s="76"/>
      <c r="D521" s="77"/>
      <c r="E521" s="77"/>
      <c r="F521" s="78"/>
      <c r="G521" s="77"/>
      <c r="H521" s="77"/>
      <c r="I521" s="79"/>
      <c r="J521" s="88"/>
      <c r="K521" s="81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</row>
    <row r="522" ht="15.75" customHeight="1">
      <c r="A522" s="65"/>
      <c r="B522" s="175"/>
      <c r="C522" s="76"/>
      <c r="D522" s="77"/>
      <c r="E522" s="77"/>
      <c r="F522" s="78"/>
      <c r="G522" s="77"/>
      <c r="H522" s="77"/>
      <c r="I522" s="79"/>
      <c r="J522" s="88"/>
      <c r="K522" s="81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</row>
    <row r="523" ht="15.75" customHeight="1">
      <c r="A523" s="65"/>
      <c r="B523" s="175"/>
      <c r="C523" s="76"/>
      <c r="D523" s="77"/>
      <c r="E523" s="77"/>
      <c r="F523" s="78"/>
      <c r="G523" s="77"/>
      <c r="H523" s="77"/>
      <c r="I523" s="79"/>
      <c r="J523" s="88"/>
      <c r="K523" s="81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</row>
    <row r="524" ht="15.75" customHeight="1">
      <c r="A524" s="65"/>
      <c r="B524" s="175"/>
      <c r="C524" s="76"/>
      <c r="D524" s="77"/>
      <c r="E524" s="77"/>
      <c r="F524" s="78"/>
      <c r="G524" s="77"/>
      <c r="H524" s="77"/>
      <c r="I524" s="79"/>
      <c r="J524" s="88"/>
      <c r="K524" s="81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</row>
    <row r="525" ht="15.75" customHeight="1">
      <c r="A525" s="65"/>
      <c r="B525" s="175"/>
      <c r="C525" s="76"/>
      <c r="D525" s="77"/>
      <c r="E525" s="77"/>
      <c r="F525" s="78"/>
      <c r="G525" s="77"/>
      <c r="H525" s="77"/>
      <c r="I525" s="79"/>
      <c r="J525" s="88"/>
      <c r="K525" s="81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</row>
    <row r="526" ht="15.75" customHeight="1">
      <c r="A526" s="65"/>
      <c r="B526" s="175"/>
      <c r="C526" s="76"/>
      <c r="D526" s="77"/>
      <c r="E526" s="77"/>
      <c r="F526" s="78"/>
      <c r="G526" s="77"/>
      <c r="H526" s="77"/>
      <c r="I526" s="79"/>
      <c r="J526" s="88"/>
      <c r="K526" s="81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</row>
    <row r="527" ht="15.75" customHeight="1">
      <c r="A527" s="65"/>
      <c r="B527" s="175"/>
      <c r="C527" s="76"/>
      <c r="D527" s="77"/>
      <c r="E527" s="77"/>
      <c r="F527" s="78"/>
      <c r="G527" s="77"/>
      <c r="H527" s="77"/>
      <c r="I527" s="79"/>
      <c r="J527" s="88"/>
      <c r="K527" s="81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</row>
    <row r="528" ht="15.75" customHeight="1">
      <c r="A528" s="65"/>
      <c r="B528" s="175"/>
      <c r="C528" s="76"/>
      <c r="D528" s="77"/>
      <c r="E528" s="77"/>
      <c r="F528" s="78"/>
      <c r="G528" s="77"/>
      <c r="H528" s="77"/>
      <c r="I528" s="79"/>
      <c r="J528" s="88"/>
      <c r="K528" s="81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</row>
    <row r="529" ht="15.75" customHeight="1">
      <c r="A529" s="65"/>
      <c r="B529" s="175"/>
      <c r="C529" s="76"/>
      <c r="D529" s="77"/>
      <c r="E529" s="77"/>
      <c r="F529" s="78"/>
      <c r="G529" s="77"/>
      <c r="H529" s="77"/>
      <c r="I529" s="79"/>
      <c r="J529" s="88"/>
      <c r="K529" s="81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</row>
    <row r="530" ht="15.75" customHeight="1">
      <c r="A530" s="65"/>
      <c r="B530" s="175"/>
      <c r="C530" s="76"/>
      <c r="D530" s="77"/>
      <c r="E530" s="77"/>
      <c r="F530" s="78"/>
      <c r="G530" s="77"/>
      <c r="H530" s="77"/>
      <c r="I530" s="79"/>
      <c r="J530" s="88"/>
      <c r="K530" s="81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</row>
    <row r="531" ht="15.75" customHeight="1">
      <c r="A531" s="65"/>
      <c r="B531" s="175"/>
      <c r="C531" s="76"/>
      <c r="D531" s="77"/>
      <c r="E531" s="77"/>
      <c r="F531" s="78"/>
      <c r="G531" s="77"/>
      <c r="H531" s="77"/>
      <c r="I531" s="79"/>
      <c r="J531" s="88"/>
      <c r="K531" s="81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</row>
    <row r="532" ht="15.75" customHeight="1">
      <c r="A532" s="65"/>
      <c r="B532" s="175"/>
      <c r="C532" s="76"/>
      <c r="D532" s="77"/>
      <c r="E532" s="77"/>
      <c r="F532" s="78"/>
      <c r="G532" s="77"/>
      <c r="H532" s="77"/>
      <c r="I532" s="79"/>
      <c r="J532" s="88"/>
      <c r="K532" s="81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</row>
    <row r="533" ht="15.75" customHeight="1">
      <c r="A533" s="65"/>
      <c r="B533" s="175"/>
      <c r="C533" s="76"/>
      <c r="D533" s="77"/>
      <c r="E533" s="77"/>
      <c r="F533" s="78"/>
      <c r="G533" s="77"/>
      <c r="H533" s="77"/>
      <c r="I533" s="79"/>
      <c r="J533" s="88"/>
      <c r="K533" s="81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</row>
    <row r="534" ht="15.75" customHeight="1">
      <c r="A534" s="65"/>
      <c r="B534" s="175"/>
      <c r="C534" s="76"/>
      <c r="D534" s="77"/>
      <c r="E534" s="77"/>
      <c r="F534" s="78"/>
      <c r="G534" s="77"/>
      <c r="H534" s="77"/>
      <c r="I534" s="79"/>
      <c r="J534" s="88"/>
      <c r="K534" s="81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</row>
    <row r="535" ht="15.75" customHeight="1">
      <c r="A535" s="65"/>
      <c r="B535" s="175"/>
      <c r="C535" s="76"/>
      <c r="D535" s="77"/>
      <c r="E535" s="77"/>
      <c r="F535" s="78"/>
      <c r="G535" s="77"/>
      <c r="H535" s="77"/>
      <c r="I535" s="79"/>
      <c r="J535" s="88"/>
      <c r="K535" s="81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</row>
    <row r="536" ht="15.75" customHeight="1">
      <c r="A536" s="65"/>
      <c r="B536" s="175"/>
      <c r="C536" s="76"/>
      <c r="D536" s="77"/>
      <c r="E536" s="77"/>
      <c r="F536" s="78"/>
      <c r="G536" s="77"/>
      <c r="H536" s="77"/>
      <c r="I536" s="79"/>
      <c r="J536" s="88"/>
      <c r="K536" s="81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</row>
    <row r="537" ht="15.75" customHeight="1">
      <c r="A537" s="65"/>
      <c r="B537" s="175"/>
      <c r="C537" s="76"/>
      <c r="D537" s="77"/>
      <c r="E537" s="77"/>
      <c r="F537" s="78"/>
      <c r="G537" s="77"/>
      <c r="H537" s="77"/>
      <c r="I537" s="79"/>
      <c r="J537" s="88"/>
      <c r="K537" s="81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</row>
    <row r="538" ht="15.75" customHeight="1">
      <c r="A538" s="65"/>
      <c r="B538" s="175"/>
      <c r="C538" s="76"/>
      <c r="D538" s="77"/>
      <c r="E538" s="77"/>
      <c r="F538" s="78"/>
      <c r="G538" s="77"/>
      <c r="H538" s="77"/>
      <c r="I538" s="79"/>
      <c r="J538" s="88"/>
      <c r="K538" s="81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</row>
    <row r="539" ht="15.75" customHeight="1">
      <c r="A539" s="65"/>
      <c r="B539" s="175"/>
      <c r="C539" s="76"/>
      <c r="D539" s="77"/>
      <c r="E539" s="77"/>
      <c r="F539" s="78"/>
      <c r="G539" s="77"/>
      <c r="H539" s="77"/>
      <c r="I539" s="79"/>
      <c r="J539" s="88"/>
      <c r="K539" s="81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</row>
    <row r="540" ht="15.75" customHeight="1">
      <c r="A540" s="65"/>
      <c r="B540" s="175"/>
      <c r="C540" s="76"/>
      <c r="D540" s="77"/>
      <c r="E540" s="77"/>
      <c r="F540" s="78"/>
      <c r="G540" s="77"/>
      <c r="H540" s="77"/>
      <c r="I540" s="79"/>
      <c r="J540" s="88"/>
      <c r="K540" s="81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</row>
    <row r="541" ht="15.75" customHeight="1">
      <c r="A541" s="65"/>
      <c r="B541" s="175"/>
      <c r="C541" s="76"/>
      <c r="D541" s="77"/>
      <c r="E541" s="77"/>
      <c r="F541" s="78"/>
      <c r="G541" s="77"/>
      <c r="H541" s="77"/>
      <c r="I541" s="79"/>
      <c r="J541" s="88"/>
      <c r="K541" s="81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</row>
    <row r="542" ht="15.75" customHeight="1">
      <c r="A542" s="65"/>
      <c r="B542" s="175"/>
      <c r="C542" s="76"/>
      <c r="D542" s="77"/>
      <c r="E542" s="77"/>
      <c r="F542" s="78"/>
      <c r="G542" s="77"/>
      <c r="H542" s="77"/>
      <c r="I542" s="79"/>
      <c r="J542" s="88"/>
      <c r="K542" s="81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</row>
    <row r="543" ht="15.75" customHeight="1">
      <c r="A543" s="65"/>
      <c r="B543" s="175"/>
      <c r="C543" s="76"/>
      <c r="D543" s="77"/>
      <c r="E543" s="77"/>
      <c r="F543" s="78"/>
      <c r="G543" s="77"/>
      <c r="H543" s="77"/>
      <c r="I543" s="79"/>
      <c r="J543" s="88"/>
      <c r="K543" s="81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</row>
    <row r="544" ht="15.75" customHeight="1">
      <c r="A544" s="65"/>
      <c r="B544" s="175"/>
      <c r="C544" s="76"/>
      <c r="D544" s="77"/>
      <c r="E544" s="77"/>
      <c r="F544" s="78"/>
      <c r="G544" s="77"/>
      <c r="H544" s="77"/>
      <c r="I544" s="79"/>
      <c r="J544" s="88"/>
      <c r="K544" s="81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</row>
    <row r="545" ht="15.75" customHeight="1">
      <c r="A545" s="65"/>
      <c r="B545" s="175"/>
      <c r="C545" s="76"/>
      <c r="D545" s="77"/>
      <c r="E545" s="77"/>
      <c r="F545" s="78"/>
      <c r="G545" s="77"/>
      <c r="H545" s="77"/>
      <c r="I545" s="79"/>
      <c r="J545" s="88"/>
      <c r="K545" s="81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</row>
    <row r="546" ht="15.75" customHeight="1">
      <c r="A546" s="65"/>
      <c r="B546" s="175"/>
      <c r="C546" s="76"/>
      <c r="D546" s="77"/>
      <c r="E546" s="77"/>
      <c r="F546" s="78"/>
      <c r="G546" s="77"/>
      <c r="H546" s="77"/>
      <c r="I546" s="79"/>
      <c r="J546" s="88"/>
      <c r="K546" s="81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</row>
    <row r="547" ht="15.75" customHeight="1">
      <c r="A547" s="65"/>
      <c r="B547" s="175"/>
      <c r="C547" s="76"/>
      <c r="D547" s="77"/>
      <c r="E547" s="77"/>
      <c r="F547" s="78"/>
      <c r="G547" s="77"/>
      <c r="H547" s="77"/>
      <c r="I547" s="79"/>
      <c r="J547" s="88"/>
      <c r="K547" s="81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</row>
    <row r="548" ht="15.75" customHeight="1">
      <c r="A548" s="65"/>
      <c r="B548" s="175"/>
      <c r="C548" s="76"/>
      <c r="D548" s="77"/>
      <c r="E548" s="77"/>
      <c r="F548" s="78"/>
      <c r="G548" s="77"/>
      <c r="H548" s="77"/>
      <c r="I548" s="79"/>
      <c r="J548" s="88"/>
      <c r="K548" s="81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</row>
    <row r="549" ht="15.75" customHeight="1">
      <c r="A549" s="65"/>
      <c r="B549" s="175"/>
      <c r="C549" s="76"/>
      <c r="D549" s="77"/>
      <c r="E549" s="77"/>
      <c r="F549" s="78"/>
      <c r="G549" s="77"/>
      <c r="H549" s="77"/>
      <c r="I549" s="79"/>
      <c r="J549" s="88"/>
      <c r="K549" s="81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</row>
    <row r="550" ht="15.75" customHeight="1">
      <c r="A550" s="65"/>
      <c r="B550" s="175"/>
      <c r="C550" s="76"/>
      <c r="D550" s="77"/>
      <c r="E550" s="77"/>
      <c r="F550" s="78"/>
      <c r="G550" s="77"/>
      <c r="H550" s="77"/>
      <c r="I550" s="79"/>
      <c r="J550" s="88"/>
      <c r="K550" s="81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</row>
    <row r="551" ht="15.75" customHeight="1">
      <c r="A551" s="65"/>
      <c r="B551" s="175"/>
      <c r="C551" s="76"/>
      <c r="D551" s="77"/>
      <c r="E551" s="77"/>
      <c r="F551" s="78"/>
      <c r="G551" s="77"/>
      <c r="H551" s="77"/>
      <c r="I551" s="79"/>
      <c r="J551" s="88"/>
      <c r="K551" s="81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</row>
    <row r="552" ht="15.75" customHeight="1">
      <c r="A552" s="65"/>
      <c r="B552" s="175"/>
      <c r="C552" s="76"/>
      <c r="D552" s="77"/>
      <c r="E552" s="77"/>
      <c r="F552" s="78"/>
      <c r="G552" s="77"/>
      <c r="H552" s="77"/>
      <c r="I552" s="79"/>
      <c r="J552" s="88"/>
      <c r="K552" s="81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</row>
    <row r="553" ht="15.75" customHeight="1">
      <c r="A553" s="65"/>
      <c r="B553" s="175"/>
      <c r="C553" s="76"/>
      <c r="D553" s="77"/>
      <c r="E553" s="77"/>
      <c r="F553" s="78"/>
      <c r="G553" s="77"/>
      <c r="H553" s="77"/>
      <c r="I553" s="79"/>
      <c r="J553" s="88"/>
      <c r="K553" s="81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</row>
    <row r="554" ht="15.75" customHeight="1">
      <c r="A554" s="65"/>
      <c r="B554" s="175"/>
      <c r="C554" s="76"/>
      <c r="D554" s="77"/>
      <c r="E554" s="77"/>
      <c r="F554" s="78"/>
      <c r="G554" s="77"/>
      <c r="H554" s="77"/>
      <c r="I554" s="79"/>
      <c r="J554" s="88"/>
      <c r="K554" s="81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</row>
    <row r="555" ht="15.75" customHeight="1">
      <c r="A555" s="65"/>
      <c r="B555" s="175"/>
      <c r="C555" s="76"/>
      <c r="D555" s="77"/>
      <c r="E555" s="77"/>
      <c r="F555" s="78"/>
      <c r="G555" s="77"/>
      <c r="H555" s="77"/>
      <c r="I555" s="79"/>
      <c r="J555" s="88"/>
      <c r="K555" s="81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</row>
    <row r="556" ht="15.75" customHeight="1">
      <c r="A556" s="65"/>
      <c r="B556" s="175"/>
      <c r="C556" s="76"/>
      <c r="D556" s="77"/>
      <c r="E556" s="77"/>
      <c r="F556" s="78"/>
      <c r="G556" s="77"/>
      <c r="H556" s="77"/>
      <c r="I556" s="79"/>
      <c r="J556" s="88"/>
      <c r="K556" s="81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</row>
    <row r="557" ht="15.75" customHeight="1">
      <c r="A557" s="65"/>
      <c r="B557" s="175"/>
      <c r="C557" s="76"/>
      <c r="D557" s="77"/>
      <c r="E557" s="77"/>
      <c r="F557" s="78"/>
      <c r="G557" s="77"/>
      <c r="H557" s="77"/>
      <c r="I557" s="79"/>
      <c r="J557" s="88"/>
      <c r="K557" s="81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</row>
    <row r="558" ht="15.75" customHeight="1">
      <c r="A558" s="65"/>
      <c r="B558" s="175"/>
      <c r="C558" s="76"/>
      <c r="D558" s="77"/>
      <c r="E558" s="77"/>
      <c r="F558" s="78"/>
      <c r="G558" s="77"/>
      <c r="H558" s="77"/>
      <c r="I558" s="79"/>
      <c r="J558" s="88"/>
      <c r="K558" s="81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</row>
    <row r="559" ht="15.75" customHeight="1">
      <c r="A559" s="65"/>
      <c r="B559" s="175"/>
      <c r="C559" s="76"/>
      <c r="D559" s="77"/>
      <c r="E559" s="77"/>
      <c r="F559" s="78"/>
      <c r="G559" s="77"/>
      <c r="H559" s="77"/>
      <c r="I559" s="79"/>
      <c r="J559" s="88"/>
      <c r="K559" s="81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</row>
    <row r="560" ht="15.75" customHeight="1">
      <c r="A560" s="65"/>
      <c r="B560" s="175"/>
      <c r="C560" s="76"/>
      <c r="D560" s="77"/>
      <c r="E560" s="77"/>
      <c r="F560" s="78"/>
      <c r="G560" s="77"/>
      <c r="H560" s="77"/>
      <c r="I560" s="79"/>
      <c r="J560" s="88"/>
      <c r="K560" s="81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</row>
    <row r="561" ht="15.75" customHeight="1">
      <c r="A561" s="65"/>
      <c r="B561" s="175"/>
      <c r="C561" s="76"/>
      <c r="D561" s="77"/>
      <c r="E561" s="77"/>
      <c r="F561" s="78"/>
      <c r="G561" s="77"/>
      <c r="H561" s="77"/>
      <c r="I561" s="79"/>
      <c r="J561" s="88"/>
      <c r="K561" s="81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</row>
    <row r="562" ht="15.75" customHeight="1">
      <c r="A562" s="65"/>
      <c r="B562" s="175"/>
      <c r="C562" s="76"/>
      <c r="D562" s="77"/>
      <c r="E562" s="77"/>
      <c r="F562" s="78"/>
      <c r="G562" s="77"/>
      <c r="H562" s="77"/>
      <c r="I562" s="79"/>
      <c r="J562" s="88"/>
      <c r="K562" s="81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</row>
    <row r="563" ht="15.75" customHeight="1">
      <c r="A563" s="65"/>
      <c r="B563" s="175"/>
      <c r="C563" s="76"/>
      <c r="D563" s="77"/>
      <c r="E563" s="77"/>
      <c r="F563" s="78"/>
      <c r="G563" s="77"/>
      <c r="H563" s="77"/>
      <c r="I563" s="79"/>
      <c r="J563" s="88"/>
      <c r="K563" s="81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</row>
    <row r="564" ht="15.75" customHeight="1">
      <c r="A564" s="65"/>
      <c r="B564" s="175"/>
      <c r="C564" s="76"/>
      <c r="D564" s="77"/>
      <c r="E564" s="77"/>
      <c r="F564" s="78"/>
      <c r="G564" s="77"/>
      <c r="H564" s="77"/>
      <c r="I564" s="79"/>
      <c r="J564" s="88"/>
      <c r="K564" s="81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</row>
    <row r="565" ht="15.75" customHeight="1">
      <c r="A565" s="65"/>
      <c r="B565" s="175"/>
      <c r="C565" s="76"/>
      <c r="D565" s="77"/>
      <c r="E565" s="77"/>
      <c r="F565" s="78"/>
      <c r="G565" s="77"/>
      <c r="H565" s="77"/>
      <c r="I565" s="79"/>
      <c r="J565" s="88"/>
      <c r="K565" s="81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</row>
    <row r="566" ht="15.75" customHeight="1">
      <c r="A566" s="65"/>
      <c r="B566" s="175"/>
      <c r="C566" s="76"/>
      <c r="D566" s="77"/>
      <c r="E566" s="77"/>
      <c r="F566" s="78"/>
      <c r="G566" s="77"/>
      <c r="H566" s="77"/>
      <c r="I566" s="79"/>
      <c r="J566" s="88"/>
      <c r="K566" s="81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</row>
    <row r="567" ht="15.75" customHeight="1">
      <c r="A567" s="65"/>
      <c r="B567" s="175"/>
      <c r="C567" s="76"/>
      <c r="D567" s="77"/>
      <c r="E567" s="77"/>
      <c r="F567" s="78"/>
      <c r="G567" s="77"/>
      <c r="H567" s="77"/>
      <c r="I567" s="79"/>
      <c r="J567" s="88"/>
      <c r="K567" s="81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</row>
    <row r="568" ht="15.75" customHeight="1">
      <c r="A568" s="65"/>
      <c r="B568" s="175"/>
      <c r="C568" s="76"/>
      <c r="D568" s="77"/>
      <c r="E568" s="77"/>
      <c r="F568" s="78"/>
      <c r="G568" s="77"/>
      <c r="H568" s="77"/>
      <c r="I568" s="79"/>
      <c r="J568" s="88"/>
      <c r="K568" s="81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</row>
    <row r="569" ht="15.75" customHeight="1">
      <c r="A569" s="65"/>
      <c r="B569" s="175"/>
      <c r="C569" s="76"/>
      <c r="D569" s="77"/>
      <c r="E569" s="77"/>
      <c r="F569" s="78"/>
      <c r="G569" s="77"/>
      <c r="H569" s="77"/>
      <c r="I569" s="79"/>
      <c r="J569" s="88"/>
      <c r="K569" s="81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</row>
    <row r="570" ht="15.75" customHeight="1">
      <c r="A570" s="65"/>
      <c r="B570" s="175"/>
      <c r="C570" s="76"/>
      <c r="D570" s="77"/>
      <c r="E570" s="77"/>
      <c r="F570" s="78"/>
      <c r="G570" s="77"/>
      <c r="H570" s="77"/>
      <c r="I570" s="79"/>
      <c r="J570" s="88"/>
      <c r="K570" s="81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</row>
    <row r="571" ht="15.75" customHeight="1">
      <c r="A571" s="65"/>
      <c r="B571" s="175"/>
      <c r="C571" s="76"/>
      <c r="D571" s="77"/>
      <c r="E571" s="77"/>
      <c r="F571" s="78"/>
      <c r="G571" s="77"/>
      <c r="H571" s="77"/>
      <c r="I571" s="79"/>
      <c r="J571" s="88"/>
      <c r="K571" s="81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</row>
    <row r="572" ht="15.75" customHeight="1">
      <c r="A572" s="65"/>
      <c r="B572" s="175"/>
      <c r="C572" s="76"/>
      <c r="D572" s="77"/>
      <c r="E572" s="77"/>
      <c r="F572" s="78"/>
      <c r="G572" s="77"/>
      <c r="H572" s="77"/>
      <c r="I572" s="79"/>
      <c r="J572" s="88"/>
      <c r="K572" s="81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</row>
    <row r="573" ht="15.75" customHeight="1">
      <c r="A573" s="65"/>
      <c r="B573" s="175"/>
      <c r="C573" s="76"/>
      <c r="D573" s="77"/>
      <c r="E573" s="77"/>
      <c r="F573" s="78"/>
      <c r="G573" s="77"/>
      <c r="H573" s="77"/>
      <c r="I573" s="79"/>
      <c r="J573" s="88"/>
      <c r="K573" s="81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</row>
    <row r="574" ht="15.75" customHeight="1">
      <c r="A574" s="65"/>
      <c r="B574" s="175"/>
      <c r="C574" s="76"/>
      <c r="D574" s="77"/>
      <c r="E574" s="77"/>
      <c r="F574" s="78"/>
      <c r="G574" s="77"/>
      <c r="H574" s="77"/>
      <c r="I574" s="79"/>
      <c r="J574" s="88"/>
      <c r="K574" s="81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</row>
    <row r="575" ht="15.75" customHeight="1">
      <c r="A575" s="65"/>
      <c r="B575" s="175"/>
      <c r="C575" s="76"/>
      <c r="D575" s="77"/>
      <c r="E575" s="77"/>
      <c r="F575" s="78"/>
      <c r="G575" s="77"/>
      <c r="H575" s="77"/>
      <c r="I575" s="79"/>
      <c r="J575" s="88"/>
      <c r="K575" s="81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</row>
    <row r="576" ht="15.75" customHeight="1">
      <c r="A576" s="65"/>
      <c r="B576" s="175"/>
      <c r="C576" s="76"/>
      <c r="D576" s="77"/>
      <c r="E576" s="77"/>
      <c r="F576" s="78"/>
      <c r="G576" s="77"/>
      <c r="H576" s="77"/>
      <c r="I576" s="79"/>
      <c r="J576" s="88"/>
      <c r="K576" s="81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</row>
    <row r="577" ht="15.75" customHeight="1">
      <c r="A577" s="65"/>
      <c r="B577" s="175"/>
      <c r="C577" s="76"/>
      <c r="D577" s="77"/>
      <c r="E577" s="77"/>
      <c r="F577" s="78"/>
      <c r="G577" s="77"/>
      <c r="H577" s="77"/>
      <c r="I577" s="79"/>
      <c r="J577" s="88"/>
      <c r="K577" s="81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</row>
    <row r="578" ht="15.75" customHeight="1">
      <c r="A578" s="65"/>
      <c r="B578" s="175"/>
      <c r="C578" s="76"/>
      <c r="D578" s="77"/>
      <c r="E578" s="77"/>
      <c r="F578" s="78"/>
      <c r="G578" s="77"/>
      <c r="H578" s="77"/>
      <c r="I578" s="79"/>
      <c r="J578" s="88"/>
      <c r="K578" s="81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</row>
    <row r="579" ht="15.75" customHeight="1">
      <c r="A579" s="65"/>
      <c r="B579" s="175"/>
      <c r="C579" s="76"/>
      <c r="D579" s="77"/>
      <c r="E579" s="77"/>
      <c r="F579" s="78"/>
      <c r="G579" s="77"/>
      <c r="H579" s="77"/>
      <c r="I579" s="79"/>
      <c r="J579" s="88"/>
      <c r="K579" s="81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</row>
    <row r="580" ht="15.75" customHeight="1">
      <c r="A580" s="65"/>
      <c r="B580" s="175"/>
      <c r="C580" s="76"/>
      <c r="D580" s="77"/>
      <c r="E580" s="77"/>
      <c r="F580" s="78"/>
      <c r="G580" s="77"/>
      <c r="H580" s="77"/>
      <c r="I580" s="79"/>
      <c r="J580" s="88"/>
      <c r="K580" s="81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</row>
    <row r="581" ht="15.75" customHeight="1">
      <c r="A581" s="65"/>
      <c r="B581" s="175"/>
      <c r="C581" s="76"/>
      <c r="D581" s="77"/>
      <c r="E581" s="77"/>
      <c r="F581" s="78"/>
      <c r="G581" s="77"/>
      <c r="H581" s="77"/>
      <c r="I581" s="79"/>
      <c r="J581" s="88"/>
      <c r="K581" s="81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</row>
    <row r="582" ht="15.75" customHeight="1">
      <c r="A582" s="65"/>
      <c r="B582" s="175"/>
      <c r="C582" s="76"/>
      <c r="D582" s="77"/>
      <c r="E582" s="77"/>
      <c r="F582" s="78"/>
      <c r="G582" s="77"/>
      <c r="H582" s="77"/>
      <c r="I582" s="79"/>
      <c r="J582" s="88"/>
      <c r="K582" s="81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</row>
    <row r="583" ht="15.75" customHeight="1">
      <c r="A583" s="65"/>
      <c r="B583" s="175"/>
      <c r="C583" s="76"/>
      <c r="D583" s="77"/>
      <c r="E583" s="77"/>
      <c r="F583" s="78"/>
      <c r="G583" s="77"/>
      <c r="H583" s="77"/>
      <c r="I583" s="79"/>
      <c r="J583" s="88"/>
      <c r="K583" s="81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</row>
    <row r="584" ht="15.75" customHeight="1">
      <c r="A584" s="65"/>
      <c r="B584" s="175"/>
      <c r="C584" s="76"/>
      <c r="D584" s="77"/>
      <c r="E584" s="77"/>
      <c r="F584" s="78"/>
      <c r="G584" s="77"/>
      <c r="H584" s="77"/>
      <c r="I584" s="79"/>
      <c r="J584" s="88"/>
      <c r="K584" s="81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</row>
    <row r="585" ht="15.75" customHeight="1">
      <c r="A585" s="65"/>
      <c r="B585" s="175"/>
      <c r="C585" s="76"/>
      <c r="D585" s="77"/>
      <c r="E585" s="77"/>
      <c r="F585" s="78"/>
      <c r="G585" s="77"/>
      <c r="H585" s="77"/>
      <c r="I585" s="79"/>
      <c r="J585" s="88"/>
      <c r="K585" s="81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</row>
    <row r="586" ht="15.75" customHeight="1">
      <c r="A586" s="65"/>
      <c r="B586" s="175"/>
      <c r="C586" s="76"/>
      <c r="D586" s="77"/>
      <c r="E586" s="77"/>
      <c r="F586" s="78"/>
      <c r="G586" s="77"/>
      <c r="H586" s="77"/>
      <c r="I586" s="79"/>
      <c r="J586" s="88"/>
      <c r="K586" s="81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</row>
    <row r="587" ht="15.75" customHeight="1">
      <c r="A587" s="65"/>
      <c r="B587" s="175"/>
      <c r="C587" s="76"/>
      <c r="D587" s="77"/>
      <c r="E587" s="77"/>
      <c r="F587" s="78"/>
      <c r="G587" s="77"/>
      <c r="H587" s="77"/>
      <c r="I587" s="79"/>
      <c r="J587" s="88"/>
      <c r="K587" s="81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</row>
    <row r="588" ht="15.75" customHeight="1">
      <c r="A588" s="65"/>
      <c r="B588" s="175"/>
      <c r="C588" s="76"/>
      <c r="D588" s="77"/>
      <c r="E588" s="77"/>
      <c r="F588" s="78"/>
      <c r="G588" s="77"/>
      <c r="H588" s="77"/>
      <c r="I588" s="79"/>
      <c r="J588" s="88"/>
      <c r="K588" s="81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</row>
    <row r="589" ht="15.75" customHeight="1">
      <c r="A589" s="65"/>
      <c r="B589" s="175"/>
      <c r="C589" s="76"/>
      <c r="D589" s="77"/>
      <c r="E589" s="77"/>
      <c r="F589" s="78"/>
      <c r="G589" s="77"/>
      <c r="H589" s="77"/>
      <c r="I589" s="79"/>
      <c r="J589" s="88"/>
      <c r="K589" s="81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</row>
    <row r="590" ht="15.75" customHeight="1">
      <c r="A590" s="65"/>
      <c r="B590" s="175"/>
      <c r="C590" s="76"/>
      <c r="D590" s="77"/>
      <c r="E590" s="77"/>
      <c r="F590" s="78"/>
      <c r="G590" s="77"/>
      <c r="H590" s="77"/>
      <c r="I590" s="79"/>
      <c r="J590" s="88"/>
      <c r="K590" s="81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</row>
    <row r="591" ht="15.75" customHeight="1">
      <c r="A591" s="65"/>
      <c r="B591" s="175"/>
      <c r="C591" s="76"/>
      <c r="D591" s="77"/>
      <c r="E591" s="77"/>
      <c r="F591" s="78"/>
      <c r="G591" s="77"/>
      <c r="H591" s="77"/>
      <c r="I591" s="79"/>
      <c r="J591" s="88"/>
      <c r="K591" s="81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</row>
    <row r="592" ht="15.75" customHeight="1">
      <c r="A592" s="65"/>
      <c r="B592" s="175"/>
      <c r="C592" s="76"/>
      <c r="D592" s="77"/>
      <c r="E592" s="77"/>
      <c r="F592" s="78"/>
      <c r="G592" s="77"/>
      <c r="H592" s="77"/>
      <c r="I592" s="79"/>
      <c r="J592" s="88"/>
      <c r="K592" s="81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</row>
    <row r="593" ht="15.75" customHeight="1">
      <c r="A593" s="65"/>
      <c r="B593" s="175"/>
      <c r="C593" s="76"/>
      <c r="D593" s="77"/>
      <c r="E593" s="77"/>
      <c r="F593" s="78"/>
      <c r="G593" s="77"/>
      <c r="H593" s="77"/>
      <c r="I593" s="79"/>
      <c r="J593" s="88"/>
      <c r="K593" s="81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</row>
    <row r="594" ht="15.75" customHeight="1">
      <c r="A594" s="65"/>
      <c r="B594" s="175"/>
      <c r="C594" s="76"/>
      <c r="D594" s="77"/>
      <c r="E594" s="77"/>
      <c r="F594" s="78"/>
      <c r="G594" s="77"/>
      <c r="H594" s="77"/>
      <c r="I594" s="79"/>
      <c r="J594" s="88"/>
      <c r="K594" s="81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</row>
    <row r="595" ht="15.75" customHeight="1">
      <c r="A595" s="65"/>
      <c r="B595" s="175"/>
      <c r="C595" s="76"/>
      <c r="D595" s="77"/>
      <c r="E595" s="77"/>
      <c r="F595" s="78"/>
      <c r="G595" s="77"/>
      <c r="H595" s="77"/>
      <c r="I595" s="79"/>
      <c r="J595" s="88"/>
      <c r="K595" s="81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</row>
    <row r="596" ht="15.75" customHeight="1">
      <c r="A596" s="65"/>
      <c r="B596" s="175"/>
      <c r="C596" s="76"/>
      <c r="D596" s="77"/>
      <c r="E596" s="77"/>
      <c r="F596" s="78"/>
      <c r="G596" s="77"/>
      <c r="H596" s="77"/>
      <c r="I596" s="79"/>
      <c r="J596" s="88"/>
      <c r="K596" s="81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</row>
    <row r="597" ht="15.75" customHeight="1">
      <c r="A597" s="65"/>
      <c r="B597" s="175"/>
      <c r="C597" s="76"/>
      <c r="D597" s="77"/>
      <c r="E597" s="77"/>
      <c r="F597" s="78"/>
      <c r="G597" s="77"/>
      <c r="H597" s="77"/>
      <c r="I597" s="79"/>
      <c r="J597" s="88"/>
      <c r="K597" s="81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</row>
    <row r="598" ht="15.75" customHeight="1">
      <c r="A598" s="65"/>
      <c r="B598" s="175"/>
      <c r="C598" s="76"/>
      <c r="D598" s="77"/>
      <c r="E598" s="77"/>
      <c r="F598" s="78"/>
      <c r="G598" s="77"/>
      <c r="H598" s="77"/>
      <c r="I598" s="79"/>
      <c r="J598" s="88"/>
      <c r="K598" s="81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</row>
    <row r="599" ht="15.75" customHeight="1">
      <c r="A599" s="65"/>
      <c r="B599" s="175"/>
      <c r="C599" s="76"/>
      <c r="D599" s="77"/>
      <c r="E599" s="77"/>
      <c r="F599" s="78"/>
      <c r="G599" s="77"/>
      <c r="H599" s="77"/>
      <c r="I599" s="79"/>
      <c r="J599" s="88"/>
      <c r="K599" s="81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</row>
    <row r="600" ht="15.75" customHeight="1">
      <c r="A600" s="65"/>
      <c r="B600" s="175"/>
      <c r="C600" s="76"/>
      <c r="D600" s="77"/>
      <c r="E600" s="77"/>
      <c r="F600" s="78"/>
      <c r="G600" s="77"/>
      <c r="H600" s="77"/>
      <c r="I600" s="79"/>
      <c r="J600" s="88"/>
      <c r="K600" s="81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</row>
    <row r="601" ht="15.75" customHeight="1">
      <c r="A601" s="65"/>
      <c r="B601" s="175"/>
      <c r="C601" s="76"/>
      <c r="D601" s="77"/>
      <c r="E601" s="77"/>
      <c r="F601" s="78"/>
      <c r="G601" s="77"/>
      <c r="H601" s="77"/>
      <c r="I601" s="79"/>
      <c r="J601" s="88"/>
      <c r="K601" s="81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</row>
    <row r="602" ht="15.75" customHeight="1">
      <c r="A602" s="65"/>
      <c r="B602" s="175"/>
      <c r="C602" s="76"/>
      <c r="D602" s="77"/>
      <c r="E602" s="77"/>
      <c r="F602" s="78"/>
      <c r="G602" s="77"/>
      <c r="H602" s="77"/>
      <c r="I602" s="79"/>
      <c r="J602" s="88"/>
      <c r="K602" s="81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</row>
    <row r="603" ht="15.75" customHeight="1">
      <c r="A603" s="65"/>
      <c r="B603" s="175"/>
      <c r="C603" s="76"/>
      <c r="D603" s="77"/>
      <c r="E603" s="77"/>
      <c r="F603" s="78"/>
      <c r="G603" s="77"/>
      <c r="H603" s="77"/>
      <c r="I603" s="79"/>
      <c r="J603" s="88"/>
      <c r="K603" s="81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</row>
    <row r="604" ht="15.75" customHeight="1">
      <c r="A604" s="65"/>
      <c r="B604" s="175"/>
      <c r="C604" s="76"/>
      <c r="D604" s="77"/>
      <c r="E604" s="77"/>
      <c r="F604" s="78"/>
      <c r="G604" s="77"/>
      <c r="H604" s="77"/>
      <c r="I604" s="79"/>
      <c r="J604" s="88"/>
      <c r="K604" s="81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</row>
    <row r="605" ht="15.75" customHeight="1">
      <c r="A605" s="65"/>
      <c r="B605" s="175"/>
      <c r="C605" s="76"/>
      <c r="D605" s="77"/>
      <c r="E605" s="77"/>
      <c r="F605" s="78"/>
      <c r="G605" s="77"/>
      <c r="H605" s="77"/>
      <c r="I605" s="79"/>
      <c r="J605" s="88"/>
      <c r="K605" s="81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</row>
    <row r="606" ht="15.75" customHeight="1">
      <c r="A606" s="65"/>
      <c r="B606" s="175"/>
      <c r="C606" s="76"/>
      <c r="D606" s="77"/>
      <c r="E606" s="77"/>
      <c r="F606" s="78"/>
      <c r="G606" s="77"/>
      <c r="H606" s="77"/>
      <c r="I606" s="79"/>
      <c r="J606" s="88"/>
      <c r="K606" s="81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</row>
    <row r="607" ht="15.75" customHeight="1">
      <c r="A607" s="65"/>
      <c r="B607" s="175"/>
      <c r="C607" s="76"/>
      <c r="D607" s="77"/>
      <c r="E607" s="77"/>
      <c r="F607" s="78"/>
      <c r="G607" s="77"/>
      <c r="H607" s="77"/>
      <c r="I607" s="79"/>
      <c r="J607" s="88"/>
      <c r="K607" s="81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</row>
    <row r="608" ht="15.75" customHeight="1">
      <c r="A608" s="65"/>
      <c r="B608" s="175"/>
      <c r="C608" s="76"/>
      <c r="D608" s="77"/>
      <c r="E608" s="77"/>
      <c r="F608" s="78"/>
      <c r="G608" s="77"/>
      <c r="H608" s="77"/>
      <c r="I608" s="79"/>
      <c r="J608" s="88"/>
      <c r="K608" s="81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</row>
    <row r="609" ht="15.75" customHeight="1">
      <c r="A609" s="65"/>
      <c r="B609" s="175"/>
      <c r="C609" s="76"/>
      <c r="D609" s="77"/>
      <c r="E609" s="77"/>
      <c r="F609" s="78"/>
      <c r="G609" s="77"/>
      <c r="H609" s="77"/>
      <c r="I609" s="79"/>
      <c r="J609" s="88"/>
      <c r="K609" s="81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</row>
    <row r="610" ht="15.75" customHeight="1">
      <c r="A610" s="65"/>
      <c r="B610" s="175"/>
      <c r="C610" s="76"/>
      <c r="D610" s="77"/>
      <c r="E610" s="77"/>
      <c r="F610" s="78"/>
      <c r="G610" s="77"/>
      <c r="H610" s="77"/>
      <c r="I610" s="79"/>
      <c r="J610" s="88"/>
      <c r="K610" s="81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</row>
    <row r="611" ht="15.75" customHeight="1">
      <c r="A611" s="65"/>
      <c r="B611" s="175"/>
      <c r="C611" s="76"/>
      <c r="D611" s="77"/>
      <c r="E611" s="77"/>
      <c r="F611" s="78"/>
      <c r="G611" s="77"/>
      <c r="H611" s="77"/>
      <c r="I611" s="79"/>
      <c r="J611" s="88"/>
      <c r="K611" s="81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</row>
    <row r="612" ht="15.75" customHeight="1">
      <c r="A612" s="65"/>
      <c r="B612" s="175"/>
      <c r="C612" s="76"/>
      <c r="D612" s="77"/>
      <c r="E612" s="77"/>
      <c r="F612" s="78"/>
      <c r="G612" s="77"/>
      <c r="H612" s="77"/>
      <c r="I612" s="79"/>
      <c r="J612" s="88"/>
      <c r="K612" s="81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</row>
    <row r="613" ht="15.75" customHeight="1">
      <c r="A613" s="65"/>
      <c r="B613" s="175"/>
      <c r="C613" s="76"/>
      <c r="D613" s="77"/>
      <c r="E613" s="77"/>
      <c r="F613" s="78"/>
      <c r="G613" s="77"/>
      <c r="H613" s="77"/>
      <c r="I613" s="79"/>
      <c r="J613" s="88"/>
      <c r="K613" s="81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</row>
    <row r="614" ht="15.75" customHeight="1">
      <c r="A614" s="65"/>
      <c r="B614" s="175"/>
      <c r="C614" s="76"/>
      <c r="D614" s="77"/>
      <c r="E614" s="77"/>
      <c r="F614" s="78"/>
      <c r="G614" s="77"/>
      <c r="H614" s="77"/>
      <c r="I614" s="79"/>
      <c r="J614" s="88"/>
      <c r="K614" s="81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</row>
    <row r="615" ht="15.75" customHeight="1">
      <c r="A615" s="65"/>
      <c r="B615" s="175"/>
      <c r="C615" s="76"/>
      <c r="D615" s="77"/>
      <c r="E615" s="77"/>
      <c r="F615" s="78"/>
      <c r="G615" s="77"/>
      <c r="H615" s="77"/>
      <c r="I615" s="79"/>
      <c r="J615" s="88"/>
      <c r="K615" s="81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</row>
    <row r="616" ht="15.75" customHeight="1">
      <c r="A616" s="65"/>
      <c r="B616" s="175"/>
      <c r="C616" s="76"/>
      <c r="D616" s="77"/>
      <c r="E616" s="77"/>
      <c r="F616" s="78"/>
      <c r="G616" s="77"/>
      <c r="H616" s="77"/>
      <c r="I616" s="79"/>
      <c r="J616" s="88"/>
      <c r="K616" s="81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</row>
    <row r="617" ht="15.75" customHeight="1">
      <c r="A617" s="65"/>
      <c r="B617" s="175"/>
      <c r="C617" s="76"/>
      <c r="D617" s="77"/>
      <c r="E617" s="77"/>
      <c r="F617" s="78"/>
      <c r="G617" s="77"/>
      <c r="H617" s="77"/>
      <c r="I617" s="79"/>
      <c r="J617" s="88"/>
      <c r="K617" s="81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</row>
    <row r="618" ht="15.75" customHeight="1">
      <c r="A618" s="65"/>
      <c r="B618" s="175"/>
      <c r="C618" s="76"/>
      <c r="D618" s="77"/>
      <c r="E618" s="77"/>
      <c r="F618" s="78"/>
      <c r="G618" s="77"/>
      <c r="H618" s="77"/>
      <c r="I618" s="79"/>
      <c r="J618" s="88"/>
      <c r="K618" s="81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</row>
    <row r="619" ht="15.75" customHeight="1">
      <c r="A619" s="65"/>
      <c r="B619" s="175"/>
      <c r="C619" s="76"/>
      <c r="D619" s="77"/>
      <c r="E619" s="77"/>
      <c r="F619" s="78"/>
      <c r="G619" s="77"/>
      <c r="H619" s="77"/>
      <c r="I619" s="79"/>
      <c r="J619" s="88"/>
      <c r="K619" s="81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</row>
    <row r="620" ht="15.75" customHeight="1">
      <c r="A620" s="65"/>
      <c r="B620" s="175"/>
      <c r="C620" s="76"/>
      <c r="D620" s="77"/>
      <c r="E620" s="77"/>
      <c r="F620" s="78"/>
      <c r="G620" s="77"/>
      <c r="H620" s="77"/>
      <c r="I620" s="79"/>
      <c r="J620" s="88"/>
      <c r="K620" s="81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</row>
    <row r="621" ht="15.75" customHeight="1">
      <c r="A621" s="65"/>
      <c r="B621" s="175"/>
      <c r="C621" s="76"/>
      <c r="D621" s="77"/>
      <c r="E621" s="77"/>
      <c r="F621" s="78"/>
      <c r="G621" s="77"/>
      <c r="H621" s="77"/>
      <c r="I621" s="79"/>
      <c r="J621" s="88"/>
      <c r="K621" s="81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</row>
    <row r="622" ht="15.75" customHeight="1">
      <c r="A622" s="65"/>
      <c r="B622" s="175"/>
      <c r="C622" s="76"/>
      <c r="D622" s="77"/>
      <c r="E622" s="77"/>
      <c r="F622" s="78"/>
      <c r="G622" s="77"/>
      <c r="H622" s="77"/>
      <c r="I622" s="79"/>
      <c r="J622" s="88"/>
      <c r="K622" s="81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</row>
    <row r="623" ht="15.75" customHeight="1">
      <c r="A623" s="65"/>
      <c r="B623" s="175"/>
      <c r="C623" s="76"/>
      <c r="D623" s="77"/>
      <c r="E623" s="77"/>
      <c r="F623" s="78"/>
      <c r="G623" s="77"/>
      <c r="H623" s="77"/>
      <c r="I623" s="79"/>
      <c r="J623" s="88"/>
      <c r="K623" s="81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</row>
    <row r="624" ht="15.75" customHeight="1">
      <c r="A624" s="65"/>
      <c r="B624" s="175"/>
      <c r="C624" s="76"/>
      <c r="D624" s="77"/>
      <c r="E624" s="77"/>
      <c r="F624" s="78"/>
      <c r="G624" s="77"/>
      <c r="H624" s="77"/>
      <c r="I624" s="79"/>
      <c r="J624" s="88"/>
      <c r="K624" s="81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</row>
    <row r="625" ht="15.75" customHeight="1">
      <c r="A625" s="65"/>
      <c r="B625" s="175"/>
      <c r="C625" s="76"/>
      <c r="D625" s="77"/>
      <c r="E625" s="77"/>
      <c r="F625" s="78"/>
      <c r="G625" s="77"/>
      <c r="H625" s="77"/>
      <c r="I625" s="79"/>
      <c r="J625" s="88"/>
      <c r="K625" s="81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</row>
    <row r="626" ht="15.75" customHeight="1">
      <c r="A626" s="65"/>
      <c r="B626" s="175"/>
      <c r="C626" s="76"/>
      <c r="D626" s="77"/>
      <c r="E626" s="77"/>
      <c r="F626" s="78"/>
      <c r="G626" s="77"/>
      <c r="H626" s="77"/>
      <c r="I626" s="79"/>
      <c r="J626" s="88"/>
      <c r="K626" s="81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</row>
    <row r="627" ht="15.75" customHeight="1">
      <c r="A627" s="65"/>
      <c r="B627" s="175"/>
      <c r="C627" s="76"/>
      <c r="D627" s="77"/>
      <c r="E627" s="77"/>
      <c r="F627" s="78"/>
      <c r="G627" s="77"/>
      <c r="H627" s="77"/>
      <c r="I627" s="79"/>
      <c r="J627" s="88"/>
      <c r="K627" s="81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</row>
    <row r="628" ht="15.75" customHeight="1">
      <c r="A628" s="65"/>
      <c r="B628" s="175"/>
      <c r="C628" s="76"/>
      <c r="D628" s="77"/>
      <c r="E628" s="77"/>
      <c r="F628" s="78"/>
      <c r="G628" s="77"/>
      <c r="H628" s="77"/>
      <c r="I628" s="79"/>
      <c r="J628" s="88"/>
      <c r="K628" s="81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</row>
    <row r="629" ht="15.75" customHeight="1">
      <c r="A629" s="65"/>
      <c r="B629" s="175"/>
      <c r="C629" s="76"/>
      <c r="D629" s="77"/>
      <c r="E629" s="77"/>
      <c r="F629" s="78"/>
      <c r="G629" s="77"/>
      <c r="H629" s="77"/>
      <c r="I629" s="79"/>
      <c r="J629" s="88"/>
      <c r="K629" s="81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</row>
    <row r="630" ht="15.75" customHeight="1">
      <c r="A630" s="65"/>
      <c r="B630" s="175"/>
      <c r="C630" s="76"/>
      <c r="D630" s="77"/>
      <c r="E630" s="77"/>
      <c r="F630" s="78"/>
      <c r="G630" s="77"/>
      <c r="H630" s="77"/>
      <c r="I630" s="79"/>
      <c r="J630" s="88"/>
      <c r="K630" s="81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</row>
    <row r="631" ht="15.75" customHeight="1">
      <c r="A631" s="65"/>
      <c r="B631" s="175"/>
      <c r="C631" s="76"/>
      <c r="D631" s="77"/>
      <c r="E631" s="77"/>
      <c r="F631" s="78"/>
      <c r="G631" s="77"/>
      <c r="H631" s="77"/>
      <c r="I631" s="79"/>
      <c r="J631" s="88"/>
      <c r="K631" s="81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</row>
    <row r="632" ht="15.75" customHeight="1">
      <c r="A632" s="65"/>
      <c r="B632" s="175"/>
      <c r="C632" s="76"/>
      <c r="D632" s="77"/>
      <c r="E632" s="77"/>
      <c r="F632" s="78"/>
      <c r="G632" s="77"/>
      <c r="H632" s="77"/>
      <c r="I632" s="79"/>
      <c r="J632" s="88"/>
      <c r="K632" s="81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</row>
    <row r="633" ht="15.75" customHeight="1">
      <c r="A633" s="65"/>
      <c r="B633" s="175"/>
      <c r="C633" s="76"/>
      <c r="D633" s="77"/>
      <c r="E633" s="77"/>
      <c r="F633" s="78"/>
      <c r="G633" s="77"/>
      <c r="H633" s="77"/>
      <c r="I633" s="79"/>
      <c r="J633" s="88"/>
      <c r="K633" s="81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</row>
    <row r="634" ht="15.75" customHeight="1">
      <c r="A634" s="65"/>
      <c r="B634" s="175"/>
      <c r="C634" s="76"/>
      <c r="D634" s="77"/>
      <c r="E634" s="77"/>
      <c r="F634" s="78"/>
      <c r="G634" s="77"/>
      <c r="H634" s="77"/>
      <c r="I634" s="79"/>
      <c r="J634" s="88"/>
      <c r="K634" s="81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</row>
    <row r="635" ht="15.75" customHeight="1">
      <c r="A635" s="65"/>
      <c r="B635" s="175"/>
      <c r="C635" s="76"/>
      <c r="D635" s="77"/>
      <c r="E635" s="77"/>
      <c r="F635" s="78"/>
      <c r="G635" s="77"/>
      <c r="H635" s="77"/>
      <c r="I635" s="79"/>
      <c r="J635" s="88"/>
      <c r="K635" s="81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</row>
    <row r="636" ht="15.75" customHeight="1">
      <c r="A636" s="65"/>
      <c r="B636" s="175"/>
      <c r="C636" s="76"/>
      <c r="D636" s="77"/>
      <c r="E636" s="77"/>
      <c r="F636" s="78"/>
      <c r="G636" s="77"/>
      <c r="H636" s="77"/>
      <c r="I636" s="79"/>
      <c r="J636" s="88"/>
      <c r="K636" s="81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</row>
    <row r="637" ht="15.75" customHeight="1">
      <c r="A637" s="65"/>
      <c r="B637" s="175"/>
      <c r="C637" s="76"/>
      <c r="D637" s="77"/>
      <c r="E637" s="77"/>
      <c r="F637" s="78"/>
      <c r="G637" s="77"/>
      <c r="H637" s="77"/>
      <c r="I637" s="79"/>
      <c r="J637" s="88"/>
      <c r="K637" s="81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</row>
    <row r="638" ht="15.75" customHeight="1">
      <c r="A638" s="65"/>
      <c r="B638" s="175"/>
      <c r="C638" s="76"/>
      <c r="D638" s="77"/>
      <c r="E638" s="77"/>
      <c r="F638" s="78"/>
      <c r="G638" s="77"/>
      <c r="H638" s="77"/>
      <c r="I638" s="79"/>
      <c r="J638" s="88"/>
      <c r="K638" s="81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</row>
    <row r="639" ht="15.75" customHeight="1">
      <c r="A639" s="65"/>
      <c r="B639" s="175"/>
      <c r="C639" s="76"/>
      <c r="D639" s="77"/>
      <c r="E639" s="77"/>
      <c r="F639" s="78"/>
      <c r="G639" s="77"/>
      <c r="H639" s="77"/>
      <c r="I639" s="79"/>
      <c r="J639" s="88"/>
      <c r="K639" s="81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</row>
    <row r="640" ht="15.75" customHeight="1">
      <c r="A640" s="65"/>
      <c r="B640" s="175"/>
      <c r="C640" s="76"/>
      <c r="D640" s="77"/>
      <c r="E640" s="77"/>
      <c r="F640" s="78"/>
      <c r="G640" s="77"/>
      <c r="H640" s="77"/>
      <c r="I640" s="79"/>
      <c r="J640" s="88"/>
      <c r="K640" s="81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</row>
    <row r="641" ht="15.75" customHeight="1">
      <c r="A641" s="65"/>
      <c r="B641" s="175"/>
      <c r="C641" s="76"/>
      <c r="D641" s="77"/>
      <c r="E641" s="77"/>
      <c r="F641" s="78"/>
      <c r="G641" s="77"/>
      <c r="H641" s="77"/>
      <c r="I641" s="79"/>
      <c r="J641" s="88"/>
      <c r="K641" s="81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</row>
    <row r="642" ht="15.75" customHeight="1">
      <c r="A642" s="65"/>
      <c r="B642" s="175"/>
      <c r="C642" s="76"/>
      <c r="D642" s="77"/>
      <c r="E642" s="77"/>
      <c r="F642" s="78"/>
      <c r="G642" s="77"/>
      <c r="H642" s="77"/>
      <c r="I642" s="79"/>
      <c r="J642" s="88"/>
      <c r="K642" s="81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</row>
    <row r="643" ht="15.75" customHeight="1">
      <c r="A643" s="65"/>
      <c r="B643" s="175"/>
      <c r="C643" s="76"/>
      <c r="D643" s="77"/>
      <c r="E643" s="77"/>
      <c r="F643" s="78"/>
      <c r="G643" s="77"/>
      <c r="H643" s="77"/>
      <c r="I643" s="79"/>
      <c r="J643" s="88"/>
      <c r="K643" s="81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</row>
    <row r="644" ht="15.75" customHeight="1">
      <c r="A644" s="65"/>
      <c r="B644" s="175"/>
      <c r="C644" s="76"/>
      <c r="D644" s="77"/>
      <c r="E644" s="77"/>
      <c r="F644" s="78"/>
      <c r="G644" s="77"/>
      <c r="H644" s="77"/>
      <c r="I644" s="79"/>
      <c r="J644" s="88"/>
      <c r="K644" s="81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</row>
    <row r="645" ht="15.75" customHeight="1">
      <c r="A645" s="65"/>
      <c r="B645" s="175"/>
      <c r="C645" s="76"/>
      <c r="D645" s="77"/>
      <c r="E645" s="77"/>
      <c r="F645" s="78"/>
      <c r="G645" s="77"/>
      <c r="H645" s="77"/>
      <c r="I645" s="79"/>
      <c r="J645" s="88"/>
      <c r="K645" s="81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</row>
    <row r="646" ht="15.75" customHeight="1">
      <c r="A646" s="65"/>
      <c r="B646" s="175"/>
      <c r="C646" s="76"/>
      <c r="D646" s="77"/>
      <c r="E646" s="77"/>
      <c r="F646" s="78"/>
      <c r="G646" s="77"/>
      <c r="H646" s="77"/>
      <c r="I646" s="79"/>
      <c r="J646" s="88"/>
      <c r="K646" s="81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</row>
    <row r="647" ht="15.75" customHeight="1">
      <c r="A647" s="65"/>
      <c r="B647" s="175"/>
      <c r="C647" s="76"/>
      <c r="D647" s="77"/>
      <c r="E647" s="77"/>
      <c r="F647" s="78"/>
      <c r="G647" s="77"/>
      <c r="H647" s="77"/>
      <c r="I647" s="79"/>
      <c r="J647" s="88"/>
      <c r="K647" s="81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</row>
    <row r="648" ht="15.75" customHeight="1">
      <c r="A648" s="65"/>
      <c r="B648" s="175"/>
      <c r="C648" s="76"/>
      <c r="D648" s="77"/>
      <c r="E648" s="77"/>
      <c r="F648" s="78"/>
      <c r="G648" s="77"/>
      <c r="H648" s="77"/>
      <c r="I648" s="79"/>
      <c r="J648" s="88"/>
      <c r="K648" s="81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</row>
    <row r="649" ht="15.75" customHeight="1">
      <c r="A649" s="65"/>
      <c r="B649" s="175"/>
      <c r="C649" s="76"/>
      <c r="D649" s="77"/>
      <c r="E649" s="77"/>
      <c r="F649" s="78"/>
      <c r="G649" s="77"/>
      <c r="H649" s="77"/>
      <c r="I649" s="79"/>
      <c r="J649" s="88"/>
      <c r="K649" s="81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</row>
    <row r="650" ht="15.75" customHeight="1">
      <c r="A650" s="65"/>
      <c r="B650" s="175"/>
      <c r="C650" s="76"/>
      <c r="D650" s="77"/>
      <c r="E650" s="77"/>
      <c r="F650" s="78"/>
      <c r="G650" s="77"/>
      <c r="H650" s="77"/>
      <c r="I650" s="79"/>
      <c r="J650" s="88"/>
      <c r="K650" s="81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</row>
    <row r="651" ht="15.75" customHeight="1">
      <c r="A651" s="65"/>
      <c r="B651" s="175"/>
      <c r="C651" s="76"/>
      <c r="D651" s="77"/>
      <c r="E651" s="77"/>
      <c r="F651" s="78"/>
      <c r="G651" s="77"/>
      <c r="H651" s="77"/>
      <c r="I651" s="79"/>
      <c r="J651" s="88"/>
      <c r="K651" s="81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</row>
    <row r="652" ht="15.75" customHeight="1">
      <c r="A652" s="65"/>
      <c r="B652" s="175"/>
      <c r="C652" s="76"/>
      <c r="D652" s="77"/>
      <c r="E652" s="77"/>
      <c r="F652" s="78"/>
      <c r="G652" s="77"/>
      <c r="H652" s="77"/>
      <c r="I652" s="79"/>
      <c r="J652" s="88"/>
      <c r="K652" s="81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</row>
    <row r="653" ht="15.75" customHeight="1">
      <c r="A653" s="65"/>
      <c r="B653" s="175"/>
      <c r="C653" s="76"/>
      <c r="D653" s="77"/>
      <c r="E653" s="77"/>
      <c r="F653" s="78"/>
      <c r="G653" s="77"/>
      <c r="H653" s="77"/>
      <c r="I653" s="79"/>
      <c r="J653" s="88"/>
      <c r="K653" s="81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</row>
    <row r="654" ht="15.75" customHeight="1">
      <c r="A654" s="65"/>
      <c r="B654" s="175"/>
      <c r="C654" s="76"/>
      <c r="D654" s="77"/>
      <c r="E654" s="77"/>
      <c r="F654" s="78"/>
      <c r="G654" s="77"/>
      <c r="H654" s="77"/>
      <c r="I654" s="79"/>
      <c r="J654" s="88"/>
      <c r="K654" s="81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</row>
    <row r="655" ht="15.75" customHeight="1">
      <c r="A655" s="65"/>
      <c r="B655" s="175"/>
      <c r="C655" s="76"/>
      <c r="D655" s="77"/>
      <c r="E655" s="77"/>
      <c r="F655" s="78"/>
      <c r="G655" s="77"/>
      <c r="H655" s="77"/>
      <c r="I655" s="79"/>
      <c r="J655" s="88"/>
      <c r="K655" s="81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</row>
    <row r="656" ht="15.75" customHeight="1">
      <c r="A656" s="65"/>
      <c r="B656" s="175"/>
      <c r="C656" s="76"/>
      <c r="D656" s="77"/>
      <c r="E656" s="77"/>
      <c r="F656" s="78"/>
      <c r="G656" s="77"/>
      <c r="H656" s="77"/>
      <c r="I656" s="79"/>
      <c r="J656" s="88"/>
      <c r="K656" s="81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</row>
    <row r="657" ht="15.75" customHeight="1">
      <c r="A657" s="65"/>
      <c r="B657" s="175"/>
      <c r="C657" s="76"/>
      <c r="D657" s="77"/>
      <c r="E657" s="77"/>
      <c r="F657" s="78"/>
      <c r="G657" s="77"/>
      <c r="H657" s="77"/>
      <c r="I657" s="79"/>
      <c r="J657" s="88"/>
      <c r="K657" s="81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</row>
    <row r="658" ht="15.75" customHeight="1">
      <c r="A658" s="65"/>
      <c r="B658" s="175"/>
      <c r="C658" s="76"/>
      <c r="D658" s="77"/>
      <c r="E658" s="77"/>
      <c r="F658" s="78"/>
      <c r="G658" s="77"/>
      <c r="H658" s="77"/>
      <c r="I658" s="79"/>
      <c r="J658" s="88"/>
      <c r="K658" s="81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</row>
    <row r="659" ht="15.75" customHeight="1">
      <c r="A659" s="65"/>
      <c r="B659" s="175"/>
      <c r="C659" s="76"/>
      <c r="D659" s="77"/>
      <c r="E659" s="77"/>
      <c r="F659" s="78"/>
      <c r="G659" s="77"/>
      <c r="H659" s="77"/>
      <c r="I659" s="79"/>
      <c r="J659" s="88"/>
      <c r="K659" s="81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</row>
    <row r="660" ht="15.75" customHeight="1">
      <c r="A660" s="65"/>
      <c r="B660" s="175"/>
      <c r="C660" s="76"/>
      <c r="D660" s="77"/>
      <c r="E660" s="77"/>
      <c r="F660" s="78"/>
      <c r="G660" s="77"/>
      <c r="H660" s="77"/>
      <c r="I660" s="79"/>
      <c r="J660" s="88"/>
      <c r="K660" s="81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</row>
    <row r="661" ht="15.75" customHeight="1">
      <c r="A661" s="65"/>
      <c r="B661" s="175"/>
      <c r="C661" s="76"/>
      <c r="D661" s="77"/>
      <c r="E661" s="77"/>
      <c r="F661" s="78"/>
      <c r="G661" s="77"/>
      <c r="H661" s="77"/>
      <c r="I661" s="79"/>
      <c r="J661" s="88"/>
      <c r="K661" s="81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</row>
    <row r="662" ht="15.75" customHeight="1">
      <c r="A662" s="65"/>
      <c r="B662" s="175"/>
      <c r="C662" s="76"/>
      <c r="D662" s="77"/>
      <c r="E662" s="77"/>
      <c r="F662" s="78"/>
      <c r="G662" s="77"/>
      <c r="H662" s="77"/>
      <c r="I662" s="79"/>
      <c r="J662" s="88"/>
      <c r="K662" s="81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</row>
    <row r="663" ht="15.75" customHeight="1">
      <c r="A663" s="65"/>
      <c r="B663" s="175"/>
      <c r="C663" s="76"/>
      <c r="D663" s="77"/>
      <c r="E663" s="77"/>
      <c r="F663" s="78"/>
      <c r="G663" s="77"/>
      <c r="H663" s="77"/>
      <c r="I663" s="79"/>
      <c r="J663" s="88"/>
      <c r="K663" s="81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</row>
    <row r="664" ht="15.75" customHeight="1">
      <c r="A664" s="65"/>
      <c r="B664" s="175"/>
      <c r="C664" s="76"/>
      <c r="D664" s="77"/>
      <c r="E664" s="77"/>
      <c r="F664" s="78"/>
      <c r="G664" s="77"/>
      <c r="H664" s="77"/>
      <c r="I664" s="79"/>
      <c r="J664" s="88"/>
      <c r="K664" s="81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</row>
    <row r="665" ht="15.75" customHeight="1">
      <c r="A665" s="65"/>
      <c r="B665" s="175"/>
      <c r="C665" s="76"/>
      <c r="D665" s="77"/>
      <c r="E665" s="77"/>
      <c r="F665" s="78"/>
      <c r="G665" s="77"/>
      <c r="H665" s="77"/>
      <c r="I665" s="79"/>
      <c r="J665" s="88"/>
      <c r="K665" s="81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</row>
    <row r="666" ht="15.75" customHeight="1">
      <c r="A666" s="65"/>
      <c r="B666" s="175"/>
      <c r="C666" s="76"/>
      <c r="D666" s="77"/>
      <c r="E666" s="77"/>
      <c r="F666" s="78"/>
      <c r="G666" s="77"/>
      <c r="H666" s="77"/>
      <c r="I666" s="79"/>
      <c r="J666" s="88"/>
      <c r="K666" s="81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</row>
    <row r="667" ht="15.75" customHeight="1">
      <c r="A667" s="65"/>
      <c r="B667" s="175"/>
      <c r="C667" s="76"/>
      <c r="D667" s="77"/>
      <c r="E667" s="77"/>
      <c r="F667" s="78"/>
      <c r="G667" s="77"/>
      <c r="H667" s="77"/>
      <c r="I667" s="79"/>
      <c r="J667" s="88"/>
      <c r="K667" s="81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</row>
    <row r="668" ht="15.75" customHeight="1">
      <c r="A668" s="65"/>
      <c r="B668" s="175"/>
      <c r="C668" s="76"/>
      <c r="D668" s="77"/>
      <c r="E668" s="77"/>
      <c r="F668" s="78"/>
      <c r="G668" s="77"/>
      <c r="H668" s="77"/>
      <c r="I668" s="79"/>
      <c r="J668" s="88"/>
      <c r="K668" s="81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</row>
    <row r="669" ht="15.75" customHeight="1">
      <c r="A669" s="65"/>
      <c r="B669" s="175"/>
      <c r="C669" s="76"/>
      <c r="D669" s="77"/>
      <c r="E669" s="77"/>
      <c r="F669" s="78"/>
      <c r="G669" s="77"/>
      <c r="H669" s="77"/>
      <c r="I669" s="79"/>
      <c r="J669" s="88"/>
      <c r="K669" s="81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</row>
    <row r="670" ht="15.75" customHeight="1">
      <c r="A670" s="65"/>
      <c r="B670" s="175"/>
      <c r="C670" s="76"/>
      <c r="D670" s="77"/>
      <c r="E670" s="77"/>
      <c r="F670" s="78"/>
      <c r="G670" s="77"/>
      <c r="H670" s="77"/>
      <c r="I670" s="79"/>
      <c r="J670" s="88"/>
      <c r="K670" s="81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</row>
    <row r="671" ht="15.75" customHeight="1">
      <c r="A671" s="65"/>
      <c r="B671" s="175"/>
      <c r="C671" s="76"/>
      <c r="D671" s="77"/>
      <c r="E671" s="77"/>
      <c r="F671" s="78"/>
      <c r="G671" s="77"/>
      <c r="H671" s="77"/>
      <c r="I671" s="79"/>
      <c r="J671" s="88"/>
      <c r="K671" s="81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</row>
    <row r="672" ht="15.75" customHeight="1">
      <c r="A672" s="65"/>
      <c r="B672" s="175"/>
      <c r="C672" s="76"/>
      <c r="D672" s="77"/>
      <c r="E672" s="77"/>
      <c r="F672" s="78"/>
      <c r="G672" s="77"/>
      <c r="H672" s="77"/>
      <c r="I672" s="79"/>
      <c r="J672" s="88"/>
      <c r="K672" s="81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</row>
    <row r="673" ht="15.75" customHeight="1">
      <c r="A673" s="65"/>
      <c r="B673" s="175"/>
      <c r="C673" s="76"/>
      <c r="D673" s="77"/>
      <c r="E673" s="77"/>
      <c r="F673" s="78"/>
      <c r="G673" s="77"/>
      <c r="H673" s="77"/>
      <c r="I673" s="79"/>
      <c r="J673" s="88"/>
      <c r="K673" s="81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</row>
    <row r="674" ht="15.75" customHeight="1">
      <c r="A674" s="65"/>
      <c r="B674" s="175"/>
      <c r="C674" s="76"/>
      <c r="D674" s="77"/>
      <c r="E674" s="77"/>
      <c r="F674" s="78"/>
      <c r="G674" s="77"/>
      <c r="H674" s="77"/>
      <c r="I674" s="79"/>
      <c r="J674" s="88"/>
      <c r="K674" s="81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</row>
    <row r="675" ht="15.75" customHeight="1">
      <c r="A675" s="65"/>
      <c r="B675" s="175"/>
      <c r="C675" s="76"/>
      <c r="D675" s="77"/>
      <c r="E675" s="77"/>
      <c r="F675" s="78"/>
      <c r="G675" s="77"/>
      <c r="H675" s="77"/>
      <c r="I675" s="79"/>
      <c r="J675" s="88"/>
      <c r="K675" s="81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</row>
    <row r="676" ht="15.75" customHeight="1">
      <c r="A676" s="65"/>
      <c r="B676" s="175"/>
      <c r="C676" s="76"/>
      <c r="D676" s="77"/>
      <c r="E676" s="77"/>
      <c r="F676" s="78"/>
      <c r="G676" s="77"/>
      <c r="H676" s="77"/>
      <c r="I676" s="79"/>
      <c r="J676" s="88"/>
      <c r="K676" s="81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</row>
    <row r="677" ht="15.75" customHeight="1">
      <c r="A677" s="65"/>
      <c r="B677" s="175"/>
      <c r="C677" s="76"/>
      <c r="D677" s="77"/>
      <c r="E677" s="77"/>
      <c r="F677" s="78"/>
      <c r="G677" s="77"/>
      <c r="H677" s="77"/>
      <c r="I677" s="79"/>
      <c r="J677" s="88"/>
      <c r="K677" s="81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</row>
    <row r="678" ht="15.75" customHeight="1">
      <c r="A678" s="65"/>
      <c r="B678" s="175"/>
      <c r="C678" s="76"/>
      <c r="D678" s="77"/>
      <c r="E678" s="77"/>
      <c r="F678" s="78"/>
      <c r="G678" s="77"/>
      <c r="H678" s="77"/>
      <c r="I678" s="79"/>
      <c r="J678" s="88"/>
      <c r="K678" s="81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</row>
    <row r="679" ht="15.75" customHeight="1">
      <c r="A679" s="65"/>
      <c r="B679" s="175"/>
      <c r="C679" s="76"/>
      <c r="D679" s="77"/>
      <c r="E679" s="77"/>
      <c r="F679" s="78"/>
      <c r="G679" s="77"/>
      <c r="H679" s="77"/>
      <c r="I679" s="79"/>
      <c r="J679" s="88"/>
      <c r="K679" s="81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</row>
    <row r="680" ht="15.75" customHeight="1">
      <c r="A680" s="65"/>
      <c r="B680" s="175"/>
      <c r="C680" s="76"/>
      <c r="D680" s="77"/>
      <c r="E680" s="77"/>
      <c r="F680" s="78"/>
      <c r="G680" s="77"/>
      <c r="H680" s="77"/>
      <c r="I680" s="79"/>
      <c r="J680" s="88"/>
      <c r="K680" s="81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</row>
    <row r="681" ht="15.75" customHeight="1">
      <c r="A681" s="65"/>
      <c r="B681" s="175"/>
      <c r="C681" s="76"/>
      <c r="D681" s="77"/>
      <c r="E681" s="77"/>
      <c r="F681" s="78"/>
      <c r="G681" s="77"/>
      <c r="H681" s="77"/>
      <c r="I681" s="79"/>
      <c r="J681" s="88"/>
      <c r="K681" s="81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</row>
    <row r="682" ht="15.75" customHeight="1">
      <c r="A682" s="65"/>
      <c r="B682" s="175"/>
      <c r="C682" s="76"/>
      <c r="D682" s="77"/>
      <c r="E682" s="77"/>
      <c r="F682" s="78"/>
      <c r="G682" s="77"/>
      <c r="H682" s="77"/>
      <c r="I682" s="79"/>
      <c r="J682" s="88"/>
      <c r="K682" s="81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</row>
    <row r="683" ht="15.75" customHeight="1">
      <c r="A683" s="65"/>
      <c r="B683" s="175"/>
      <c r="C683" s="76"/>
      <c r="D683" s="77"/>
      <c r="E683" s="77"/>
      <c r="F683" s="78"/>
      <c r="G683" s="77"/>
      <c r="H683" s="77"/>
      <c r="I683" s="79"/>
      <c r="J683" s="88"/>
      <c r="K683" s="81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</row>
    <row r="684" ht="15.75" customHeight="1">
      <c r="A684" s="65"/>
      <c r="B684" s="175"/>
      <c r="C684" s="76"/>
      <c r="D684" s="77"/>
      <c r="E684" s="77"/>
      <c r="F684" s="78"/>
      <c r="G684" s="77"/>
      <c r="H684" s="77"/>
      <c r="I684" s="79"/>
      <c r="J684" s="88"/>
      <c r="K684" s="81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</row>
    <row r="685" ht="15.75" customHeight="1">
      <c r="A685" s="65"/>
      <c r="B685" s="175"/>
      <c r="C685" s="76"/>
      <c r="D685" s="77"/>
      <c r="E685" s="77"/>
      <c r="F685" s="78"/>
      <c r="G685" s="77"/>
      <c r="H685" s="77"/>
      <c r="I685" s="79"/>
      <c r="J685" s="88"/>
      <c r="K685" s="81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</row>
    <row r="686" ht="15.75" customHeight="1">
      <c r="A686" s="65"/>
      <c r="B686" s="175"/>
      <c r="C686" s="76"/>
      <c r="D686" s="77"/>
      <c r="E686" s="77"/>
      <c r="F686" s="78"/>
      <c r="G686" s="77"/>
      <c r="H686" s="77"/>
      <c r="I686" s="79"/>
      <c r="J686" s="88"/>
      <c r="K686" s="81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</row>
    <row r="687" ht="15.75" customHeight="1">
      <c r="A687" s="65"/>
      <c r="B687" s="175"/>
      <c r="C687" s="76"/>
      <c r="D687" s="77"/>
      <c r="E687" s="77"/>
      <c r="F687" s="78"/>
      <c r="G687" s="77"/>
      <c r="H687" s="77"/>
      <c r="I687" s="79"/>
      <c r="J687" s="88"/>
      <c r="K687" s="81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</row>
    <row r="688" ht="15.75" customHeight="1">
      <c r="A688" s="65"/>
      <c r="B688" s="175"/>
      <c r="C688" s="76"/>
      <c r="D688" s="77"/>
      <c r="E688" s="77"/>
      <c r="F688" s="78"/>
      <c r="G688" s="77"/>
      <c r="H688" s="77"/>
      <c r="I688" s="79"/>
      <c r="J688" s="88"/>
      <c r="K688" s="81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</row>
    <row r="689" ht="15.75" customHeight="1">
      <c r="A689" s="65"/>
      <c r="B689" s="175"/>
      <c r="C689" s="76"/>
      <c r="D689" s="77"/>
      <c r="E689" s="77"/>
      <c r="F689" s="78"/>
      <c r="G689" s="77"/>
      <c r="H689" s="77"/>
      <c r="I689" s="79"/>
      <c r="J689" s="88"/>
      <c r="K689" s="81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</row>
    <row r="690" ht="15.75" customHeight="1">
      <c r="A690" s="65"/>
      <c r="B690" s="175"/>
      <c r="C690" s="76"/>
      <c r="D690" s="77"/>
      <c r="E690" s="77"/>
      <c r="F690" s="78"/>
      <c r="G690" s="77"/>
      <c r="H690" s="77"/>
      <c r="I690" s="79"/>
      <c r="J690" s="88"/>
      <c r="K690" s="81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</row>
    <row r="691" ht="15.75" customHeight="1">
      <c r="A691" s="65"/>
      <c r="B691" s="175"/>
      <c r="C691" s="76"/>
      <c r="D691" s="77"/>
      <c r="E691" s="77"/>
      <c r="F691" s="78"/>
      <c r="G691" s="77"/>
      <c r="H691" s="77"/>
      <c r="I691" s="79"/>
      <c r="J691" s="88"/>
      <c r="K691" s="81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</row>
    <row r="692" ht="15.75" customHeight="1">
      <c r="A692" s="65"/>
      <c r="B692" s="175"/>
      <c r="C692" s="76"/>
      <c r="D692" s="77"/>
      <c r="E692" s="77"/>
      <c r="F692" s="78"/>
      <c r="G692" s="77"/>
      <c r="H692" s="77"/>
      <c r="I692" s="79"/>
      <c r="J692" s="88"/>
      <c r="K692" s="81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</row>
    <row r="693" ht="15.75" customHeight="1">
      <c r="A693" s="65"/>
      <c r="B693" s="175"/>
      <c r="C693" s="76"/>
      <c r="D693" s="77"/>
      <c r="E693" s="77"/>
      <c r="F693" s="78"/>
      <c r="G693" s="77"/>
      <c r="H693" s="77"/>
      <c r="I693" s="79"/>
      <c r="J693" s="88"/>
      <c r="K693" s="81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</row>
    <row r="694" ht="15.75" customHeight="1">
      <c r="A694" s="65"/>
      <c r="B694" s="175"/>
      <c r="C694" s="76"/>
      <c r="D694" s="77"/>
      <c r="E694" s="77"/>
      <c r="F694" s="78"/>
      <c r="G694" s="77"/>
      <c r="H694" s="77"/>
      <c r="I694" s="79"/>
      <c r="J694" s="88"/>
      <c r="K694" s="81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</row>
    <row r="695" ht="15.75" customHeight="1">
      <c r="A695" s="65"/>
      <c r="B695" s="175"/>
      <c r="C695" s="76"/>
      <c r="D695" s="77"/>
      <c r="E695" s="77"/>
      <c r="F695" s="78"/>
      <c r="G695" s="77"/>
      <c r="H695" s="77"/>
      <c r="I695" s="79"/>
      <c r="J695" s="88"/>
      <c r="K695" s="81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</row>
    <row r="696" ht="15.75" customHeight="1">
      <c r="A696" s="65"/>
      <c r="B696" s="175"/>
      <c r="C696" s="76"/>
      <c r="D696" s="77"/>
      <c r="E696" s="77"/>
      <c r="F696" s="78"/>
      <c r="G696" s="77"/>
      <c r="H696" s="77"/>
      <c r="I696" s="79"/>
      <c r="J696" s="88"/>
      <c r="K696" s="81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</row>
    <row r="697" ht="15.75" customHeight="1">
      <c r="A697" s="65"/>
      <c r="B697" s="175"/>
      <c r="C697" s="76"/>
      <c r="D697" s="77"/>
      <c r="E697" s="77"/>
      <c r="F697" s="78"/>
      <c r="G697" s="77"/>
      <c r="H697" s="77"/>
      <c r="I697" s="79"/>
      <c r="J697" s="88"/>
      <c r="K697" s="81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</row>
    <row r="698" ht="15.75" customHeight="1">
      <c r="A698" s="65"/>
      <c r="B698" s="175"/>
      <c r="C698" s="76"/>
      <c r="D698" s="77"/>
      <c r="E698" s="77"/>
      <c r="F698" s="78"/>
      <c r="G698" s="77"/>
      <c r="H698" s="77"/>
      <c r="I698" s="79"/>
      <c r="J698" s="88"/>
      <c r="K698" s="81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</row>
    <row r="699" ht="15.75" customHeight="1">
      <c r="A699" s="65"/>
      <c r="B699" s="175"/>
      <c r="C699" s="76"/>
      <c r="D699" s="77"/>
      <c r="E699" s="77"/>
      <c r="F699" s="78"/>
      <c r="G699" s="77"/>
      <c r="H699" s="77"/>
      <c r="I699" s="79"/>
      <c r="J699" s="88"/>
      <c r="K699" s="81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</row>
    <row r="700" ht="15.75" customHeight="1">
      <c r="A700" s="65"/>
      <c r="B700" s="175"/>
      <c r="C700" s="76"/>
      <c r="D700" s="77"/>
      <c r="E700" s="77"/>
      <c r="F700" s="78"/>
      <c r="G700" s="77"/>
      <c r="H700" s="77"/>
      <c r="I700" s="79"/>
      <c r="J700" s="88"/>
      <c r="K700" s="81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</row>
    <row r="701" ht="15.75" customHeight="1">
      <c r="A701" s="65"/>
      <c r="B701" s="175"/>
      <c r="C701" s="76"/>
      <c r="D701" s="77"/>
      <c r="E701" s="77"/>
      <c r="F701" s="78"/>
      <c r="G701" s="77"/>
      <c r="H701" s="77"/>
      <c r="I701" s="79"/>
      <c r="J701" s="88"/>
      <c r="K701" s="81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</row>
    <row r="702" ht="15.75" customHeight="1">
      <c r="A702" s="65"/>
      <c r="B702" s="175"/>
      <c r="C702" s="76"/>
      <c r="D702" s="77"/>
      <c r="E702" s="77"/>
      <c r="F702" s="78"/>
      <c r="G702" s="77"/>
      <c r="H702" s="77"/>
      <c r="I702" s="79"/>
      <c r="J702" s="88"/>
      <c r="K702" s="81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</row>
    <row r="703" ht="15.75" customHeight="1">
      <c r="A703" s="65"/>
      <c r="B703" s="175"/>
      <c r="C703" s="76"/>
      <c r="D703" s="77"/>
      <c r="E703" s="77"/>
      <c r="F703" s="78"/>
      <c r="G703" s="77"/>
      <c r="H703" s="77"/>
      <c r="I703" s="79"/>
      <c r="J703" s="88"/>
      <c r="K703" s="81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</row>
    <row r="704" ht="15.75" customHeight="1">
      <c r="A704" s="65"/>
      <c r="B704" s="175"/>
      <c r="C704" s="76"/>
      <c r="D704" s="77"/>
      <c r="E704" s="77"/>
      <c r="F704" s="78"/>
      <c r="G704" s="77"/>
      <c r="H704" s="77"/>
      <c r="I704" s="79"/>
      <c r="J704" s="88"/>
      <c r="K704" s="81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</row>
    <row r="705" ht="15.75" customHeight="1">
      <c r="A705" s="65"/>
      <c r="B705" s="175"/>
      <c r="C705" s="76"/>
      <c r="D705" s="77"/>
      <c r="E705" s="77"/>
      <c r="F705" s="78"/>
      <c r="G705" s="77"/>
      <c r="H705" s="77"/>
      <c r="I705" s="79"/>
      <c r="J705" s="88"/>
      <c r="K705" s="81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</row>
    <row r="706" ht="15.75" customHeight="1">
      <c r="A706" s="65"/>
      <c r="B706" s="175"/>
      <c r="C706" s="76"/>
      <c r="D706" s="77"/>
      <c r="E706" s="77"/>
      <c r="F706" s="78"/>
      <c r="G706" s="77"/>
      <c r="H706" s="77"/>
      <c r="I706" s="79"/>
      <c r="J706" s="88"/>
      <c r="K706" s="81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</row>
    <row r="707" ht="15.75" customHeight="1">
      <c r="A707" s="65"/>
      <c r="B707" s="175"/>
      <c r="C707" s="76"/>
      <c r="D707" s="77"/>
      <c r="E707" s="77"/>
      <c r="F707" s="78"/>
      <c r="G707" s="77"/>
      <c r="H707" s="77"/>
      <c r="I707" s="79"/>
      <c r="J707" s="88"/>
      <c r="K707" s="81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</row>
    <row r="708" ht="15.75" customHeight="1">
      <c r="A708" s="65"/>
      <c r="B708" s="175"/>
      <c r="C708" s="76"/>
      <c r="D708" s="77"/>
      <c r="E708" s="77"/>
      <c r="F708" s="78"/>
      <c r="G708" s="77"/>
      <c r="H708" s="77"/>
      <c r="I708" s="79"/>
      <c r="J708" s="88"/>
      <c r="K708" s="81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</row>
    <row r="709" ht="15.75" customHeight="1">
      <c r="A709" s="65"/>
      <c r="B709" s="175"/>
      <c r="C709" s="76"/>
      <c r="D709" s="77"/>
      <c r="E709" s="77"/>
      <c r="F709" s="78"/>
      <c r="G709" s="77"/>
      <c r="H709" s="77"/>
      <c r="I709" s="79"/>
      <c r="J709" s="88"/>
      <c r="K709" s="81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</row>
    <row r="710" ht="15.75" customHeight="1">
      <c r="A710" s="65"/>
      <c r="B710" s="175"/>
      <c r="C710" s="76"/>
      <c r="D710" s="77"/>
      <c r="E710" s="77"/>
      <c r="F710" s="78"/>
      <c r="G710" s="77"/>
      <c r="H710" s="77"/>
      <c r="I710" s="79"/>
      <c r="J710" s="88"/>
      <c r="K710" s="81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</row>
    <row r="711" ht="15.75" customHeight="1">
      <c r="A711" s="65"/>
      <c r="B711" s="175"/>
      <c r="C711" s="76"/>
      <c r="D711" s="77"/>
      <c r="E711" s="77"/>
      <c r="F711" s="78"/>
      <c r="G711" s="77"/>
      <c r="H711" s="77"/>
      <c r="I711" s="79"/>
      <c r="J711" s="88"/>
      <c r="K711" s="81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</row>
    <row r="712" ht="15.75" customHeight="1">
      <c r="A712" s="65"/>
      <c r="B712" s="175"/>
      <c r="C712" s="76"/>
      <c r="D712" s="77"/>
      <c r="E712" s="77"/>
      <c r="F712" s="78"/>
      <c r="G712" s="77"/>
      <c r="H712" s="77"/>
      <c r="I712" s="79"/>
      <c r="J712" s="88"/>
      <c r="K712" s="81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</row>
    <row r="713" ht="15.75" customHeight="1">
      <c r="A713" s="65"/>
      <c r="B713" s="175"/>
      <c r="C713" s="76"/>
      <c r="D713" s="77"/>
      <c r="E713" s="77"/>
      <c r="F713" s="78"/>
      <c r="G713" s="77"/>
      <c r="H713" s="77"/>
      <c r="I713" s="79"/>
      <c r="J713" s="88"/>
      <c r="K713" s="81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</row>
    <row r="714" ht="15.75" customHeight="1">
      <c r="A714" s="65"/>
      <c r="B714" s="175"/>
      <c r="C714" s="76"/>
      <c r="D714" s="77"/>
      <c r="E714" s="77"/>
      <c r="F714" s="78"/>
      <c r="G714" s="77"/>
      <c r="H714" s="77"/>
      <c r="I714" s="79"/>
      <c r="J714" s="88"/>
      <c r="K714" s="81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</row>
    <row r="715" ht="15.75" customHeight="1">
      <c r="A715" s="65"/>
      <c r="B715" s="175"/>
      <c r="C715" s="76"/>
      <c r="D715" s="77"/>
      <c r="E715" s="77"/>
      <c r="F715" s="78"/>
      <c r="G715" s="77"/>
      <c r="H715" s="77"/>
      <c r="I715" s="79"/>
      <c r="J715" s="88"/>
      <c r="K715" s="81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</row>
    <row r="716" ht="15.75" customHeight="1">
      <c r="A716" s="65"/>
      <c r="B716" s="175"/>
      <c r="C716" s="76"/>
      <c r="D716" s="77"/>
      <c r="E716" s="77"/>
      <c r="F716" s="78"/>
      <c r="G716" s="77"/>
      <c r="H716" s="77"/>
      <c r="I716" s="79"/>
      <c r="J716" s="88"/>
      <c r="K716" s="81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</row>
    <row r="717" ht="15.75" customHeight="1">
      <c r="A717" s="65"/>
      <c r="B717" s="175"/>
      <c r="C717" s="76"/>
      <c r="D717" s="77"/>
      <c r="E717" s="77"/>
      <c r="F717" s="78"/>
      <c r="G717" s="77"/>
      <c r="H717" s="77"/>
      <c r="I717" s="79"/>
      <c r="J717" s="88"/>
      <c r="K717" s="81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</row>
    <row r="718" ht="15.75" customHeight="1">
      <c r="A718" s="65"/>
      <c r="B718" s="175"/>
      <c r="C718" s="76"/>
      <c r="D718" s="77"/>
      <c r="E718" s="77"/>
      <c r="F718" s="78"/>
      <c r="G718" s="77"/>
      <c r="H718" s="77"/>
      <c r="I718" s="79"/>
      <c r="J718" s="88"/>
      <c r="K718" s="81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</row>
    <row r="719" ht="15.75" customHeight="1">
      <c r="A719" s="65"/>
      <c r="B719" s="175"/>
      <c r="C719" s="76"/>
      <c r="D719" s="77"/>
      <c r="E719" s="77"/>
      <c r="F719" s="78"/>
      <c r="G719" s="77"/>
      <c r="H719" s="77"/>
      <c r="I719" s="79"/>
      <c r="J719" s="88"/>
      <c r="K719" s="81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</row>
    <row r="720" ht="15.75" customHeight="1">
      <c r="A720" s="65"/>
      <c r="B720" s="175"/>
      <c r="C720" s="76"/>
      <c r="D720" s="77"/>
      <c r="E720" s="77"/>
      <c r="F720" s="78"/>
      <c r="G720" s="77"/>
      <c r="H720" s="77"/>
      <c r="I720" s="79"/>
      <c r="J720" s="88"/>
      <c r="K720" s="81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</row>
    <row r="721" ht="15.75" customHeight="1">
      <c r="A721" s="65"/>
      <c r="B721" s="175"/>
      <c r="C721" s="76"/>
      <c r="D721" s="77"/>
      <c r="E721" s="77"/>
      <c r="F721" s="78"/>
      <c r="G721" s="77"/>
      <c r="H721" s="77"/>
      <c r="I721" s="79"/>
      <c r="J721" s="88"/>
      <c r="K721" s="81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</row>
    <row r="722" ht="15.75" customHeight="1">
      <c r="A722" s="65"/>
      <c r="B722" s="175"/>
      <c r="C722" s="76"/>
      <c r="D722" s="77"/>
      <c r="E722" s="77"/>
      <c r="F722" s="78"/>
      <c r="G722" s="77"/>
      <c r="H722" s="77"/>
      <c r="I722" s="79"/>
      <c r="J722" s="88"/>
      <c r="K722" s="81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</row>
    <row r="723" ht="15.75" customHeight="1">
      <c r="A723" s="65"/>
      <c r="B723" s="175"/>
      <c r="C723" s="76"/>
      <c r="D723" s="77"/>
      <c r="E723" s="77"/>
      <c r="F723" s="78"/>
      <c r="G723" s="77"/>
      <c r="H723" s="77"/>
      <c r="I723" s="79"/>
      <c r="J723" s="88"/>
      <c r="K723" s="81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</row>
    <row r="724" ht="15.75" customHeight="1">
      <c r="A724" s="65"/>
      <c r="B724" s="175"/>
      <c r="C724" s="76"/>
      <c r="D724" s="77"/>
      <c r="E724" s="77"/>
      <c r="F724" s="78"/>
      <c r="G724" s="77"/>
      <c r="H724" s="77"/>
      <c r="I724" s="79"/>
      <c r="J724" s="88"/>
      <c r="K724" s="81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</row>
    <row r="725" ht="15.75" customHeight="1">
      <c r="A725" s="65"/>
      <c r="B725" s="175"/>
      <c r="C725" s="76"/>
      <c r="D725" s="77"/>
      <c r="E725" s="77"/>
      <c r="F725" s="78"/>
      <c r="G725" s="77"/>
      <c r="H725" s="77"/>
      <c r="I725" s="79"/>
      <c r="J725" s="88"/>
      <c r="K725" s="81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</row>
    <row r="726" ht="15.75" customHeight="1">
      <c r="A726" s="65"/>
      <c r="B726" s="175"/>
      <c r="C726" s="76"/>
      <c r="D726" s="77"/>
      <c r="E726" s="77"/>
      <c r="F726" s="78"/>
      <c r="G726" s="77"/>
      <c r="H726" s="77"/>
      <c r="I726" s="79"/>
      <c r="J726" s="88"/>
      <c r="K726" s="81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</row>
    <row r="727" ht="15.75" customHeight="1">
      <c r="A727" s="65"/>
      <c r="B727" s="175"/>
      <c r="C727" s="76"/>
      <c r="D727" s="77"/>
      <c r="E727" s="77"/>
      <c r="F727" s="78"/>
      <c r="G727" s="77"/>
      <c r="H727" s="77"/>
      <c r="I727" s="79"/>
      <c r="J727" s="88"/>
      <c r="K727" s="81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</row>
    <row r="728" ht="15.75" customHeight="1">
      <c r="A728" s="65"/>
      <c r="B728" s="175"/>
      <c r="C728" s="76"/>
      <c r="D728" s="77"/>
      <c r="E728" s="77"/>
      <c r="F728" s="78"/>
      <c r="G728" s="77"/>
      <c r="H728" s="77"/>
      <c r="I728" s="79"/>
      <c r="J728" s="88"/>
      <c r="K728" s="81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</row>
    <row r="729" ht="15.75" customHeight="1">
      <c r="A729" s="65"/>
      <c r="B729" s="175"/>
      <c r="C729" s="76"/>
      <c r="D729" s="77"/>
      <c r="E729" s="77"/>
      <c r="F729" s="78"/>
      <c r="G729" s="77"/>
      <c r="H729" s="77"/>
      <c r="I729" s="79"/>
      <c r="J729" s="88"/>
      <c r="K729" s="81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</row>
    <row r="730" ht="15.75" customHeight="1">
      <c r="A730" s="65"/>
      <c r="B730" s="175"/>
      <c r="C730" s="76"/>
      <c r="D730" s="77"/>
      <c r="E730" s="77"/>
      <c r="F730" s="78"/>
      <c r="G730" s="77"/>
      <c r="H730" s="77"/>
      <c r="I730" s="79"/>
      <c r="J730" s="88"/>
      <c r="K730" s="81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</row>
    <row r="731" ht="15.75" customHeight="1">
      <c r="A731" s="65"/>
      <c r="B731" s="175"/>
      <c r="C731" s="76"/>
      <c r="D731" s="77"/>
      <c r="E731" s="77"/>
      <c r="F731" s="78"/>
      <c r="G731" s="77"/>
      <c r="H731" s="77"/>
      <c r="I731" s="79"/>
      <c r="J731" s="88"/>
      <c r="K731" s="81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</row>
    <row r="732" ht="15.75" customHeight="1">
      <c r="A732" s="65"/>
      <c r="B732" s="175"/>
      <c r="C732" s="76"/>
      <c r="D732" s="77"/>
      <c r="E732" s="77"/>
      <c r="F732" s="78"/>
      <c r="G732" s="77"/>
      <c r="H732" s="77"/>
      <c r="I732" s="79"/>
      <c r="J732" s="88"/>
      <c r="K732" s="81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</row>
    <row r="733" ht="15.75" customHeight="1">
      <c r="A733" s="65"/>
      <c r="B733" s="175"/>
      <c r="C733" s="76"/>
      <c r="D733" s="77"/>
      <c r="E733" s="77"/>
      <c r="F733" s="78"/>
      <c r="G733" s="77"/>
      <c r="H733" s="77"/>
      <c r="I733" s="79"/>
      <c r="J733" s="88"/>
      <c r="K733" s="81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</row>
    <row r="734" ht="15.75" customHeight="1">
      <c r="A734" s="65"/>
      <c r="B734" s="175"/>
      <c r="C734" s="76"/>
      <c r="D734" s="77"/>
      <c r="E734" s="77"/>
      <c r="F734" s="78"/>
      <c r="G734" s="77"/>
      <c r="H734" s="77"/>
      <c r="I734" s="79"/>
      <c r="J734" s="88"/>
      <c r="K734" s="81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</row>
    <row r="735" ht="15.75" customHeight="1">
      <c r="A735" s="65"/>
      <c r="B735" s="175"/>
      <c r="C735" s="76"/>
      <c r="D735" s="77"/>
      <c r="E735" s="77"/>
      <c r="F735" s="78"/>
      <c r="G735" s="77"/>
      <c r="H735" s="77"/>
      <c r="I735" s="79"/>
      <c r="J735" s="88"/>
      <c r="K735" s="81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</row>
    <row r="736" ht="15.75" customHeight="1">
      <c r="A736" s="65"/>
      <c r="B736" s="175"/>
      <c r="C736" s="76"/>
      <c r="D736" s="77"/>
      <c r="E736" s="77"/>
      <c r="F736" s="78"/>
      <c r="G736" s="77"/>
      <c r="H736" s="77"/>
      <c r="I736" s="79"/>
      <c r="J736" s="88"/>
      <c r="K736" s="81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</row>
    <row r="737" ht="15.75" customHeight="1">
      <c r="A737" s="65"/>
      <c r="B737" s="175"/>
      <c r="C737" s="76"/>
      <c r="D737" s="77"/>
      <c r="E737" s="77"/>
      <c r="F737" s="78"/>
      <c r="G737" s="77"/>
      <c r="H737" s="77"/>
      <c r="I737" s="79"/>
      <c r="J737" s="88"/>
      <c r="K737" s="81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</row>
    <row r="738" ht="15.75" customHeight="1">
      <c r="A738" s="65"/>
      <c r="B738" s="175"/>
      <c r="C738" s="76"/>
      <c r="D738" s="77"/>
      <c r="E738" s="77"/>
      <c r="F738" s="78"/>
      <c r="G738" s="77"/>
      <c r="H738" s="77"/>
      <c r="I738" s="79"/>
      <c r="J738" s="88"/>
      <c r="K738" s="81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</row>
    <row r="739" ht="15.75" customHeight="1">
      <c r="A739" s="65"/>
      <c r="B739" s="175"/>
      <c r="C739" s="76"/>
      <c r="D739" s="77"/>
      <c r="E739" s="77"/>
      <c r="F739" s="78"/>
      <c r="G739" s="77"/>
      <c r="H739" s="77"/>
      <c r="I739" s="79"/>
      <c r="J739" s="88"/>
      <c r="K739" s="81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</row>
    <row r="740" ht="15.75" customHeight="1">
      <c r="A740" s="65"/>
      <c r="B740" s="175"/>
      <c r="C740" s="76"/>
      <c r="D740" s="77"/>
      <c r="E740" s="77"/>
      <c r="F740" s="78"/>
      <c r="G740" s="77"/>
      <c r="H740" s="77"/>
      <c r="I740" s="79"/>
      <c r="J740" s="88"/>
      <c r="K740" s="81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</row>
    <row r="741" ht="15.75" customHeight="1">
      <c r="A741" s="65"/>
      <c r="B741" s="175"/>
      <c r="C741" s="76"/>
      <c r="D741" s="77"/>
      <c r="E741" s="77"/>
      <c r="F741" s="78"/>
      <c r="G741" s="77"/>
      <c r="H741" s="77"/>
      <c r="I741" s="79"/>
      <c r="J741" s="88"/>
      <c r="K741" s="81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</row>
    <row r="742" ht="15.75" customHeight="1">
      <c r="A742" s="65"/>
      <c r="B742" s="175"/>
      <c r="C742" s="76"/>
      <c r="D742" s="77"/>
      <c r="E742" s="77"/>
      <c r="F742" s="78"/>
      <c r="G742" s="77"/>
      <c r="H742" s="77"/>
      <c r="I742" s="79"/>
      <c r="J742" s="88"/>
      <c r="K742" s="81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</row>
    <row r="743" ht="15.75" customHeight="1">
      <c r="A743" s="65"/>
      <c r="B743" s="175"/>
      <c r="C743" s="76"/>
      <c r="D743" s="77"/>
      <c r="E743" s="77"/>
      <c r="F743" s="78"/>
      <c r="G743" s="77"/>
      <c r="H743" s="77"/>
      <c r="I743" s="79"/>
      <c r="J743" s="88"/>
      <c r="K743" s="81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</row>
    <row r="744" ht="15.75" customHeight="1">
      <c r="A744" s="65"/>
      <c r="B744" s="175"/>
      <c r="C744" s="76"/>
      <c r="D744" s="77"/>
      <c r="E744" s="77"/>
      <c r="F744" s="78"/>
      <c r="G744" s="77"/>
      <c r="H744" s="77"/>
      <c r="I744" s="79"/>
      <c r="J744" s="88"/>
      <c r="K744" s="81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</row>
    <row r="745" ht="15.75" customHeight="1">
      <c r="A745" s="65"/>
      <c r="B745" s="175"/>
      <c r="C745" s="76"/>
      <c r="D745" s="77"/>
      <c r="E745" s="77"/>
      <c r="F745" s="78"/>
      <c r="G745" s="77"/>
      <c r="H745" s="77"/>
      <c r="I745" s="79"/>
      <c r="J745" s="88"/>
      <c r="K745" s="81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</row>
    <row r="746" ht="15.75" customHeight="1">
      <c r="A746" s="65"/>
      <c r="B746" s="175"/>
      <c r="C746" s="76"/>
      <c r="D746" s="77"/>
      <c r="E746" s="77"/>
      <c r="F746" s="78"/>
      <c r="G746" s="77"/>
      <c r="H746" s="77"/>
      <c r="I746" s="79"/>
      <c r="J746" s="88"/>
      <c r="K746" s="81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</row>
    <row r="747" ht="15.75" customHeight="1">
      <c r="A747" s="65"/>
      <c r="B747" s="175"/>
      <c r="C747" s="76"/>
      <c r="D747" s="77"/>
      <c r="E747" s="77"/>
      <c r="F747" s="78"/>
      <c r="G747" s="77"/>
      <c r="H747" s="77"/>
      <c r="I747" s="79"/>
      <c r="J747" s="88"/>
      <c r="K747" s="81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</row>
    <row r="748" ht="15.75" customHeight="1">
      <c r="A748" s="65"/>
      <c r="B748" s="175"/>
      <c r="C748" s="76"/>
      <c r="D748" s="77"/>
      <c r="E748" s="77"/>
      <c r="F748" s="78"/>
      <c r="G748" s="77"/>
      <c r="H748" s="77"/>
      <c r="I748" s="79"/>
      <c r="J748" s="88"/>
      <c r="K748" s="81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</row>
    <row r="749" ht="15.75" customHeight="1">
      <c r="A749" s="65"/>
      <c r="B749" s="175"/>
      <c r="C749" s="76"/>
      <c r="D749" s="77"/>
      <c r="E749" s="77"/>
      <c r="F749" s="78"/>
      <c r="G749" s="77"/>
      <c r="H749" s="77"/>
      <c r="I749" s="79"/>
      <c r="J749" s="88"/>
      <c r="K749" s="81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</row>
    <row r="750" ht="15.75" customHeight="1">
      <c r="A750" s="65"/>
      <c r="B750" s="175"/>
      <c r="C750" s="76"/>
      <c r="D750" s="77"/>
      <c r="E750" s="77"/>
      <c r="F750" s="78"/>
      <c r="G750" s="77"/>
      <c r="H750" s="77"/>
      <c r="I750" s="79"/>
      <c r="J750" s="88"/>
      <c r="K750" s="81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</row>
    <row r="751" ht="15.75" customHeight="1">
      <c r="A751" s="65"/>
      <c r="B751" s="175"/>
      <c r="C751" s="76"/>
      <c r="D751" s="77"/>
      <c r="E751" s="77"/>
      <c r="F751" s="78"/>
      <c r="G751" s="77"/>
      <c r="H751" s="77"/>
      <c r="I751" s="79"/>
      <c r="J751" s="88"/>
      <c r="K751" s="81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</row>
    <row r="752" ht="15.75" customHeight="1">
      <c r="A752" s="65"/>
      <c r="B752" s="175"/>
      <c r="C752" s="76"/>
      <c r="D752" s="77"/>
      <c r="E752" s="77"/>
      <c r="F752" s="78"/>
      <c r="G752" s="77"/>
      <c r="H752" s="77"/>
      <c r="I752" s="79"/>
      <c r="J752" s="88"/>
      <c r="K752" s="81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</row>
    <row r="753" ht="15.75" customHeight="1">
      <c r="A753" s="65"/>
      <c r="B753" s="175"/>
      <c r="C753" s="76"/>
      <c r="D753" s="77"/>
      <c r="E753" s="77"/>
      <c r="F753" s="78"/>
      <c r="G753" s="77"/>
      <c r="H753" s="77"/>
      <c r="I753" s="79"/>
      <c r="J753" s="88"/>
      <c r="K753" s="81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</row>
    <row r="754" ht="15.75" customHeight="1">
      <c r="A754" s="65"/>
      <c r="B754" s="175"/>
      <c r="C754" s="76"/>
      <c r="D754" s="77"/>
      <c r="E754" s="77"/>
      <c r="F754" s="78"/>
      <c r="G754" s="77"/>
      <c r="H754" s="77"/>
      <c r="I754" s="79"/>
      <c r="J754" s="88"/>
      <c r="K754" s="81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</row>
    <row r="755" ht="15.75" customHeight="1">
      <c r="A755" s="65"/>
      <c r="B755" s="175"/>
      <c r="C755" s="76"/>
      <c r="D755" s="77"/>
      <c r="E755" s="77"/>
      <c r="F755" s="78"/>
      <c r="G755" s="77"/>
      <c r="H755" s="77"/>
      <c r="I755" s="79"/>
      <c r="J755" s="88"/>
      <c r="K755" s="81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</row>
    <row r="756" ht="15.75" customHeight="1">
      <c r="A756" s="65"/>
      <c r="B756" s="175"/>
      <c r="C756" s="76"/>
      <c r="D756" s="77"/>
      <c r="E756" s="77"/>
      <c r="F756" s="78"/>
      <c r="G756" s="77"/>
      <c r="H756" s="77"/>
      <c r="I756" s="79"/>
      <c r="J756" s="88"/>
      <c r="K756" s="81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</row>
    <row r="757" ht="15.75" customHeight="1">
      <c r="A757" s="65"/>
      <c r="B757" s="175"/>
      <c r="C757" s="76"/>
      <c r="D757" s="77"/>
      <c r="E757" s="77"/>
      <c r="F757" s="78"/>
      <c r="G757" s="77"/>
      <c r="H757" s="77"/>
      <c r="I757" s="79"/>
      <c r="J757" s="88"/>
      <c r="K757" s="81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</row>
    <row r="758" ht="15.75" customHeight="1">
      <c r="A758" s="65"/>
      <c r="B758" s="175"/>
      <c r="C758" s="76"/>
      <c r="D758" s="77"/>
      <c r="E758" s="77"/>
      <c r="F758" s="78"/>
      <c r="G758" s="77"/>
      <c r="H758" s="77"/>
      <c r="I758" s="79"/>
      <c r="J758" s="88"/>
      <c r="K758" s="81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</row>
    <row r="759" ht="15.75" customHeight="1">
      <c r="A759" s="65"/>
      <c r="B759" s="175"/>
      <c r="C759" s="76"/>
      <c r="D759" s="77"/>
      <c r="E759" s="77"/>
      <c r="F759" s="78"/>
      <c r="G759" s="77"/>
      <c r="H759" s="77"/>
      <c r="I759" s="79"/>
      <c r="J759" s="88"/>
      <c r="K759" s="81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</row>
    <row r="760" ht="15.75" customHeight="1">
      <c r="A760" s="65"/>
      <c r="B760" s="175"/>
      <c r="C760" s="76"/>
      <c r="D760" s="77"/>
      <c r="E760" s="77"/>
      <c r="F760" s="78"/>
      <c r="G760" s="77"/>
      <c r="H760" s="77"/>
      <c r="I760" s="79"/>
      <c r="J760" s="88"/>
      <c r="K760" s="81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</row>
    <row r="761" ht="15.75" customHeight="1">
      <c r="A761" s="65"/>
      <c r="B761" s="175"/>
      <c r="C761" s="76"/>
      <c r="D761" s="77"/>
      <c r="E761" s="77"/>
      <c r="F761" s="78"/>
      <c r="G761" s="77"/>
      <c r="H761" s="77"/>
      <c r="I761" s="79"/>
      <c r="J761" s="88"/>
      <c r="K761" s="81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</row>
    <row r="762" ht="15.75" customHeight="1">
      <c r="A762" s="65"/>
      <c r="B762" s="175"/>
      <c r="C762" s="76"/>
      <c r="D762" s="77"/>
      <c r="E762" s="77"/>
      <c r="F762" s="78"/>
      <c r="G762" s="77"/>
      <c r="H762" s="77"/>
      <c r="I762" s="79"/>
      <c r="J762" s="88"/>
      <c r="K762" s="81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</row>
    <row r="763" ht="15.75" customHeight="1">
      <c r="A763" s="65"/>
      <c r="B763" s="175"/>
      <c r="C763" s="76"/>
      <c r="D763" s="77"/>
      <c r="E763" s="77"/>
      <c r="F763" s="78"/>
      <c r="G763" s="77"/>
      <c r="H763" s="77"/>
      <c r="I763" s="79"/>
      <c r="J763" s="88"/>
      <c r="K763" s="81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</row>
    <row r="764" ht="15.75" customHeight="1">
      <c r="A764" s="65"/>
      <c r="B764" s="175"/>
      <c r="C764" s="76"/>
      <c r="D764" s="77"/>
      <c r="E764" s="77"/>
      <c r="F764" s="78"/>
      <c r="G764" s="77"/>
      <c r="H764" s="77"/>
      <c r="I764" s="79"/>
      <c r="J764" s="88"/>
      <c r="K764" s="81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</row>
    <row r="765" ht="15.75" customHeight="1">
      <c r="A765" s="65"/>
      <c r="B765" s="175"/>
      <c r="C765" s="76"/>
      <c r="D765" s="77"/>
      <c r="E765" s="77"/>
      <c r="F765" s="78"/>
      <c r="G765" s="77"/>
      <c r="H765" s="77"/>
      <c r="I765" s="79"/>
      <c r="J765" s="88"/>
      <c r="K765" s="81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</row>
    <row r="766" ht="15.75" customHeight="1">
      <c r="A766" s="65"/>
      <c r="B766" s="175"/>
      <c r="C766" s="76"/>
      <c r="D766" s="77"/>
      <c r="E766" s="77"/>
      <c r="F766" s="78"/>
      <c r="G766" s="77"/>
      <c r="H766" s="77"/>
      <c r="I766" s="79"/>
      <c r="J766" s="88"/>
      <c r="K766" s="81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</row>
    <row r="767" ht="15.75" customHeight="1">
      <c r="A767" s="65"/>
      <c r="B767" s="175"/>
      <c r="C767" s="76"/>
      <c r="D767" s="77"/>
      <c r="E767" s="77"/>
      <c r="F767" s="78"/>
      <c r="G767" s="77"/>
      <c r="H767" s="77"/>
      <c r="I767" s="79"/>
      <c r="J767" s="88"/>
      <c r="K767" s="81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</row>
    <row r="768" ht="15.75" customHeight="1">
      <c r="A768" s="65"/>
      <c r="B768" s="175"/>
      <c r="C768" s="76"/>
      <c r="D768" s="77"/>
      <c r="E768" s="77"/>
      <c r="F768" s="78"/>
      <c r="G768" s="77"/>
      <c r="H768" s="77"/>
      <c r="I768" s="79"/>
      <c r="J768" s="88"/>
      <c r="K768" s="81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</row>
    <row r="769" ht="15.75" customHeight="1">
      <c r="A769" s="65"/>
      <c r="B769" s="175"/>
      <c r="C769" s="76"/>
      <c r="D769" s="77"/>
      <c r="E769" s="77"/>
      <c r="F769" s="78"/>
      <c r="G769" s="77"/>
      <c r="H769" s="77"/>
      <c r="I769" s="79"/>
      <c r="J769" s="88"/>
      <c r="K769" s="81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</row>
    <row r="770" ht="15.75" customHeight="1">
      <c r="A770" s="65"/>
      <c r="B770" s="175"/>
      <c r="C770" s="76"/>
      <c r="D770" s="77"/>
      <c r="E770" s="77"/>
      <c r="F770" s="78"/>
      <c r="G770" s="77"/>
      <c r="H770" s="77"/>
      <c r="I770" s="79"/>
      <c r="J770" s="88"/>
      <c r="K770" s="81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</row>
    <row r="771" ht="15.75" customHeight="1">
      <c r="A771" s="65"/>
      <c r="B771" s="175"/>
      <c r="C771" s="76"/>
      <c r="D771" s="77"/>
      <c r="E771" s="77"/>
      <c r="F771" s="78"/>
      <c r="G771" s="77"/>
      <c r="H771" s="77"/>
      <c r="I771" s="79"/>
      <c r="J771" s="88"/>
      <c r="K771" s="81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</row>
    <row r="772" ht="15.75" customHeight="1">
      <c r="A772" s="65"/>
      <c r="B772" s="175"/>
      <c r="C772" s="76"/>
      <c r="D772" s="77"/>
      <c r="E772" s="77"/>
      <c r="F772" s="78"/>
      <c r="G772" s="77"/>
      <c r="H772" s="77"/>
      <c r="I772" s="79"/>
      <c r="J772" s="88"/>
      <c r="K772" s="81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</row>
    <row r="773" ht="15.75" customHeight="1">
      <c r="A773" s="65"/>
      <c r="B773" s="175"/>
      <c r="C773" s="76"/>
      <c r="D773" s="77"/>
      <c r="E773" s="77"/>
      <c r="F773" s="78"/>
      <c r="G773" s="77"/>
      <c r="H773" s="77"/>
      <c r="I773" s="79"/>
      <c r="J773" s="88"/>
      <c r="K773" s="81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</row>
    <row r="774" ht="15.75" customHeight="1">
      <c r="A774" s="65"/>
      <c r="B774" s="175"/>
      <c r="C774" s="76"/>
      <c r="D774" s="77"/>
      <c r="E774" s="77"/>
      <c r="F774" s="78"/>
      <c r="G774" s="77"/>
      <c r="H774" s="77"/>
      <c r="I774" s="79"/>
      <c r="J774" s="88"/>
      <c r="K774" s="81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</row>
    <row r="775" ht="15.75" customHeight="1">
      <c r="A775" s="65"/>
      <c r="B775" s="175"/>
      <c r="C775" s="76"/>
      <c r="D775" s="77"/>
      <c r="E775" s="77"/>
      <c r="F775" s="78"/>
      <c r="G775" s="77"/>
      <c r="H775" s="77"/>
      <c r="I775" s="79"/>
      <c r="J775" s="88"/>
      <c r="K775" s="81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</row>
    <row r="776" ht="15.75" customHeight="1">
      <c r="A776" s="65"/>
      <c r="B776" s="175"/>
      <c r="C776" s="76"/>
      <c r="D776" s="77"/>
      <c r="E776" s="77"/>
      <c r="F776" s="78"/>
      <c r="G776" s="77"/>
      <c r="H776" s="77"/>
      <c r="I776" s="79"/>
      <c r="J776" s="88"/>
      <c r="K776" s="81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</row>
    <row r="777" ht="15.75" customHeight="1">
      <c r="A777" s="65"/>
      <c r="B777" s="175"/>
      <c r="C777" s="76"/>
      <c r="D777" s="77"/>
      <c r="E777" s="77"/>
      <c r="F777" s="78"/>
      <c r="G777" s="77"/>
      <c r="H777" s="77"/>
      <c r="I777" s="79"/>
      <c r="J777" s="88"/>
      <c r="K777" s="81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</row>
    <row r="778" ht="15.75" customHeight="1">
      <c r="A778" s="65"/>
      <c r="B778" s="175"/>
      <c r="C778" s="76"/>
      <c r="D778" s="77"/>
      <c r="E778" s="77"/>
      <c r="F778" s="78"/>
      <c r="G778" s="77"/>
      <c r="H778" s="77"/>
      <c r="I778" s="79"/>
      <c r="J778" s="88"/>
      <c r="K778" s="81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</row>
    <row r="779" ht="15.75" customHeight="1">
      <c r="A779" s="65"/>
      <c r="B779" s="175"/>
      <c r="C779" s="76"/>
      <c r="D779" s="77"/>
      <c r="E779" s="77"/>
      <c r="F779" s="78"/>
      <c r="G779" s="77"/>
      <c r="H779" s="77"/>
      <c r="I779" s="79"/>
      <c r="J779" s="88"/>
      <c r="K779" s="81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</row>
    <row r="780" ht="15.75" customHeight="1">
      <c r="A780" s="65"/>
      <c r="B780" s="175"/>
      <c r="C780" s="76"/>
      <c r="D780" s="77"/>
      <c r="E780" s="77"/>
      <c r="F780" s="78"/>
      <c r="G780" s="77"/>
      <c r="H780" s="77"/>
      <c r="I780" s="79"/>
      <c r="J780" s="88"/>
      <c r="K780" s="81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</row>
    <row r="781" ht="15.75" customHeight="1">
      <c r="A781" s="65"/>
      <c r="B781" s="175"/>
      <c r="C781" s="76"/>
      <c r="D781" s="77"/>
      <c r="E781" s="77"/>
      <c r="F781" s="78"/>
      <c r="G781" s="77"/>
      <c r="H781" s="77"/>
      <c r="I781" s="79"/>
      <c r="J781" s="88"/>
      <c r="K781" s="81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</row>
    <row r="782" ht="15.75" customHeight="1">
      <c r="A782" s="65"/>
      <c r="B782" s="175"/>
      <c r="C782" s="76"/>
      <c r="D782" s="77"/>
      <c r="E782" s="77"/>
      <c r="F782" s="78"/>
      <c r="G782" s="77"/>
      <c r="H782" s="77"/>
      <c r="I782" s="79"/>
      <c r="J782" s="88"/>
      <c r="K782" s="81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</row>
    <row r="783" ht="15.75" customHeight="1">
      <c r="A783" s="65"/>
      <c r="B783" s="175"/>
      <c r="C783" s="76"/>
      <c r="D783" s="77"/>
      <c r="E783" s="77"/>
      <c r="F783" s="78"/>
      <c r="G783" s="77"/>
      <c r="H783" s="77"/>
      <c r="I783" s="79"/>
      <c r="J783" s="88"/>
      <c r="K783" s="81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</row>
    <row r="784" ht="15.75" customHeight="1">
      <c r="A784" s="65"/>
      <c r="B784" s="175"/>
      <c r="C784" s="76"/>
      <c r="D784" s="77"/>
      <c r="E784" s="77"/>
      <c r="F784" s="78"/>
      <c r="G784" s="77"/>
      <c r="H784" s="77"/>
      <c r="I784" s="79"/>
      <c r="J784" s="88"/>
      <c r="K784" s="81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</row>
    <row r="785" ht="15.75" customHeight="1">
      <c r="A785" s="65"/>
      <c r="B785" s="175"/>
      <c r="C785" s="76"/>
      <c r="D785" s="77"/>
      <c r="E785" s="77"/>
      <c r="F785" s="78"/>
      <c r="G785" s="77"/>
      <c r="H785" s="77"/>
      <c r="I785" s="79"/>
      <c r="J785" s="88"/>
      <c r="K785" s="81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</row>
    <row r="786" ht="15.75" customHeight="1">
      <c r="A786" s="65"/>
      <c r="B786" s="175"/>
      <c r="C786" s="76"/>
      <c r="D786" s="77"/>
      <c r="E786" s="77"/>
      <c r="F786" s="78"/>
      <c r="G786" s="77"/>
      <c r="H786" s="77"/>
      <c r="I786" s="79"/>
      <c r="J786" s="88"/>
      <c r="K786" s="81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</row>
    <row r="787" ht="15.75" customHeight="1">
      <c r="A787" s="65"/>
      <c r="B787" s="175"/>
      <c r="C787" s="76"/>
      <c r="D787" s="77"/>
      <c r="E787" s="77"/>
      <c r="F787" s="78"/>
      <c r="G787" s="77"/>
      <c r="H787" s="77"/>
      <c r="I787" s="79"/>
      <c r="J787" s="88"/>
      <c r="K787" s="81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</row>
    <row r="788" ht="15.75" customHeight="1">
      <c r="A788" s="65"/>
      <c r="B788" s="175"/>
      <c r="C788" s="76"/>
      <c r="D788" s="77"/>
      <c r="E788" s="77"/>
      <c r="F788" s="78"/>
      <c r="G788" s="77"/>
      <c r="H788" s="77"/>
      <c r="I788" s="79"/>
      <c r="J788" s="88"/>
      <c r="K788" s="81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</row>
    <row r="789" ht="15.75" customHeight="1">
      <c r="A789" s="65"/>
      <c r="B789" s="175"/>
      <c r="C789" s="76"/>
      <c r="D789" s="77"/>
      <c r="E789" s="77"/>
      <c r="F789" s="78"/>
      <c r="G789" s="77"/>
      <c r="H789" s="77"/>
      <c r="I789" s="79"/>
      <c r="J789" s="88"/>
      <c r="K789" s="81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</row>
    <row r="790" ht="15.75" customHeight="1">
      <c r="A790" s="65"/>
      <c r="B790" s="175"/>
      <c r="C790" s="76"/>
      <c r="D790" s="77"/>
      <c r="E790" s="77"/>
      <c r="F790" s="78"/>
      <c r="G790" s="77"/>
      <c r="H790" s="77"/>
      <c r="I790" s="79"/>
      <c r="J790" s="88"/>
      <c r="K790" s="81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</row>
    <row r="791" ht="15.75" customHeight="1">
      <c r="A791" s="65"/>
      <c r="B791" s="175"/>
      <c r="C791" s="76"/>
      <c r="D791" s="77"/>
      <c r="E791" s="77"/>
      <c r="F791" s="78"/>
      <c r="G791" s="77"/>
      <c r="H791" s="77"/>
      <c r="I791" s="79"/>
      <c r="J791" s="88"/>
      <c r="K791" s="81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</row>
    <row r="792" ht="15.75" customHeight="1">
      <c r="A792" s="65"/>
      <c r="B792" s="175"/>
      <c r="C792" s="76"/>
      <c r="D792" s="77"/>
      <c r="E792" s="77"/>
      <c r="F792" s="78"/>
      <c r="G792" s="77"/>
      <c r="H792" s="77"/>
      <c r="I792" s="79"/>
      <c r="J792" s="88"/>
      <c r="K792" s="81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</row>
    <row r="793" ht="15.75" customHeight="1">
      <c r="A793" s="65"/>
      <c r="B793" s="175"/>
      <c r="C793" s="76"/>
      <c r="D793" s="77"/>
      <c r="E793" s="77"/>
      <c r="F793" s="78"/>
      <c r="G793" s="77"/>
      <c r="H793" s="77"/>
      <c r="I793" s="79"/>
      <c r="J793" s="88"/>
      <c r="K793" s="81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</row>
    <row r="794" ht="15.75" customHeight="1">
      <c r="A794" s="65"/>
      <c r="B794" s="175"/>
      <c r="C794" s="76"/>
      <c r="D794" s="77"/>
      <c r="E794" s="77"/>
      <c r="F794" s="78"/>
      <c r="G794" s="77"/>
      <c r="H794" s="77"/>
      <c r="I794" s="79"/>
      <c r="J794" s="88"/>
      <c r="K794" s="81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</row>
    <row r="795" ht="15.75" customHeight="1">
      <c r="A795" s="65"/>
      <c r="B795" s="175"/>
      <c r="C795" s="76"/>
      <c r="D795" s="77"/>
      <c r="E795" s="77"/>
      <c r="F795" s="78"/>
      <c r="G795" s="77"/>
      <c r="H795" s="77"/>
      <c r="I795" s="79"/>
      <c r="J795" s="88"/>
      <c r="K795" s="81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</row>
    <row r="796" ht="15.75" customHeight="1">
      <c r="A796" s="65"/>
      <c r="B796" s="175"/>
      <c r="C796" s="76"/>
      <c r="D796" s="77"/>
      <c r="E796" s="77"/>
      <c r="F796" s="78"/>
      <c r="G796" s="77"/>
      <c r="H796" s="77"/>
      <c r="I796" s="79"/>
      <c r="J796" s="88"/>
      <c r="K796" s="81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</row>
    <row r="797" ht="15.75" customHeight="1">
      <c r="A797" s="65"/>
      <c r="B797" s="175"/>
      <c r="C797" s="76"/>
      <c r="D797" s="77"/>
      <c r="E797" s="77"/>
      <c r="F797" s="78"/>
      <c r="G797" s="77"/>
      <c r="H797" s="77"/>
      <c r="I797" s="79"/>
      <c r="J797" s="88"/>
      <c r="K797" s="81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</row>
    <row r="798" ht="15.75" customHeight="1">
      <c r="A798" s="65"/>
      <c r="B798" s="175"/>
      <c r="C798" s="76"/>
      <c r="D798" s="77"/>
      <c r="E798" s="77"/>
      <c r="F798" s="78"/>
      <c r="G798" s="77"/>
      <c r="H798" s="77"/>
      <c r="I798" s="79"/>
      <c r="J798" s="88"/>
      <c r="K798" s="81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</row>
    <row r="799" ht="15.75" customHeight="1">
      <c r="A799" s="65"/>
      <c r="B799" s="175"/>
      <c r="C799" s="76"/>
      <c r="D799" s="77"/>
      <c r="E799" s="77"/>
      <c r="F799" s="78"/>
      <c r="G799" s="77"/>
      <c r="H799" s="77"/>
      <c r="I799" s="79"/>
      <c r="J799" s="88"/>
      <c r="K799" s="81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</row>
    <row r="800" ht="15.75" customHeight="1">
      <c r="A800" s="65"/>
      <c r="B800" s="175"/>
      <c r="C800" s="76"/>
      <c r="D800" s="77"/>
      <c r="E800" s="77"/>
      <c r="F800" s="78"/>
      <c r="G800" s="77"/>
      <c r="H800" s="77"/>
      <c r="I800" s="79"/>
      <c r="J800" s="88"/>
      <c r="K800" s="81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</row>
    <row r="801" ht="15.75" customHeight="1">
      <c r="A801" s="65"/>
      <c r="B801" s="175"/>
      <c r="C801" s="76"/>
      <c r="D801" s="77"/>
      <c r="E801" s="77"/>
      <c r="F801" s="78"/>
      <c r="G801" s="77"/>
      <c r="H801" s="77"/>
      <c r="I801" s="79"/>
      <c r="J801" s="88"/>
      <c r="K801" s="81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</row>
    <row r="802" ht="15.75" customHeight="1">
      <c r="A802" s="65"/>
      <c r="B802" s="175"/>
      <c r="C802" s="76"/>
      <c r="D802" s="77"/>
      <c r="E802" s="77"/>
      <c r="F802" s="78"/>
      <c r="G802" s="77"/>
      <c r="H802" s="77"/>
      <c r="I802" s="79"/>
      <c r="J802" s="88"/>
      <c r="K802" s="81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</row>
    <row r="803" ht="15.75" customHeight="1">
      <c r="A803" s="65"/>
      <c r="B803" s="175"/>
      <c r="C803" s="76"/>
      <c r="D803" s="77"/>
      <c r="E803" s="77"/>
      <c r="F803" s="78"/>
      <c r="G803" s="77"/>
      <c r="H803" s="77"/>
      <c r="I803" s="79"/>
      <c r="J803" s="88"/>
      <c r="K803" s="81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</row>
    <row r="804" ht="15.75" customHeight="1">
      <c r="A804" s="65"/>
      <c r="B804" s="175"/>
      <c r="C804" s="76"/>
      <c r="D804" s="77"/>
      <c r="E804" s="77"/>
      <c r="F804" s="78"/>
      <c r="G804" s="77"/>
      <c r="H804" s="77"/>
      <c r="I804" s="79"/>
      <c r="J804" s="88"/>
      <c r="K804" s="81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</row>
    <row r="805" ht="15.75" customHeight="1">
      <c r="A805" s="65"/>
      <c r="B805" s="175"/>
      <c r="C805" s="76"/>
      <c r="D805" s="77"/>
      <c r="E805" s="77"/>
      <c r="F805" s="78"/>
      <c r="G805" s="77"/>
      <c r="H805" s="77"/>
      <c r="I805" s="79"/>
      <c r="J805" s="88"/>
      <c r="K805" s="81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</row>
    <row r="806" ht="15.75" customHeight="1">
      <c r="A806" s="65"/>
      <c r="B806" s="175"/>
      <c r="C806" s="76"/>
      <c r="D806" s="77"/>
      <c r="E806" s="77"/>
      <c r="F806" s="78"/>
      <c r="G806" s="77"/>
      <c r="H806" s="77"/>
      <c r="I806" s="79"/>
      <c r="J806" s="88"/>
      <c r="K806" s="81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</row>
    <row r="807" ht="15.75" customHeight="1">
      <c r="A807" s="65"/>
      <c r="B807" s="175"/>
      <c r="C807" s="76"/>
      <c r="D807" s="77"/>
      <c r="E807" s="77"/>
      <c r="F807" s="78"/>
      <c r="G807" s="77"/>
      <c r="H807" s="77"/>
      <c r="I807" s="79"/>
      <c r="J807" s="88"/>
      <c r="K807" s="81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</row>
    <row r="808" ht="15.75" customHeight="1">
      <c r="A808" s="65"/>
      <c r="B808" s="175"/>
      <c r="C808" s="76"/>
      <c r="D808" s="77"/>
      <c r="E808" s="77"/>
      <c r="F808" s="78"/>
      <c r="G808" s="77"/>
      <c r="H808" s="77"/>
      <c r="I808" s="79"/>
      <c r="J808" s="88"/>
      <c r="K808" s="81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</row>
    <row r="809" ht="15.75" customHeight="1">
      <c r="A809" s="65"/>
      <c r="B809" s="175"/>
      <c r="C809" s="76"/>
      <c r="D809" s="77"/>
      <c r="E809" s="77"/>
      <c r="F809" s="78"/>
      <c r="G809" s="77"/>
      <c r="H809" s="77"/>
      <c r="I809" s="79"/>
      <c r="J809" s="88"/>
      <c r="K809" s="81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</row>
    <row r="810" ht="15.75" customHeight="1">
      <c r="A810" s="65"/>
      <c r="B810" s="175"/>
      <c r="C810" s="76"/>
      <c r="D810" s="77"/>
      <c r="E810" s="77"/>
      <c r="F810" s="78"/>
      <c r="G810" s="77"/>
      <c r="H810" s="77"/>
      <c r="I810" s="79"/>
      <c r="J810" s="88"/>
      <c r="K810" s="81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</row>
    <row r="811" ht="15.75" customHeight="1">
      <c r="A811" s="65"/>
      <c r="B811" s="175"/>
      <c r="C811" s="76"/>
      <c r="D811" s="77"/>
      <c r="E811" s="77"/>
      <c r="F811" s="78"/>
      <c r="G811" s="77"/>
      <c r="H811" s="77"/>
      <c r="I811" s="79"/>
      <c r="J811" s="88"/>
      <c r="K811" s="81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</row>
    <row r="812" ht="15.75" customHeight="1">
      <c r="A812" s="65"/>
      <c r="B812" s="175"/>
      <c r="C812" s="76"/>
      <c r="D812" s="77"/>
      <c r="E812" s="77"/>
      <c r="F812" s="78"/>
      <c r="G812" s="77"/>
      <c r="H812" s="77"/>
      <c r="I812" s="79"/>
      <c r="J812" s="88"/>
      <c r="K812" s="81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</row>
    <row r="813" ht="15.75" customHeight="1">
      <c r="A813" s="65"/>
      <c r="B813" s="175"/>
      <c r="C813" s="76"/>
      <c r="D813" s="77"/>
      <c r="E813" s="77"/>
      <c r="F813" s="78"/>
      <c r="G813" s="77"/>
      <c r="H813" s="77"/>
      <c r="I813" s="79"/>
      <c r="J813" s="88"/>
      <c r="K813" s="81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</row>
    <row r="814" ht="15.75" customHeight="1">
      <c r="A814" s="65"/>
      <c r="B814" s="175"/>
      <c r="C814" s="76"/>
      <c r="D814" s="77"/>
      <c r="E814" s="77"/>
      <c r="F814" s="78"/>
      <c r="G814" s="77"/>
      <c r="H814" s="77"/>
      <c r="I814" s="79"/>
      <c r="J814" s="88"/>
      <c r="K814" s="81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</row>
    <row r="815" ht="15.75" customHeight="1">
      <c r="A815" s="65"/>
      <c r="B815" s="175"/>
      <c r="C815" s="76"/>
      <c r="D815" s="77"/>
      <c r="E815" s="77"/>
      <c r="F815" s="78"/>
      <c r="G815" s="77"/>
      <c r="H815" s="77"/>
      <c r="I815" s="79"/>
      <c r="J815" s="88"/>
      <c r="K815" s="81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</row>
    <row r="816" ht="15.75" customHeight="1">
      <c r="A816" s="65"/>
      <c r="B816" s="175"/>
      <c r="C816" s="76"/>
      <c r="D816" s="77"/>
      <c r="E816" s="77"/>
      <c r="F816" s="78"/>
      <c r="G816" s="77"/>
      <c r="H816" s="77"/>
      <c r="I816" s="79"/>
      <c r="J816" s="88"/>
      <c r="K816" s="81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</row>
    <row r="817" ht="15.75" customHeight="1">
      <c r="A817" s="65"/>
      <c r="B817" s="175"/>
      <c r="C817" s="76"/>
      <c r="D817" s="77"/>
      <c r="E817" s="77"/>
      <c r="F817" s="78"/>
      <c r="G817" s="77"/>
      <c r="H817" s="77"/>
      <c r="I817" s="79"/>
      <c r="J817" s="88"/>
      <c r="K817" s="81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</row>
    <row r="818" ht="15.75" customHeight="1">
      <c r="A818" s="65"/>
      <c r="B818" s="175"/>
      <c r="C818" s="76"/>
      <c r="D818" s="77"/>
      <c r="E818" s="77"/>
      <c r="F818" s="78"/>
      <c r="G818" s="77"/>
      <c r="H818" s="77"/>
      <c r="I818" s="79"/>
      <c r="J818" s="88"/>
      <c r="K818" s="81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</row>
    <row r="819" ht="15.75" customHeight="1">
      <c r="A819" s="65"/>
      <c r="B819" s="175"/>
      <c r="C819" s="76"/>
      <c r="D819" s="77"/>
      <c r="E819" s="77"/>
      <c r="F819" s="78"/>
      <c r="G819" s="77"/>
      <c r="H819" s="77"/>
      <c r="I819" s="79"/>
      <c r="J819" s="88"/>
      <c r="K819" s="81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</row>
    <row r="820" ht="15.75" customHeight="1">
      <c r="A820" s="65"/>
      <c r="B820" s="175"/>
      <c r="C820" s="76"/>
      <c r="D820" s="77"/>
      <c r="E820" s="77"/>
      <c r="F820" s="78"/>
      <c r="G820" s="77"/>
      <c r="H820" s="77"/>
      <c r="I820" s="79"/>
      <c r="J820" s="88"/>
      <c r="K820" s="81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</row>
    <row r="821" ht="15.75" customHeight="1">
      <c r="A821" s="65"/>
      <c r="B821" s="175"/>
      <c r="C821" s="76"/>
      <c r="D821" s="77"/>
      <c r="E821" s="77"/>
      <c r="F821" s="78"/>
      <c r="G821" s="77"/>
      <c r="H821" s="77"/>
      <c r="I821" s="79"/>
      <c r="J821" s="88"/>
      <c r="K821" s="81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</row>
    <row r="822" ht="15.75" customHeight="1">
      <c r="A822" s="65"/>
      <c r="B822" s="175"/>
      <c r="C822" s="76"/>
      <c r="D822" s="77"/>
      <c r="E822" s="77"/>
      <c r="F822" s="78"/>
      <c r="G822" s="77"/>
      <c r="H822" s="77"/>
      <c r="I822" s="79"/>
      <c r="J822" s="88"/>
      <c r="K822" s="81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</row>
    <row r="823" ht="15.75" customHeight="1">
      <c r="A823" s="65"/>
      <c r="B823" s="175"/>
      <c r="C823" s="76"/>
      <c r="D823" s="77"/>
      <c r="E823" s="77"/>
      <c r="F823" s="78"/>
      <c r="G823" s="77"/>
      <c r="H823" s="77"/>
      <c r="I823" s="79"/>
      <c r="J823" s="88"/>
      <c r="K823" s="81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</row>
    <row r="824" ht="15.75" customHeight="1">
      <c r="A824" s="65"/>
      <c r="B824" s="175"/>
      <c r="C824" s="76"/>
      <c r="D824" s="77"/>
      <c r="E824" s="77"/>
      <c r="F824" s="78"/>
      <c r="G824" s="77"/>
      <c r="H824" s="77"/>
      <c r="I824" s="79"/>
      <c r="J824" s="88"/>
      <c r="K824" s="81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</row>
    <row r="825" ht="15.75" customHeight="1">
      <c r="A825" s="65"/>
      <c r="B825" s="175"/>
      <c r="C825" s="76"/>
      <c r="D825" s="77"/>
      <c r="E825" s="77"/>
      <c r="F825" s="78"/>
      <c r="G825" s="77"/>
      <c r="H825" s="77"/>
      <c r="I825" s="79"/>
      <c r="J825" s="88"/>
      <c r="K825" s="81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</row>
    <row r="826" ht="15.75" customHeight="1">
      <c r="A826" s="65"/>
      <c r="B826" s="175"/>
      <c r="C826" s="76"/>
      <c r="D826" s="77"/>
      <c r="E826" s="77"/>
      <c r="F826" s="78"/>
      <c r="G826" s="77"/>
      <c r="H826" s="77"/>
      <c r="I826" s="79"/>
      <c r="J826" s="88"/>
      <c r="K826" s="81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</row>
    <row r="827" ht="15.75" customHeight="1">
      <c r="A827" s="65"/>
      <c r="B827" s="175"/>
      <c r="C827" s="76"/>
      <c r="D827" s="77"/>
      <c r="E827" s="77"/>
      <c r="F827" s="78"/>
      <c r="G827" s="77"/>
      <c r="H827" s="77"/>
      <c r="I827" s="79"/>
      <c r="J827" s="88"/>
      <c r="K827" s="81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</row>
    <row r="828" ht="15.75" customHeight="1">
      <c r="A828" s="65"/>
      <c r="B828" s="175"/>
      <c r="C828" s="76"/>
      <c r="D828" s="77"/>
      <c r="E828" s="77"/>
      <c r="F828" s="78"/>
      <c r="G828" s="77"/>
      <c r="H828" s="77"/>
      <c r="I828" s="79"/>
      <c r="J828" s="88"/>
      <c r="K828" s="81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</row>
    <row r="829" ht="15.75" customHeight="1">
      <c r="A829" s="65"/>
      <c r="B829" s="175"/>
      <c r="C829" s="76"/>
      <c r="D829" s="77"/>
      <c r="E829" s="77"/>
      <c r="F829" s="78"/>
      <c r="G829" s="77"/>
      <c r="H829" s="77"/>
      <c r="I829" s="79"/>
      <c r="J829" s="88"/>
      <c r="K829" s="81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</row>
    <row r="830" ht="15.75" customHeight="1">
      <c r="A830" s="65"/>
      <c r="B830" s="175"/>
      <c r="C830" s="76"/>
      <c r="D830" s="77"/>
      <c r="E830" s="77"/>
      <c r="F830" s="78"/>
      <c r="G830" s="77"/>
      <c r="H830" s="77"/>
      <c r="I830" s="79"/>
      <c r="J830" s="88"/>
      <c r="K830" s="81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</row>
    <row r="831" ht="15.75" customHeight="1">
      <c r="A831" s="65"/>
      <c r="B831" s="175"/>
      <c r="C831" s="76"/>
      <c r="D831" s="77"/>
      <c r="E831" s="77"/>
      <c r="F831" s="78"/>
      <c r="G831" s="77"/>
      <c r="H831" s="77"/>
      <c r="I831" s="79"/>
      <c r="J831" s="88"/>
      <c r="K831" s="81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</row>
    <row r="832" ht="15.75" customHeight="1">
      <c r="A832" s="65"/>
      <c r="B832" s="175"/>
      <c r="C832" s="76"/>
      <c r="D832" s="77"/>
      <c r="E832" s="77"/>
      <c r="F832" s="78"/>
      <c r="G832" s="77"/>
      <c r="H832" s="77"/>
      <c r="I832" s="79"/>
      <c r="J832" s="88"/>
      <c r="K832" s="81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</row>
    <row r="833" ht="15.75" customHeight="1">
      <c r="A833" s="65"/>
      <c r="B833" s="175"/>
      <c r="C833" s="76"/>
      <c r="D833" s="77"/>
      <c r="E833" s="77"/>
      <c r="F833" s="78"/>
      <c r="G833" s="77"/>
      <c r="H833" s="77"/>
      <c r="I833" s="79"/>
      <c r="J833" s="88"/>
      <c r="K833" s="81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</row>
    <row r="834" ht="15.75" customHeight="1">
      <c r="A834" s="65"/>
      <c r="B834" s="175"/>
      <c r="C834" s="76"/>
      <c r="D834" s="77"/>
      <c r="E834" s="77"/>
      <c r="F834" s="78"/>
      <c r="G834" s="77"/>
      <c r="H834" s="77"/>
      <c r="I834" s="79"/>
      <c r="J834" s="88"/>
      <c r="K834" s="81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</row>
    <row r="835" ht="15.75" customHeight="1">
      <c r="A835" s="65"/>
      <c r="B835" s="175"/>
      <c r="C835" s="76"/>
      <c r="D835" s="77"/>
      <c r="E835" s="77"/>
      <c r="F835" s="78"/>
      <c r="G835" s="77"/>
      <c r="H835" s="77"/>
      <c r="I835" s="79"/>
      <c r="J835" s="88"/>
      <c r="K835" s="81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</row>
    <row r="836" ht="15.75" customHeight="1">
      <c r="A836" s="65"/>
      <c r="B836" s="175"/>
      <c r="C836" s="76"/>
      <c r="D836" s="77"/>
      <c r="E836" s="77"/>
      <c r="F836" s="78"/>
      <c r="G836" s="77"/>
      <c r="H836" s="77"/>
      <c r="I836" s="79"/>
      <c r="J836" s="88"/>
      <c r="K836" s="81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</row>
    <row r="837" ht="15.75" customHeight="1">
      <c r="A837" s="65"/>
      <c r="B837" s="175"/>
      <c r="C837" s="76"/>
      <c r="D837" s="77"/>
      <c r="E837" s="77"/>
      <c r="F837" s="78"/>
      <c r="G837" s="77"/>
      <c r="H837" s="77"/>
      <c r="I837" s="79"/>
      <c r="J837" s="88"/>
      <c r="K837" s="81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</row>
    <row r="838" ht="15.75" customHeight="1">
      <c r="A838" s="65"/>
      <c r="B838" s="175"/>
      <c r="C838" s="76"/>
      <c r="D838" s="77"/>
      <c r="E838" s="77"/>
      <c r="F838" s="78"/>
      <c r="G838" s="77"/>
      <c r="H838" s="77"/>
      <c r="I838" s="79"/>
      <c r="J838" s="88"/>
      <c r="K838" s="81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</row>
    <row r="839" ht="15.75" customHeight="1">
      <c r="A839" s="65"/>
      <c r="B839" s="175"/>
      <c r="C839" s="76"/>
      <c r="D839" s="77"/>
      <c r="E839" s="77"/>
      <c r="F839" s="78"/>
      <c r="G839" s="77"/>
      <c r="H839" s="77"/>
      <c r="I839" s="79"/>
      <c r="J839" s="88"/>
      <c r="K839" s="81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</row>
    <row r="840" ht="15.75" customHeight="1">
      <c r="A840" s="65"/>
      <c r="B840" s="175"/>
      <c r="C840" s="76"/>
      <c r="D840" s="77"/>
      <c r="E840" s="77"/>
      <c r="F840" s="78"/>
      <c r="G840" s="77"/>
      <c r="H840" s="77"/>
      <c r="I840" s="79"/>
      <c r="J840" s="88"/>
      <c r="K840" s="81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</row>
    <row r="841" ht="15.75" customHeight="1">
      <c r="A841" s="65"/>
      <c r="B841" s="175"/>
      <c r="C841" s="76"/>
      <c r="D841" s="77"/>
      <c r="E841" s="77"/>
      <c r="F841" s="78"/>
      <c r="G841" s="77"/>
      <c r="H841" s="77"/>
      <c r="I841" s="79"/>
      <c r="J841" s="88"/>
      <c r="K841" s="81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</row>
    <row r="842" ht="15.75" customHeight="1">
      <c r="A842" s="65"/>
      <c r="B842" s="175"/>
      <c r="C842" s="76"/>
      <c r="D842" s="77"/>
      <c r="E842" s="77"/>
      <c r="F842" s="78"/>
      <c r="G842" s="77"/>
      <c r="H842" s="77"/>
      <c r="I842" s="79"/>
      <c r="J842" s="88"/>
      <c r="K842" s="81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</row>
    <row r="843" ht="15.75" customHeight="1">
      <c r="A843" s="65"/>
      <c r="B843" s="175"/>
      <c r="C843" s="76"/>
      <c r="D843" s="77"/>
      <c r="E843" s="77"/>
      <c r="F843" s="78"/>
      <c r="G843" s="77"/>
      <c r="H843" s="77"/>
      <c r="I843" s="79"/>
      <c r="J843" s="88"/>
      <c r="K843" s="81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</row>
    <row r="844" ht="15.75" customHeight="1">
      <c r="A844" s="65"/>
      <c r="B844" s="175"/>
      <c r="C844" s="76"/>
      <c r="D844" s="77"/>
      <c r="E844" s="77"/>
      <c r="F844" s="78"/>
      <c r="G844" s="77"/>
      <c r="H844" s="77"/>
      <c r="I844" s="79"/>
      <c r="J844" s="88"/>
      <c r="K844" s="81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</row>
    <row r="845" ht="15.75" customHeight="1">
      <c r="A845" s="65"/>
      <c r="B845" s="175"/>
      <c r="C845" s="76"/>
      <c r="D845" s="77"/>
      <c r="E845" s="77"/>
      <c r="F845" s="78"/>
      <c r="G845" s="77"/>
      <c r="H845" s="77"/>
      <c r="I845" s="79"/>
      <c r="J845" s="88"/>
      <c r="K845" s="81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</row>
    <row r="846" ht="15.75" customHeight="1">
      <c r="A846" s="65"/>
      <c r="B846" s="175"/>
      <c r="C846" s="76"/>
      <c r="D846" s="77"/>
      <c r="E846" s="77"/>
      <c r="F846" s="78"/>
      <c r="G846" s="77"/>
      <c r="H846" s="77"/>
      <c r="I846" s="79"/>
      <c r="J846" s="88"/>
      <c r="K846" s="81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</row>
    <row r="847" ht="15.75" customHeight="1">
      <c r="A847" s="65"/>
      <c r="B847" s="175"/>
      <c r="C847" s="76"/>
      <c r="D847" s="77"/>
      <c r="E847" s="77"/>
      <c r="F847" s="78"/>
      <c r="G847" s="77"/>
      <c r="H847" s="77"/>
      <c r="I847" s="79"/>
      <c r="J847" s="88"/>
      <c r="K847" s="81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</row>
    <row r="848" ht="15.75" customHeight="1">
      <c r="A848" s="65"/>
      <c r="B848" s="175"/>
      <c r="C848" s="76"/>
      <c r="D848" s="77"/>
      <c r="E848" s="77"/>
      <c r="F848" s="78"/>
      <c r="G848" s="77"/>
      <c r="H848" s="77"/>
      <c r="I848" s="79"/>
      <c r="J848" s="88"/>
      <c r="K848" s="81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</row>
    <row r="849" ht="15.75" customHeight="1">
      <c r="A849" s="65"/>
      <c r="B849" s="175"/>
      <c r="C849" s="76"/>
      <c r="D849" s="77"/>
      <c r="E849" s="77"/>
      <c r="F849" s="78"/>
      <c r="G849" s="77"/>
      <c r="H849" s="77"/>
      <c r="I849" s="79"/>
      <c r="J849" s="88"/>
      <c r="K849" s="81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</row>
    <row r="850" ht="15.75" customHeight="1">
      <c r="A850" s="65"/>
      <c r="B850" s="175"/>
      <c r="C850" s="76"/>
      <c r="D850" s="77"/>
      <c r="E850" s="77"/>
      <c r="F850" s="78"/>
      <c r="G850" s="77"/>
      <c r="H850" s="77"/>
      <c r="I850" s="79"/>
      <c r="J850" s="88"/>
      <c r="K850" s="81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</row>
    <row r="851" ht="15.75" customHeight="1">
      <c r="A851" s="65"/>
      <c r="B851" s="175"/>
      <c r="C851" s="76"/>
      <c r="D851" s="77"/>
      <c r="E851" s="77"/>
      <c r="F851" s="78"/>
      <c r="G851" s="77"/>
      <c r="H851" s="77"/>
      <c r="I851" s="79"/>
      <c r="J851" s="88"/>
      <c r="K851" s="81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</row>
    <row r="852" ht="15.75" customHeight="1">
      <c r="A852" s="65"/>
      <c r="B852" s="175"/>
      <c r="C852" s="76"/>
      <c r="D852" s="77"/>
      <c r="E852" s="77"/>
      <c r="F852" s="78"/>
      <c r="G852" s="77"/>
      <c r="H852" s="77"/>
      <c r="I852" s="79"/>
      <c r="J852" s="88"/>
      <c r="K852" s="81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</row>
    <row r="853" ht="15.75" customHeight="1">
      <c r="A853" s="65"/>
      <c r="B853" s="175"/>
      <c r="C853" s="76"/>
      <c r="D853" s="77"/>
      <c r="E853" s="77"/>
      <c r="F853" s="78"/>
      <c r="G853" s="77"/>
      <c r="H853" s="77"/>
      <c r="I853" s="79"/>
      <c r="J853" s="88"/>
      <c r="K853" s="81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</row>
    <row r="854" ht="15.75" customHeight="1">
      <c r="A854" s="65"/>
      <c r="B854" s="175"/>
      <c r="C854" s="76"/>
      <c r="D854" s="77"/>
      <c r="E854" s="77"/>
      <c r="F854" s="78"/>
      <c r="G854" s="77"/>
      <c r="H854" s="77"/>
      <c r="I854" s="79"/>
      <c r="J854" s="88"/>
      <c r="K854" s="81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</row>
    <row r="855" ht="15.75" customHeight="1">
      <c r="A855" s="65"/>
      <c r="B855" s="175"/>
      <c r="C855" s="76"/>
      <c r="D855" s="77"/>
      <c r="E855" s="77"/>
      <c r="F855" s="78"/>
      <c r="G855" s="77"/>
      <c r="H855" s="77"/>
      <c r="I855" s="79"/>
      <c r="J855" s="88"/>
      <c r="K855" s="81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</row>
    <row r="856" ht="15.75" customHeight="1">
      <c r="A856" s="65"/>
      <c r="B856" s="175"/>
      <c r="C856" s="76"/>
      <c r="D856" s="77"/>
      <c r="E856" s="77"/>
      <c r="F856" s="78"/>
      <c r="G856" s="77"/>
      <c r="H856" s="77"/>
      <c r="I856" s="79"/>
      <c r="J856" s="88"/>
      <c r="K856" s="81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</row>
    <row r="857" ht="15.75" customHeight="1">
      <c r="A857" s="65"/>
      <c r="B857" s="175"/>
      <c r="C857" s="76"/>
      <c r="D857" s="77"/>
      <c r="E857" s="77"/>
      <c r="F857" s="78"/>
      <c r="G857" s="77"/>
      <c r="H857" s="77"/>
      <c r="I857" s="79"/>
      <c r="J857" s="88"/>
      <c r="K857" s="81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</row>
    <row r="858" ht="15.75" customHeight="1">
      <c r="A858" s="65"/>
      <c r="B858" s="175"/>
      <c r="C858" s="76"/>
      <c r="D858" s="77"/>
      <c r="E858" s="77"/>
      <c r="F858" s="78"/>
      <c r="G858" s="77"/>
      <c r="H858" s="77"/>
      <c r="I858" s="79"/>
      <c r="J858" s="88"/>
      <c r="K858" s="81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</row>
    <row r="859" ht="15.75" customHeight="1">
      <c r="A859" s="65"/>
      <c r="B859" s="175"/>
      <c r="C859" s="76"/>
      <c r="D859" s="77"/>
      <c r="E859" s="77"/>
      <c r="F859" s="78"/>
      <c r="G859" s="77"/>
      <c r="H859" s="77"/>
      <c r="I859" s="79"/>
      <c r="J859" s="88"/>
      <c r="K859" s="81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</row>
    <row r="860" ht="15.75" customHeight="1">
      <c r="A860" s="65"/>
      <c r="B860" s="175"/>
      <c r="C860" s="76"/>
      <c r="D860" s="77"/>
      <c r="E860" s="77"/>
      <c r="F860" s="78"/>
      <c r="G860" s="77"/>
      <c r="H860" s="77"/>
      <c r="I860" s="79"/>
      <c r="J860" s="88"/>
      <c r="K860" s="81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</row>
    <row r="861" ht="15.75" customHeight="1">
      <c r="A861" s="65"/>
      <c r="B861" s="175"/>
      <c r="C861" s="76"/>
      <c r="D861" s="77"/>
      <c r="E861" s="77"/>
      <c r="F861" s="78"/>
      <c r="G861" s="77"/>
      <c r="H861" s="77"/>
      <c r="I861" s="79"/>
      <c r="J861" s="88"/>
      <c r="K861" s="81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</row>
    <row r="862" ht="15.75" customHeight="1">
      <c r="A862" s="65"/>
      <c r="B862" s="175"/>
      <c r="C862" s="76"/>
      <c r="D862" s="77"/>
      <c r="E862" s="77"/>
      <c r="F862" s="78"/>
      <c r="G862" s="77"/>
      <c r="H862" s="77"/>
      <c r="I862" s="79"/>
      <c r="J862" s="88"/>
      <c r="K862" s="81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</row>
    <row r="863" ht="15.75" customHeight="1">
      <c r="A863" s="65"/>
      <c r="B863" s="175"/>
      <c r="C863" s="76"/>
      <c r="D863" s="77"/>
      <c r="E863" s="77"/>
      <c r="F863" s="78"/>
      <c r="G863" s="77"/>
      <c r="H863" s="77"/>
      <c r="I863" s="79"/>
      <c r="J863" s="88"/>
      <c r="K863" s="81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</row>
    <row r="864" ht="15.75" customHeight="1">
      <c r="A864" s="65"/>
      <c r="B864" s="175"/>
      <c r="C864" s="76"/>
      <c r="D864" s="77"/>
      <c r="E864" s="77"/>
      <c r="F864" s="78"/>
      <c r="G864" s="77"/>
      <c r="H864" s="77"/>
      <c r="I864" s="79"/>
      <c r="J864" s="88"/>
      <c r="K864" s="81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</row>
    <row r="865" ht="15.75" customHeight="1">
      <c r="A865" s="65"/>
      <c r="B865" s="175"/>
      <c r="C865" s="76"/>
      <c r="D865" s="77"/>
      <c r="E865" s="77"/>
      <c r="F865" s="78"/>
      <c r="G865" s="77"/>
      <c r="H865" s="77"/>
      <c r="I865" s="79"/>
      <c r="J865" s="88"/>
      <c r="K865" s="81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</row>
    <row r="866" ht="15.75" customHeight="1">
      <c r="A866" s="65"/>
      <c r="B866" s="175"/>
      <c r="C866" s="76"/>
      <c r="D866" s="77"/>
      <c r="E866" s="77"/>
      <c r="F866" s="78"/>
      <c r="G866" s="77"/>
      <c r="H866" s="77"/>
      <c r="I866" s="79"/>
      <c r="J866" s="88"/>
      <c r="K866" s="81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</row>
    <row r="867" ht="15.75" customHeight="1">
      <c r="A867" s="65"/>
      <c r="B867" s="175"/>
      <c r="C867" s="76"/>
      <c r="D867" s="77"/>
      <c r="E867" s="77"/>
      <c r="F867" s="78"/>
      <c r="G867" s="77"/>
      <c r="H867" s="77"/>
      <c r="I867" s="79"/>
      <c r="J867" s="88"/>
      <c r="K867" s="81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</row>
    <row r="868" ht="15.75" customHeight="1">
      <c r="A868" s="65"/>
      <c r="B868" s="175"/>
      <c r="C868" s="76"/>
      <c r="D868" s="77"/>
      <c r="E868" s="77"/>
      <c r="F868" s="78"/>
      <c r="G868" s="77"/>
      <c r="H868" s="77"/>
      <c r="I868" s="79"/>
      <c r="J868" s="88"/>
      <c r="K868" s="81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</row>
    <row r="869" ht="15.75" customHeight="1">
      <c r="A869" s="65"/>
      <c r="B869" s="175"/>
      <c r="C869" s="76"/>
      <c r="D869" s="77"/>
      <c r="E869" s="77"/>
      <c r="F869" s="78"/>
      <c r="G869" s="77"/>
      <c r="H869" s="77"/>
      <c r="I869" s="79"/>
      <c r="J869" s="88"/>
      <c r="K869" s="81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</row>
    <row r="870" ht="15.75" customHeight="1">
      <c r="A870" s="65"/>
      <c r="B870" s="175"/>
      <c r="C870" s="76"/>
      <c r="D870" s="77"/>
      <c r="E870" s="77"/>
      <c r="F870" s="78"/>
      <c r="G870" s="77"/>
      <c r="H870" s="77"/>
      <c r="I870" s="79"/>
      <c r="J870" s="88"/>
      <c r="K870" s="81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</row>
    <row r="871" ht="15.75" customHeight="1">
      <c r="A871" s="65"/>
      <c r="B871" s="175"/>
      <c r="C871" s="76"/>
      <c r="D871" s="77"/>
      <c r="E871" s="77"/>
      <c r="F871" s="78"/>
      <c r="G871" s="77"/>
      <c r="H871" s="77"/>
      <c r="I871" s="79"/>
      <c r="J871" s="88"/>
      <c r="K871" s="81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</row>
    <row r="872" ht="15.75" customHeight="1">
      <c r="A872" s="65"/>
      <c r="B872" s="175"/>
      <c r="C872" s="76"/>
      <c r="D872" s="77"/>
      <c r="E872" s="77"/>
      <c r="F872" s="78"/>
      <c r="G872" s="77"/>
      <c r="H872" s="77"/>
      <c r="I872" s="79"/>
      <c r="J872" s="88"/>
      <c r="K872" s="81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</row>
    <row r="873" ht="15.75" customHeight="1">
      <c r="A873" s="65"/>
      <c r="B873" s="175"/>
      <c r="C873" s="76"/>
      <c r="D873" s="77"/>
      <c r="E873" s="77"/>
      <c r="F873" s="78"/>
      <c r="G873" s="77"/>
      <c r="H873" s="77"/>
      <c r="I873" s="79"/>
      <c r="J873" s="88"/>
      <c r="K873" s="81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</row>
    <row r="874" ht="15.75" customHeight="1">
      <c r="A874" s="65"/>
      <c r="B874" s="175"/>
      <c r="C874" s="76"/>
      <c r="D874" s="77"/>
      <c r="E874" s="77"/>
      <c r="F874" s="78"/>
      <c r="G874" s="77"/>
      <c r="H874" s="77"/>
      <c r="I874" s="79"/>
      <c r="J874" s="88"/>
      <c r="K874" s="81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</row>
    <row r="875" ht="15.75" customHeight="1">
      <c r="A875" s="65"/>
      <c r="B875" s="175"/>
      <c r="C875" s="76"/>
      <c r="D875" s="77"/>
      <c r="E875" s="77"/>
      <c r="F875" s="78"/>
      <c r="G875" s="77"/>
      <c r="H875" s="77"/>
      <c r="I875" s="79"/>
      <c r="J875" s="88"/>
      <c r="K875" s="81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</row>
    <row r="876" ht="15.75" customHeight="1">
      <c r="A876" s="65"/>
      <c r="B876" s="175"/>
      <c r="C876" s="76"/>
      <c r="D876" s="77"/>
      <c r="E876" s="77"/>
      <c r="F876" s="78"/>
      <c r="G876" s="77"/>
      <c r="H876" s="77"/>
      <c r="I876" s="79"/>
      <c r="J876" s="88"/>
      <c r="K876" s="81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</row>
    <row r="877" ht="15.75" customHeight="1">
      <c r="A877" s="65"/>
      <c r="B877" s="175"/>
      <c r="C877" s="76"/>
      <c r="D877" s="77"/>
      <c r="E877" s="77"/>
      <c r="F877" s="78"/>
      <c r="G877" s="77"/>
      <c r="H877" s="77"/>
      <c r="I877" s="79"/>
      <c r="J877" s="88"/>
      <c r="K877" s="81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</row>
    <row r="878" ht="15.75" customHeight="1">
      <c r="A878" s="65"/>
      <c r="B878" s="175"/>
      <c r="C878" s="76"/>
      <c r="D878" s="77"/>
      <c r="E878" s="77"/>
      <c r="F878" s="78"/>
      <c r="G878" s="77"/>
      <c r="H878" s="77"/>
      <c r="I878" s="79"/>
      <c r="J878" s="88"/>
      <c r="K878" s="81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</row>
    <row r="879" ht="15.75" customHeight="1">
      <c r="A879" s="65"/>
      <c r="B879" s="175"/>
      <c r="C879" s="76"/>
      <c r="D879" s="77"/>
      <c r="E879" s="77"/>
      <c r="F879" s="78"/>
      <c r="G879" s="77"/>
      <c r="H879" s="77"/>
      <c r="I879" s="79"/>
      <c r="J879" s="88"/>
      <c r="K879" s="81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</row>
    <row r="880" ht="15.75" customHeight="1">
      <c r="A880" s="65"/>
      <c r="B880" s="175"/>
      <c r="C880" s="76"/>
      <c r="D880" s="77"/>
      <c r="E880" s="77"/>
      <c r="F880" s="78"/>
      <c r="G880" s="77"/>
      <c r="H880" s="77"/>
      <c r="I880" s="79"/>
      <c r="J880" s="88"/>
      <c r="K880" s="81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</row>
    <row r="881" ht="15.75" customHeight="1">
      <c r="A881" s="65"/>
      <c r="B881" s="175"/>
      <c r="C881" s="76"/>
      <c r="D881" s="77"/>
      <c r="E881" s="77"/>
      <c r="F881" s="78"/>
      <c r="G881" s="77"/>
      <c r="H881" s="77"/>
      <c r="I881" s="79"/>
      <c r="J881" s="88"/>
      <c r="K881" s="81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</row>
    <row r="882" ht="15.75" customHeight="1">
      <c r="A882" s="65"/>
      <c r="B882" s="175"/>
      <c r="C882" s="76"/>
      <c r="D882" s="77"/>
      <c r="E882" s="77"/>
      <c r="F882" s="78"/>
      <c r="G882" s="77"/>
      <c r="H882" s="77"/>
      <c r="I882" s="79"/>
      <c r="J882" s="88"/>
      <c r="K882" s="81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</row>
    <row r="883" ht="15.75" customHeight="1">
      <c r="A883" s="65"/>
      <c r="B883" s="175"/>
      <c r="C883" s="76"/>
      <c r="D883" s="77"/>
      <c r="E883" s="77"/>
      <c r="F883" s="78"/>
      <c r="G883" s="77"/>
      <c r="H883" s="77"/>
      <c r="I883" s="79"/>
      <c r="J883" s="88"/>
      <c r="K883" s="81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</row>
    <row r="884" ht="15.75" customHeight="1">
      <c r="A884" s="65"/>
      <c r="B884" s="175"/>
      <c r="C884" s="76"/>
      <c r="D884" s="77"/>
      <c r="E884" s="77"/>
      <c r="F884" s="78"/>
      <c r="G884" s="77"/>
      <c r="H884" s="77"/>
      <c r="I884" s="79"/>
      <c r="J884" s="88"/>
      <c r="K884" s="81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</row>
    <row r="885" ht="15.75" customHeight="1">
      <c r="A885" s="65"/>
      <c r="B885" s="175"/>
      <c r="C885" s="76"/>
      <c r="D885" s="77"/>
      <c r="E885" s="77"/>
      <c r="F885" s="78"/>
      <c r="G885" s="77"/>
      <c r="H885" s="77"/>
      <c r="I885" s="79"/>
      <c r="J885" s="88"/>
      <c r="K885" s="81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</row>
    <row r="886" ht="15.75" customHeight="1">
      <c r="A886" s="65"/>
      <c r="B886" s="175"/>
      <c r="C886" s="76"/>
      <c r="D886" s="77"/>
      <c r="E886" s="77"/>
      <c r="F886" s="78"/>
      <c r="G886" s="77"/>
      <c r="H886" s="77"/>
      <c r="I886" s="79"/>
      <c r="J886" s="88"/>
      <c r="K886" s="81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</row>
    <row r="887" ht="15.75" customHeight="1">
      <c r="A887" s="65"/>
      <c r="B887" s="175"/>
      <c r="C887" s="76"/>
      <c r="D887" s="77"/>
      <c r="E887" s="77"/>
      <c r="F887" s="78"/>
      <c r="G887" s="77"/>
      <c r="H887" s="77"/>
      <c r="I887" s="79"/>
      <c r="J887" s="88"/>
      <c r="K887" s="81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</row>
    <row r="888" ht="15.75" customHeight="1">
      <c r="A888" s="65"/>
      <c r="B888" s="175"/>
      <c r="C888" s="76"/>
      <c r="D888" s="77"/>
      <c r="E888" s="77"/>
      <c r="F888" s="78"/>
      <c r="G888" s="77"/>
      <c r="H888" s="77"/>
      <c r="I888" s="79"/>
      <c r="J888" s="88"/>
      <c r="K888" s="81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</row>
    <row r="889" ht="15.75" customHeight="1">
      <c r="A889" s="65"/>
      <c r="B889" s="175"/>
      <c r="C889" s="76"/>
      <c r="D889" s="77"/>
      <c r="E889" s="77"/>
      <c r="F889" s="78"/>
      <c r="G889" s="77"/>
      <c r="H889" s="77"/>
      <c r="I889" s="79"/>
      <c r="J889" s="88"/>
      <c r="K889" s="81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</row>
    <row r="890" ht="15.75" customHeight="1">
      <c r="A890" s="65"/>
      <c r="B890" s="175"/>
      <c r="C890" s="76"/>
      <c r="D890" s="77"/>
      <c r="E890" s="77"/>
      <c r="F890" s="78"/>
      <c r="G890" s="77"/>
      <c r="H890" s="77"/>
      <c r="I890" s="79"/>
      <c r="J890" s="88"/>
      <c r="K890" s="81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</row>
    <row r="891" ht="15.75" customHeight="1">
      <c r="A891" s="65"/>
      <c r="B891" s="175"/>
      <c r="C891" s="76"/>
      <c r="D891" s="77"/>
      <c r="E891" s="77"/>
      <c r="F891" s="78"/>
      <c r="G891" s="77"/>
      <c r="H891" s="77"/>
      <c r="I891" s="79"/>
      <c r="J891" s="88"/>
      <c r="K891" s="81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</row>
    <row r="892" ht="15.75" customHeight="1">
      <c r="A892" s="65"/>
      <c r="B892" s="175"/>
      <c r="C892" s="76"/>
      <c r="D892" s="77"/>
      <c r="E892" s="77"/>
      <c r="F892" s="78"/>
      <c r="G892" s="77"/>
      <c r="H892" s="77"/>
      <c r="I892" s="79"/>
      <c r="J892" s="88"/>
      <c r="K892" s="81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</row>
    <row r="893" ht="15.75" customHeight="1">
      <c r="A893" s="65"/>
      <c r="B893" s="175"/>
      <c r="C893" s="76"/>
      <c r="D893" s="77"/>
      <c r="E893" s="77"/>
      <c r="F893" s="78"/>
      <c r="G893" s="77"/>
      <c r="H893" s="77"/>
      <c r="I893" s="79"/>
      <c r="J893" s="88"/>
      <c r="K893" s="81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</row>
    <row r="894" ht="15.75" customHeight="1">
      <c r="A894" s="65"/>
      <c r="B894" s="175"/>
      <c r="C894" s="76"/>
      <c r="D894" s="77"/>
      <c r="E894" s="77"/>
      <c r="F894" s="78"/>
      <c r="G894" s="77"/>
      <c r="H894" s="77"/>
      <c r="I894" s="79"/>
      <c r="J894" s="88"/>
      <c r="K894" s="81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</row>
    <row r="895" ht="15.75" customHeight="1">
      <c r="A895" s="65"/>
      <c r="B895" s="175"/>
      <c r="C895" s="76"/>
      <c r="D895" s="77"/>
      <c r="E895" s="77"/>
      <c r="F895" s="78"/>
      <c r="G895" s="77"/>
      <c r="H895" s="77"/>
      <c r="I895" s="79"/>
      <c r="J895" s="88"/>
      <c r="K895" s="81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</row>
    <row r="896" ht="15.75" customHeight="1">
      <c r="A896" s="65"/>
      <c r="B896" s="175"/>
      <c r="C896" s="76"/>
      <c r="D896" s="77"/>
      <c r="E896" s="77"/>
      <c r="F896" s="78"/>
      <c r="G896" s="77"/>
      <c r="H896" s="77"/>
      <c r="I896" s="79"/>
      <c r="J896" s="88"/>
      <c r="K896" s="81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</row>
    <row r="897" ht="15.75" customHeight="1">
      <c r="A897" s="65"/>
      <c r="B897" s="175"/>
      <c r="C897" s="76"/>
      <c r="D897" s="77"/>
      <c r="E897" s="77"/>
      <c r="F897" s="78"/>
      <c r="G897" s="77"/>
      <c r="H897" s="77"/>
      <c r="I897" s="79"/>
      <c r="J897" s="88"/>
      <c r="K897" s="81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</row>
    <row r="898" ht="15.75" customHeight="1">
      <c r="A898" s="65"/>
      <c r="B898" s="175"/>
      <c r="C898" s="76"/>
      <c r="D898" s="77"/>
      <c r="E898" s="77"/>
      <c r="F898" s="78"/>
      <c r="G898" s="77"/>
      <c r="H898" s="77"/>
      <c r="I898" s="79"/>
      <c r="J898" s="88"/>
      <c r="K898" s="81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</row>
    <row r="899" ht="15.75" customHeight="1">
      <c r="A899" s="65"/>
      <c r="B899" s="175"/>
      <c r="C899" s="76"/>
      <c r="D899" s="77"/>
      <c r="E899" s="77"/>
      <c r="F899" s="78"/>
      <c r="G899" s="77"/>
      <c r="H899" s="77"/>
      <c r="I899" s="79"/>
      <c r="J899" s="88"/>
      <c r="K899" s="81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</row>
    <row r="900" ht="15.75" customHeight="1">
      <c r="A900" s="65"/>
      <c r="B900" s="175"/>
      <c r="C900" s="76"/>
      <c r="D900" s="77"/>
      <c r="E900" s="77"/>
      <c r="F900" s="78"/>
      <c r="G900" s="77"/>
      <c r="H900" s="77"/>
      <c r="I900" s="79"/>
      <c r="J900" s="88"/>
      <c r="K900" s="81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</row>
    <row r="901" ht="15.75" customHeight="1">
      <c r="A901" s="65"/>
      <c r="B901" s="175"/>
      <c r="C901" s="76"/>
      <c r="D901" s="77"/>
      <c r="E901" s="77"/>
      <c r="F901" s="78"/>
      <c r="G901" s="77"/>
      <c r="H901" s="77"/>
      <c r="I901" s="79"/>
      <c r="J901" s="88"/>
      <c r="K901" s="81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</row>
    <row r="902" ht="15.75" customHeight="1">
      <c r="A902" s="65"/>
      <c r="B902" s="175"/>
      <c r="C902" s="76"/>
      <c r="D902" s="77"/>
      <c r="E902" s="77"/>
      <c r="F902" s="78"/>
      <c r="G902" s="77"/>
      <c r="H902" s="77"/>
      <c r="I902" s="79"/>
      <c r="J902" s="88"/>
      <c r="K902" s="81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</row>
    <row r="903" ht="15.75" customHeight="1">
      <c r="A903" s="65"/>
      <c r="B903" s="175"/>
      <c r="C903" s="76"/>
      <c r="D903" s="77"/>
      <c r="E903" s="77"/>
      <c r="F903" s="78"/>
      <c r="G903" s="77"/>
      <c r="H903" s="77"/>
      <c r="I903" s="79"/>
      <c r="J903" s="88"/>
      <c r="K903" s="81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</row>
    <row r="904" ht="15.75" customHeight="1">
      <c r="A904" s="65"/>
      <c r="B904" s="175"/>
      <c r="C904" s="76"/>
      <c r="D904" s="77"/>
      <c r="E904" s="77"/>
      <c r="F904" s="78"/>
      <c r="G904" s="77"/>
      <c r="H904" s="77"/>
      <c r="I904" s="79"/>
      <c r="J904" s="88"/>
      <c r="K904" s="81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</row>
    <row r="905" ht="15.75" customHeight="1">
      <c r="A905" s="65"/>
      <c r="B905" s="175"/>
      <c r="C905" s="76"/>
      <c r="D905" s="77"/>
      <c r="E905" s="77"/>
      <c r="F905" s="78"/>
      <c r="G905" s="77"/>
      <c r="H905" s="77"/>
      <c r="I905" s="79"/>
      <c r="J905" s="88"/>
      <c r="K905" s="81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</row>
    <row r="906" ht="15.75" customHeight="1">
      <c r="A906" s="65"/>
      <c r="B906" s="175"/>
      <c r="C906" s="76"/>
      <c r="D906" s="77"/>
      <c r="E906" s="77"/>
      <c r="F906" s="78"/>
      <c r="G906" s="77"/>
      <c r="H906" s="77"/>
      <c r="I906" s="79"/>
      <c r="J906" s="88"/>
      <c r="K906" s="81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</row>
    <row r="907" ht="15.75" customHeight="1">
      <c r="A907" s="65"/>
      <c r="B907" s="175"/>
      <c r="C907" s="76"/>
      <c r="D907" s="77"/>
      <c r="E907" s="77"/>
      <c r="F907" s="78"/>
      <c r="G907" s="77"/>
      <c r="H907" s="77"/>
      <c r="I907" s="79"/>
      <c r="J907" s="88"/>
      <c r="K907" s="81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</row>
    <row r="908" ht="15.75" customHeight="1">
      <c r="A908" s="65"/>
      <c r="B908" s="175"/>
      <c r="C908" s="76"/>
      <c r="D908" s="77"/>
      <c r="E908" s="77"/>
      <c r="F908" s="78"/>
      <c r="G908" s="77"/>
      <c r="H908" s="77"/>
      <c r="I908" s="79"/>
      <c r="J908" s="88"/>
      <c r="K908" s="81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</row>
    <row r="909" ht="15.75" customHeight="1">
      <c r="A909" s="65"/>
      <c r="B909" s="175"/>
      <c r="C909" s="76"/>
      <c r="D909" s="77"/>
      <c r="E909" s="77"/>
      <c r="F909" s="78"/>
      <c r="G909" s="77"/>
      <c r="H909" s="77"/>
      <c r="I909" s="79"/>
      <c r="J909" s="88"/>
      <c r="K909" s="81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</row>
    <row r="910" ht="15.75" customHeight="1">
      <c r="A910" s="65"/>
      <c r="B910" s="175"/>
      <c r="C910" s="76"/>
      <c r="D910" s="77"/>
      <c r="E910" s="77"/>
      <c r="F910" s="78"/>
      <c r="G910" s="77"/>
      <c r="H910" s="77"/>
      <c r="I910" s="79"/>
      <c r="J910" s="88"/>
      <c r="K910" s="81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</row>
    <row r="911" ht="15.75" customHeight="1">
      <c r="A911" s="65"/>
      <c r="B911" s="175"/>
      <c r="C911" s="76"/>
      <c r="D911" s="77"/>
      <c r="E911" s="77"/>
      <c r="F911" s="78"/>
      <c r="G911" s="77"/>
      <c r="H911" s="77"/>
      <c r="I911" s="79"/>
      <c r="J911" s="88"/>
      <c r="K911" s="81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</row>
    <row r="912" ht="15.75" customHeight="1">
      <c r="A912" s="65"/>
      <c r="B912" s="175"/>
      <c r="C912" s="76"/>
      <c r="D912" s="77"/>
      <c r="E912" s="77"/>
      <c r="F912" s="78"/>
      <c r="G912" s="77"/>
      <c r="H912" s="77"/>
      <c r="I912" s="79"/>
      <c r="J912" s="88"/>
      <c r="K912" s="81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</row>
    <row r="913" ht="15.75" customHeight="1">
      <c r="A913" s="65"/>
      <c r="B913" s="175"/>
      <c r="C913" s="76"/>
      <c r="D913" s="77"/>
      <c r="E913" s="77"/>
      <c r="F913" s="78"/>
      <c r="G913" s="77"/>
      <c r="H913" s="77"/>
      <c r="I913" s="79"/>
      <c r="J913" s="88"/>
      <c r="K913" s="81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</row>
    <row r="914" ht="15.75" customHeight="1">
      <c r="A914" s="65"/>
      <c r="B914" s="175"/>
      <c r="C914" s="76"/>
      <c r="D914" s="77"/>
      <c r="E914" s="77"/>
      <c r="F914" s="78"/>
      <c r="G914" s="77"/>
      <c r="H914" s="77"/>
      <c r="I914" s="79"/>
      <c r="J914" s="88"/>
      <c r="K914" s="81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</row>
    <row r="915" ht="15.75" customHeight="1">
      <c r="A915" s="65"/>
      <c r="B915" s="175"/>
      <c r="C915" s="76"/>
      <c r="D915" s="77"/>
      <c r="E915" s="77"/>
      <c r="F915" s="78"/>
      <c r="G915" s="77"/>
      <c r="H915" s="77"/>
      <c r="I915" s="79"/>
      <c r="J915" s="88"/>
      <c r="K915" s="81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</row>
    <row r="916" ht="15.75" customHeight="1">
      <c r="A916" s="65"/>
      <c r="B916" s="175"/>
      <c r="C916" s="76"/>
      <c r="D916" s="77"/>
      <c r="E916" s="77"/>
      <c r="F916" s="78"/>
      <c r="G916" s="77"/>
      <c r="H916" s="77"/>
      <c r="I916" s="79"/>
      <c r="J916" s="88"/>
      <c r="K916" s="81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</row>
    <row r="917" ht="15.75" customHeight="1">
      <c r="A917" s="65"/>
      <c r="B917" s="175"/>
      <c r="C917" s="76"/>
      <c r="D917" s="77"/>
      <c r="E917" s="77"/>
      <c r="F917" s="78"/>
      <c r="G917" s="77"/>
      <c r="H917" s="77"/>
      <c r="I917" s="79"/>
      <c r="J917" s="88"/>
      <c r="K917" s="81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</row>
    <row r="918" ht="15.75" customHeight="1">
      <c r="A918" s="65"/>
      <c r="B918" s="175"/>
      <c r="C918" s="76"/>
      <c r="D918" s="77"/>
      <c r="E918" s="77"/>
      <c r="F918" s="78"/>
      <c r="G918" s="77"/>
      <c r="H918" s="77"/>
      <c r="I918" s="79"/>
      <c r="J918" s="88"/>
      <c r="K918" s="81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</row>
    <row r="919" ht="15.75" customHeight="1">
      <c r="A919" s="65"/>
      <c r="B919" s="175"/>
      <c r="C919" s="76"/>
      <c r="D919" s="77"/>
      <c r="E919" s="77"/>
      <c r="F919" s="78"/>
      <c r="G919" s="77"/>
      <c r="H919" s="77"/>
      <c r="I919" s="79"/>
      <c r="J919" s="88"/>
      <c r="K919" s="81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</row>
    <row r="920" ht="15.75" customHeight="1">
      <c r="A920" s="65"/>
      <c r="B920" s="175"/>
      <c r="C920" s="76"/>
      <c r="D920" s="77"/>
      <c r="E920" s="77"/>
      <c r="F920" s="78"/>
      <c r="G920" s="77"/>
      <c r="H920" s="77"/>
      <c r="I920" s="79"/>
      <c r="J920" s="88"/>
      <c r="K920" s="81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</row>
    <row r="921" ht="15.75" customHeight="1">
      <c r="A921" s="65"/>
      <c r="B921" s="175"/>
      <c r="C921" s="76"/>
      <c r="D921" s="77"/>
      <c r="E921" s="77"/>
      <c r="F921" s="78"/>
      <c r="G921" s="77"/>
      <c r="H921" s="77"/>
      <c r="I921" s="79"/>
      <c r="J921" s="88"/>
      <c r="K921" s="81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</row>
    <row r="922" ht="15.75" customHeight="1">
      <c r="A922" s="65"/>
      <c r="B922" s="175"/>
      <c r="C922" s="76"/>
      <c r="D922" s="77"/>
      <c r="E922" s="77"/>
      <c r="F922" s="78"/>
      <c r="G922" s="77"/>
      <c r="H922" s="77"/>
      <c r="I922" s="79"/>
      <c r="J922" s="88"/>
      <c r="K922" s="81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</row>
    <row r="923" ht="15.75" customHeight="1">
      <c r="A923" s="65"/>
      <c r="B923" s="175"/>
      <c r="C923" s="76"/>
      <c r="D923" s="77"/>
      <c r="E923" s="77"/>
      <c r="F923" s="78"/>
      <c r="G923" s="77"/>
      <c r="H923" s="77"/>
      <c r="I923" s="79"/>
      <c r="J923" s="88"/>
      <c r="K923" s="81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</row>
    <row r="924" ht="15.75" customHeight="1">
      <c r="A924" s="65"/>
      <c r="B924" s="175"/>
      <c r="C924" s="76"/>
      <c r="D924" s="77"/>
      <c r="E924" s="77"/>
      <c r="F924" s="78"/>
      <c r="G924" s="77"/>
      <c r="H924" s="77"/>
      <c r="I924" s="79"/>
      <c r="J924" s="88"/>
      <c r="K924" s="81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</row>
    <row r="925" ht="15.75" customHeight="1">
      <c r="A925" s="65"/>
      <c r="B925" s="175"/>
      <c r="C925" s="76"/>
      <c r="D925" s="77"/>
      <c r="E925" s="77"/>
      <c r="F925" s="78"/>
      <c r="G925" s="77"/>
      <c r="H925" s="77"/>
      <c r="I925" s="79"/>
      <c r="J925" s="88"/>
      <c r="K925" s="81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</row>
    <row r="926" ht="15.75" customHeight="1">
      <c r="A926" s="65"/>
      <c r="B926" s="175"/>
      <c r="C926" s="76"/>
      <c r="D926" s="77"/>
      <c r="E926" s="77"/>
      <c r="F926" s="78"/>
      <c r="G926" s="77"/>
      <c r="H926" s="77"/>
      <c r="I926" s="79"/>
      <c r="J926" s="88"/>
      <c r="K926" s="81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</row>
    <row r="927" ht="15.75" customHeight="1">
      <c r="A927" s="65"/>
      <c r="B927" s="175"/>
      <c r="C927" s="76"/>
      <c r="D927" s="77"/>
      <c r="E927" s="77"/>
      <c r="F927" s="78"/>
      <c r="G927" s="77"/>
      <c r="H927" s="77"/>
      <c r="I927" s="79"/>
      <c r="J927" s="88"/>
      <c r="K927" s="81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</row>
    <row r="928" ht="15.75" customHeight="1">
      <c r="A928" s="65"/>
      <c r="B928" s="175"/>
      <c r="C928" s="76"/>
      <c r="D928" s="77"/>
      <c r="E928" s="77"/>
      <c r="F928" s="78"/>
      <c r="G928" s="77"/>
      <c r="H928" s="77"/>
      <c r="I928" s="79"/>
      <c r="J928" s="88"/>
      <c r="K928" s="81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</row>
    <row r="929" ht="15.75" customHeight="1">
      <c r="A929" s="65"/>
      <c r="B929" s="175"/>
      <c r="C929" s="76"/>
      <c r="D929" s="77"/>
      <c r="E929" s="77"/>
      <c r="F929" s="78"/>
      <c r="G929" s="77"/>
      <c r="H929" s="77"/>
      <c r="I929" s="79"/>
      <c r="J929" s="88"/>
      <c r="K929" s="81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</row>
    <row r="930" ht="15.75" customHeight="1">
      <c r="A930" s="65"/>
      <c r="B930" s="175"/>
      <c r="C930" s="76"/>
      <c r="D930" s="77"/>
      <c r="E930" s="77"/>
      <c r="F930" s="78"/>
      <c r="G930" s="77"/>
      <c r="H930" s="77"/>
      <c r="I930" s="79"/>
      <c r="J930" s="88"/>
      <c r="K930" s="81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</row>
    <row r="931" ht="15.75" customHeight="1">
      <c r="A931" s="65"/>
      <c r="B931" s="175"/>
      <c r="C931" s="76"/>
      <c r="D931" s="77"/>
      <c r="E931" s="77"/>
      <c r="F931" s="78"/>
      <c r="G931" s="77"/>
      <c r="H931" s="77"/>
      <c r="I931" s="79"/>
      <c r="J931" s="88"/>
      <c r="K931" s="81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</row>
    <row r="932" ht="15.75" customHeight="1">
      <c r="A932" s="65"/>
      <c r="B932" s="175"/>
      <c r="C932" s="76"/>
      <c r="D932" s="77"/>
      <c r="E932" s="77"/>
      <c r="F932" s="78"/>
      <c r="G932" s="77"/>
      <c r="H932" s="77"/>
      <c r="I932" s="79"/>
      <c r="J932" s="88"/>
      <c r="K932" s="81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</row>
    <row r="933" ht="15.75" customHeight="1">
      <c r="A933" s="65"/>
      <c r="B933" s="175"/>
      <c r="C933" s="76"/>
      <c r="D933" s="77"/>
      <c r="E933" s="77"/>
      <c r="F933" s="78"/>
      <c r="G933" s="77"/>
      <c r="H933" s="77"/>
      <c r="I933" s="79"/>
      <c r="J933" s="88"/>
      <c r="K933" s="81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</row>
    <row r="934" ht="15.75" customHeight="1">
      <c r="A934" s="65"/>
      <c r="B934" s="175"/>
      <c r="C934" s="76"/>
      <c r="D934" s="77"/>
      <c r="E934" s="77"/>
      <c r="F934" s="78"/>
      <c r="G934" s="77"/>
      <c r="H934" s="77"/>
      <c r="I934" s="79"/>
      <c r="J934" s="88"/>
      <c r="K934" s="81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</row>
    <row r="935" ht="15.75" customHeight="1">
      <c r="A935" s="65"/>
      <c r="B935" s="175"/>
      <c r="C935" s="76"/>
      <c r="D935" s="77"/>
      <c r="E935" s="77"/>
      <c r="F935" s="78"/>
      <c r="G935" s="77"/>
      <c r="H935" s="77"/>
      <c r="I935" s="79"/>
      <c r="J935" s="88"/>
      <c r="K935" s="81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</row>
    <row r="936" ht="15.75" customHeight="1">
      <c r="A936" s="65"/>
      <c r="B936" s="175"/>
      <c r="C936" s="76"/>
      <c r="D936" s="77"/>
      <c r="E936" s="77"/>
      <c r="F936" s="78"/>
      <c r="G936" s="77"/>
      <c r="H936" s="77"/>
      <c r="I936" s="79"/>
      <c r="J936" s="88"/>
      <c r="K936" s="81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</row>
    <row r="937" ht="15.75" customHeight="1">
      <c r="A937" s="65"/>
      <c r="B937" s="175"/>
      <c r="C937" s="76"/>
      <c r="D937" s="77"/>
      <c r="E937" s="77"/>
      <c r="F937" s="78"/>
      <c r="G937" s="77"/>
      <c r="H937" s="77"/>
      <c r="I937" s="79"/>
      <c r="J937" s="88"/>
      <c r="K937" s="81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</row>
    <row r="938" ht="15.75" customHeight="1">
      <c r="A938" s="65"/>
      <c r="B938" s="175"/>
      <c r="C938" s="76"/>
      <c r="D938" s="77"/>
      <c r="E938" s="77"/>
      <c r="F938" s="78"/>
      <c r="G938" s="77"/>
      <c r="H938" s="77"/>
      <c r="I938" s="79"/>
      <c r="J938" s="88"/>
      <c r="K938" s="81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</row>
    <row r="939" ht="15.75" customHeight="1">
      <c r="A939" s="65"/>
      <c r="B939" s="175"/>
      <c r="C939" s="76"/>
      <c r="D939" s="77"/>
      <c r="E939" s="77"/>
      <c r="F939" s="78"/>
      <c r="G939" s="77"/>
      <c r="H939" s="77"/>
      <c r="I939" s="79"/>
      <c r="J939" s="88"/>
      <c r="K939" s="81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</row>
    <row r="940" ht="15.75" customHeight="1">
      <c r="A940" s="65"/>
      <c r="B940" s="175"/>
      <c r="C940" s="76"/>
      <c r="D940" s="77"/>
      <c r="E940" s="77"/>
      <c r="F940" s="78"/>
      <c r="G940" s="77"/>
      <c r="H940" s="77"/>
      <c r="I940" s="79"/>
      <c r="J940" s="88"/>
      <c r="K940" s="81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</row>
    <row r="941" ht="15.75" customHeight="1">
      <c r="A941" s="65"/>
      <c r="B941" s="175"/>
      <c r="C941" s="76"/>
      <c r="D941" s="77"/>
      <c r="E941" s="77"/>
      <c r="F941" s="78"/>
      <c r="G941" s="77"/>
      <c r="H941" s="77"/>
      <c r="I941" s="79"/>
      <c r="J941" s="88"/>
      <c r="K941" s="81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</row>
    <row r="942" ht="15.75" customHeight="1">
      <c r="A942" s="65"/>
      <c r="B942" s="175"/>
      <c r="C942" s="76"/>
      <c r="D942" s="77"/>
      <c r="E942" s="77"/>
      <c r="F942" s="78"/>
      <c r="G942" s="77"/>
      <c r="H942" s="77"/>
      <c r="I942" s="79"/>
      <c r="J942" s="88"/>
      <c r="K942" s="81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</row>
    <row r="943" ht="15.75" customHeight="1">
      <c r="A943" s="65"/>
      <c r="B943" s="175"/>
      <c r="C943" s="76"/>
      <c r="D943" s="77"/>
      <c r="E943" s="77"/>
      <c r="F943" s="78"/>
      <c r="G943" s="77"/>
      <c r="H943" s="77"/>
      <c r="I943" s="79"/>
      <c r="J943" s="88"/>
      <c r="K943" s="81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</row>
    <row r="944" ht="15.75" customHeight="1">
      <c r="A944" s="65"/>
      <c r="B944" s="175"/>
      <c r="C944" s="76"/>
      <c r="D944" s="77"/>
      <c r="E944" s="77"/>
      <c r="F944" s="78"/>
      <c r="G944" s="77"/>
      <c r="H944" s="77"/>
      <c r="I944" s="79"/>
      <c r="J944" s="88"/>
      <c r="K944" s="81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</row>
    <row r="945" ht="15.75" customHeight="1">
      <c r="A945" s="65"/>
      <c r="B945" s="175"/>
      <c r="C945" s="76"/>
      <c r="D945" s="77"/>
      <c r="E945" s="77"/>
      <c r="F945" s="78"/>
      <c r="G945" s="77"/>
      <c r="H945" s="77"/>
      <c r="I945" s="79"/>
      <c r="J945" s="88"/>
      <c r="K945" s="81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</row>
    <row r="946" ht="15.75" customHeight="1">
      <c r="A946" s="65"/>
      <c r="B946" s="175"/>
      <c r="C946" s="76"/>
      <c r="D946" s="77"/>
      <c r="E946" s="77"/>
      <c r="F946" s="78"/>
      <c r="G946" s="77"/>
      <c r="H946" s="77"/>
      <c r="I946" s="79"/>
      <c r="J946" s="88"/>
      <c r="K946" s="81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</row>
    <row r="947" ht="15.75" customHeight="1">
      <c r="A947" s="65"/>
      <c r="B947" s="175"/>
      <c r="C947" s="76"/>
      <c r="D947" s="77"/>
      <c r="E947" s="77"/>
      <c r="F947" s="78"/>
      <c r="G947" s="77"/>
      <c r="H947" s="77"/>
      <c r="I947" s="79"/>
      <c r="J947" s="88"/>
      <c r="K947" s="81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</row>
    <row r="948" ht="15.75" customHeight="1">
      <c r="A948" s="65"/>
      <c r="B948" s="175"/>
      <c r="C948" s="76"/>
      <c r="D948" s="77"/>
      <c r="E948" s="77"/>
      <c r="F948" s="78"/>
      <c r="G948" s="77"/>
      <c r="H948" s="77"/>
      <c r="I948" s="79"/>
      <c r="J948" s="88"/>
      <c r="K948" s="81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</row>
    <row r="949" ht="15.75" customHeight="1">
      <c r="A949" s="65"/>
      <c r="B949" s="175"/>
      <c r="C949" s="76"/>
      <c r="D949" s="77"/>
      <c r="E949" s="77"/>
      <c r="F949" s="78"/>
      <c r="G949" s="77"/>
      <c r="H949" s="77"/>
      <c r="I949" s="79"/>
      <c r="J949" s="88"/>
      <c r="K949" s="81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</row>
    <row r="950" ht="15.75" customHeight="1">
      <c r="A950" s="65"/>
      <c r="B950" s="175"/>
      <c r="C950" s="76"/>
      <c r="D950" s="77"/>
      <c r="E950" s="77"/>
      <c r="F950" s="78"/>
      <c r="G950" s="77"/>
      <c r="H950" s="77"/>
      <c r="I950" s="79"/>
      <c r="J950" s="88"/>
      <c r="K950" s="81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</row>
    <row r="951" ht="15.75" customHeight="1">
      <c r="A951" s="65"/>
      <c r="B951" s="175"/>
      <c r="C951" s="76"/>
      <c r="D951" s="77"/>
      <c r="E951" s="77"/>
      <c r="F951" s="78"/>
      <c r="G951" s="77"/>
      <c r="H951" s="77"/>
      <c r="I951" s="79"/>
      <c r="J951" s="88"/>
      <c r="K951" s="81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</row>
    <row r="952" ht="15.75" customHeight="1">
      <c r="A952" s="65"/>
      <c r="B952" s="175"/>
      <c r="C952" s="76"/>
      <c r="D952" s="77"/>
      <c r="E952" s="77"/>
      <c r="F952" s="78"/>
      <c r="G952" s="77"/>
      <c r="H952" s="77"/>
      <c r="I952" s="79"/>
      <c r="J952" s="88"/>
      <c r="K952" s="81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</row>
    <row r="953" ht="15.75" customHeight="1">
      <c r="A953" s="65"/>
      <c r="B953" s="175"/>
      <c r="C953" s="76"/>
      <c r="D953" s="77"/>
      <c r="E953" s="77"/>
      <c r="F953" s="78"/>
      <c r="G953" s="77"/>
      <c r="H953" s="77"/>
      <c r="I953" s="79"/>
      <c r="J953" s="88"/>
      <c r="K953" s="81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</row>
    <row r="954" ht="15.75" customHeight="1">
      <c r="A954" s="65"/>
      <c r="B954" s="175"/>
      <c r="C954" s="76"/>
      <c r="D954" s="77"/>
      <c r="E954" s="77"/>
      <c r="F954" s="78"/>
      <c r="G954" s="77"/>
      <c r="H954" s="77"/>
      <c r="I954" s="79"/>
      <c r="J954" s="88"/>
      <c r="K954" s="81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</row>
    <row r="955" ht="15.75" customHeight="1">
      <c r="A955" s="65"/>
      <c r="B955" s="175"/>
      <c r="C955" s="76"/>
      <c r="D955" s="77"/>
      <c r="E955" s="77"/>
      <c r="F955" s="78"/>
      <c r="G955" s="77"/>
      <c r="H955" s="77"/>
      <c r="I955" s="79"/>
      <c r="J955" s="88"/>
      <c r="K955" s="81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</row>
    <row r="956" ht="15.75" customHeight="1">
      <c r="A956" s="65"/>
      <c r="B956" s="175"/>
      <c r="C956" s="76"/>
      <c r="D956" s="77"/>
      <c r="E956" s="77"/>
      <c r="F956" s="78"/>
      <c r="G956" s="77"/>
      <c r="H956" s="77"/>
      <c r="I956" s="79"/>
      <c r="J956" s="88"/>
      <c r="K956" s="81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</row>
    <row r="957" ht="15.75" customHeight="1">
      <c r="A957" s="65"/>
      <c r="B957" s="175"/>
      <c r="C957" s="76"/>
      <c r="D957" s="77"/>
      <c r="E957" s="77"/>
      <c r="F957" s="78"/>
      <c r="G957" s="77"/>
      <c r="H957" s="77"/>
      <c r="I957" s="79"/>
      <c r="J957" s="88"/>
      <c r="K957" s="81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</row>
    <row r="958" ht="15.75" customHeight="1">
      <c r="A958" s="65"/>
      <c r="B958" s="175"/>
      <c r="C958" s="76"/>
      <c r="D958" s="77"/>
      <c r="E958" s="77"/>
      <c r="F958" s="78"/>
      <c r="G958" s="77"/>
      <c r="H958" s="77"/>
      <c r="I958" s="79"/>
      <c r="J958" s="88"/>
      <c r="K958" s="81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</row>
    <row r="959" ht="15.75" customHeight="1">
      <c r="A959" s="65"/>
      <c r="B959" s="175"/>
      <c r="C959" s="76"/>
      <c r="D959" s="77"/>
      <c r="E959" s="77"/>
      <c r="F959" s="78"/>
      <c r="G959" s="77"/>
      <c r="H959" s="77"/>
      <c r="I959" s="79"/>
      <c r="J959" s="88"/>
      <c r="K959" s="81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</row>
    <row r="960" ht="15.75" customHeight="1">
      <c r="A960" s="65"/>
      <c r="B960" s="175"/>
      <c r="C960" s="76"/>
      <c r="D960" s="77"/>
      <c r="E960" s="77"/>
      <c r="F960" s="78"/>
      <c r="G960" s="77"/>
      <c r="H960" s="77"/>
      <c r="I960" s="79"/>
      <c r="J960" s="88"/>
      <c r="K960" s="81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</row>
    <row r="961" ht="15.75" customHeight="1">
      <c r="A961" s="65"/>
      <c r="B961" s="175"/>
      <c r="C961" s="76"/>
      <c r="D961" s="77"/>
      <c r="E961" s="77"/>
      <c r="F961" s="78"/>
      <c r="G961" s="77"/>
      <c r="H961" s="77"/>
      <c r="I961" s="79"/>
      <c r="J961" s="88"/>
      <c r="K961" s="81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</row>
    <row r="962" ht="15.75" customHeight="1">
      <c r="A962" s="65"/>
      <c r="B962" s="175"/>
      <c r="C962" s="76"/>
      <c r="D962" s="77"/>
      <c r="E962" s="77"/>
      <c r="F962" s="78"/>
      <c r="G962" s="77"/>
      <c r="H962" s="77"/>
      <c r="I962" s="79"/>
      <c r="J962" s="88"/>
      <c r="K962" s="81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</row>
    <row r="963" ht="15.75" customHeight="1">
      <c r="A963" s="65"/>
      <c r="B963" s="175"/>
      <c r="C963" s="76"/>
      <c r="D963" s="77"/>
      <c r="E963" s="77"/>
      <c r="F963" s="78"/>
      <c r="G963" s="77"/>
      <c r="H963" s="77"/>
      <c r="I963" s="79"/>
      <c r="J963" s="88"/>
      <c r="K963" s="81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</row>
    <row r="964" ht="15.75" customHeight="1">
      <c r="A964" s="65"/>
      <c r="B964" s="175"/>
      <c r="C964" s="76"/>
      <c r="D964" s="77"/>
      <c r="E964" s="77"/>
      <c r="F964" s="78"/>
      <c r="G964" s="77"/>
      <c r="H964" s="77"/>
      <c r="I964" s="79"/>
      <c r="J964" s="88"/>
      <c r="K964" s="81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</row>
    <row r="965" ht="15.75" customHeight="1">
      <c r="A965" s="65"/>
      <c r="B965" s="175"/>
      <c r="C965" s="76"/>
      <c r="D965" s="77"/>
      <c r="E965" s="77"/>
      <c r="F965" s="78"/>
      <c r="G965" s="77"/>
      <c r="H965" s="77"/>
      <c r="I965" s="79"/>
      <c r="J965" s="88"/>
      <c r="K965" s="81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</row>
    <row r="966" ht="15.75" customHeight="1">
      <c r="A966" s="65"/>
      <c r="B966" s="175"/>
      <c r="C966" s="76"/>
      <c r="D966" s="77"/>
      <c r="E966" s="77"/>
      <c r="F966" s="78"/>
      <c r="G966" s="77"/>
      <c r="H966" s="77"/>
      <c r="I966" s="79"/>
      <c r="J966" s="88"/>
      <c r="K966" s="81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</row>
    <row r="967" ht="15.75" customHeight="1">
      <c r="A967" s="65"/>
      <c r="B967" s="175"/>
      <c r="C967" s="76"/>
      <c r="D967" s="77"/>
      <c r="E967" s="77"/>
      <c r="F967" s="78"/>
      <c r="G967" s="77"/>
      <c r="H967" s="77"/>
      <c r="I967" s="79"/>
      <c r="J967" s="88"/>
      <c r="K967" s="81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</row>
    <row r="968" ht="15.75" customHeight="1">
      <c r="A968" s="65"/>
      <c r="B968" s="175"/>
      <c r="C968" s="76"/>
      <c r="D968" s="77"/>
      <c r="E968" s="77"/>
      <c r="F968" s="78"/>
      <c r="G968" s="77"/>
      <c r="H968" s="77"/>
      <c r="I968" s="79"/>
      <c r="J968" s="88"/>
      <c r="K968" s="81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</row>
    <row r="969" ht="15.75" customHeight="1">
      <c r="A969" s="65"/>
      <c r="B969" s="175"/>
      <c r="C969" s="76"/>
      <c r="D969" s="77"/>
      <c r="E969" s="77"/>
      <c r="F969" s="78"/>
      <c r="G969" s="77"/>
      <c r="H969" s="77"/>
      <c r="I969" s="79"/>
      <c r="J969" s="88"/>
      <c r="K969" s="81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</row>
    <row r="970" ht="15.75" customHeight="1">
      <c r="A970" s="65"/>
      <c r="B970" s="175"/>
      <c r="C970" s="76"/>
      <c r="D970" s="77"/>
      <c r="E970" s="77"/>
      <c r="F970" s="78"/>
      <c r="G970" s="77"/>
      <c r="H970" s="77"/>
      <c r="I970" s="79"/>
      <c r="J970" s="88"/>
      <c r="K970" s="81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</row>
    <row r="971" ht="15.75" customHeight="1">
      <c r="A971" s="65"/>
      <c r="B971" s="175"/>
      <c r="C971" s="76"/>
      <c r="D971" s="77"/>
      <c r="E971" s="77"/>
      <c r="F971" s="78"/>
      <c r="G971" s="77"/>
      <c r="H971" s="77"/>
      <c r="I971" s="79"/>
      <c r="J971" s="88"/>
      <c r="K971" s="81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</row>
    <row r="972" ht="15.75" customHeight="1">
      <c r="A972" s="65"/>
      <c r="B972" s="175"/>
      <c r="C972" s="76"/>
      <c r="D972" s="77"/>
      <c r="E972" s="77"/>
      <c r="F972" s="78"/>
      <c r="G972" s="77"/>
      <c r="H972" s="77"/>
      <c r="I972" s="79"/>
      <c r="J972" s="88"/>
      <c r="K972" s="81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</row>
    <row r="973" ht="15.75" customHeight="1">
      <c r="A973" s="65"/>
      <c r="B973" s="175"/>
      <c r="C973" s="76"/>
      <c r="D973" s="77"/>
      <c r="E973" s="77"/>
      <c r="F973" s="78"/>
      <c r="G973" s="77"/>
      <c r="H973" s="77"/>
      <c r="I973" s="79"/>
      <c r="J973" s="88"/>
      <c r="K973" s="81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</row>
    <row r="974" ht="15.75" customHeight="1">
      <c r="A974" s="65"/>
      <c r="B974" s="175"/>
      <c r="C974" s="76"/>
      <c r="D974" s="77"/>
      <c r="E974" s="77"/>
      <c r="F974" s="78"/>
      <c r="G974" s="77"/>
      <c r="H974" s="77"/>
      <c r="I974" s="79"/>
      <c r="J974" s="88"/>
      <c r="K974" s="81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</row>
    <row r="975" ht="15.75" customHeight="1">
      <c r="A975" s="65"/>
      <c r="B975" s="175"/>
      <c r="C975" s="76"/>
      <c r="D975" s="77"/>
      <c r="E975" s="77"/>
      <c r="F975" s="78"/>
      <c r="G975" s="77"/>
      <c r="H975" s="77"/>
      <c r="I975" s="79"/>
      <c r="J975" s="88"/>
      <c r="K975" s="81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</row>
    <row r="976" ht="15.75" customHeight="1">
      <c r="A976" s="65"/>
      <c r="B976" s="175"/>
      <c r="C976" s="76"/>
      <c r="D976" s="77"/>
      <c r="E976" s="77"/>
      <c r="F976" s="78"/>
      <c r="G976" s="77"/>
      <c r="H976" s="77"/>
      <c r="I976" s="79"/>
      <c r="J976" s="88"/>
      <c r="K976" s="81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</row>
    <row r="977" ht="15.75" customHeight="1">
      <c r="A977" s="65"/>
      <c r="B977" s="175"/>
      <c r="C977" s="76"/>
      <c r="D977" s="77"/>
      <c r="E977" s="77"/>
      <c r="F977" s="78"/>
      <c r="G977" s="77"/>
      <c r="H977" s="77"/>
      <c r="I977" s="79"/>
      <c r="J977" s="88"/>
      <c r="K977" s="81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</row>
    <row r="978" ht="15.75" customHeight="1">
      <c r="A978" s="65"/>
      <c r="B978" s="175"/>
      <c r="C978" s="76"/>
      <c r="D978" s="77"/>
      <c r="E978" s="77"/>
      <c r="F978" s="78"/>
      <c r="G978" s="77"/>
      <c r="H978" s="77"/>
      <c r="I978" s="79"/>
      <c r="J978" s="88"/>
      <c r="K978" s="81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</row>
    <row r="979" ht="15.75" customHeight="1">
      <c r="A979" s="65"/>
      <c r="B979" s="175"/>
      <c r="C979" s="76"/>
      <c r="D979" s="77"/>
      <c r="E979" s="77"/>
      <c r="F979" s="78"/>
      <c r="G979" s="77"/>
      <c r="H979" s="77"/>
      <c r="I979" s="79"/>
      <c r="J979" s="88"/>
      <c r="K979" s="81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</row>
    <row r="980" ht="15.75" customHeight="1">
      <c r="A980" s="65"/>
      <c r="B980" s="175"/>
      <c r="C980" s="76"/>
      <c r="D980" s="77"/>
      <c r="E980" s="77"/>
      <c r="F980" s="78"/>
      <c r="G980" s="77"/>
      <c r="H980" s="77"/>
      <c r="I980" s="79"/>
      <c r="J980" s="88"/>
      <c r="K980" s="81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</row>
    <row r="981" ht="15.75" customHeight="1">
      <c r="A981" s="65"/>
      <c r="B981" s="175"/>
      <c r="C981" s="76"/>
      <c r="D981" s="77"/>
      <c r="E981" s="77"/>
      <c r="F981" s="78"/>
      <c r="G981" s="77"/>
      <c r="H981" s="77"/>
      <c r="I981" s="79"/>
      <c r="J981" s="88"/>
      <c r="K981" s="81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</row>
    <row r="982" ht="15.75" customHeight="1">
      <c r="A982" s="65"/>
      <c r="B982" s="175"/>
      <c r="C982" s="76"/>
      <c r="D982" s="77"/>
      <c r="E982" s="77"/>
      <c r="F982" s="78"/>
      <c r="G982" s="77"/>
      <c r="H982" s="77"/>
      <c r="I982" s="79"/>
      <c r="J982" s="88"/>
      <c r="K982" s="81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</row>
    <row r="983" ht="15.75" customHeight="1">
      <c r="A983" s="65"/>
      <c r="B983" s="175"/>
      <c r="C983" s="76"/>
      <c r="D983" s="77"/>
      <c r="E983" s="77"/>
      <c r="F983" s="78"/>
      <c r="G983" s="77"/>
      <c r="H983" s="77"/>
      <c r="I983" s="79"/>
      <c r="J983" s="88"/>
      <c r="K983" s="81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</row>
    <row r="984" ht="15.75" customHeight="1">
      <c r="A984" s="65"/>
      <c r="B984" s="175"/>
      <c r="C984" s="76"/>
      <c r="D984" s="77"/>
      <c r="E984" s="77"/>
      <c r="F984" s="78"/>
      <c r="G984" s="77"/>
      <c r="H984" s="77"/>
      <c r="I984" s="79"/>
      <c r="J984" s="88"/>
      <c r="K984" s="81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</row>
    <row r="985" ht="15.75" customHeight="1">
      <c r="A985" s="65"/>
      <c r="B985" s="175"/>
      <c r="C985" s="76"/>
      <c r="D985" s="77"/>
      <c r="E985" s="77"/>
      <c r="F985" s="78"/>
      <c r="G985" s="77"/>
      <c r="H985" s="77"/>
      <c r="I985" s="79"/>
      <c r="J985" s="88"/>
      <c r="K985" s="81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</row>
    <row r="986" ht="15.75" customHeight="1">
      <c r="A986" s="65"/>
      <c r="B986" s="175"/>
      <c r="C986" s="76"/>
      <c r="D986" s="77"/>
      <c r="E986" s="77"/>
      <c r="F986" s="78"/>
      <c r="G986" s="77"/>
      <c r="H986" s="77"/>
      <c r="I986" s="79"/>
      <c r="J986" s="88"/>
      <c r="K986" s="81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</row>
    <row r="987" ht="15.75" customHeight="1">
      <c r="A987" s="65"/>
      <c r="B987" s="175"/>
      <c r="C987" s="76"/>
      <c r="D987" s="77"/>
      <c r="E987" s="77"/>
      <c r="F987" s="78"/>
      <c r="G987" s="77"/>
      <c r="H987" s="77"/>
      <c r="I987" s="79"/>
      <c r="J987" s="88"/>
      <c r="K987" s="81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</row>
    <row r="988" ht="15.75" customHeight="1">
      <c r="A988" s="65"/>
      <c r="B988" s="175"/>
      <c r="C988" s="76"/>
      <c r="D988" s="77"/>
      <c r="E988" s="77"/>
      <c r="F988" s="78"/>
      <c r="G988" s="77"/>
      <c r="H988" s="77"/>
      <c r="I988" s="79"/>
      <c r="J988" s="88"/>
      <c r="K988" s="81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</row>
    <row r="989" ht="15.75" customHeight="1">
      <c r="A989" s="65"/>
      <c r="B989" s="175"/>
      <c r="C989" s="76"/>
      <c r="D989" s="77"/>
      <c r="E989" s="77"/>
      <c r="F989" s="78"/>
      <c r="G989" s="77"/>
      <c r="H989" s="77"/>
      <c r="I989" s="79"/>
      <c r="J989" s="88"/>
      <c r="K989" s="81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</row>
    <row r="990" ht="15.75" customHeight="1">
      <c r="A990" s="65"/>
      <c r="B990" s="175"/>
      <c r="C990" s="76"/>
      <c r="D990" s="77"/>
      <c r="E990" s="77"/>
      <c r="F990" s="78"/>
      <c r="G990" s="77"/>
      <c r="H990" s="77"/>
      <c r="I990" s="79"/>
      <c r="J990" s="88"/>
      <c r="K990" s="81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</row>
    <row r="991" ht="15.75" customHeight="1">
      <c r="A991" s="65"/>
      <c r="B991" s="175"/>
      <c r="C991" s="76"/>
      <c r="D991" s="77"/>
      <c r="E991" s="77"/>
      <c r="F991" s="78"/>
      <c r="G991" s="77"/>
      <c r="H991" s="77"/>
      <c r="I991" s="79"/>
      <c r="J991" s="88"/>
      <c r="K991" s="81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</row>
    <row r="992" ht="15.75" customHeight="1">
      <c r="A992" s="65"/>
      <c r="B992" s="175"/>
      <c r="C992" s="76"/>
      <c r="D992" s="77"/>
      <c r="E992" s="77"/>
      <c r="F992" s="78"/>
      <c r="G992" s="77"/>
      <c r="H992" s="77"/>
      <c r="I992" s="79"/>
      <c r="J992" s="88"/>
      <c r="K992" s="81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</row>
    <row r="993" ht="15.75" customHeight="1">
      <c r="A993" s="65"/>
      <c r="B993" s="175"/>
      <c r="C993" s="76"/>
      <c r="D993" s="77"/>
      <c r="E993" s="77"/>
      <c r="F993" s="78"/>
      <c r="G993" s="77"/>
      <c r="H993" s="77"/>
      <c r="I993" s="79"/>
      <c r="J993" s="88"/>
      <c r="K993" s="81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</row>
    <row r="994" ht="15.75" customHeight="1">
      <c r="A994" s="65"/>
      <c r="B994" s="175"/>
      <c r="C994" s="76"/>
      <c r="D994" s="77"/>
      <c r="E994" s="77"/>
      <c r="F994" s="78"/>
      <c r="G994" s="77"/>
      <c r="H994" s="77"/>
      <c r="I994" s="79"/>
      <c r="J994" s="88"/>
      <c r="K994" s="81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</row>
    <row r="995" ht="15.75" customHeight="1">
      <c r="A995" s="65"/>
      <c r="B995" s="175"/>
      <c r="C995" s="76"/>
      <c r="D995" s="77"/>
      <c r="E995" s="77"/>
      <c r="F995" s="78"/>
      <c r="G995" s="77"/>
      <c r="H995" s="77"/>
      <c r="I995" s="79"/>
      <c r="J995" s="88"/>
      <c r="K995" s="81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</row>
    <row r="996" ht="15.75" customHeight="1">
      <c r="A996" s="65"/>
      <c r="B996" s="175"/>
      <c r="C996" s="76"/>
      <c r="D996" s="77"/>
      <c r="E996" s="77"/>
      <c r="F996" s="78"/>
      <c r="G996" s="77"/>
      <c r="H996" s="77"/>
      <c r="I996" s="79"/>
      <c r="J996" s="88"/>
      <c r="K996" s="81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</row>
    <row r="997" ht="15.75" customHeight="1">
      <c r="A997" s="65"/>
      <c r="B997" s="175"/>
      <c r="C997" s="76"/>
      <c r="D997" s="77"/>
      <c r="E997" s="77"/>
      <c r="F997" s="78"/>
      <c r="G997" s="77"/>
      <c r="H997" s="77"/>
      <c r="I997" s="79"/>
      <c r="J997" s="88"/>
      <c r="K997" s="81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</row>
    <row r="998" ht="15.75" customHeight="1">
      <c r="A998" s="65"/>
      <c r="B998" s="175"/>
      <c r="C998" s="76"/>
      <c r="D998" s="77"/>
      <c r="E998" s="77"/>
      <c r="F998" s="78"/>
      <c r="G998" s="77"/>
      <c r="H998" s="77"/>
      <c r="I998" s="79"/>
      <c r="J998" s="88"/>
      <c r="K998" s="81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</row>
    <row r="999" ht="15.75" customHeight="1">
      <c r="A999" s="65"/>
      <c r="B999" s="175"/>
      <c r="C999" s="76"/>
      <c r="D999" s="77"/>
      <c r="E999" s="77"/>
      <c r="F999" s="78"/>
      <c r="G999" s="77"/>
      <c r="H999" s="77"/>
      <c r="I999" s="79"/>
      <c r="J999" s="88"/>
      <c r="K999" s="81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</row>
    <row r="1000" ht="15.75" customHeight="1">
      <c r="A1000" s="65"/>
      <c r="B1000" s="175"/>
      <c r="C1000" s="76"/>
      <c r="D1000" s="77"/>
      <c r="E1000" s="77"/>
      <c r="F1000" s="78"/>
      <c r="G1000" s="77"/>
      <c r="H1000" s="77"/>
      <c r="I1000" s="79"/>
      <c r="J1000" s="88"/>
      <c r="K1000" s="81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</row>
  </sheetData>
  <printOptions horizontalCentered="1"/>
  <pageMargins bottom="0.25" footer="0.0" header="0.0" left="0.25" right="0.25" top="0.75"/>
  <pageSetup orientation="landscape"/>
  <headerFooter>
    <oddHeader>&amp;CBenton Hall Academy 2019-20 Budget &amp;A&amp;R&amp;D</oddHeader>
    <oddFooter>&amp;R&amp;P of </oddFooter>
  </headerFooter>
  <rowBreaks count="1" manualBreakCount="1">
    <brk id="32" man="1"/>
  </rowBreaks>
  <colBreaks count="1" manualBreakCount="1">
    <brk id="11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42.25"/>
    <col customWidth="1" min="3" max="3" width="14.75"/>
    <col customWidth="1" min="4" max="6" width="8.0"/>
    <col customWidth="1" min="7" max="26" width="7.63"/>
  </cols>
  <sheetData>
    <row r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>
      <c r="A3" s="135"/>
      <c r="B3" s="136" t="s">
        <v>715</v>
      </c>
      <c r="C3" s="137" t="s">
        <v>716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>
      <c r="A4" s="135">
        <v>1.0</v>
      </c>
      <c r="B4" s="135" t="str">
        <f>+CONCATENATE('Tuition 19-20'!C60, " Students")</f>
        <v>64 Students</v>
      </c>
      <c r="C4" s="138">
        <v>64.0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>
      <c r="A5" s="135">
        <v>2.0</v>
      </c>
      <c r="B5" s="135" t="str">
        <f>+CONCATENATE('Salaries 2019-20'!B211*100," % Increase for all salaries")</f>
        <v>3 % Increase for all salaries</v>
      </c>
      <c r="C5" s="139">
        <v>0.03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>
      <c r="A6" s="135">
        <v>3.0</v>
      </c>
      <c r="B6" s="135" t="str">
        <f>+CONCATENATE(('Salaries 2019-20'!C241-1)*100," % Increase in employee health insurance coverage")</f>
        <v>0 % Increase in employee health insurance coverage</v>
      </c>
      <c r="C6" s="139">
        <v>0.1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>
      <c r="A7" s="135">
        <v>4.0</v>
      </c>
      <c r="B7" s="135" t="str">
        <f>+CONCATENATE('Tuition 19-20'!H40*100, " % Increase in Tuition")</f>
        <v>4 % Increase in Tuition</v>
      </c>
      <c r="C7" s="139">
        <v>0.0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>
      <c r="A8" s="135">
        <v>5.0</v>
      </c>
      <c r="B8" s="135" t="str">
        <f>CONCATENATE(TEXT(ROUND(Draft!B78,2),"$ * #,##0.00_);($ * #,##0.00)"), " Net Income/(Loss)")</f>
        <v>$  3,415.56  Net Income/(Loss)</v>
      </c>
      <c r="C8" s="140">
        <v>10268.0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>
      <c r="A9" s="135">
        <v>6.0</v>
      </c>
      <c r="B9" s="135" t="s">
        <v>717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>
      <c r="A10" s="135">
        <v>7.0</v>
      </c>
      <c r="B10" s="135" t="s">
        <v>718</v>
      </c>
      <c r="C10" s="135" t="s">
        <v>719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>
      <c r="A11" s="135">
        <v>8.0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>
      <c r="A12" s="135">
        <v>9.0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ht="15.7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15.7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ht="15.7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ht="15.7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ht="15.75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ht="15.75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ht="15.7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ht="15.75" customHeigh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ht="15.7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ht="15.75" customHeight="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ht="15.75" customHeight="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ht="15.7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ht="15.7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ht="15.7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ht="15.75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ht="15.7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ht="15.7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ht="15.7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ht="15.75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ht="15.7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ht="15.75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ht="15.75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ht="15.75" customHeigh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ht="15.7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ht="15.75" customHeigh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ht="15.75" customHeight="1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ht="15.75" customHeigh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ht="15.75" customHeight="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ht="15.75" customHeight="1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ht="15.75" customHeight="1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ht="15.75" customHeight="1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ht="15.75" customHeight="1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ht="15.75" customHeigh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ht="15.75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ht="15.75" customHeigh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ht="15.75" customHeigh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ht="15.75" customHeight="1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ht="15.75" customHeight="1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ht="15.7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ht="15.75" customHeight="1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ht="15.75" customHeight="1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ht="15.75" customHeight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ht="15.75" customHeight="1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ht="15.7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ht="15.75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ht="15.7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ht="15.7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ht="15.75" customHeigh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ht="15.75" customHeight="1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ht="15.75" customHeight="1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ht="15.7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ht="15.75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ht="15.75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ht="15.75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ht="15.75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ht="15.75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ht="15.7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ht="15.75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ht="15.7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ht="15.7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ht="15.7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ht="15.75" customHeight="1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ht="15.75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ht="15.75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ht="15.7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ht="15.75" customHeight="1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ht="15.75" customHeight="1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ht="15.7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ht="15.7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ht="15.7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ht="15.75" customHeight="1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ht="15.7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ht="15.75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ht="15.7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ht="15.75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ht="15.75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ht="15.75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ht="15.75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ht="15.75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ht="15.75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ht="15.75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ht="15.7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ht="15.7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ht="15.75" customHeight="1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ht="15.75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ht="15.75" customHeight="1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ht="15.7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ht="15.75" customHeight="1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ht="15.75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ht="15.75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ht="15.75" customHeight="1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ht="15.75" customHeight="1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ht="15.75" customHeight="1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ht="15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ht="15.75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ht="15.75" customHeight="1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ht="15.75" customHeight="1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ht="15.75" customHeight="1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ht="15.75" customHeight="1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ht="15.75" customHeight="1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ht="15.75" customHeight="1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ht="15.75" customHeight="1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ht="15.75" customHeigh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ht="15.75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ht="15.75" customHeight="1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ht="15.7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ht="15.75" customHeight="1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ht="15.75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ht="15.75" customHeight="1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ht="15.75" customHeight="1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ht="15.75" customHeight="1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ht="15.75" customHeight="1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ht="15.75" customHeight="1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ht="15.75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ht="15.75" customHeight="1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ht="15.75" customHeight="1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ht="15.75" customHeight="1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ht="15.75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ht="15.7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ht="15.75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ht="15.7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ht="15.75" customHeight="1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ht="15.7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ht="15.75" customHeight="1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ht="15.75" customHeight="1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ht="15.75" customHeight="1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ht="15.75" customHeight="1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ht="15.75" customHeight="1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ht="15.75" customHeight="1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ht="15.75" customHeight="1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ht="15.75" customHeight="1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ht="15.75" customHeight="1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ht="15.7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ht="15.75" customHeight="1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ht="15.75" customHeight="1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ht="15.7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ht="15.75" customHeight="1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ht="15.7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ht="15.75" customHeight="1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ht="15.7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ht="15.75" customHeight="1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ht="15.7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ht="15.75" customHeight="1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ht="15.75" customHeight="1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ht="15.75" customHeight="1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ht="15.75" customHeight="1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ht="15.75" customHeight="1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ht="15.75" customHeight="1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ht="15.75" customHeight="1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ht="15.7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ht="15.75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ht="15.75" customHeight="1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ht="15.7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ht="15.75" customHeight="1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ht="15.75" customHeight="1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ht="15.7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ht="15.75" customHeight="1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ht="15.7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ht="15.75" customHeight="1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ht="15.7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ht="15.75" customHeight="1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ht="15.75" customHeight="1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ht="15.75" customHeight="1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ht="15.75" customHeight="1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ht="15.7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ht="15.75" customHeight="1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ht="15.75" customHeight="1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ht="15.75" customHeight="1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ht="15.75" customHeight="1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ht="15.75" customHeight="1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ht="15.75" customHeight="1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ht="15.75" customHeight="1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ht="15.75" customHeight="1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ht="15.75" customHeight="1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ht="15.7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ht="15.75" customHeight="1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ht="15.75" customHeight="1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ht="15.75" customHeight="1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ht="15.75" customHeight="1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ht="15.75" customHeight="1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ht="15.75" customHeight="1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ht="15.75" customHeight="1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ht="15.75" customHeight="1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ht="15.75" customHeight="1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ht="15.75" customHeight="1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ht="15.75" customHeight="1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ht="15.75" customHeight="1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ht="15.75" customHeight="1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ht="15.75" customHeight="1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ht="15.75" customHeight="1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ht="15.75" customHeight="1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ht="15.7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ht="15.75" customHeight="1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ht="15.75" customHeight="1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ht="15.75" customHeight="1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ht="15.75" customHeight="1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ht="15.75" customHeight="1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ht="15.75" customHeight="1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ht="15.75" customHeight="1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ht="15.75" customHeight="1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ht="15.75" customHeight="1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ht="15.75" customHeight="1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ht="15.75" customHeight="1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ht="15.75" customHeight="1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ht="15.75" customHeight="1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ht="15.75" customHeight="1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ht="15.75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ht="15.75" customHeight="1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ht="15.7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ht="15.75" customHeight="1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ht="15.75" customHeight="1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ht="15.75" customHeight="1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ht="15.75" customHeight="1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ht="15.75" customHeight="1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ht="15.75" customHeight="1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ht="15.75" customHeight="1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ht="15.75" customHeight="1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ht="15.75" customHeight="1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ht="15.75" customHeight="1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ht="15.75" customHeight="1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ht="15.75" customHeight="1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ht="15.75" customHeight="1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ht="15.75" customHeight="1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ht="15.75" customHeight="1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ht="15.75" customHeight="1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ht="15.7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ht="15.75" customHeight="1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ht="15.75" customHeight="1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ht="15.75" customHeight="1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ht="15.75" customHeight="1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ht="15.75" customHeight="1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ht="15.75" customHeight="1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ht="15.75" customHeight="1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ht="15.75" customHeight="1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ht="15.75" customHeight="1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ht="15.75" customHeight="1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ht="15.75" customHeight="1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ht="15.75" customHeight="1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ht="15.75" customHeight="1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ht="15.75" customHeight="1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ht="15.75" customHeight="1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ht="15.75" customHeight="1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ht="15.75" customHeight="1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ht="15.75" customHeight="1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ht="15.75" customHeight="1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ht="15.75" customHeight="1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ht="15.75" customHeight="1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ht="15.75" customHeight="1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ht="15.75" customHeight="1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ht="15.75" customHeight="1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ht="15.75" customHeight="1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ht="15.75" customHeight="1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ht="15.75" customHeight="1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ht="15.75" customHeight="1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ht="15.75" customHeight="1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ht="15.75" customHeight="1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ht="15.75" customHeight="1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ht="15.75" customHeight="1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ht="15.75" customHeight="1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ht="15.75" customHeight="1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ht="15.75" customHeight="1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ht="15.75" customHeight="1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ht="15.75" customHeight="1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ht="15.75" customHeight="1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ht="15.75" customHeight="1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ht="15.75" customHeight="1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ht="15.75" customHeight="1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ht="15.75" customHeight="1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ht="15.75" customHeight="1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ht="15.75" customHeight="1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ht="15.75" customHeight="1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ht="15.75" customHeight="1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ht="15.75" customHeight="1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ht="15.75" customHeight="1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ht="15.75" customHeight="1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ht="15.75" customHeight="1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ht="15.75" customHeight="1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ht="15.75" customHeight="1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ht="15.75" customHeight="1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ht="15.75" customHeight="1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ht="15.75" customHeight="1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ht="15.75" customHeight="1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ht="15.75" customHeight="1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ht="15.75" customHeight="1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ht="15.75" customHeight="1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ht="15.75" customHeight="1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ht="15.75" customHeight="1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ht="15.75" customHeight="1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ht="15.75" customHeight="1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ht="15.75" customHeight="1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ht="15.75" customHeight="1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ht="15.75" customHeight="1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ht="15.75" customHeight="1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ht="15.75" customHeight="1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ht="15.75" customHeight="1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ht="15.75" customHeight="1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ht="15.75" customHeight="1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ht="15.75" customHeight="1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ht="15.75" customHeight="1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ht="15.75" customHeight="1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ht="15.75" customHeight="1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ht="15.75" customHeight="1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ht="15.75" customHeight="1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ht="15.75" customHeight="1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ht="15.75" customHeight="1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ht="15.75" customHeight="1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ht="15.75" customHeight="1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ht="15.75" customHeight="1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ht="15.75" customHeight="1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ht="15.75" customHeight="1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ht="15.75" customHeight="1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ht="15.75" customHeight="1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ht="15.75" customHeight="1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ht="15.75" customHeight="1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ht="15.75" customHeight="1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ht="15.75" customHeight="1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ht="15.75" customHeight="1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ht="15.75" customHeight="1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ht="15.75" customHeight="1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ht="15.75" customHeight="1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ht="15.75" customHeight="1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ht="15.75" customHeight="1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ht="15.75" customHeight="1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ht="15.75" customHeight="1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ht="15.75" customHeight="1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ht="15.75" customHeight="1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ht="15.75" customHeight="1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ht="15.75" customHeight="1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ht="15.75" customHeight="1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ht="15.75" customHeight="1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ht="15.75" customHeight="1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ht="15.75" customHeight="1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ht="15.75" customHeight="1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ht="15.75" customHeight="1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ht="15.75" customHeight="1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ht="15.75" customHeight="1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ht="15.75" customHeight="1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ht="15.75" customHeight="1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ht="15.75" customHeight="1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ht="15.75" customHeight="1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ht="15.75" customHeight="1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ht="15.75" customHeight="1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ht="15.75" customHeight="1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ht="15.75" customHeight="1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ht="15.75" customHeight="1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ht="15.75" customHeight="1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ht="15.75" customHeight="1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ht="15.75" customHeight="1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ht="15.75" customHeight="1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ht="15.75" customHeight="1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ht="15.75" customHeight="1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ht="15.75" customHeight="1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ht="15.75" customHeight="1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ht="15.75" customHeight="1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ht="15.75" customHeight="1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ht="15.75" customHeight="1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ht="15.75" customHeight="1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ht="15.75" customHeight="1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ht="15.75" customHeight="1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ht="15.75" customHeight="1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ht="15.75" customHeight="1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ht="15.75" customHeight="1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ht="15.75" customHeight="1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ht="15.75" customHeight="1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ht="15.75" customHeight="1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ht="15.75" customHeight="1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ht="15.75" customHeight="1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ht="15.75" customHeight="1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ht="15.75" customHeight="1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ht="15.75" customHeight="1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ht="15.75" customHeight="1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ht="15.75" customHeight="1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ht="15.75" customHeight="1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ht="15.75" customHeight="1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ht="15.75" customHeight="1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ht="15.75" customHeight="1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ht="15.75" customHeight="1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ht="15.75" customHeight="1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ht="15.75" customHeight="1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ht="15.75" customHeight="1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ht="15.75" customHeight="1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ht="15.75" customHeight="1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ht="15.75" customHeight="1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ht="15.75" customHeight="1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ht="15.75" customHeight="1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ht="15.75" customHeight="1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ht="15.75" customHeight="1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ht="15.75" customHeight="1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ht="15.75" customHeight="1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ht="15.75" customHeight="1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ht="15.75" customHeight="1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ht="15.75" customHeight="1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ht="15.75" customHeight="1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ht="15.75" customHeight="1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ht="15.75" customHeight="1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ht="15.75" customHeight="1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ht="15.75" customHeight="1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ht="15.75" customHeight="1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ht="15.75" customHeight="1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ht="15.75" customHeight="1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ht="15.75" customHeight="1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ht="15.75" customHeight="1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ht="15.75" customHeight="1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ht="15.75" customHeight="1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ht="15.75" customHeight="1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ht="15.75" customHeight="1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ht="15.75" customHeight="1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ht="15.75" customHeight="1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ht="15.75" customHeight="1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ht="15.75" customHeight="1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ht="15.75" customHeight="1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ht="15.75" customHeight="1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ht="15.75" customHeight="1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ht="15.75" customHeight="1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ht="15.75" customHeight="1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ht="15.75" customHeight="1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ht="15.75" customHeight="1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ht="15.75" customHeight="1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ht="15.75" customHeight="1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ht="15.75" customHeight="1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ht="15.75" customHeight="1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ht="15.75" customHeight="1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ht="15.75" customHeight="1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ht="15.75" customHeight="1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ht="15.75" customHeight="1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ht="15.75" customHeight="1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ht="15.75" customHeight="1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ht="15.75" customHeight="1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ht="15.75" customHeight="1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ht="15.75" customHeight="1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ht="15.75" customHeight="1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ht="15.75" customHeight="1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ht="15.75" customHeight="1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ht="15.75" customHeight="1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ht="15.75" customHeight="1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ht="15.75" customHeight="1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ht="15.75" customHeight="1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ht="15.75" customHeight="1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ht="15.75" customHeight="1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ht="15.75" customHeight="1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ht="15.75" customHeight="1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ht="15.75" customHeight="1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ht="15.75" customHeight="1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ht="15.75" customHeight="1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ht="15.75" customHeight="1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ht="15.75" customHeight="1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ht="15.75" customHeight="1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ht="15.75" customHeight="1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ht="15.75" customHeight="1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ht="15.75" customHeight="1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ht="15.75" customHeight="1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ht="15.75" customHeight="1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ht="15.75" customHeight="1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ht="15.75" customHeight="1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ht="15.75" customHeight="1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ht="15.75" customHeight="1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ht="15.75" customHeight="1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ht="15.75" customHeight="1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ht="15.75" customHeight="1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ht="15.75" customHeight="1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ht="15.75" customHeight="1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ht="15.75" customHeight="1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ht="15.75" customHeight="1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ht="15.75" customHeight="1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ht="15.75" customHeight="1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ht="15.75" customHeight="1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ht="15.75" customHeight="1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ht="15.75" customHeight="1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ht="15.75" customHeight="1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ht="15.75" customHeight="1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ht="15.75" customHeight="1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ht="15.75" customHeight="1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ht="15.75" customHeight="1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ht="15.75" customHeight="1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ht="15.75" customHeight="1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ht="15.75" customHeight="1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ht="15.75" customHeight="1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ht="15.75" customHeight="1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ht="15.75" customHeight="1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ht="15.75" customHeight="1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ht="15.75" customHeight="1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ht="15.75" customHeight="1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ht="15.75" customHeight="1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ht="15.75" customHeight="1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ht="15.75" customHeight="1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ht="15.75" customHeight="1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ht="15.75" customHeight="1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ht="15.75" customHeight="1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ht="15.75" customHeight="1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ht="15.75" customHeight="1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ht="15.75" customHeight="1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ht="15.75" customHeight="1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ht="15.75" customHeight="1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ht="15.75" customHeight="1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ht="15.75" customHeight="1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ht="15.75" customHeight="1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ht="15.75" customHeight="1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ht="15.75" customHeight="1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ht="15.75" customHeight="1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ht="15.75" customHeight="1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ht="15.75" customHeight="1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ht="15.75" customHeight="1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ht="15.75" customHeight="1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ht="15.75" customHeight="1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ht="15.75" customHeight="1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ht="15.75" customHeight="1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ht="15.75" customHeight="1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ht="15.75" customHeight="1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ht="15.75" customHeight="1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ht="15.75" customHeight="1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ht="15.75" customHeight="1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ht="15.75" customHeight="1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ht="15.75" customHeight="1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ht="15.75" customHeight="1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ht="15.75" customHeight="1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ht="15.75" customHeight="1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ht="15.75" customHeight="1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ht="15.75" customHeight="1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ht="15.75" customHeight="1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ht="15.75" customHeight="1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ht="15.75" customHeight="1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ht="15.75" customHeight="1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ht="15.75" customHeight="1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ht="15.75" customHeight="1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ht="15.75" customHeight="1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ht="15.75" customHeight="1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ht="15.75" customHeight="1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ht="15.75" customHeight="1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ht="15.75" customHeight="1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ht="15.75" customHeight="1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ht="15.75" customHeight="1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ht="15.75" customHeight="1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ht="15.75" customHeight="1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ht="15.75" customHeight="1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ht="15.75" customHeight="1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ht="15.75" customHeight="1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ht="15.75" customHeight="1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ht="15.75" customHeight="1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ht="15.75" customHeight="1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ht="15.75" customHeight="1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ht="15.75" customHeight="1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ht="15.75" customHeight="1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ht="15.75" customHeight="1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ht="15.75" customHeight="1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ht="15.75" customHeight="1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ht="15.75" customHeight="1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ht="15.75" customHeight="1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ht="15.75" customHeight="1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ht="15.75" customHeight="1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ht="15.75" customHeight="1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ht="15.75" customHeight="1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ht="15.75" customHeight="1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ht="15.75" customHeight="1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ht="15.75" customHeight="1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ht="15.75" customHeight="1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ht="15.75" customHeight="1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ht="15.75" customHeight="1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ht="15.75" customHeight="1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ht="15.75" customHeight="1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ht="15.75" customHeight="1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ht="15.75" customHeight="1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ht="15.75" customHeight="1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ht="15.75" customHeight="1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ht="15.75" customHeight="1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ht="15.75" customHeight="1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ht="15.75" customHeight="1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ht="15.75" customHeight="1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ht="15.75" customHeight="1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ht="15.75" customHeight="1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ht="15.75" customHeight="1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ht="15.75" customHeight="1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ht="15.75" customHeight="1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ht="15.75" customHeight="1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ht="15.75" customHeight="1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ht="15.75" customHeight="1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ht="15.75" customHeight="1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ht="15.75" customHeight="1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ht="15.75" customHeight="1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ht="15.75" customHeight="1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ht="15.75" customHeight="1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ht="15.75" customHeight="1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ht="15.75" customHeight="1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ht="15.75" customHeight="1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ht="15.75" customHeight="1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ht="15.75" customHeight="1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ht="15.75" customHeight="1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ht="15.75" customHeight="1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ht="15.75" customHeight="1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ht="15.75" customHeight="1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ht="15.75" customHeight="1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ht="15.75" customHeight="1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ht="15.75" customHeight="1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ht="15.75" customHeight="1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ht="15.75" customHeight="1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ht="15.75" customHeight="1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ht="15.75" customHeight="1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ht="15.75" customHeight="1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ht="15.75" customHeight="1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ht="15.75" customHeight="1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ht="15.75" customHeight="1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ht="15.75" customHeight="1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ht="15.75" customHeight="1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ht="15.75" customHeight="1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ht="15.75" customHeight="1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ht="15.75" customHeight="1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ht="15.75" customHeight="1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ht="15.75" customHeight="1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ht="15.75" customHeight="1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ht="15.75" customHeight="1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ht="15.75" customHeight="1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ht="15.75" customHeight="1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ht="15.75" customHeight="1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ht="15.75" customHeight="1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ht="15.75" customHeight="1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ht="15.75" customHeight="1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ht="15.75" customHeight="1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ht="15.75" customHeight="1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ht="15.75" customHeight="1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ht="15.75" customHeight="1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ht="15.75" customHeight="1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ht="15.75" customHeight="1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ht="15.75" customHeight="1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ht="15.75" customHeight="1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ht="15.75" customHeight="1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ht="15.75" customHeight="1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ht="15.75" customHeight="1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ht="15.75" customHeight="1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ht="15.75" customHeight="1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ht="15.75" customHeight="1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ht="15.75" customHeight="1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ht="15.75" customHeight="1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ht="15.75" customHeight="1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ht="15.75" customHeight="1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ht="15.75" customHeight="1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ht="15.75" customHeight="1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ht="15.75" customHeight="1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ht="15.75" customHeight="1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ht="15.75" customHeight="1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ht="15.75" customHeight="1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ht="15.75" customHeight="1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ht="15.75" customHeight="1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ht="15.75" customHeight="1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ht="15.75" customHeight="1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ht="15.75" customHeight="1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ht="15.75" customHeight="1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ht="15.75" customHeight="1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ht="15.75" customHeight="1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ht="15.75" customHeight="1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ht="15.75" customHeight="1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ht="15.75" customHeight="1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ht="15.75" customHeight="1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ht="15.75" customHeight="1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ht="15.75" customHeight="1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ht="15.75" customHeight="1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ht="15.75" customHeight="1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ht="15.75" customHeight="1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ht="15.75" customHeight="1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ht="15.75" customHeight="1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ht="15.75" customHeight="1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ht="15.75" customHeight="1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ht="15.75" customHeight="1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ht="15.75" customHeight="1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ht="15.75" customHeight="1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ht="15.75" customHeight="1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ht="15.75" customHeight="1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ht="15.75" customHeight="1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ht="15.75" customHeight="1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ht="15.75" customHeight="1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ht="15.75" customHeight="1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ht="15.75" customHeight="1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ht="15.75" customHeight="1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ht="15.75" customHeight="1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ht="15.75" customHeight="1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ht="15.75" customHeight="1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ht="15.75" customHeight="1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ht="15.75" customHeight="1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ht="15.75" customHeight="1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ht="15.75" customHeight="1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ht="15.75" customHeight="1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ht="15.75" customHeight="1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ht="15.75" customHeight="1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ht="15.75" customHeight="1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ht="15.75" customHeight="1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ht="15.75" customHeight="1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ht="15.75" customHeight="1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ht="15.75" customHeight="1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ht="15.75" customHeight="1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ht="15.75" customHeight="1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ht="15.75" customHeight="1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ht="15.75" customHeight="1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ht="15.75" customHeight="1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ht="15.75" customHeight="1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ht="15.75" customHeight="1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ht="15.75" customHeight="1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ht="15.75" customHeight="1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ht="15.75" customHeight="1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ht="15.75" customHeight="1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ht="15.75" customHeight="1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ht="15.75" customHeight="1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ht="15.75" customHeight="1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ht="15.75" customHeight="1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ht="15.75" customHeight="1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ht="15.75" customHeight="1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ht="15.75" customHeight="1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ht="15.75" customHeight="1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ht="15.75" customHeight="1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ht="15.75" customHeight="1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ht="15.75" customHeight="1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ht="15.75" customHeight="1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ht="15.75" customHeight="1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ht="15.75" customHeight="1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ht="15.75" customHeight="1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ht="15.75" customHeight="1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ht="15.75" customHeight="1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ht="15.75" customHeight="1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ht="15.75" customHeight="1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ht="15.75" customHeight="1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ht="15.75" customHeight="1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ht="15.75" customHeight="1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ht="15.75" customHeight="1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ht="15.75" customHeight="1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ht="15.75" customHeight="1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ht="15.75" customHeight="1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ht="15.75" customHeight="1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ht="15.75" customHeight="1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ht="15.75" customHeight="1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ht="15.75" customHeight="1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ht="15.75" customHeight="1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ht="15.75" customHeight="1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ht="15.75" customHeight="1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ht="15.75" customHeight="1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ht="15.75" customHeight="1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ht="15.75" customHeight="1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ht="15.75" customHeight="1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ht="15.75" customHeight="1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ht="15.75" customHeight="1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ht="15.75" customHeight="1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ht="15.75" customHeight="1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ht="15.75" customHeight="1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ht="15.75" customHeight="1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ht="15.75" customHeight="1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ht="15.75" customHeight="1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ht="15.75" customHeight="1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ht="15.75" customHeight="1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ht="15.75" customHeight="1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ht="15.75" customHeight="1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ht="15.75" customHeight="1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ht="15.75" customHeight="1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ht="15.75" customHeight="1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ht="15.75" customHeight="1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ht="15.75" customHeight="1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ht="15.75" customHeight="1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ht="15.75" customHeight="1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ht="15.75" customHeight="1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ht="15.75" customHeight="1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ht="15.75" customHeight="1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ht="15.75" customHeight="1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ht="15.75" customHeight="1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ht="15.75" customHeight="1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ht="15.75" customHeight="1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ht="15.75" customHeight="1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ht="15.75" customHeight="1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ht="15.75" customHeight="1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ht="15.75" customHeight="1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ht="15.75" customHeight="1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ht="15.75" customHeight="1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ht="15.75" customHeight="1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ht="15.75" customHeight="1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ht="15.75" customHeight="1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ht="15.75" customHeight="1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ht="15.75" customHeight="1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ht="15.75" customHeight="1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ht="15.75" customHeight="1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ht="15.75" customHeight="1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ht="15.75" customHeight="1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ht="15.75" customHeight="1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ht="15.75" customHeight="1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ht="15.75" customHeight="1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ht="15.75" customHeight="1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ht="15.75" customHeight="1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ht="15.75" customHeight="1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ht="15.75" customHeight="1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ht="15.75" customHeight="1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ht="15.75" customHeight="1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ht="15.75" customHeight="1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ht="15.75" customHeight="1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ht="15.75" customHeight="1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ht="15.75" customHeight="1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ht="15.75" customHeight="1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ht="15.75" customHeight="1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ht="15.75" customHeight="1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ht="15.75" customHeight="1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ht="15.75" customHeight="1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ht="15.75" customHeight="1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ht="15.75" customHeight="1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ht="15.75" customHeight="1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ht="15.75" customHeight="1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ht="15.75" customHeight="1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ht="15.75" customHeight="1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ht="15.75" customHeight="1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ht="15.75" customHeight="1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ht="15.75" customHeight="1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ht="15.75" customHeight="1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ht="15.75" customHeight="1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ht="15.75" customHeight="1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ht="15.75" customHeight="1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ht="15.75" customHeight="1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ht="15.75" customHeight="1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ht="15.75" customHeight="1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ht="15.75" customHeight="1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ht="15.75" customHeight="1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ht="15.75" customHeight="1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ht="15.75" customHeight="1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ht="15.75" customHeight="1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ht="15.75" customHeight="1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ht="15.75" customHeight="1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ht="15.75" customHeight="1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ht="15.75" customHeight="1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ht="15.75" customHeight="1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ht="15.75" customHeight="1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ht="15.75" customHeight="1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ht="15.75" customHeight="1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ht="15.75" customHeight="1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ht="15.75" customHeight="1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ht="15.75" customHeight="1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ht="15.75" customHeight="1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ht="15.75" customHeight="1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ht="15.75" customHeight="1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ht="15.75" customHeight="1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ht="15.75" customHeight="1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ht="15.75" customHeight="1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ht="15.75" customHeight="1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ht="15.75" customHeight="1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ht="15.75" customHeight="1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ht="15.75" customHeight="1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ht="15.75" customHeight="1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ht="15.75" customHeight="1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ht="15.75" customHeight="1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ht="15.75" customHeight="1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ht="15.75" customHeight="1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ht="15.75" customHeight="1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ht="15.75" customHeight="1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ht="15.75" customHeight="1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ht="15.75" customHeight="1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ht="15.75" customHeight="1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ht="15.75" customHeight="1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ht="15.75" customHeight="1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ht="15.75" customHeight="1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ht="15.75" customHeight="1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ht="15.75" customHeight="1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ht="15.75" customHeight="1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ht="15.75" customHeight="1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ht="15.75" customHeight="1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ht="15.75" customHeight="1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ht="15.75" customHeight="1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ht="15.75" customHeight="1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ht="15.75" customHeight="1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ht="15.75" customHeight="1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ht="15.75" customHeight="1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ht="15.75" customHeight="1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ht="15.75" customHeight="1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ht="15.75" customHeight="1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ht="15.75" customHeight="1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ht="15.75" customHeight="1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ht="15.75" customHeight="1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ht="15.75" customHeight="1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ht="15.75" customHeight="1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ht="15.75" customHeight="1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ht="15.75" customHeight="1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ht="15.75" customHeight="1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ht="15.75" customHeight="1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ht="15.75" customHeight="1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ht="15.75" customHeight="1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ht="15.75" customHeight="1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ht="15.75" customHeight="1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ht="15.75" customHeight="1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ht="15.75" customHeight="1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ht="15.75" customHeight="1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ht="15.75" customHeight="1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ht="15.75" customHeight="1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ht="15.75" customHeight="1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ht="15.75" customHeight="1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ht="15.75" customHeight="1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ht="15.75" customHeight="1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ht="15.75" customHeight="1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ht="15.75" customHeight="1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ht="15.75" customHeight="1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ht="15.75" customHeight="1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ht="15.75" customHeight="1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ht="15.75" customHeight="1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ht="15.75" customHeight="1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ht="15.75" customHeight="1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ht="15.75" customHeight="1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ht="15.75" customHeight="1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ht="15.75" customHeight="1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ht="15.75" customHeight="1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ht="15.75" customHeight="1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ht="15.75" customHeight="1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ht="15.75" customHeight="1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ht="15.75" customHeight="1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ht="15.75" customHeight="1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ht="15.75" customHeight="1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ht="15.75" customHeight="1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ht="15.75" customHeight="1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ht="15.75" customHeight="1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ht="15.75" customHeight="1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ht="15.75" customHeight="1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ht="15.75" customHeight="1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ht="15.75" customHeight="1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ht="15.75" customHeight="1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ht="15.75" customHeight="1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ht="15.75" customHeight="1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ht="15.75" customHeight="1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ht="15.75" customHeight="1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ht="15.75" customHeight="1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ht="15.75" customHeight="1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ht="15.75" customHeight="1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ht="15.75" customHeight="1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ht="15.75" customHeight="1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ht="15.75" customHeight="1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ht="15.75" customHeight="1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ht="15.75" customHeight="1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ht="15.75" customHeight="1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ht="15.75" customHeight="1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ht="15.75" customHeight="1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ht="15.75" customHeight="1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ht="15.75" customHeight="1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ht="15.75" customHeight="1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ht="15.75" customHeight="1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ht="15.75" customHeight="1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ht="15.75" customHeight="1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ht="15.75" customHeight="1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ht="15.75" customHeight="1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ht="15.75" customHeight="1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ht="15.75" customHeight="1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ht="15.75" customHeight="1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ht="15.75" customHeight="1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ht="15.75" customHeight="1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ht="15.75" customHeight="1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ht="15.75" customHeight="1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ht="15.75" customHeight="1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ht="15.75" customHeight="1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ht="15.75" customHeight="1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ht="15.75" customHeight="1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ht="15.75" customHeight="1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ht="15.75" customHeight="1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ht="15.75" customHeight="1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ht="15.75" customHeight="1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ht="15.75" customHeight="1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ht="15.75" customHeight="1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ht="15.75" customHeight="1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ht="15.75" customHeight="1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ht="15.75" customHeight="1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ht="15.75" customHeight="1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ht="15.75" customHeight="1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ht="15.75" customHeight="1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ht="15.75" customHeight="1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ht="15.75" customHeight="1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ht="15.75" customHeight="1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ht="15.75" customHeight="1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ht="15.75" customHeight="1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ht="15.75" customHeight="1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ht="15.75" customHeight="1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ht="15.75" customHeight="1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ht="15.75" customHeight="1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ht="15.75" customHeight="1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ht="15.75" customHeight="1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ht="15.75" customHeight="1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ht="15.75" customHeight="1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ht="15.75" customHeight="1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ht="15.75" customHeight="1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ht="15.75" customHeight="1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ht="15.75" customHeight="1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ht="15.75" customHeight="1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ht="15.75" customHeight="1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ht="15.75" customHeight="1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ht="15.75" customHeight="1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ht="15.75" customHeight="1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ht="15.75" customHeight="1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ht="15.75" customHeight="1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printOptions/>
  <pageMargins bottom="0.75" footer="0.0" header="0.0" left="0.45" right="0.7" top="1.08"/>
  <pageSetup scale="94" orientation="portrait"/>
  <headerFooter>
    <oddHeader>&amp;CBenton Hall Academy 2019-20 Budget Assumptions&amp;R&amp;D</oddHeader>
    <oddFooter>&amp;R&amp;P of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Row="1"/>
  <cols>
    <col customWidth="1" min="1" max="1" width="2.75"/>
    <col customWidth="1" min="2" max="2" width="25.13"/>
    <col customWidth="1" min="3" max="3" width="12.25"/>
    <col customWidth="1" min="4" max="4" width="10.0"/>
    <col customWidth="1" min="5" max="5" width="13.75"/>
    <col customWidth="1" min="6" max="7" width="10.25"/>
    <col customWidth="1" min="8" max="8" width="9.63"/>
    <col customWidth="1" min="9" max="9" width="7.88"/>
    <col customWidth="1" min="10" max="10" width="5.63"/>
    <col customWidth="1" min="11" max="26" width="7.63"/>
  </cols>
  <sheetData>
    <row r="1">
      <c r="B1" s="176" t="s">
        <v>312</v>
      </c>
      <c r="C1" s="177"/>
      <c r="D1" s="177"/>
      <c r="E1" s="177"/>
      <c r="F1" s="177"/>
      <c r="G1" s="177"/>
      <c r="H1" s="177"/>
      <c r="J1" s="50"/>
      <c r="L1" s="52"/>
    </row>
    <row r="2">
      <c r="B2" s="176" t="s">
        <v>722</v>
      </c>
      <c r="C2" s="177"/>
      <c r="D2" s="177"/>
      <c r="E2" s="177"/>
      <c r="F2" s="177"/>
      <c r="G2" s="177"/>
      <c r="H2" s="177"/>
      <c r="J2" s="50"/>
      <c r="L2" s="52"/>
    </row>
    <row r="3">
      <c r="B3" s="177"/>
      <c r="C3" s="177"/>
      <c r="D3" s="177"/>
      <c r="E3" s="177"/>
      <c r="F3" s="177"/>
      <c r="G3" s="177"/>
      <c r="H3" s="177"/>
      <c r="L3" s="52"/>
    </row>
    <row r="4" hidden="1" outlineLevel="1">
      <c r="B4" s="33" t="s">
        <v>322</v>
      </c>
      <c r="C4" s="34"/>
      <c r="D4" s="34"/>
      <c r="E4" s="34"/>
      <c r="F4" s="34"/>
      <c r="G4" s="34"/>
      <c r="H4" s="35"/>
      <c r="L4" s="52"/>
    </row>
    <row r="5" hidden="1" outlineLevel="1">
      <c r="B5" s="36" t="s">
        <v>329</v>
      </c>
      <c r="C5" s="37">
        <v>13301.0</v>
      </c>
      <c r="D5" s="38" t="s">
        <v>332</v>
      </c>
      <c r="E5" s="38" t="s">
        <v>335</v>
      </c>
      <c r="F5" s="38" t="s">
        <v>336</v>
      </c>
      <c r="G5" s="38" t="s">
        <v>337</v>
      </c>
      <c r="H5" s="39" t="s">
        <v>338</v>
      </c>
      <c r="L5" s="52"/>
    </row>
    <row r="6" hidden="1" outlineLevel="1">
      <c r="B6" s="36"/>
      <c r="C6" s="37">
        <v>375.0</v>
      </c>
      <c r="D6" s="38" t="s">
        <v>341</v>
      </c>
      <c r="E6" s="32"/>
      <c r="F6" s="32"/>
      <c r="G6" s="32"/>
      <c r="H6" s="39"/>
      <c r="L6" s="52"/>
    </row>
    <row r="7" hidden="1" outlineLevel="1">
      <c r="B7" s="36"/>
      <c r="C7" s="37">
        <f>+SUM(C5:C6)</f>
        <v>13676</v>
      </c>
      <c r="D7" s="38" t="s">
        <v>267</v>
      </c>
      <c r="E7" s="38" t="s">
        <v>344</v>
      </c>
      <c r="F7" s="38" t="s">
        <v>347</v>
      </c>
      <c r="G7" s="32"/>
      <c r="H7" s="39"/>
      <c r="L7" s="52"/>
    </row>
    <row r="8" hidden="1" outlineLevel="1">
      <c r="B8" s="36"/>
      <c r="C8" s="40"/>
      <c r="D8" s="32"/>
      <c r="E8" s="32"/>
      <c r="F8" s="32"/>
      <c r="G8" s="32"/>
      <c r="H8" s="39"/>
      <c r="L8" s="52"/>
    </row>
    <row r="9" hidden="1" outlineLevel="1">
      <c r="B9" s="36" t="s">
        <v>348</v>
      </c>
      <c r="C9" s="37">
        <v>13951.0</v>
      </c>
      <c r="D9" s="38" t="s">
        <v>332</v>
      </c>
      <c r="E9" s="38" t="s">
        <v>335</v>
      </c>
      <c r="F9" s="38" t="s">
        <v>336</v>
      </c>
      <c r="G9" s="38" t="s">
        <v>349</v>
      </c>
      <c r="H9" s="39" t="s">
        <v>338</v>
      </c>
      <c r="L9" s="52"/>
    </row>
    <row r="10" hidden="1" outlineLevel="1">
      <c r="B10" s="36"/>
      <c r="C10" s="37">
        <v>375.0</v>
      </c>
      <c r="D10" s="38" t="s">
        <v>341</v>
      </c>
      <c r="E10" s="32"/>
      <c r="F10" s="32"/>
      <c r="G10" s="32"/>
      <c r="H10" s="39"/>
      <c r="L10" s="52"/>
    </row>
    <row r="11" hidden="1" outlineLevel="1">
      <c r="B11" s="41"/>
      <c r="C11" s="42">
        <v>14326.0</v>
      </c>
      <c r="D11" s="43" t="s">
        <v>267</v>
      </c>
      <c r="E11" s="43" t="s">
        <v>344</v>
      </c>
      <c r="F11" s="43" t="s">
        <v>347</v>
      </c>
      <c r="G11" s="43"/>
      <c r="H11" s="44"/>
      <c r="L11" s="52"/>
    </row>
    <row r="12" hidden="1" outlineLevel="1">
      <c r="C12" s="27"/>
      <c r="L12" s="52"/>
    </row>
    <row r="13" hidden="1" outlineLevel="1">
      <c r="B13" s="33" t="s">
        <v>319</v>
      </c>
      <c r="C13" s="34"/>
      <c r="D13" s="34"/>
      <c r="E13" s="34"/>
      <c r="F13" s="34"/>
      <c r="G13" s="34"/>
      <c r="H13" s="35"/>
      <c r="L13" s="52"/>
    </row>
    <row r="14" hidden="1" outlineLevel="1">
      <c r="B14" s="36" t="s">
        <v>329</v>
      </c>
      <c r="C14" s="45">
        <f>+C5*1.04</f>
        <v>13833.04</v>
      </c>
      <c r="D14" s="38"/>
      <c r="E14" s="38" t="s">
        <v>354</v>
      </c>
      <c r="F14" s="38"/>
      <c r="G14" s="38"/>
      <c r="H14" s="39"/>
      <c r="L14" s="52"/>
    </row>
    <row r="15" hidden="1" outlineLevel="1">
      <c r="B15" s="36"/>
      <c r="C15" s="46">
        <v>375.0</v>
      </c>
      <c r="D15" s="38" t="s">
        <v>341</v>
      </c>
      <c r="E15" s="32"/>
      <c r="F15" s="32"/>
      <c r="G15" s="32"/>
      <c r="H15" s="39"/>
      <c r="L15" s="52"/>
    </row>
    <row r="16" hidden="1" outlineLevel="1">
      <c r="B16" s="36"/>
      <c r="C16" s="45">
        <f>SUM(C14:C15)</f>
        <v>14208.04</v>
      </c>
      <c r="D16" s="38" t="s">
        <v>267</v>
      </c>
      <c r="F16" s="38"/>
      <c r="G16" s="32"/>
      <c r="H16" s="39"/>
      <c r="L16" s="52"/>
    </row>
    <row r="17" hidden="1" outlineLevel="1">
      <c r="B17" s="36"/>
      <c r="C17" s="47"/>
      <c r="D17" s="32"/>
      <c r="E17" s="32"/>
      <c r="F17" s="32"/>
      <c r="G17" s="32"/>
      <c r="H17" s="39"/>
      <c r="L17" s="52"/>
    </row>
    <row r="18" hidden="1" outlineLevel="1">
      <c r="B18" s="36" t="s">
        <v>348</v>
      </c>
      <c r="C18" s="45">
        <f>+C9*1.04</f>
        <v>14509.04</v>
      </c>
      <c r="D18" s="38"/>
      <c r="E18" s="38" t="s">
        <v>354</v>
      </c>
      <c r="F18" s="38"/>
      <c r="G18" s="38"/>
      <c r="H18" s="39"/>
      <c r="L18" s="52"/>
    </row>
    <row r="19" hidden="1" outlineLevel="1">
      <c r="B19" s="36"/>
      <c r="C19" s="46">
        <v>375.0</v>
      </c>
      <c r="D19" s="38" t="s">
        <v>341</v>
      </c>
      <c r="E19" s="32"/>
      <c r="F19" s="32"/>
      <c r="G19" s="32"/>
      <c r="H19" s="39"/>
      <c r="L19" s="52"/>
    </row>
    <row r="20" hidden="1" outlineLevel="1">
      <c r="B20" s="41"/>
      <c r="C20" s="48">
        <f>SUM(C18:C19)</f>
        <v>14884.04</v>
      </c>
      <c r="D20" s="43" t="s">
        <v>267</v>
      </c>
      <c r="E20" s="49"/>
      <c r="F20" s="43"/>
      <c r="G20" s="43"/>
      <c r="H20" s="44"/>
      <c r="L20" s="52"/>
    </row>
    <row r="21" ht="15.75" hidden="1" customHeight="1" outlineLevel="1">
      <c r="L21" s="52"/>
    </row>
    <row r="22" ht="15.75" hidden="1" customHeight="1" outlineLevel="1">
      <c r="B22" s="33" t="s">
        <v>723</v>
      </c>
      <c r="C22" s="34"/>
      <c r="D22" s="34"/>
      <c r="E22" s="34"/>
      <c r="F22" s="34"/>
      <c r="G22" s="34"/>
      <c r="H22" s="35"/>
      <c r="L22" s="52"/>
    </row>
    <row r="23" ht="15.75" hidden="1" customHeight="1" outlineLevel="1">
      <c r="B23" s="36" t="s">
        <v>329</v>
      </c>
      <c r="C23" s="45">
        <f>+C14*1.04</f>
        <v>14386.3616</v>
      </c>
      <c r="D23" s="38"/>
      <c r="E23" s="178" t="str">
        <f>+CONCATENATE(TEXT((C23/C14/100-0.01)*100,"0.00%"), " Increase")</f>
        <v>4.00% Increase</v>
      </c>
      <c r="F23" s="38"/>
      <c r="G23" s="38"/>
      <c r="H23" s="39"/>
      <c r="L23" s="52"/>
    </row>
    <row r="24" ht="15.75" hidden="1" customHeight="1" outlineLevel="1">
      <c r="B24" s="36"/>
      <c r="C24" s="46">
        <v>375.0</v>
      </c>
      <c r="D24" s="38" t="s">
        <v>341</v>
      </c>
      <c r="E24" s="32"/>
      <c r="F24" s="32"/>
      <c r="G24" s="32"/>
      <c r="H24" s="39"/>
      <c r="L24" s="52"/>
    </row>
    <row r="25" ht="15.75" hidden="1" customHeight="1" outlineLevel="1">
      <c r="B25" s="36"/>
      <c r="C25" s="45">
        <f>SUM(C23:C24)</f>
        <v>14761.3616</v>
      </c>
      <c r="D25" s="38" t="s">
        <v>267</v>
      </c>
      <c r="F25" s="38"/>
      <c r="G25" s="32"/>
      <c r="H25" s="39"/>
      <c r="L25" s="52"/>
    </row>
    <row r="26" ht="15.75" hidden="1" customHeight="1" outlineLevel="1">
      <c r="B26" s="36"/>
      <c r="C26" s="47"/>
      <c r="D26" s="32"/>
      <c r="E26" s="32"/>
      <c r="F26" s="32"/>
      <c r="G26" s="32"/>
      <c r="H26" s="39"/>
      <c r="L26" s="52"/>
    </row>
    <row r="27" ht="15.75" hidden="1" customHeight="1" outlineLevel="1">
      <c r="B27" s="36" t="s">
        <v>348</v>
      </c>
      <c r="C27" s="45">
        <f>+C18*1.04</f>
        <v>15089.4016</v>
      </c>
      <c r="D27" s="38"/>
      <c r="E27" s="178" t="str">
        <f>+CONCATENATE(TEXT((C27/C18/100-0.01)*100,"0.00%"), " Increase")</f>
        <v>4.00% Increase</v>
      </c>
      <c r="F27" s="38"/>
      <c r="G27" s="38"/>
      <c r="H27" s="39"/>
      <c r="L27" s="52"/>
    </row>
    <row r="28" ht="15.75" hidden="1" customHeight="1" outlineLevel="1">
      <c r="B28" s="36"/>
      <c r="C28" s="46">
        <v>375.0</v>
      </c>
      <c r="D28" s="38" t="s">
        <v>341</v>
      </c>
      <c r="E28" s="32"/>
      <c r="F28" s="32"/>
      <c r="G28" s="32"/>
      <c r="H28" s="39"/>
      <c r="L28" s="52"/>
    </row>
    <row r="29" ht="15.75" hidden="1" customHeight="1" outlineLevel="1">
      <c r="B29" s="41"/>
      <c r="C29" s="48">
        <f>SUM(C27:C28)</f>
        <v>15464.4016</v>
      </c>
      <c r="D29" s="43" t="s">
        <v>267</v>
      </c>
      <c r="E29" s="49"/>
      <c r="F29" s="43"/>
      <c r="G29" s="43"/>
      <c r="H29" s="44"/>
      <c r="L29" s="52"/>
    </row>
    <row r="30" ht="15.75" customHeight="1" collapsed="1">
      <c r="L30" s="52"/>
    </row>
    <row r="31" ht="15.75" customHeight="1">
      <c r="B31" s="33" t="s">
        <v>724</v>
      </c>
      <c r="C31" s="34"/>
      <c r="D31" s="34"/>
      <c r="E31" s="34"/>
      <c r="F31" s="34"/>
      <c r="G31" s="34"/>
      <c r="H31" s="179">
        <v>0.0</v>
      </c>
      <c r="L31" s="52"/>
    </row>
    <row r="32" ht="15.75" customHeight="1">
      <c r="B32" s="36" t="s">
        <v>329</v>
      </c>
      <c r="C32" s="45">
        <f>+C23*(1+H31)</f>
        <v>14386.3616</v>
      </c>
      <c r="D32" s="38"/>
      <c r="E32" s="178" t="str">
        <f>+CONCATENATE(TEXT((C32/C23/100-0.01)*100,"0.00%"), " Increase")</f>
        <v>0.00% Increase</v>
      </c>
      <c r="F32" s="38"/>
      <c r="G32" s="38"/>
      <c r="H32" s="39"/>
      <c r="L32" s="52"/>
    </row>
    <row r="33" ht="15.75" customHeight="1">
      <c r="B33" s="36"/>
      <c r="C33" s="46">
        <v>375.0</v>
      </c>
      <c r="D33" s="38" t="s">
        <v>341</v>
      </c>
      <c r="E33" s="32"/>
      <c r="F33" s="32"/>
      <c r="G33" s="32"/>
      <c r="H33" s="39"/>
      <c r="L33" s="52"/>
    </row>
    <row r="34" ht="15.75" customHeight="1">
      <c r="B34" s="36"/>
      <c r="C34" s="45">
        <f>SUM(C32:C33)</f>
        <v>14761.3616</v>
      </c>
      <c r="D34" s="38" t="s">
        <v>267</v>
      </c>
      <c r="F34" s="38"/>
      <c r="G34" s="32"/>
      <c r="H34" s="39"/>
      <c r="L34" s="52"/>
    </row>
    <row r="35" ht="15.75" customHeight="1">
      <c r="B35" s="36"/>
      <c r="C35" s="47"/>
      <c r="D35" s="32"/>
      <c r="E35" s="32"/>
      <c r="F35" s="32"/>
      <c r="G35" s="32"/>
      <c r="H35" s="39"/>
      <c r="L35" s="52"/>
    </row>
    <row r="36" ht="15.75" customHeight="1">
      <c r="B36" s="36" t="s">
        <v>348</v>
      </c>
      <c r="C36" s="45">
        <f>+C27*(1+H31)</f>
        <v>15089.4016</v>
      </c>
      <c r="D36" s="38"/>
      <c r="E36" s="178" t="str">
        <f>+CONCATENATE(TEXT((C36/C27/100-0.01)*100,"0.00%"), " Increase")</f>
        <v>0.00% Increase</v>
      </c>
      <c r="F36" s="38"/>
      <c r="G36" s="38"/>
      <c r="H36" s="39"/>
      <c r="L36" s="52"/>
    </row>
    <row r="37" ht="15.75" customHeight="1">
      <c r="B37" s="36"/>
      <c r="C37" s="46">
        <v>375.0</v>
      </c>
      <c r="D37" s="38" t="s">
        <v>341</v>
      </c>
      <c r="E37" s="32"/>
      <c r="F37" s="32"/>
      <c r="G37" s="32"/>
      <c r="H37" s="39"/>
      <c r="L37" s="52"/>
    </row>
    <row r="38" ht="15.75" customHeight="1">
      <c r="B38" s="41"/>
      <c r="C38" s="48">
        <f>SUM(C36:C37)</f>
        <v>15464.4016</v>
      </c>
      <c r="D38" s="43" t="s">
        <v>267</v>
      </c>
      <c r="E38" s="49"/>
      <c r="F38" s="43"/>
      <c r="G38" s="43"/>
      <c r="H38" s="44"/>
      <c r="L38" s="52"/>
    </row>
    <row r="39" ht="15.75" customHeight="1">
      <c r="L39" s="52"/>
    </row>
    <row r="40" ht="15.75" customHeight="1">
      <c r="B40" s="33" t="s">
        <v>725</v>
      </c>
      <c r="C40" s="34"/>
      <c r="D40" s="34"/>
      <c r="E40" s="34"/>
      <c r="F40" s="34"/>
      <c r="G40" s="34"/>
      <c r="H40" s="179">
        <v>0.04</v>
      </c>
      <c r="L40" s="52"/>
    </row>
    <row r="41" ht="15.75" customHeight="1">
      <c r="B41" s="36" t="s">
        <v>329</v>
      </c>
      <c r="C41" s="45">
        <f>+C32*(1+H40)</f>
        <v>14961.81606</v>
      </c>
      <c r="D41" s="38"/>
      <c r="E41" s="178" t="str">
        <f>+CONCATENATE(TEXT((C41/C32/100-0.01)*100,"0.00%"), " Increase")</f>
        <v>4.00% Increase</v>
      </c>
      <c r="F41" s="38"/>
      <c r="G41" s="38"/>
      <c r="H41" s="39"/>
      <c r="L41" s="52"/>
    </row>
    <row r="42" ht="15.75" customHeight="1">
      <c r="B42" s="36"/>
      <c r="C42" s="46">
        <v>375.0</v>
      </c>
      <c r="D42" s="38" t="s">
        <v>341</v>
      </c>
      <c r="E42" s="32"/>
      <c r="F42" s="32"/>
      <c r="G42" s="32"/>
      <c r="H42" s="39"/>
      <c r="L42" s="52"/>
    </row>
    <row r="43" ht="15.75" customHeight="1">
      <c r="B43" s="36"/>
      <c r="C43" s="45">
        <f>SUM(C41:C42)</f>
        <v>15336.81606</v>
      </c>
      <c r="D43" s="38" t="s">
        <v>726</v>
      </c>
      <c r="E43" s="32"/>
      <c r="F43" s="38"/>
      <c r="G43" s="32"/>
      <c r="H43" s="39"/>
      <c r="L43" s="52"/>
    </row>
    <row r="44" ht="15.75" customHeight="1">
      <c r="B44" s="36"/>
      <c r="C44" s="46">
        <v>100.0</v>
      </c>
      <c r="D44" s="38" t="s">
        <v>727</v>
      </c>
      <c r="E44" s="32"/>
      <c r="F44" s="38"/>
      <c r="G44" s="32"/>
      <c r="H44" s="39"/>
      <c r="L44" s="52"/>
    </row>
    <row r="45" ht="15.75" customHeight="1">
      <c r="B45" s="36"/>
      <c r="C45" s="45">
        <f>+SUM(C43:C44)</f>
        <v>15436.81606</v>
      </c>
      <c r="D45" s="38" t="s">
        <v>728</v>
      </c>
      <c r="E45" s="32"/>
      <c r="F45" s="38"/>
      <c r="G45" s="32"/>
      <c r="H45" s="39"/>
      <c r="L45" s="52"/>
    </row>
    <row r="46" ht="15.75" customHeight="1">
      <c r="B46" s="36"/>
      <c r="C46" s="47"/>
      <c r="D46" s="32"/>
      <c r="E46" s="32"/>
      <c r="F46" s="32"/>
      <c r="G46" s="32"/>
      <c r="H46" s="39"/>
      <c r="L46" s="52"/>
    </row>
    <row r="47" ht="15.75" customHeight="1">
      <c r="B47" s="36" t="s">
        <v>348</v>
      </c>
      <c r="C47" s="45">
        <f>+C36*(1+H40)</f>
        <v>15692.97766</v>
      </c>
      <c r="D47" s="38"/>
      <c r="E47" s="178" t="str">
        <f>+CONCATENATE(TEXT((C47/C36/100-0.01)*100,"0.00%"), " Increase")</f>
        <v>4.00% Increase</v>
      </c>
      <c r="F47" s="38"/>
      <c r="G47" s="38"/>
      <c r="H47" s="39"/>
      <c r="L47" s="52"/>
    </row>
    <row r="48" ht="15.75" customHeight="1">
      <c r="B48" s="36"/>
      <c r="C48" s="46">
        <v>375.0</v>
      </c>
      <c r="D48" s="38" t="s">
        <v>341</v>
      </c>
      <c r="E48" s="32"/>
      <c r="F48" s="32"/>
      <c r="G48" s="32"/>
      <c r="H48" s="39"/>
      <c r="L48" s="52"/>
    </row>
    <row r="49" ht="15.75" customHeight="1">
      <c r="B49" s="36"/>
      <c r="C49" s="45">
        <f>SUM(C47:C48)</f>
        <v>16067.97766</v>
      </c>
      <c r="D49" s="38" t="s">
        <v>726</v>
      </c>
      <c r="E49" s="32"/>
      <c r="F49" s="32"/>
      <c r="G49" s="32"/>
      <c r="H49" s="39"/>
      <c r="L49" s="52"/>
    </row>
    <row r="50" ht="15.75" customHeight="1">
      <c r="B50" s="36"/>
      <c r="C50" s="46">
        <v>100.0</v>
      </c>
      <c r="D50" s="38" t="s">
        <v>727</v>
      </c>
      <c r="E50" s="32"/>
      <c r="F50" s="32"/>
      <c r="G50" s="32"/>
      <c r="H50" s="39"/>
      <c r="L50" s="52"/>
    </row>
    <row r="51" ht="15.75" customHeight="1">
      <c r="A51" s="180"/>
      <c r="B51" s="48"/>
      <c r="C51" s="48">
        <f>+SUM(C49:C50)</f>
        <v>16167.97766</v>
      </c>
      <c r="D51" s="43" t="s">
        <v>729</v>
      </c>
      <c r="E51" s="181"/>
      <c r="F51" s="181"/>
      <c r="G51" s="181"/>
      <c r="H51" s="44"/>
      <c r="L51" s="52"/>
    </row>
    <row r="52" ht="15.75" customHeight="1">
      <c r="B52" s="32"/>
      <c r="C52" s="32"/>
      <c r="E52" s="32"/>
      <c r="F52" s="32"/>
      <c r="G52" s="32"/>
      <c r="H52" s="32"/>
      <c r="L52" s="52"/>
    </row>
    <row r="53" ht="15.75" customHeight="1">
      <c r="B53" s="50" t="s">
        <v>364</v>
      </c>
      <c r="L53" s="52"/>
    </row>
    <row r="54" ht="15.75" customHeight="1">
      <c r="L54" s="52"/>
    </row>
    <row r="55" ht="15.75" customHeight="1">
      <c r="B55" s="8" t="s">
        <v>365</v>
      </c>
      <c r="C55" s="8">
        <v>67.0</v>
      </c>
      <c r="L55" s="52"/>
    </row>
    <row r="56" ht="15.75" customHeight="1">
      <c r="B56" s="8" t="s">
        <v>366</v>
      </c>
      <c r="C56" s="8">
        <v>64.0</v>
      </c>
      <c r="L56" s="52"/>
    </row>
    <row r="57" ht="15.75" customHeight="1">
      <c r="B57" s="8" t="s">
        <v>730</v>
      </c>
      <c r="C57" s="8">
        <v>57.0</v>
      </c>
      <c r="L57" s="52"/>
    </row>
    <row r="58" ht="15.75" customHeight="1">
      <c r="B58" s="8" t="s">
        <v>731</v>
      </c>
      <c r="C58" s="135">
        <v>57.0</v>
      </c>
      <c r="L58" s="52"/>
    </row>
    <row r="59" ht="15.75" customHeight="1">
      <c r="B59" s="8" t="s">
        <v>732</v>
      </c>
      <c r="C59" s="135">
        <v>58.0</v>
      </c>
      <c r="L59" s="52"/>
    </row>
    <row r="60" ht="15.75" customHeight="1">
      <c r="B60" s="8" t="s">
        <v>733</v>
      </c>
      <c r="C60" s="182">
        <v>64.0</v>
      </c>
      <c r="L60" s="52"/>
    </row>
    <row r="61" ht="15.75" customHeight="1">
      <c r="B61" s="8" t="s">
        <v>370</v>
      </c>
      <c r="C61" s="57">
        <f>ROUND(C49*(ROUND(0.9*C60,0)),0)</f>
        <v>931943</v>
      </c>
      <c r="E61" s="52"/>
      <c r="L61" s="52"/>
    </row>
    <row r="62" ht="15.75" customHeight="1">
      <c r="B62" s="8" t="s">
        <v>372</v>
      </c>
      <c r="C62" s="57">
        <f>ROUND(C43*ROUND(C60*0.1,0),0)</f>
        <v>92021</v>
      </c>
      <c r="E62" s="52"/>
      <c r="L62" s="52"/>
    </row>
    <row r="63" ht="15.75" customHeight="1">
      <c r="B63" s="8" t="s">
        <v>726</v>
      </c>
      <c r="C63" s="183">
        <f>SUM(C61:C62)</f>
        <v>1023964</v>
      </c>
      <c r="E63" s="57"/>
      <c r="L63" s="52"/>
    </row>
    <row r="64" ht="15.75" customHeight="1">
      <c r="B64" s="8" t="s">
        <v>734</v>
      </c>
      <c r="C64" s="57">
        <f>-C60*375</f>
        <v>-24000</v>
      </c>
      <c r="E64" s="57"/>
      <c r="L64" s="52"/>
    </row>
    <row r="65" ht="15.75" customHeight="1">
      <c r="B65" s="8" t="s">
        <v>735</v>
      </c>
      <c r="C65" s="57">
        <f>+C63+C64</f>
        <v>999964</v>
      </c>
      <c r="E65" s="57"/>
      <c r="L65" s="52"/>
    </row>
    <row r="66" ht="15.75" customHeight="1">
      <c r="B66" s="8" t="s">
        <v>736</v>
      </c>
      <c r="C66" s="57">
        <f>+C60*100</f>
        <v>6400</v>
      </c>
      <c r="L66" s="52"/>
    </row>
    <row r="67" ht="15.75" customHeight="1">
      <c r="L67" s="52"/>
    </row>
    <row r="68" ht="15.75" customHeight="1">
      <c r="L68" s="52"/>
    </row>
    <row r="69" ht="15.75" customHeight="1">
      <c r="L69" s="52"/>
    </row>
    <row r="70" ht="15.75" customHeight="1">
      <c r="L70" s="52"/>
    </row>
    <row r="71" ht="15.75" customHeight="1">
      <c r="L71" s="52"/>
    </row>
    <row r="72" ht="15.75" customHeight="1">
      <c r="L72" s="52"/>
    </row>
    <row r="73" ht="15.75" customHeight="1">
      <c r="L73" s="52"/>
    </row>
    <row r="74" ht="15.75" customHeight="1">
      <c r="L74" s="52"/>
    </row>
    <row r="75" ht="15.75" customHeight="1">
      <c r="L75" s="52"/>
    </row>
    <row r="76" ht="15.75" customHeight="1">
      <c r="L76" s="52"/>
    </row>
    <row r="77" ht="15.75" customHeight="1">
      <c r="L77" s="52"/>
    </row>
    <row r="78" ht="15.75" customHeight="1">
      <c r="L78" s="52"/>
    </row>
    <row r="79" ht="15.75" customHeight="1">
      <c r="L79" s="52"/>
    </row>
    <row r="80" ht="15.75" customHeight="1">
      <c r="L80" s="52"/>
    </row>
    <row r="81" ht="15.75" customHeight="1">
      <c r="L81" s="52"/>
    </row>
    <row r="82" ht="15.75" customHeight="1">
      <c r="L82" s="52"/>
    </row>
    <row r="83" ht="15.75" customHeight="1">
      <c r="L83" s="52"/>
    </row>
    <row r="84" ht="15.75" customHeight="1">
      <c r="L84" s="52"/>
    </row>
    <row r="85" ht="15.75" customHeight="1">
      <c r="L85" s="52"/>
    </row>
    <row r="86" ht="15.75" customHeight="1">
      <c r="L86" s="52"/>
    </row>
    <row r="87" ht="15.75" customHeight="1">
      <c r="L87" s="52"/>
    </row>
    <row r="88" ht="15.75" customHeight="1">
      <c r="L88" s="52"/>
    </row>
    <row r="89" ht="15.75" customHeight="1">
      <c r="L89" s="52"/>
    </row>
    <row r="90" ht="15.75" customHeight="1">
      <c r="L90" s="52"/>
    </row>
    <row r="91" ht="15.75" customHeight="1">
      <c r="L91" s="52"/>
    </row>
    <row r="92" ht="15.75" customHeight="1">
      <c r="L92" s="52"/>
    </row>
    <row r="93" ht="15.75" customHeight="1">
      <c r="L93" s="52"/>
    </row>
    <row r="94" ht="15.75" customHeight="1">
      <c r="L94" s="52"/>
    </row>
    <row r="95" ht="15.75" customHeight="1">
      <c r="L95" s="52"/>
    </row>
    <row r="96" ht="15.75" customHeight="1">
      <c r="L96" s="52"/>
    </row>
    <row r="97" ht="15.75" customHeight="1">
      <c r="L97" s="52"/>
    </row>
    <row r="98" ht="15.75" customHeight="1">
      <c r="L98" s="52"/>
    </row>
    <row r="99" ht="15.75" customHeight="1">
      <c r="L99" s="52"/>
    </row>
    <row r="100" ht="15.75" customHeight="1">
      <c r="L100" s="52"/>
    </row>
    <row r="101" ht="15.75" customHeight="1">
      <c r="L101" s="52"/>
    </row>
    <row r="102" ht="15.75" customHeight="1">
      <c r="L102" s="52"/>
    </row>
    <row r="103" ht="15.75" customHeight="1">
      <c r="L103" s="52"/>
    </row>
    <row r="104" ht="15.75" customHeight="1">
      <c r="L104" s="52"/>
    </row>
    <row r="105" ht="15.75" customHeight="1">
      <c r="L105" s="52"/>
    </row>
    <row r="106" ht="15.75" customHeight="1">
      <c r="L106" s="52"/>
    </row>
    <row r="107" ht="15.75" customHeight="1">
      <c r="L107" s="52"/>
    </row>
    <row r="108" ht="15.75" customHeight="1">
      <c r="L108" s="52"/>
    </row>
    <row r="109" ht="15.75" customHeight="1">
      <c r="L109" s="52"/>
    </row>
    <row r="110" ht="15.75" customHeight="1">
      <c r="L110" s="52"/>
    </row>
    <row r="111" ht="15.75" customHeight="1">
      <c r="L111" s="52"/>
    </row>
    <row r="112" ht="15.75" customHeight="1">
      <c r="L112" s="52"/>
    </row>
    <row r="113" ht="15.75" customHeight="1">
      <c r="L113" s="52"/>
    </row>
    <row r="114" ht="15.75" customHeight="1">
      <c r="L114" s="52"/>
    </row>
    <row r="115" ht="15.75" customHeight="1">
      <c r="L115" s="52"/>
    </row>
    <row r="116" ht="15.75" customHeight="1">
      <c r="L116" s="52"/>
    </row>
    <row r="117" ht="15.75" customHeight="1">
      <c r="L117" s="52"/>
    </row>
    <row r="118" ht="15.75" customHeight="1">
      <c r="L118" s="52"/>
    </row>
    <row r="119" ht="15.75" customHeight="1">
      <c r="L119" s="52"/>
    </row>
    <row r="120" ht="15.75" customHeight="1">
      <c r="L120" s="52"/>
    </row>
    <row r="121" ht="15.75" customHeight="1">
      <c r="L121" s="52"/>
    </row>
    <row r="122" ht="15.75" customHeight="1">
      <c r="L122" s="52"/>
    </row>
    <row r="123" ht="15.75" customHeight="1">
      <c r="L123" s="52"/>
    </row>
    <row r="124" ht="15.75" customHeight="1">
      <c r="L124" s="52"/>
    </row>
    <row r="125" ht="15.75" customHeight="1">
      <c r="L125" s="52"/>
    </row>
    <row r="126" ht="15.75" customHeight="1">
      <c r="L126" s="52"/>
    </row>
    <row r="127" ht="15.75" customHeight="1">
      <c r="L127" s="52"/>
    </row>
    <row r="128" ht="15.75" customHeight="1">
      <c r="L128" s="52"/>
    </row>
    <row r="129" ht="15.75" customHeight="1">
      <c r="L129" s="52"/>
    </row>
    <row r="130" ht="15.75" customHeight="1">
      <c r="L130" s="52"/>
    </row>
    <row r="131" ht="15.75" customHeight="1">
      <c r="L131" s="52"/>
    </row>
    <row r="132" ht="15.75" customHeight="1">
      <c r="L132" s="52"/>
    </row>
    <row r="133" ht="15.75" customHeight="1">
      <c r="L133" s="52"/>
    </row>
    <row r="134" ht="15.75" customHeight="1">
      <c r="L134" s="52"/>
    </row>
    <row r="135" ht="15.75" customHeight="1">
      <c r="L135" s="52"/>
    </row>
    <row r="136" ht="15.75" customHeight="1">
      <c r="L136" s="52"/>
    </row>
    <row r="137" ht="15.75" customHeight="1">
      <c r="L137" s="52"/>
    </row>
    <row r="138" ht="15.75" customHeight="1">
      <c r="L138" s="52"/>
    </row>
    <row r="139" ht="15.75" customHeight="1">
      <c r="L139" s="52"/>
    </row>
    <row r="140" ht="15.75" customHeight="1">
      <c r="L140" s="52"/>
    </row>
    <row r="141" ht="15.75" customHeight="1">
      <c r="L141" s="52"/>
    </row>
    <row r="142" ht="15.75" customHeight="1">
      <c r="L142" s="52"/>
    </row>
    <row r="143" ht="15.75" customHeight="1">
      <c r="L143" s="52"/>
    </row>
    <row r="144" ht="15.75" customHeight="1">
      <c r="L144" s="52"/>
    </row>
    <row r="145" ht="15.75" customHeight="1">
      <c r="L145" s="52"/>
    </row>
    <row r="146" ht="15.75" customHeight="1">
      <c r="L146" s="52"/>
    </row>
    <row r="147" ht="15.75" customHeight="1">
      <c r="L147" s="52"/>
    </row>
    <row r="148" ht="15.75" customHeight="1">
      <c r="L148" s="52"/>
    </row>
    <row r="149" ht="15.75" customHeight="1">
      <c r="L149" s="52"/>
    </row>
    <row r="150" ht="15.75" customHeight="1">
      <c r="L150" s="52"/>
    </row>
    <row r="151" ht="15.75" customHeight="1">
      <c r="L151" s="52"/>
    </row>
    <row r="152" ht="15.75" customHeight="1">
      <c r="L152" s="52"/>
    </row>
    <row r="153" ht="15.75" customHeight="1">
      <c r="L153" s="52"/>
    </row>
    <row r="154" ht="15.75" customHeight="1">
      <c r="L154" s="52"/>
    </row>
    <row r="155" ht="15.75" customHeight="1">
      <c r="L155" s="52"/>
    </row>
    <row r="156" ht="15.75" customHeight="1">
      <c r="L156" s="52"/>
    </row>
    <row r="157" ht="15.75" customHeight="1">
      <c r="L157" s="52"/>
    </row>
    <row r="158" ht="15.75" customHeight="1">
      <c r="L158" s="52"/>
    </row>
    <row r="159" ht="15.75" customHeight="1">
      <c r="L159" s="52"/>
    </row>
    <row r="160" ht="15.75" customHeight="1">
      <c r="L160" s="52"/>
    </row>
    <row r="161" ht="15.75" customHeight="1">
      <c r="L161" s="52"/>
    </row>
    <row r="162" ht="15.75" customHeight="1">
      <c r="L162" s="52"/>
    </row>
    <row r="163" ht="15.75" customHeight="1">
      <c r="L163" s="52"/>
    </row>
    <row r="164" ht="15.75" customHeight="1">
      <c r="L164" s="52"/>
    </row>
    <row r="165" ht="15.75" customHeight="1">
      <c r="L165" s="52"/>
    </row>
    <row r="166" ht="15.75" customHeight="1">
      <c r="L166" s="52"/>
    </row>
    <row r="167" ht="15.75" customHeight="1">
      <c r="L167" s="52"/>
    </row>
    <row r="168" ht="15.75" customHeight="1">
      <c r="L168" s="52"/>
    </row>
    <row r="169" ht="15.75" customHeight="1">
      <c r="L169" s="52"/>
    </row>
    <row r="170" ht="15.75" customHeight="1">
      <c r="L170" s="52"/>
    </row>
    <row r="171" ht="15.75" customHeight="1">
      <c r="L171" s="52"/>
    </row>
    <row r="172" ht="15.75" customHeight="1">
      <c r="L172" s="52"/>
    </row>
    <row r="173" ht="15.75" customHeight="1">
      <c r="L173" s="52"/>
    </row>
    <row r="174" ht="15.75" customHeight="1">
      <c r="L174" s="52"/>
    </row>
    <row r="175" ht="15.75" customHeight="1">
      <c r="L175" s="52"/>
    </row>
    <row r="176" ht="15.75" customHeight="1">
      <c r="L176" s="52"/>
    </row>
    <row r="177" ht="15.75" customHeight="1">
      <c r="L177" s="52"/>
    </row>
    <row r="178" ht="15.75" customHeight="1">
      <c r="L178" s="52"/>
    </row>
    <row r="179" ht="15.75" customHeight="1">
      <c r="L179" s="52"/>
    </row>
    <row r="180" ht="15.75" customHeight="1">
      <c r="L180" s="52"/>
    </row>
    <row r="181" ht="15.75" customHeight="1">
      <c r="L181" s="52"/>
    </row>
    <row r="182" ht="15.75" customHeight="1">
      <c r="L182" s="52"/>
    </row>
    <row r="183" ht="15.75" customHeight="1">
      <c r="L183" s="52"/>
    </row>
    <row r="184" ht="15.75" customHeight="1">
      <c r="L184" s="52"/>
    </row>
    <row r="185" ht="15.75" customHeight="1">
      <c r="L185" s="52"/>
    </row>
    <row r="186" ht="15.75" customHeight="1">
      <c r="L186" s="52"/>
    </row>
    <row r="187" ht="15.75" customHeight="1">
      <c r="L187" s="52"/>
    </row>
    <row r="188" ht="15.75" customHeight="1">
      <c r="L188" s="52"/>
    </row>
    <row r="189" ht="15.75" customHeight="1">
      <c r="L189" s="52"/>
    </row>
    <row r="190" ht="15.75" customHeight="1">
      <c r="L190" s="52"/>
    </row>
    <row r="191" ht="15.75" customHeight="1">
      <c r="L191" s="52"/>
    </row>
    <row r="192" ht="15.75" customHeight="1">
      <c r="L192" s="52"/>
    </row>
    <row r="193" ht="15.75" customHeight="1">
      <c r="L193" s="52"/>
    </row>
    <row r="194" ht="15.75" customHeight="1">
      <c r="L194" s="52"/>
    </row>
    <row r="195" ht="15.75" customHeight="1">
      <c r="L195" s="52"/>
    </row>
    <row r="196" ht="15.75" customHeight="1">
      <c r="L196" s="52"/>
    </row>
    <row r="197" ht="15.75" customHeight="1">
      <c r="L197" s="52"/>
    </row>
    <row r="198" ht="15.75" customHeight="1">
      <c r="L198" s="52"/>
    </row>
    <row r="199" ht="15.75" customHeight="1">
      <c r="L199" s="52"/>
    </row>
    <row r="200" ht="15.75" customHeight="1">
      <c r="L200" s="52"/>
    </row>
    <row r="201" ht="15.75" customHeight="1">
      <c r="L201" s="52"/>
    </row>
    <row r="202" ht="15.75" customHeight="1">
      <c r="L202" s="52"/>
    </row>
    <row r="203" ht="15.75" customHeight="1">
      <c r="L203" s="52"/>
    </row>
    <row r="204" ht="15.75" customHeight="1">
      <c r="L204" s="52"/>
    </row>
    <row r="205" ht="15.75" customHeight="1">
      <c r="L205" s="52"/>
    </row>
    <row r="206" ht="15.75" customHeight="1">
      <c r="L206" s="52"/>
    </row>
    <row r="207" ht="15.75" customHeight="1">
      <c r="L207" s="52"/>
    </row>
    <row r="208" ht="15.75" customHeight="1">
      <c r="L208" s="52"/>
    </row>
    <row r="209" ht="15.75" customHeight="1">
      <c r="L209" s="52"/>
    </row>
    <row r="210" ht="15.75" customHeight="1">
      <c r="L210" s="52"/>
    </row>
    <row r="211" ht="15.75" customHeight="1">
      <c r="L211" s="52"/>
    </row>
    <row r="212" ht="15.75" customHeight="1">
      <c r="L212" s="52"/>
    </row>
    <row r="213" ht="15.75" customHeight="1">
      <c r="L213" s="52"/>
    </row>
    <row r="214" ht="15.75" customHeight="1">
      <c r="L214" s="52"/>
    </row>
    <row r="215" ht="15.75" customHeight="1">
      <c r="L215" s="52"/>
    </row>
    <row r="216" ht="15.75" customHeight="1">
      <c r="L216" s="52"/>
    </row>
    <row r="217" ht="15.75" customHeight="1">
      <c r="L217" s="52"/>
    </row>
    <row r="218" ht="15.75" customHeight="1">
      <c r="L218" s="52"/>
    </row>
    <row r="219" ht="15.75" customHeight="1">
      <c r="L219" s="52"/>
    </row>
    <row r="220" ht="15.75" customHeight="1">
      <c r="L220" s="52"/>
    </row>
    <row r="221" ht="15.75" customHeight="1">
      <c r="L221" s="52"/>
    </row>
    <row r="222" ht="15.75" customHeight="1">
      <c r="L222" s="52"/>
    </row>
    <row r="223" ht="15.75" customHeight="1">
      <c r="L223" s="52"/>
    </row>
    <row r="224" ht="15.75" customHeight="1">
      <c r="L224" s="52"/>
    </row>
    <row r="225" ht="15.75" customHeight="1">
      <c r="L225" s="52"/>
    </row>
    <row r="226" ht="15.75" customHeight="1">
      <c r="L226" s="52"/>
    </row>
    <row r="227" ht="15.75" customHeight="1">
      <c r="L227" s="52"/>
    </row>
    <row r="228" ht="15.75" customHeight="1">
      <c r="L228" s="52"/>
    </row>
    <row r="229" ht="15.75" customHeight="1">
      <c r="L229" s="52"/>
    </row>
    <row r="230" ht="15.75" customHeight="1">
      <c r="L230" s="52"/>
    </row>
    <row r="231" ht="15.75" customHeight="1">
      <c r="L231" s="52"/>
    </row>
    <row r="232" ht="15.75" customHeight="1">
      <c r="L232" s="52"/>
    </row>
    <row r="233" ht="15.75" customHeight="1">
      <c r="L233" s="52"/>
    </row>
    <row r="234" ht="15.75" customHeight="1">
      <c r="L234" s="52"/>
    </row>
    <row r="235" ht="15.75" customHeight="1">
      <c r="L235" s="52"/>
    </row>
    <row r="236" ht="15.75" customHeight="1">
      <c r="L236" s="52"/>
    </row>
    <row r="237" ht="15.75" customHeight="1">
      <c r="L237" s="52"/>
    </row>
    <row r="238" ht="15.75" customHeight="1">
      <c r="L238" s="52"/>
    </row>
    <row r="239" ht="15.75" customHeight="1">
      <c r="L239" s="52"/>
    </row>
    <row r="240" ht="15.75" customHeight="1">
      <c r="L240" s="52"/>
    </row>
    <row r="241" ht="15.75" customHeight="1">
      <c r="L241" s="52"/>
    </row>
    <row r="242" ht="15.75" customHeight="1">
      <c r="L242" s="52"/>
    </row>
    <row r="243" ht="15.75" customHeight="1">
      <c r="L243" s="52"/>
    </row>
    <row r="244" ht="15.75" customHeight="1">
      <c r="L244" s="52"/>
    </row>
    <row r="245" ht="15.75" customHeight="1">
      <c r="L245" s="52"/>
    </row>
    <row r="246" ht="15.75" customHeight="1">
      <c r="L246" s="52"/>
    </row>
    <row r="247" ht="15.75" customHeight="1">
      <c r="L247" s="52"/>
    </row>
    <row r="248" ht="15.75" customHeight="1">
      <c r="L248" s="52"/>
    </row>
    <row r="249" ht="15.75" customHeight="1">
      <c r="L249" s="52"/>
    </row>
    <row r="250" ht="15.75" customHeight="1">
      <c r="L250" s="52"/>
    </row>
    <row r="251" ht="15.75" customHeight="1">
      <c r="L251" s="52"/>
    </row>
    <row r="252" ht="15.75" customHeight="1">
      <c r="L252" s="52"/>
    </row>
    <row r="253" ht="15.75" customHeight="1">
      <c r="L253" s="52"/>
    </row>
    <row r="254" ht="15.75" customHeight="1">
      <c r="L254" s="52"/>
    </row>
    <row r="255" ht="15.75" customHeight="1">
      <c r="L255" s="52"/>
    </row>
    <row r="256" ht="15.75" customHeight="1">
      <c r="L256" s="52"/>
    </row>
    <row r="257" ht="15.75" customHeight="1">
      <c r="L257" s="52"/>
    </row>
    <row r="258" ht="15.75" customHeight="1">
      <c r="L258" s="52"/>
    </row>
    <row r="259" ht="15.75" customHeight="1">
      <c r="L259" s="52"/>
    </row>
    <row r="260" ht="15.75" customHeight="1">
      <c r="L260" s="52"/>
    </row>
    <row r="261" ht="15.75" customHeight="1">
      <c r="L261" s="52"/>
    </row>
    <row r="262" ht="15.75" customHeight="1">
      <c r="L262" s="52"/>
    </row>
    <row r="263" ht="15.75" customHeight="1">
      <c r="L263" s="52"/>
    </row>
    <row r="264" ht="15.75" customHeight="1">
      <c r="L264" s="52"/>
    </row>
    <row r="265" ht="15.75" customHeight="1">
      <c r="L265" s="52"/>
    </row>
    <row r="266" ht="15.75" customHeight="1">
      <c r="L266" s="52"/>
    </row>
    <row r="267" ht="15.75" customHeight="1">
      <c r="L267" s="52"/>
    </row>
    <row r="268" ht="15.75" customHeight="1">
      <c r="L268" s="52"/>
    </row>
    <row r="269" ht="15.75" customHeight="1">
      <c r="L269" s="52"/>
    </row>
    <row r="270" ht="15.75" customHeight="1">
      <c r="L270" s="52"/>
    </row>
    <row r="271" ht="15.75" customHeight="1">
      <c r="L271" s="52"/>
    </row>
    <row r="272" ht="15.75" customHeight="1">
      <c r="L272" s="52"/>
    </row>
    <row r="273" ht="15.75" customHeight="1">
      <c r="L273" s="52"/>
    </row>
    <row r="274" ht="15.75" customHeight="1">
      <c r="L274" s="52"/>
    </row>
    <row r="275" ht="15.75" customHeight="1">
      <c r="L275" s="52"/>
    </row>
    <row r="276" ht="15.75" customHeight="1">
      <c r="L276" s="52"/>
    </row>
    <row r="277" ht="15.75" customHeight="1">
      <c r="L277" s="52"/>
    </row>
    <row r="278" ht="15.75" customHeight="1">
      <c r="L278" s="52"/>
    </row>
    <row r="279" ht="15.75" customHeight="1">
      <c r="L279" s="52"/>
    </row>
    <row r="280" ht="15.75" customHeight="1">
      <c r="L280" s="52"/>
    </row>
    <row r="281" ht="15.75" customHeight="1">
      <c r="L281" s="52"/>
    </row>
    <row r="282" ht="15.75" customHeight="1">
      <c r="L282" s="52"/>
    </row>
    <row r="283" ht="15.75" customHeight="1">
      <c r="L283" s="52"/>
    </row>
    <row r="284" ht="15.75" customHeight="1">
      <c r="L284" s="52"/>
    </row>
    <row r="285" ht="15.75" customHeight="1">
      <c r="L285" s="52"/>
    </row>
    <row r="286" ht="15.75" customHeight="1">
      <c r="L286" s="52"/>
    </row>
    <row r="287" ht="15.75" customHeight="1">
      <c r="L287" s="52"/>
    </row>
    <row r="288" ht="15.75" customHeight="1">
      <c r="L288" s="52"/>
    </row>
    <row r="289" ht="15.75" customHeight="1">
      <c r="L289" s="52"/>
    </row>
    <row r="290" ht="15.75" customHeight="1">
      <c r="L290" s="52"/>
    </row>
    <row r="291" ht="15.75" customHeight="1">
      <c r="L291" s="52"/>
    </row>
    <row r="292" ht="15.75" customHeight="1">
      <c r="L292" s="52"/>
    </row>
    <row r="293" ht="15.75" customHeight="1">
      <c r="L293" s="52"/>
    </row>
    <row r="294" ht="15.75" customHeight="1">
      <c r="L294" s="52"/>
    </row>
    <row r="295" ht="15.75" customHeight="1">
      <c r="L295" s="52"/>
    </row>
    <row r="296" ht="15.75" customHeight="1">
      <c r="L296" s="52"/>
    </row>
    <row r="297" ht="15.75" customHeight="1">
      <c r="L297" s="52"/>
    </row>
    <row r="298" ht="15.75" customHeight="1">
      <c r="L298" s="52"/>
    </row>
    <row r="299" ht="15.75" customHeight="1">
      <c r="L299" s="52"/>
    </row>
    <row r="300" ht="15.75" customHeight="1">
      <c r="L300" s="52"/>
    </row>
    <row r="301" ht="15.75" customHeight="1">
      <c r="L301" s="52"/>
    </row>
    <row r="302" ht="15.75" customHeight="1">
      <c r="L302" s="52"/>
    </row>
    <row r="303" ht="15.75" customHeight="1">
      <c r="L303" s="52"/>
    </row>
    <row r="304" ht="15.75" customHeight="1">
      <c r="L304" s="52"/>
    </row>
    <row r="305" ht="15.75" customHeight="1">
      <c r="L305" s="52"/>
    </row>
    <row r="306" ht="15.75" customHeight="1">
      <c r="L306" s="52"/>
    </row>
    <row r="307" ht="15.75" customHeight="1">
      <c r="L307" s="52"/>
    </row>
    <row r="308" ht="15.75" customHeight="1">
      <c r="L308" s="52"/>
    </row>
    <row r="309" ht="15.75" customHeight="1">
      <c r="L309" s="52"/>
    </row>
    <row r="310" ht="15.75" customHeight="1">
      <c r="L310" s="52"/>
    </row>
    <row r="311" ht="15.75" customHeight="1">
      <c r="L311" s="52"/>
    </row>
    <row r="312" ht="15.75" customHeight="1">
      <c r="L312" s="52"/>
    </row>
    <row r="313" ht="15.75" customHeight="1">
      <c r="L313" s="52"/>
    </row>
    <row r="314" ht="15.75" customHeight="1">
      <c r="L314" s="52"/>
    </row>
    <row r="315" ht="15.75" customHeight="1">
      <c r="L315" s="52"/>
    </row>
    <row r="316" ht="15.75" customHeight="1">
      <c r="L316" s="52"/>
    </row>
    <row r="317" ht="15.75" customHeight="1">
      <c r="L317" s="52"/>
    </row>
    <row r="318" ht="15.75" customHeight="1">
      <c r="L318" s="52"/>
    </row>
    <row r="319" ht="15.75" customHeight="1">
      <c r="L319" s="52"/>
    </row>
    <row r="320" ht="15.75" customHeight="1">
      <c r="L320" s="52"/>
    </row>
    <row r="321" ht="15.75" customHeight="1">
      <c r="L321" s="52"/>
    </row>
    <row r="322" ht="15.75" customHeight="1">
      <c r="L322" s="52"/>
    </row>
    <row r="323" ht="15.75" customHeight="1">
      <c r="L323" s="52"/>
    </row>
    <row r="324" ht="15.75" customHeight="1">
      <c r="L324" s="52"/>
    </row>
    <row r="325" ht="15.75" customHeight="1">
      <c r="L325" s="52"/>
    </row>
    <row r="326" ht="15.75" customHeight="1">
      <c r="L326" s="52"/>
    </row>
    <row r="327" ht="15.75" customHeight="1">
      <c r="L327" s="52"/>
    </row>
    <row r="328" ht="15.75" customHeight="1">
      <c r="L328" s="52"/>
    </row>
    <row r="329" ht="15.75" customHeight="1">
      <c r="L329" s="52"/>
    </row>
    <row r="330" ht="15.75" customHeight="1">
      <c r="L330" s="52"/>
    </row>
    <row r="331" ht="15.75" customHeight="1">
      <c r="L331" s="52"/>
    </row>
    <row r="332" ht="15.75" customHeight="1">
      <c r="L332" s="52"/>
    </row>
    <row r="333" ht="15.75" customHeight="1">
      <c r="L333" s="52"/>
    </row>
    <row r="334" ht="15.75" customHeight="1">
      <c r="L334" s="52"/>
    </row>
    <row r="335" ht="15.75" customHeight="1">
      <c r="L335" s="52"/>
    </row>
    <row r="336" ht="15.75" customHeight="1">
      <c r="L336" s="52"/>
    </row>
    <row r="337" ht="15.75" customHeight="1">
      <c r="L337" s="52"/>
    </row>
    <row r="338" ht="15.75" customHeight="1">
      <c r="L338" s="52"/>
    </row>
    <row r="339" ht="15.75" customHeight="1">
      <c r="L339" s="52"/>
    </row>
    <row r="340" ht="15.75" customHeight="1">
      <c r="L340" s="52"/>
    </row>
    <row r="341" ht="15.75" customHeight="1">
      <c r="L341" s="52"/>
    </row>
    <row r="342" ht="15.75" customHeight="1">
      <c r="L342" s="52"/>
    </row>
    <row r="343" ht="15.75" customHeight="1">
      <c r="L343" s="52"/>
    </row>
    <row r="344" ht="15.75" customHeight="1">
      <c r="L344" s="52"/>
    </row>
    <row r="345" ht="15.75" customHeight="1">
      <c r="L345" s="52"/>
    </row>
    <row r="346" ht="15.75" customHeight="1">
      <c r="L346" s="52"/>
    </row>
    <row r="347" ht="15.75" customHeight="1">
      <c r="L347" s="52"/>
    </row>
    <row r="348" ht="15.75" customHeight="1">
      <c r="L348" s="52"/>
    </row>
    <row r="349" ht="15.75" customHeight="1">
      <c r="L349" s="52"/>
    </row>
    <row r="350" ht="15.75" customHeight="1">
      <c r="L350" s="52"/>
    </row>
    <row r="351" ht="15.75" customHeight="1">
      <c r="L351" s="52"/>
    </row>
    <row r="352" ht="15.75" customHeight="1">
      <c r="L352" s="52"/>
    </row>
    <row r="353" ht="15.75" customHeight="1">
      <c r="L353" s="52"/>
    </row>
    <row r="354" ht="15.75" customHeight="1">
      <c r="L354" s="52"/>
    </row>
    <row r="355" ht="15.75" customHeight="1">
      <c r="L355" s="52"/>
    </row>
    <row r="356" ht="15.75" customHeight="1">
      <c r="L356" s="52"/>
    </row>
    <row r="357" ht="15.75" customHeight="1">
      <c r="L357" s="52"/>
    </row>
    <row r="358" ht="15.75" customHeight="1">
      <c r="L358" s="52"/>
    </row>
    <row r="359" ht="15.75" customHeight="1">
      <c r="L359" s="52"/>
    </row>
    <row r="360" ht="15.75" customHeight="1">
      <c r="L360" s="52"/>
    </row>
    <row r="361" ht="15.75" customHeight="1">
      <c r="L361" s="52"/>
    </row>
    <row r="362" ht="15.75" customHeight="1">
      <c r="L362" s="52"/>
    </row>
    <row r="363" ht="15.75" customHeight="1">
      <c r="L363" s="52"/>
    </row>
    <row r="364" ht="15.75" customHeight="1">
      <c r="L364" s="52"/>
    </row>
    <row r="365" ht="15.75" customHeight="1">
      <c r="L365" s="52"/>
    </row>
    <row r="366" ht="15.75" customHeight="1">
      <c r="L366" s="52"/>
    </row>
    <row r="367" ht="15.75" customHeight="1">
      <c r="L367" s="52"/>
    </row>
    <row r="368" ht="15.75" customHeight="1">
      <c r="L368" s="52"/>
    </row>
    <row r="369" ht="15.75" customHeight="1">
      <c r="L369" s="52"/>
    </row>
    <row r="370" ht="15.75" customHeight="1">
      <c r="L370" s="52"/>
    </row>
    <row r="371" ht="15.75" customHeight="1">
      <c r="L371" s="52"/>
    </row>
    <row r="372" ht="15.75" customHeight="1">
      <c r="L372" s="52"/>
    </row>
    <row r="373" ht="15.75" customHeight="1">
      <c r="L373" s="52"/>
    </row>
    <row r="374" ht="15.75" customHeight="1">
      <c r="L374" s="52"/>
    </row>
    <row r="375" ht="15.75" customHeight="1">
      <c r="L375" s="52"/>
    </row>
    <row r="376" ht="15.75" customHeight="1">
      <c r="L376" s="52"/>
    </row>
    <row r="377" ht="15.75" customHeight="1">
      <c r="L377" s="52"/>
    </row>
    <row r="378" ht="15.75" customHeight="1">
      <c r="L378" s="52"/>
    </row>
    <row r="379" ht="15.75" customHeight="1">
      <c r="L379" s="52"/>
    </row>
    <row r="380" ht="15.75" customHeight="1">
      <c r="L380" s="52"/>
    </row>
    <row r="381" ht="15.75" customHeight="1">
      <c r="L381" s="52"/>
    </row>
    <row r="382" ht="15.75" customHeight="1">
      <c r="L382" s="52"/>
    </row>
    <row r="383" ht="15.75" customHeight="1">
      <c r="L383" s="52"/>
    </row>
    <row r="384" ht="15.75" customHeight="1">
      <c r="L384" s="52"/>
    </row>
    <row r="385" ht="15.75" customHeight="1">
      <c r="L385" s="52"/>
    </row>
    <row r="386" ht="15.75" customHeight="1">
      <c r="L386" s="52"/>
    </row>
    <row r="387" ht="15.75" customHeight="1">
      <c r="L387" s="52"/>
    </row>
    <row r="388" ht="15.75" customHeight="1">
      <c r="L388" s="52"/>
    </row>
    <row r="389" ht="15.75" customHeight="1">
      <c r="L389" s="52"/>
    </row>
    <row r="390" ht="15.75" customHeight="1">
      <c r="L390" s="52"/>
    </row>
    <row r="391" ht="15.75" customHeight="1">
      <c r="L391" s="52"/>
    </row>
    <row r="392" ht="15.75" customHeight="1">
      <c r="L392" s="52"/>
    </row>
    <row r="393" ht="15.75" customHeight="1">
      <c r="L393" s="52"/>
    </row>
    <row r="394" ht="15.75" customHeight="1">
      <c r="L394" s="52"/>
    </row>
    <row r="395" ht="15.75" customHeight="1">
      <c r="L395" s="52"/>
    </row>
    <row r="396" ht="15.75" customHeight="1">
      <c r="L396" s="52"/>
    </row>
    <row r="397" ht="15.75" customHeight="1">
      <c r="L397" s="52"/>
    </row>
    <row r="398" ht="15.75" customHeight="1">
      <c r="L398" s="52"/>
    </row>
    <row r="399" ht="15.75" customHeight="1">
      <c r="L399" s="52"/>
    </row>
    <row r="400" ht="15.75" customHeight="1">
      <c r="L400" s="52"/>
    </row>
    <row r="401" ht="15.75" customHeight="1">
      <c r="L401" s="52"/>
    </row>
    <row r="402" ht="15.75" customHeight="1">
      <c r="L402" s="52"/>
    </row>
    <row r="403" ht="15.75" customHeight="1">
      <c r="L403" s="52"/>
    </row>
    <row r="404" ht="15.75" customHeight="1">
      <c r="L404" s="52"/>
    </row>
    <row r="405" ht="15.75" customHeight="1">
      <c r="L405" s="52"/>
    </row>
    <row r="406" ht="15.75" customHeight="1">
      <c r="L406" s="52"/>
    </row>
    <row r="407" ht="15.75" customHeight="1">
      <c r="L407" s="52"/>
    </row>
    <row r="408" ht="15.75" customHeight="1">
      <c r="L408" s="52"/>
    </row>
    <row r="409" ht="15.75" customHeight="1">
      <c r="L409" s="52"/>
    </row>
    <row r="410" ht="15.75" customHeight="1">
      <c r="L410" s="52"/>
    </row>
    <row r="411" ht="15.75" customHeight="1">
      <c r="L411" s="52"/>
    </row>
    <row r="412" ht="15.75" customHeight="1">
      <c r="L412" s="52"/>
    </row>
    <row r="413" ht="15.75" customHeight="1">
      <c r="L413" s="52"/>
    </row>
    <row r="414" ht="15.75" customHeight="1">
      <c r="L414" s="52"/>
    </row>
    <row r="415" ht="15.75" customHeight="1">
      <c r="L415" s="52"/>
    </row>
    <row r="416" ht="15.75" customHeight="1">
      <c r="L416" s="52"/>
    </row>
    <row r="417" ht="15.75" customHeight="1">
      <c r="L417" s="52"/>
    </row>
    <row r="418" ht="15.75" customHeight="1">
      <c r="L418" s="52"/>
    </row>
    <row r="419" ht="15.75" customHeight="1">
      <c r="L419" s="52"/>
    </row>
    <row r="420" ht="15.75" customHeight="1">
      <c r="L420" s="52"/>
    </row>
    <row r="421" ht="15.75" customHeight="1">
      <c r="L421" s="52"/>
    </row>
    <row r="422" ht="15.75" customHeight="1">
      <c r="L422" s="52"/>
    </row>
    <row r="423" ht="15.75" customHeight="1">
      <c r="L423" s="52"/>
    </row>
    <row r="424" ht="15.75" customHeight="1">
      <c r="L424" s="52"/>
    </row>
    <row r="425" ht="15.75" customHeight="1">
      <c r="L425" s="52"/>
    </row>
    <row r="426" ht="15.75" customHeight="1">
      <c r="L426" s="52"/>
    </row>
    <row r="427" ht="15.75" customHeight="1">
      <c r="L427" s="52"/>
    </row>
    <row r="428" ht="15.75" customHeight="1">
      <c r="L428" s="52"/>
    </row>
    <row r="429" ht="15.75" customHeight="1">
      <c r="L429" s="52"/>
    </row>
    <row r="430" ht="15.75" customHeight="1">
      <c r="L430" s="52"/>
    </row>
    <row r="431" ht="15.75" customHeight="1">
      <c r="L431" s="52"/>
    </row>
    <row r="432" ht="15.75" customHeight="1">
      <c r="L432" s="52"/>
    </row>
    <row r="433" ht="15.75" customHeight="1">
      <c r="L433" s="52"/>
    </row>
    <row r="434" ht="15.75" customHeight="1">
      <c r="L434" s="52"/>
    </row>
    <row r="435" ht="15.75" customHeight="1">
      <c r="L435" s="52"/>
    </row>
    <row r="436" ht="15.75" customHeight="1">
      <c r="L436" s="52"/>
    </row>
    <row r="437" ht="15.75" customHeight="1">
      <c r="L437" s="52"/>
    </row>
    <row r="438" ht="15.75" customHeight="1">
      <c r="L438" s="52"/>
    </row>
    <row r="439" ht="15.75" customHeight="1">
      <c r="L439" s="52"/>
    </row>
    <row r="440" ht="15.75" customHeight="1">
      <c r="L440" s="52"/>
    </row>
    <row r="441" ht="15.75" customHeight="1">
      <c r="L441" s="52"/>
    </row>
    <row r="442" ht="15.75" customHeight="1">
      <c r="L442" s="52"/>
    </row>
    <row r="443" ht="15.75" customHeight="1">
      <c r="L443" s="52"/>
    </row>
    <row r="444" ht="15.75" customHeight="1">
      <c r="L444" s="52"/>
    </row>
    <row r="445" ht="15.75" customHeight="1">
      <c r="L445" s="52"/>
    </row>
    <row r="446" ht="15.75" customHeight="1">
      <c r="L446" s="52"/>
    </row>
    <row r="447" ht="15.75" customHeight="1">
      <c r="L447" s="52"/>
    </row>
    <row r="448" ht="15.75" customHeight="1">
      <c r="L448" s="52"/>
    </row>
    <row r="449" ht="15.75" customHeight="1">
      <c r="L449" s="52"/>
    </row>
    <row r="450" ht="15.75" customHeight="1">
      <c r="L450" s="52"/>
    </row>
    <row r="451" ht="15.75" customHeight="1">
      <c r="L451" s="52"/>
    </row>
    <row r="452" ht="15.75" customHeight="1">
      <c r="L452" s="52"/>
    </row>
    <row r="453" ht="15.75" customHeight="1">
      <c r="L453" s="52"/>
    </row>
    <row r="454" ht="15.75" customHeight="1">
      <c r="L454" s="52"/>
    </row>
    <row r="455" ht="15.75" customHeight="1">
      <c r="L455" s="52"/>
    </row>
    <row r="456" ht="15.75" customHeight="1">
      <c r="L456" s="52"/>
    </row>
    <row r="457" ht="15.75" customHeight="1">
      <c r="L457" s="52"/>
    </row>
    <row r="458" ht="15.75" customHeight="1">
      <c r="L458" s="52"/>
    </row>
    <row r="459" ht="15.75" customHeight="1">
      <c r="L459" s="52"/>
    </row>
    <row r="460" ht="15.75" customHeight="1">
      <c r="L460" s="52"/>
    </row>
    <row r="461" ht="15.75" customHeight="1">
      <c r="L461" s="52"/>
    </row>
    <row r="462" ht="15.75" customHeight="1">
      <c r="L462" s="52"/>
    </row>
    <row r="463" ht="15.75" customHeight="1">
      <c r="L463" s="52"/>
    </row>
    <row r="464" ht="15.75" customHeight="1">
      <c r="L464" s="52"/>
    </row>
    <row r="465" ht="15.75" customHeight="1">
      <c r="L465" s="52"/>
    </row>
    <row r="466" ht="15.75" customHeight="1">
      <c r="L466" s="52"/>
    </row>
    <row r="467" ht="15.75" customHeight="1">
      <c r="L467" s="52"/>
    </row>
    <row r="468" ht="15.75" customHeight="1">
      <c r="L468" s="52"/>
    </row>
    <row r="469" ht="15.75" customHeight="1">
      <c r="L469" s="52"/>
    </row>
    <row r="470" ht="15.75" customHeight="1">
      <c r="L470" s="52"/>
    </row>
    <row r="471" ht="15.75" customHeight="1">
      <c r="L471" s="52"/>
    </row>
    <row r="472" ht="15.75" customHeight="1">
      <c r="L472" s="52"/>
    </row>
    <row r="473" ht="15.75" customHeight="1">
      <c r="L473" s="52"/>
    </row>
    <row r="474" ht="15.75" customHeight="1">
      <c r="L474" s="52"/>
    </row>
    <row r="475" ht="15.75" customHeight="1">
      <c r="L475" s="52"/>
    </row>
    <row r="476" ht="15.75" customHeight="1">
      <c r="L476" s="52"/>
    </row>
    <row r="477" ht="15.75" customHeight="1">
      <c r="L477" s="52"/>
    </row>
    <row r="478" ht="15.75" customHeight="1">
      <c r="L478" s="52"/>
    </row>
    <row r="479" ht="15.75" customHeight="1">
      <c r="L479" s="52"/>
    </row>
    <row r="480" ht="15.75" customHeight="1">
      <c r="L480" s="52"/>
    </row>
    <row r="481" ht="15.75" customHeight="1">
      <c r="L481" s="52"/>
    </row>
    <row r="482" ht="15.75" customHeight="1">
      <c r="L482" s="52"/>
    </row>
    <row r="483" ht="15.75" customHeight="1">
      <c r="L483" s="52"/>
    </row>
    <row r="484" ht="15.75" customHeight="1">
      <c r="L484" s="52"/>
    </row>
    <row r="485" ht="15.75" customHeight="1">
      <c r="L485" s="52"/>
    </row>
    <row r="486" ht="15.75" customHeight="1">
      <c r="L486" s="52"/>
    </row>
    <row r="487" ht="15.75" customHeight="1">
      <c r="L487" s="52"/>
    </row>
    <row r="488" ht="15.75" customHeight="1">
      <c r="L488" s="52"/>
    </row>
    <row r="489" ht="15.75" customHeight="1">
      <c r="L489" s="52"/>
    </row>
    <row r="490" ht="15.75" customHeight="1">
      <c r="L490" s="52"/>
    </row>
    <row r="491" ht="15.75" customHeight="1">
      <c r="L491" s="52"/>
    </row>
    <row r="492" ht="15.75" customHeight="1">
      <c r="L492" s="52"/>
    </row>
    <row r="493" ht="15.75" customHeight="1">
      <c r="L493" s="52"/>
    </row>
    <row r="494" ht="15.75" customHeight="1">
      <c r="L494" s="52"/>
    </row>
    <row r="495" ht="15.75" customHeight="1">
      <c r="L495" s="52"/>
    </row>
    <row r="496" ht="15.75" customHeight="1">
      <c r="L496" s="52"/>
    </row>
    <row r="497" ht="15.75" customHeight="1">
      <c r="L497" s="52"/>
    </row>
    <row r="498" ht="15.75" customHeight="1">
      <c r="L498" s="52"/>
    </row>
    <row r="499" ht="15.75" customHeight="1">
      <c r="L499" s="52"/>
    </row>
    <row r="500" ht="15.75" customHeight="1">
      <c r="L500" s="52"/>
    </row>
    <row r="501" ht="15.75" customHeight="1">
      <c r="L501" s="52"/>
    </row>
    <row r="502" ht="15.75" customHeight="1">
      <c r="L502" s="52"/>
    </row>
    <row r="503" ht="15.75" customHeight="1">
      <c r="L503" s="52"/>
    </row>
    <row r="504" ht="15.75" customHeight="1">
      <c r="L504" s="52"/>
    </row>
    <row r="505" ht="15.75" customHeight="1">
      <c r="L505" s="52"/>
    </row>
    <row r="506" ht="15.75" customHeight="1">
      <c r="L506" s="52"/>
    </row>
    <row r="507" ht="15.75" customHeight="1">
      <c r="L507" s="52"/>
    </row>
    <row r="508" ht="15.75" customHeight="1">
      <c r="L508" s="52"/>
    </row>
    <row r="509" ht="15.75" customHeight="1">
      <c r="L509" s="52"/>
    </row>
    <row r="510" ht="15.75" customHeight="1">
      <c r="L510" s="52"/>
    </row>
    <row r="511" ht="15.75" customHeight="1">
      <c r="L511" s="52"/>
    </row>
    <row r="512" ht="15.75" customHeight="1">
      <c r="L512" s="52"/>
    </row>
    <row r="513" ht="15.75" customHeight="1">
      <c r="L513" s="52"/>
    </row>
    <row r="514" ht="15.75" customHeight="1">
      <c r="L514" s="52"/>
    </row>
    <row r="515" ht="15.75" customHeight="1">
      <c r="L515" s="52"/>
    </row>
    <row r="516" ht="15.75" customHeight="1">
      <c r="L516" s="52"/>
    </row>
    <row r="517" ht="15.75" customHeight="1">
      <c r="L517" s="52"/>
    </row>
    <row r="518" ht="15.75" customHeight="1">
      <c r="L518" s="52"/>
    </row>
    <row r="519" ht="15.75" customHeight="1">
      <c r="L519" s="52"/>
    </row>
    <row r="520" ht="15.75" customHeight="1">
      <c r="L520" s="52"/>
    </row>
    <row r="521" ht="15.75" customHeight="1">
      <c r="L521" s="52"/>
    </row>
    <row r="522" ht="15.75" customHeight="1">
      <c r="L522" s="52"/>
    </row>
    <row r="523" ht="15.75" customHeight="1">
      <c r="L523" s="52"/>
    </row>
    <row r="524" ht="15.75" customHeight="1">
      <c r="L524" s="52"/>
    </row>
    <row r="525" ht="15.75" customHeight="1">
      <c r="L525" s="52"/>
    </row>
    <row r="526" ht="15.75" customHeight="1">
      <c r="L526" s="52"/>
    </row>
    <row r="527" ht="15.75" customHeight="1">
      <c r="L527" s="52"/>
    </row>
    <row r="528" ht="15.75" customHeight="1">
      <c r="L528" s="52"/>
    </row>
    <row r="529" ht="15.75" customHeight="1">
      <c r="L529" s="52"/>
    </row>
    <row r="530" ht="15.75" customHeight="1">
      <c r="L530" s="52"/>
    </row>
    <row r="531" ht="15.75" customHeight="1">
      <c r="L531" s="52"/>
    </row>
    <row r="532" ht="15.75" customHeight="1">
      <c r="L532" s="52"/>
    </row>
    <row r="533" ht="15.75" customHeight="1">
      <c r="L533" s="52"/>
    </row>
    <row r="534" ht="15.75" customHeight="1">
      <c r="L534" s="52"/>
    </row>
    <row r="535" ht="15.75" customHeight="1">
      <c r="L535" s="52"/>
    </row>
    <row r="536" ht="15.75" customHeight="1">
      <c r="L536" s="52"/>
    </row>
    <row r="537" ht="15.75" customHeight="1">
      <c r="L537" s="52"/>
    </row>
    <row r="538" ht="15.75" customHeight="1">
      <c r="L538" s="52"/>
    </row>
    <row r="539" ht="15.75" customHeight="1">
      <c r="L539" s="52"/>
    </row>
    <row r="540" ht="15.75" customHeight="1">
      <c r="L540" s="52"/>
    </row>
    <row r="541" ht="15.75" customHeight="1">
      <c r="L541" s="52"/>
    </row>
    <row r="542" ht="15.75" customHeight="1">
      <c r="L542" s="52"/>
    </row>
    <row r="543" ht="15.75" customHeight="1">
      <c r="L543" s="52"/>
    </row>
    <row r="544" ht="15.75" customHeight="1">
      <c r="L544" s="52"/>
    </row>
    <row r="545" ht="15.75" customHeight="1">
      <c r="L545" s="52"/>
    </row>
    <row r="546" ht="15.75" customHeight="1">
      <c r="L546" s="52"/>
    </row>
    <row r="547" ht="15.75" customHeight="1">
      <c r="L547" s="52"/>
    </row>
    <row r="548" ht="15.75" customHeight="1">
      <c r="L548" s="52"/>
    </row>
    <row r="549" ht="15.75" customHeight="1">
      <c r="L549" s="52"/>
    </row>
    <row r="550" ht="15.75" customHeight="1">
      <c r="L550" s="52"/>
    </row>
    <row r="551" ht="15.75" customHeight="1">
      <c r="L551" s="52"/>
    </row>
    <row r="552" ht="15.75" customHeight="1">
      <c r="L552" s="52"/>
    </row>
    <row r="553" ht="15.75" customHeight="1">
      <c r="L553" s="52"/>
    </row>
    <row r="554" ht="15.75" customHeight="1">
      <c r="L554" s="52"/>
    </row>
    <row r="555" ht="15.75" customHeight="1">
      <c r="L555" s="52"/>
    </row>
    <row r="556" ht="15.75" customHeight="1">
      <c r="L556" s="52"/>
    </row>
    <row r="557" ht="15.75" customHeight="1">
      <c r="L557" s="52"/>
    </row>
    <row r="558" ht="15.75" customHeight="1">
      <c r="L558" s="52"/>
    </row>
    <row r="559" ht="15.75" customHeight="1">
      <c r="L559" s="52"/>
    </row>
    <row r="560" ht="15.75" customHeight="1">
      <c r="L560" s="52"/>
    </row>
    <row r="561" ht="15.75" customHeight="1">
      <c r="L561" s="52"/>
    </row>
    <row r="562" ht="15.75" customHeight="1">
      <c r="L562" s="52"/>
    </row>
    <row r="563" ht="15.75" customHeight="1">
      <c r="L563" s="52"/>
    </row>
    <row r="564" ht="15.75" customHeight="1">
      <c r="L564" s="52"/>
    </row>
    <row r="565" ht="15.75" customHeight="1">
      <c r="L565" s="52"/>
    </row>
    <row r="566" ht="15.75" customHeight="1">
      <c r="L566" s="52"/>
    </row>
    <row r="567" ht="15.75" customHeight="1">
      <c r="L567" s="52"/>
    </row>
    <row r="568" ht="15.75" customHeight="1">
      <c r="L568" s="52"/>
    </row>
    <row r="569" ht="15.75" customHeight="1">
      <c r="L569" s="52"/>
    </row>
    <row r="570" ht="15.75" customHeight="1">
      <c r="L570" s="52"/>
    </row>
    <row r="571" ht="15.75" customHeight="1">
      <c r="L571" s="52"/>
    </row>
    <row r="572" ht="15.75" customHeight="1">
      <c r="L572" s="52"/>
    </row>
    <row r="573" ht="15.75" customHeight="1">
      <c r="L573" s="52"/>
    </row>
    <row r="574" ht="15.75" customHeight="1">
      <c r="L574" s="52"/>
    </row>
    <row r="575" ht="15.75" customHeight="1">
      <c r="L575" s="52"/>
    </row>
    <row r="576" ht="15.75" customHeight="1">
      <c r="L576" s="52"/>
    </row>
    <row r="577" ht="15.75" customHeight="1">
      <c r="L577" s="52"/>
    </row>
    <row r="578" ht="15.75" customHeight="1">
      <c r="L578" s="52"/>
    </row>
    <row r="579" ht="15.75" customHeight="1">
      <c r="L579" s="52"/>
    </row>
    <row r="580" ht="15.75" customHeight="1">
      <c r="L580" s="52"/>
    </row>
    <row r="581" ht="15.75" customHeight="1">
      <c r="L581" s="52"/>
    </row>
    <row r="582" ht="15.75" customHeight="1">
      <c r="L582" s="52"/>
    </row>
    <row r="583" ht="15.75" customHeight="1">
      <c r="L583" s="52"/>
    </row>
    <row r="584" ht="15.75" customHeight="1">
      <c r="L584" s="52"/>
    </row>
    <row r="585" ht="15.75" customHeight="1">
      <c r="L585" s="52"/>
    </row>
    <row r="586" ht="15.75" customHeight="1">
      <c r="L586" s="52"/>
    </row>
    <row r="587" ht="15.75" customHeight="1">
      <c r="L587" s="52"/>
    </row>
    <row r="588" ht="15.75" customHeight="1">
      <c r="L588" s="52"/>
    </row>
    <row r="589" ht="15.75" customHeight="1">
      <c r="L589" s="52"/>
    </row>
    <row r="590" ht="15.75" customHeight="1">
      <c r="L590" s="52"/>
    </row>
    <row r="591" ht="15.75" customHeight="1">
      <c r="L591" s="52"/>
    </row>
    <row r="592" ht="15.75" customHeight="1">
      <c r="L592" s="52"/>
    </row>
    <row r="593" ht="15.75" customHeight="1">
      <c r="L593" s="52"/>
    </row>
    <row r="594" ht="15.75" customHeight="1">
      <c r="L594" s="52"/>
    </row>
    <row r="595" ht="15.75" customHeight="1">
      <c r="L595" s="52"/>
    </row>
    <row r="596" ht="15.75" customHeight="1">
      <c r="L596" s="52"/>
    </row>
    <row r="597" ht="15.75" customHeight="1">
      <c r="L597" s="52"/>
    </row>
    <row r="598" ht="15.75" customHeight="1">
      <c r="L598" s="52"/>
    </row>
    <row r="599" ht="15.75" customHeight="1">
      <c r="L599" s="52"/>
    </row>
    <row r="600" ht="15.75" customHeight="1">
      <c r="L600" s="52"/>
    </row>
    <row r="601" ht="15.75" customHeight="1">
      <c r="L601" s="52"/>
    </row>
    <row r="602" ht="15.75" customHeight="1">
      <c r="L602" s="52"/>
    </row>
    <row r="603" ht="15.75" customHeight="1">
      <c r="L603" s="52"/>
    </row>
    <row r="604" ht="15.75" customHeight="1">
      <c r="L604" s="52"/>
    </row>
    <row r="605" ht="15.75" customHeight="1">
      <c r="L605" s="52"/>
    </row>
    <row r="606" ht="15.75" customHeight="1">
      <c r="L606" s="52"/>
    </row>
    <row r="607" ht="15.75" customHeight="1">
      <c r="L607" s="52"/>
    </row>
    <row r="608" ht="15.75" customHeight="1">
      <c r="L608" s="52"/>
    </row>
    <row r="609" ht="15.75" customHeight="1">
      <c r="L609" s="52"/>
    </row>
    <row r="610" ht="15.75" customHeight="1">
      <c r="L610" s="52"/>
    </row>
    <row r="611" ht="15.75" customHeight="1">
      <c r="L611" s="52"/>
    </row>
    <row r="612" ht="15.75" customHeight="1">
      <c r="L612" s="52"/>
    </row>
    <row r="613" ht="15.75" customHeight="1">
      <c r="L613" s="52"/>
    </row>
    <row r="614" ht="15.75" customHeight="1">
      <c r="L614" s="52"/>
    </row>
    <row r="615" ht="15.75" customHeight="1">
      <c r="L615" s="52"/>
    </row>
    <row r="616" ht="15.75" customHeight="1">
      <c r="L616" s="52"/>
    </row>
    <row r="617" ht="15.75" customHeight="1">
      <c r="L617" s="52"/>
    </row>
    <row r="618" ht="15.75" customHeight="1">
      <c r="L618" s="52"/>
    </row>
    <row r="619" ht="15.75" customHeight="1">
      <c r="L619" s="52"/>
    </row>
    <row r="620" ht="15.75" customHeight="1">
      <c r="L620" s="52"/>
    </row>
    <row r="621" ht="15.75" customHeight="1">
      <c r="L621" s="52"/>
    </row>
    <row r="622" ht="15.75" customHeight="1">
      <c r="L622" s="52"/>
    </row>
    <row r="623" ht="15.75" customHeight="1">
      <c r="L623" s="52"/>
    </row>
    <row r="624" ht="15.75" customHeight="1">
      <c r="L624" s="52"/>
    </row>
    <row r="625" ht="15.75" customHeight="1">
      <c r="L625" s="52"/>
    </row>
    <row r="626" ht="15.75" customHeight="1">
      <c r="L626" s="52"/>
    </row>
    <row r="627" ht="15.75" customHeight="1">
      <c r="L627" s="52"/>
    </row>
    <row r="628" ht="15.75" customHeight="1">
      <c r="L628" s="52"/>
    </row>
    <row r="629" ht="15.75" customHeight="1">
      <c r="L629" s="52"/>
    </row>
    <row r="630" ht="15.75" customHeight="1">
      <c r="L630" s="52"/>
    </row>
    <row r="631" ht="15.75" customHeight="1">
      <c r="L631" s="52"/>
    </row>
    <row r="632" ht="15.75" customHeight="1">
      <c r="L632" s="52"/>
    </row>
    <row r="633" ht="15.75" customHeight="1">
      <c r="L633" s="52"/>
    </row>
    <row r="634" ht="15.75" customHeight="1">
      <c r="L634" s="52"/>
    </row>
    <row r="635" ht="15.75" customHeight="1">
      <c r="L635" s="52"/>
    </row>
    <row r="636" ht="15.75" customHeight="1">
      <c r="L636" s="52"/>
    </row>
    <row r="637" ht="15.75" customHeight="1">
      <c r="L637" s="52"/>
    </row>
    <row r="638" ht="15.75" customHeight="1">
      <c r="L638" s="52"/>
    </row>
    <row r="639" ht="15.75" customHeight="1">
      <c r="L639" s="52"/>
    </row>
    <row r="640" ht="15.75" customHeight="1">
      <c r="L640" s="52"/>
    </row>
    <row r="641" ht="15.75" customHeight="1">
      <c r="L641" s="52"/>
    </row>
    <row r="642" ht="15.75" customHeight="1">
      <c r="L642" s="52"/>
    </row>
    <row r="643" ht="15.75" customHeight="1">
      <c r="L643" s="52"/>
    </row>
    <row r="644" ht="15.75" customHeight="1">
      <c r="L644" s="52"/>
    </row>
    <row r="645" ht="15.75" customHeight="1">
      <c r="L645" s="52"/>
    </row>
    <row r="646" ht="15.75" customHeight="1">
      <c r="L646" s="52"/>
    </row>
    <row r="647" ht="15.75" customHeight="1">
      <c r="L647" s="52"/>
    </row>
    <row r="648" ht="15.75" customHeight="1">
      <c r="L648" s="52"/>
    </row>
    <row r="649" ht="15.75" customHeight="1">
      <c r="L649" s="52"/>
    </row>
    <row r="650" ht="15.75" customHeight="1">
      <c r="L650" s="52"/>
    </row>
    <row r="651" ht="15.75" customHeight="1">
      <c r="L651" s="52"/>
    </row>
    <row r="652" ht="15.75" customHeight="1">
      <c r="L652" s="52"/>
    </row>
    <row r="653" ht="15.75" customHeight="1">
      <c r="L653" s="52"/>
    </row>
    <row r="654" ht="15.75" customHeight="1">
      <c r="L654" s="52"/>
    </row>
    <row r="655" ht="15.75" customHeight="1">
      <c r="L655" s="52"/>
    </row>
    <row r="656" ht="15.75" customHeight="1">
      <c r="L656" s="52"/>
    </row>
    <row r="657" ht="15.75" customHeight="1">
      <c r="L657" s="52"/>
    </row>
    <row r="658" ht="15.75" customHeight="1">
      <c r="L658" s="52"/>
    </row>
    <row r="659" ht="15.75" customHeight="1">
      <c r="L659" s="52"/>
    </row>
    <row r="660" ht="15.75" customHeight="1">
      <c r="L660" s="52"/>
    </row>
    <row r="661" ht="15.75" customHeight="1">
      <c r="L661" s="52"/>
    </row>
    <row r="662" ht="15.75" customHeight="1">
      <c r="L662" s="52"/>
    </row>
    <row r="663" ht="15.75" customHeight="1">
      <c r="L663" s="52"/>
    </row>
    <row r="664" ht="15.75" customHeight="1">
      <c r="L664" s="52"/>
    </row>
    <row r="665" ht="15.75" customHeight="1">
      <c r="L665" s="52"/>
    </row>
    <row r="666" ht="15.75" customHeight="1">
      <c r="L666" s="52"/>
    </row>
    <row r="667" ht="15.75" customHeight="1">
      <c r="L667" s="52"/>
    </row>
    <row r="668" ht="15.75" customHeight="1">
      <c r="L668" s="52"/>
    </row>
    <row r="669" ht="15.75" customHeight="1">
      <c r="L669" s="52"/>
    </row>
    <row r="670" ht="15.75" customHeight="1">
      <c r="L670" s="52"/>
    </row>
    <row r="671" ht="15.75" customHeight="1">
      <c r="L671" s="52"/>
    </row>
    <row r="672" ht="15.75" customHeight="1">
      <c r="L672" s="52"/>
    </row>
    <row r="673" ht="15.75" customHeight="1">
      <c r="L673" s="52"/>
    </row>
    <row r="674" ht="15.75" customHeight="1">
      <c r="L674" s="52"/>
    </row>
    <row r="675" ht="15.75" customHeight="1">
      <c r="L675" s="52"/>
    </row>
    <row r="676" ht="15.75" customHeight="1">
      <c r="L676" s="52"/>
    </row>
    <row r="677" ht="15.75" customHeight="1">
      <c r="L677" s="52"/>
    </row>
    <row r="678" ht="15.75" customHeight="1">
      <c r="L678" s="52"/>
    </row>
    <row r="679" ht="15.75" customHeight="1">
      <c r="L679" s="52"/>
    </row>
    <row r="680" ht="15.75" customHeight="1">
      <c r="L680" s="52"/>
    </row>
    <row r="681" ht="15.75" customHeight="1">
      <c r="L681" s="52"/>
    </row>
    <row r="682" ht="15.75" customHeight="1">
      <c r="L682" s="52"/>
    </row>
    <row r="683" ht="15.75" customHeight="1">
      <c r="L683" s="52"/>
    </row>
    <row r="684" ht="15.75" customHeight="1">
      <c r="L684" s="52"/>
    </row>
    <row r="685" ht="15.75" customHeight="1">
      <c r="L685" s="52"/>
    </row>
    <row r="686" ht="15.75" customHeight="1">
      <c r="L686" s="52"/>
    </row>
    <row r="687" ht="15.75" customHeight="1">
      <c r="L687" s="52"/>
    </row>
    <row r="688" ht="15.75" customHeight="1">
      <c r="L688" s="52"/>
    </row>
    <row r="689" ht="15.75" customHeight="1">
      <c r="L689" s="52"/>
    </row>
    <row r="690" ht="15.75" customHeight="1">
      <c r="L690" s="52"/>
    </row>
    <row r="691" ht="15.75" customHeight="1">
      <c r="L691" s="52"/>
    </row>
    <row r="692" ht="15.75" customHeight="1">
      <c r="L692" s="52"/>
    </row>
    <row r="693" ht="15.75" customHeight="1">
      <c r="L693" s="52"/>
    </row>
    <row r="694" ht="15.75" customHeight="1">
      <c r="L694" s="52"/>
    </row>
    <row r="695" ht="15.75" customHeight="1">
      <c r="L695" s="52"/>
    </row>
    <row r="696" ht="15.75" customHeight="1">
      <c r="L696" s="52"/>
    </row>
    <row r="697" ht="15.75" customHeight="1">
      <c r="L697" s="52"/>
    </row>
    <row r="698" ht="15.75" customHeight="1">
      <c r="L698" s="52"/>
    </row>
    <row r="699" ht="15.75" customHeight="1">
      <c r="L699" s="52"/>
    </row>
    <row r="700" ht="15.75" customHeight="1">
      <c r="L700" s="52"/>
    </row>
    <row r="701" ht="15.75" customHeight="1">
      <c r="L701" s="52"/>
    </row>
    <row r="702" ht="15.75" customHeight="1">
      <c r="L702" s="52"/>
    </row>
    <row r="703" ht="15.75" customHeight="1">
      <c r="L703" s="52"/>
    </row>
    <row r="704" ht="15.75" customHeight="1">
      <c r="L704" s="52"/>
    </row>
    <row r="705" ht="15.75" customHeight="1">
      <c r="L705" s="52"/>
    </row>
    <row r="706" ht="15.75" customHeight="1">
      <c r="L706" s="52"/>
    </row>
    <row r="707" ht="15.75" customHeight="1">
      <c r="L707" s="52"/>
    </row>
    <row r="708" ht="15.75" customHeight="1">
      <c r="L708" s="52"/>
    </row>
    <row r="709" ht="15.75" customHeight="1">
      <c r="L709" s="52"/>
    </row>
    <row r="710" ht="15.75" customHeight="1">
      <c r="L710" s="52"/>
    </row>
    <row r="711" ht="15.75" customHeight="1">
      <c r="L711" s="52"/>
    </row>
    <row r="712" ht="15.75" customHeight="1">
      <c r="L712" s="52"/>
    </row>
    <row r="713" ht="15.75" customHeight="1">
      <c r="L713" s="52"/>
    </row>
    <row r="714" ht="15.75" customHeight="1">
      <c r="L714" s="52"/>
    </row>
    <row r="715" ht="15.75" customHeight="1">
      <c r="L715" s="52"/>
    </row>
    <row r="716" ht="15.75" customHeight="1">
      <c r="L716" s="52"/>
    </row>
    <row r="717" ht="15.75" customHeight="1">
      <c r="L717" s="52"/>
    </row>
    <row r="718" ht="15.75" customHeight="1">
      <c r="L718" s="52"/>
    </row>
    <row r="719" ht="15.75" customHeight="1">
      <c r="L719" s="52"/>
    </row>
    <row r="720" ht="15.75" customHeight="1">
      <c r="L720" s="52"/>
    </row>
    <row r="721" ht="15.75" customHeight="1">
      <c r="L721" s="52"/>
    </row>
    <row r="722" ht="15.75" customHeight="1">
      <c r="L722" s="52"/>
    </row>
    <row r="723" ht="15.75" customHeight="1">
      <c r="L723" s="52"/>
    </row>
    <row r="724" ht="15.75" customHeight="1">
      <c r="L724" s="52"/>
    </row>
    <row r="725" ht="15.75" customHeight="1">
      <c r="L725" s="52"/>
    </row>
    <row r="726" ht="15.75" customHeight="1">
      <c r="L726" s="52"/>
    </row>
    <row r="727" ht="15.75" customHeight="1">
      <c r="L727" s="52"/>
    </row>
    <row r="728" ht="15.75" customHeight="1">
      <c r="L728" s="52"/>
    </row>
    <row r="729" ht="15.75" customHeight="1">
      <c r="L729" s="52"/>
    </row>
    <row r="730" ht="15.75" customHeight="1">
      <c r="L730" s="52"/>
    </row>
    <row r="731" ht="15.75" customHeight="1">
      <c r="L731" s="52"/>
    </row>
    <row r="732" ht="15.75" customHeight="1">
      <c r="L732" s="52"/>
    </row>
    <row r="733" ht="15.75" customHeight="1">
      <c r="L733" s="52"/>
    </row>
    <row r="734" ht="15.75" customHeight="1">
      <c r="L734" s="52"/>
    </row>
    <row r="735" ht="15.75" customHeight="1">
      <c r="L735" s="52"/>
    </row>
    <row r="736" ht="15.75" customHeight="1">
      <c r="L736" s="52"/>
    </row>
    <row r="737" ht="15.75" customHeight="1">
      <c r="L737" s="52"/>
    </row>
    <row r="738" ht="15.75" customHeight="1">
      <c r="L738" s="52"/>
    </row>
    <row r="739" ht="15.75" customHeight="1">
      <c r="L739" s="52"/>
    </row>
    <row r="740" ht="15.75" customHeight="1">
      <c r="L740" s="52"/>
    </row>
    <row r="741" ht="15.75" customHeight="1">
      <c r="L741" s="52"/>
    </row>
    <row r="742" ht="15.75" customHeight="1">
      <c r="L742" s="52"/>
    </row>
    <row r="743" ht="15.75" customHeight="1">
      <c r="L743" s="52"/>
    </row>
    <row r="744" ht="15.75" customHeight="1">
      <c r="L744" s="52"/>
    </row>
    <row r="745" ht="15.75" customHeight="1">
      <c r="L745" s="52"/>
    </row>
    <row r="746" ht="15.75" customHeight="1">
      <c r="L746" s="52"/>
    </row>
    <row r="747" ht="15.75" customHeight="1">
      <c r="L747" s="52"/>
    </row>
    <row r="748" ht="15.75" customHeight="1">
      <c r="L748" s="52"/>
    </row>
    <row r="749" ht="15.75" customHeight="1">
      <c r="L749" s="52"/>
    </row>
    <row r="750" ht="15.75" customHeight="1">
      <c r="L750" s="52"/>
    </row>
    <row r="751" ht="15.75" customHeight="1">
      <c r="L751" s="52"/>
    </row>
    <row r="752" ht="15.75" customHeight="1">
      <c r="L752" s="52"/>
    </row>
    <row r="753" ht="15.75" customHeight="1">
      <c r="L753" s="52"/>
    </row>
    <row r="754" ht="15.75" customHeight="1">
      <c r="L754" s="52"/>
    </row>
    <row r="755" ht="15.75" customHeight="1">
      <c r="L755" s="52"/>
    </row>
    <row r="756" ht="15.75" customHeight="1">
      <c r="L756" s="52"/>
    </row>
    <row r="757" ht="15.75" customHeight="1">
      <c r="L757" s="52"/>
    </row>
    <row r="758" ht="15.75" customHeight="1">
      <c r="L758" s="52"/>
    </row>
    <row r="759" ht="15.75" customHeight="1">
      <c r="L759" s="52"/>
    </row>
    <row r="760" ht="15.75" customHeight="1">
      <c r="L760" s="52"/>
    </row>
    <row r="761" ht="15.75" customHeight="1">
      <c r="L761" s="52"/>
    </row>
    <row r="762" ht="15.75" customHeight="1">
      <c r="L762" s="52"/>
    </row>
    <row r="763" ht="15.75" customHeight="1">
      <c r="L763" s="52"/>
    </row>
    <row r="764" ht="15.75" customHeight="1">
      <c r="L764" s="52"/>
    </row>
    <row r="765" ht="15.75" customHeight="1">
      <c r="L765" s="52"/>
    </row>
    <row r="766" ht="15.75" customHeight="1">
      <c r="L766" s="52"/>
    </row>
    <row r="767" ht="15.75" customHeight="1">
      <c r="L767" s="52"/>
    </row>
    <row r="768" ht="15.75" customHeight="1">
      <c r="L768" s="52"/>
    </row>
    <row r="769" ht="15.75" customHeight="1">
      <c r="L769" s="52"/>
    </row>
    <row r="770" ht="15.75" customHeight="1">
      <c r="L770" s="52"/>
    </row>
    <row r="771" ht="15.75" customHeight="1">
      <c r="L771" s="52"/>
    </row>
    <row r="772" ht="15.75" customHeight="1">
      <c r="L772" s="52"/>
    </row>
    <row r="773" ht="15.75" customHeight="1">
      <c r="L773" s="52"/>
    </row>
    <row r="774" ht="15.75" customHeight="1">
      <c r="L774" s="52"/>
    </row>
    <row r="775" ht="15.75" customHeight="1">
      <c r="L775" s="52"/>
    </row>
    <row r="776" ht="15.75" customHeight="1">
      <c r="L776" s="52"/>
    </row>
    <row r="777" ht="15.75" customHeight="1">
      <c r="L777" s="52"/>
    </row>
    <row r="778" ht="15.75" customHeight="1">
      <c r="L778" s="52"/>
    </row>
    <row r="779" ht="15.75" customHeight="1">
      <c r="L779" s="52"/>
    </row>
    <row r="780" ht="15.75" customHeight="1">
      <c r="L780" s="52"/>
    </row>
    <row r="781" ht="15.75" customHeight="1">
      <c r="L781" s="52"/>
    </row>
    <row r="782" ht="15.75" customHeight="1">
      <c r="L782" s="52"/>
    </row>
    <row r="783" ht="15.75" customHeight="1">
      <c r="L783" s="52"/>
    </row>
    <row r="784" ht="15.75" customHeight="1">
      <c r="L784" s="52"/>
    </row>
    <row r="785" ht="15.75" customHeight="1">
      <c r="L785" s="52"/>
    </row>
    <row r="786" ht="15.75" customHeight="1">
      <c r="L786" s="52"/>
    </row>
    <row r="787" ht="15.75" customHeight="1">
      <c r="L787" s="52"/>
    </row>
    <row r="788" ht="15.75" customHeight="1">
      <c r="L788" s="52"/>
    </row>
    <row r="789" ht="15.75" customHeight="1">
      <c r="L789" s="52"/>
    </row>
    <row r="790" ht="15.75" customHeight="1">
      <c r="L790" s="52"/>
    </row>
    <row r="791" ht="15.75" customHeight="1">
      <c r="L791" s="52"/>
    </row>
    <row r="792" ht="15.75" customHeight="1">
      <c r="L792" s="52"/>
    </row>
    <row r="793" ht="15.75" customHeight="1">
      <c r="L793" s="52"/>
    </row>
    <row r="794" ht="15.75" customHeight="1">
      <c r="L794" s="52"/>
    </row>
    <row r="795" ht="15.75" customHeight="1">
      <c r="L795" s="52"/>
    </row>
    <row r="796" ht="15.75" customHeight="1">
      <c r="L796" s="52"/>
    </row>
    <row r="797" ht="15.75" customHeight="1">
      <c r="L797" s="52"/>
    </row>
    <row r="798" ht="15.75" customHeight="1">
      <c r="L798" s="52"/>
    </row>
    <row r="799" ht="15.75" customHeight="1">
      <c r="L799" s="52"/>
    </row>
    <row r="800" ht="15.75" customHeight="1">
      <c r="L800" s="52"/>
    </row>
    <row r="801" ht="15.75" customHeight="1">
      <c r="L801" s="52"/>
    </row>
    <row r="802" ht="15.75" customHeight="1">
      <c r="L802" s="52"/>
    </row>
    <row r="803" ht="15.75" customHeight="1">
      <c r="L803" s="52"/>
    </row>
    <row r="804" ht="15.75" customHeight="1">
      <c r="L804" s="52"/>
    </row>
    <row r="805" ht="15.75" customHeight="1">
      <c r="L805" s="52"/>
    </row>
    <row r="806" ht="15.75" customHeight="1">
      <c r="L806" s="52"/>
    </row>
    <row r="807" ht="15.75" customHeight="1">
      <c r="L807" s="52"/>
    </row>
    <row r="808" ht="15.75" customHeight="1">
      <c r="L808" s="52"/>
    </row>
    <row r="809" ht="15.75" customHeight="1">
      <c r="L809" s="52"/>
    </row>
    <row r="810" ht="15.75" customHeight="1">
      <c r="L810" s="52"/>
    </row>
    <row r="811" ht="15.75" customHeight="1">
      <c r="L811" s="52"/>
    </row>
    <row r="812" ht="15.75" customHeight="1">
      <c r="L812" s="52"/>
    </row>
    <row r="813" ht="15.75" customHeight="1">
      <c r="L813" s="52"/>
    </row>
    <row r="814" ht="15.75" customHeight="1">
      <c r="L814" s="52"/>
    </row>
    <row r="815" ht="15.75" customHeight="1">
      <c r="L815" s="52"/>
    </row>
    <row r="816" ht="15.75" customHeight="1">
      <c r="L816" s="52"/>
    </row>
    <row r="817" ht="15.75" customHeight="1">
      <c r="L817" s="52"/>
    </row>
    <row r="818" ht="15.75" customHeight="1">
      <c r="L818" s="52"/>
    </row>
    <row r="819" ht="15.75" customHeight="1">
      <c r="L819" s="52"/>
    </row>
    <row r="820" ht="15.75" customHeight="1">
      <c r="L820" s="52"/>
    </row>
    <row r="821" ht="15.75" customHeight="1">
      <c r="L821" s="52"/>
    </row>
    <row r="822" ht="15.75" customHeight="1">
      <c r="L822" s="52"/>
    </row>
    <row r="823" ht="15.75" customHeight="1">
      <c r="L823" s="52"/>
    </row>
    <row r="824" ht="15.75" customHeight="1">
      <c r="L824" s="52"/>
    </row>
    <row r="825" ht="15.75" customHeight="1">
      <c r="L825" s="52"/>
    </row>
    <row r="826" ht="15.75" customHeight="1">
      <c r="L826" s="52"/>
    </row>
    <row r="827" ht="15.75" customHeight="1">
      <c r="L827" s="52"/>
    </row>
    <row r="828" ht="15.75" customHeight="1">
      <c r="L828" s="52"/>
    </row>
    <row r="829" ht="15.75" customHeight="1">
      <c r="L829" s="52"/>
    </row>
    <row r="830" ht="15.75" customHeight="1">
      <c r="L830" s="52"/>
    </row>
    <row r="831" ht="15.75" customHeight="1">
      <c r="L831" s="52"/>
    </row>
    <row r="832" ht="15.75" customHeight="1">
      <c r="L832" s="52"/>
    </row>
    <row r="833" ht="15.75" customHeight="1">
      <c r="L833" s="52"/>
    </row>
    <row r="834" ht="15.75" customHeight="1">
      <c r="L834" s="52"/>
    </row>
    <row r="835" ht="15.75" customHeight="1">
      <c r="L835" s="52"/>
    </row>
    <row r="836" ht="15.75" customHeight="1">
      <c r="L836" s="52"/>
    </row>
    <row r="837" ht="15.75" customHeight="1">
      <c r="L837" s="52"/>
    </row>
    <row r="838" ht="15.75" customHeight="1">
      <c r="L838" s="52"/>
    </row>
    <row r="839" ht="15.75" customHeight="1">
      <c r="L839" s="52"/>
    </row>
    <row r="840" ht="15.75" customHeight="1">
      <c r="L840" s="52"/>
    </row>
    <row r="841" ht="15.75" customHeight="1">
      <c r="L841" s="52"/>
    </row>
    <row r="842" ht="15.75" customHeight="1">
      <c r="L842" s="52"/>
    </row>
    <row r="843" ht="15.75" customHeight="1">
      <c r="L843" s="52"/>
    </row>
    <row r="844" ht="15.75" customHeight="1">
      <c r="L844" s="52"/>
    </row>
    <row r="845" ht="15.75" customHeight="1">
      <c r="L845" s="52"/>
    </row>
    <row r="846" ht="15.75" customHeight="1">
      <c r="L846" s="52"/>
    </row>
    <row r="847" ht="15.75" customHeight="1">
      <c r="L847" s="52"/>
    </row>
    <row r="848" ht="15.75" customHeight="1">
      <c r="L848" s="52"/>
    </row>
    <row r="849" ht="15.75" customHeight="1">
      <c r="L849" s="52"/>
    </row>
    <row r="850" ht="15.75" customHeight="1">
      <c r="L850" s="52"/>
    </row>
    <row r="851" ht="15.75" customHeight="1">
      <c r="L851" s="52"/>
    </row>
    <row r="852" ht="15.75" customHeight="1">
      <c r="L852" s="52"/>
    </row>
    <row r="853" ht="15.75" customHeight="1">
      <c r="L853" s="52"/>
    </row>
    <row r="854" ht="15.75" customHeight="1">
      <c r="L854" s="52"/>
    </row>
    <row r="855" ht="15.75" customHeight="1">
      <c r="L855" s="52"/>
    </row>
    <row r="856" ht="15.75" customHeight="1">
      <c r="L856" s="52"/>
    </row>
    <row r="857" ht="15.75" customHeight="1">
      <c r="L857" s="52"/>
    </row>
    <row r="858" ht="15.75" customHeight="1">
      <c r="L858" s="52"/>
    </row>
    <row r="859" ht="15.75" customHeight="1">
      <c r="L859" s="52"/>
    </row>
    <row r="860" ht="15.75" customHeight="1">
      <c r="L860" s="52"/>
    </row>
    <row r="861" ht="15.75" customHeight="1">
      <c r="L861" s="52"/>
    </row>
    <row r="862" ht="15.75" customHeight="1">
      <c r="L862" s="52"/>
    </row>
    <row r="863" ht="15.75" customHeight="1">
      <c r="L863" s="52"/>
    </row>
    <row r="864" ht="15.75" customHeight="1">
      <c r="L864" s="52"/>
    </row>
    <row r="865" ht="15.75" customHeight="1">
      <c r="L865" s="52"/>
    </row>
    <row r="866" ht="15.75" customHeight="1">
      <c r="L866" s="52"/>
    </row>
    <row r="867" ht="15.75" customHeight="1">
      <c r="L867" s="52"/>
    </row>
    <row r="868" ht="15.75" customHeight="1">
      <c r="L868" s="52"/>
    </row>
    <row r="869" ht="15.75" customHeight="1">
      <c r="L869" s="52"/>
    </row>
    <row r="870" ht="15.75" customHeight="1">
      <c r="L870" s="52"/>
    </row>
    <row r="871" ht="15.75" customHeight="1">
      <c r="L871" s="52"/>
    </row>
    <row r="872" ht="15.75" customHeight="1">
      <c r="L872" s="52"/>
    </row>
    <row r="873" ht="15.75" customHeight="1">
      <c r="L873" s="52"/>
    </row>
    <row r="874" ht="15.75" customHeight="1">
      <c r="L874" s="52"/>
    </row>
    <row r="875" ht="15.75" customHeight="1">
      <c r="L875" s="52"/>
    </row>
    <row r="876" ht="15.75" customHeight="1">
      <c r="L876" s="52"/>
    </row>
    <row r="877" ht="15.75" customHeight="1">
      <c r="L877" s="52"/>
    </row>
    <row r="878" ht="15.75" customHeight="1">
      <c r="L878" s="52"/>
    </row>
    <row r="879" ht="15.75" customHeight="1">
      <c r="L879" s="52"/>
    </row>
    <row r="880" ht="15.75" customHeight="1">
      <c r="L880" s="52"/>
    </row>
    <row r="881" ht="15.75" customHeight="1">
      <c r="L881" s="52"/>
    </row>
    <row r="882" ht="15.75" customHeight="1">
      <c r="L882" s="52"/>
    </row>
    <row r="883" ht="15.75" customHeight="1">
      <c r="L883" s="52"/>
    </row>
    <row r="884" ht="15.75" customHeight="1">
      <c r="L884" s="52"/>
    </row>
    <row r="885" ht="15.75" customHeight="1">
      <c r="L885" s="52"/>
    </row>
    <row r="886" ht="15.75" customHeight="1">
      <c r="L886" s="52"/>
    </row>
    <row r="887" ht="15.75" customHeight="1">
      <c r="L887" s="52"/>
    </row>
    <row r="888" ht="15.75" customHeight="1">
      <c r="L888" s="52"/>
    </row>
    <row r="889" ht="15.75" customHeight="1">
      <c r="L889" s="52"/>
    </row>
    <row r="890" ht="15.75" customHeight="1">
      <c r="L890" s="52"/>
    </row>
    <row r="891" ht="15.75" customHeight="1">
      <c r="L891" s="52"/>
    </row>
    <row r="892" ht="15.75" customHeight="1">
      <c r="L892" s="52"/>
    </row>
    <row r="893" ht="15.75" customHeight="1">
      <c r="L893" s="52"/>
    </row>
    <row r="894" ht="15.75" customHeight="1">
      <c r="L894" s="52"/>
    </row>
    <row r="895" ht="15.75" customHeight="1">
      <c r="L895" s="52"/>
    </row>
    <row r="896" ht="15.75" customHeight="1">
      <c r="L896" s="52"/>
    </row>
    <row r="897" ht="15.75" customHeight="1">
      <c r="L897" s="52"/>
    </row>
    <row r="898" ht="15.75" customHeight="1">
      <c r="L898" s="52"/>
    </row>
    <row r="899" ht="15.75" customHeight="1">
      <c r="L899" s="52"/>
    </row>
    <row r="900" ht="15.75" customHeight="1">
      <c r="L900" s="52"/>
    </row>
    <row r="901" ht="15.75" customHeight="1">
      <c r="L901" s="52"/>
    </row>
    <row r="902" ht="15.75" customHeight="1">
      <c r="L902" s="52"/>
    </row>
    <row r="903" ht="15.75" customHeight="1">
      <c r="L903" s="52"/>
    </row>
    <row r="904" ht="15.75" customHeight="1">
      <c r="L904" s="52"/>
    </row>
    <row r="905" ht="15.75" customHeight="1">
      <c r="L905" s="52"/>
    </row>
    <row r="906" ht="15.75" customHeight="1">
      <c r="L906" s="52"/>
    </row>
    <row r="907" ht="15.75" customHeight="1">
      <c r="L907" s="52"/>
    </row>
    <row r="908" ht="15.75" customHeight="1">
      <c r="L908" s="52"/>
    </row>
    <row r="909" ht="15.75" customHeight="1">
      <c r="L909" s="52"/>
    </row>
    <row r="910" ht="15.75" customHeight="1">
      <c r="L910" s="52"/>
    </row>
    <row r="911" ht="15.75" customHeight="1">
      <c r="L911" s="52"/>
    </row>
    <row r="912" ht="15.75" customHeight="1">
      <c r="L912" s="52"/>
    </row>
    <row r="913" ht="15.75" customHeight="1">
      <c r="L913" s="52"/>
    </row>
    <row r="914" ht="15.75" customHeight="1">
      <c r="L914" s="52"/>
    </row>
    <row r="915" ht="15.75" customHeight="1">
      <c r="L915" s="52"/>
    </row>
    <row r="916" ht="15.75" customHeight="1">
      <c r="L916" s="52"/>
    </row>
    <row r="917" ht="15.75" customHeight="1">
      <c r="L917" s="52"/>
    </row>
    <row r="918" ht="15.75" customHeight="1">
      <c r="L918" s="52"/>
    </row>
    <row r="919" ht="15.75" customHeight="1">
      <c r="L919" s="52"/>
    </row>
    <row r="920" ht="15.75" customHeight="1">
      <c r="L920" s="52"/>
    </row>
    <row r="921" ht="15.75" customHeight="1">
      <c r="L921" s="52"/>
    </row>
    <row r="922" ht="15.75" customHeight="1">
      <c r="L922" s="52"/>
    </row>
    <row r="923" ht="15.75" customHeight="1">
      <c r="L923" s="52"/>
    </row>
    <row r="924" ht="15.75" customHeight="1">
      <c r="L924" s="52"/>
    </row>
    <row r="925" ht="15.75" customHeight="1">
      <c r="L925" s="52"/>
    </row>
    <row r="926" ht="15.75" customHeight="1">
      <c r="L926" s="52"/>
    </row>
    <row r="927" ht="15.75" customHeight="1">
      <c r="L927" s="52"/>
    </row>
    <row r="928" ht="15.75" customHeight="1">
      <c r="L928" s="52"/>
    </row>
    <row r="929" ht="15.75" customHeight="1">
      <c r="L929" s="52"/>
    </row>
    <row r="930" ht="15.75" customHeight="1">
      <c r="L930" s="52"/>
    </row>
    <row r="931" ht="15.75" customHeight="1">
      <c r="L931" s="52"/>
    </row>
    <row r="932" ht="15.75" customHeight="1">
      <c r="L932" s="52"/>
    </row>
    <row r="933" ht="15.75" customHeight="1">
      <c r="L933" s="52"/>
    </row>
    <row r="934" ht="15.75" customHeight="1">
      <c r="L934" s="52"/>
    </row>
    <row r="935" ht="15.75" customHeight="1">
      <c r="L935" s="52"/>
    </row>
    <row r="936" ht="15.75" customHeight="1">
      <c r="L936" s="52"/>
    </row>
    <row r="937" ht="15.75" customHeight="1">
      <c r="L937" s="52"/>
    </row>
    <row r="938" ht="15.75" customHeight="1">
      <c r="L938" s="52"/>
    </row>
    <row r="939" ht="15.75" customHeight="1">
      <c r="L939" s="52"/>
    </row>
    <row r="940" ht="15.75" customHeight="1">
      <c r="L940" s="52"/>
    </row>
    <row r="941" ht="15.75" customHeight="1">
      <c r="L941" s="52"/>
    </row>
    <row r="942" ht="15.75" customHeight="1">
      <c r="L942" s="52"/>
    </row>
    <row r="943" ht="15.75" customHeight="1">
      <c r="L943" s="52"/>
    </row>
    <row r="944" ht="15.75" customHeight="1">
      <c r="L944" s="52"/>
    </row>
    <row r="945" ht="15.75" customHeight="1">
      <c r="L945" s="52"/>
    </row>
    <row r="946" ht="15.75" customHeight="1">
      <c r="L946" s="52"/>
    </row>
    <row r="947" ht="15.75" customHeight="1">
      <c r="L947" s="52"/>
    </row>
    <row r="948" ht="15.75" customHeight="1">
      <c r="L948" s="52"/>
    </row>
    <row r="949" ht="15.75" customHeight="1">
      <c r="L949" s="52"/>
    </row>
    <row r="950" ht="15.75" customHeight="1">
      <c r="L950" s="52"/>
    </row>
    <row r="951" ht="15.75" customHeight="1">
      <c r="L951" s="52"/>
    </row>
    <row r="952" ht="15.75" customHeight="1">
      <c r="L952" s="52"/>
    </row>
    <row r="953" ht="15.75" customHeight="1">
      <c r="L953" s="52"/>
    </row>
    <row r="954" ht="15.75" customHeight="1">
      <c r="L954" s="52"/>
    </row>
    <row r="955" ht="15.75" customHeight="1">
      <c r="L955" s="52"/>
    </row>
    <row r="956" ht="15.75" customHeight="1">
      <c r="L956" s="52"/>
    </row>
    <row r="957" ht="15.75" customHeight="1">
      <c r="L957" s="52"/>
    </row>
    <row r="958" ht="15.75" customHeight="1">
      <c r="L958" s="52"/>
    </row>
    <row r="959" ht="15.75" customHeight="1">
      <c r="L959" s="52"/>
    </row>
    <row r="960" ht="15.75" customHeight="1">
      <c r="L960" s="52"/>
    </row>
    <row r="961" ht="15.75" customHeight="1">
      <c r="L961" s="52"/>
    </row>
    <row r="962" ht="15.75" customHeight="1">
      <c r="L962" s="52"/>
    </row>
    <row r="963" ht="15.75" customHeight="1">
      <c r="L963" s="52"/>
    </row>
    <row r="964" ht="15.75" customHeight="1">
      <c r="L964" s="52"/>
    </row>
    <row r="965" ht="15.75" customHeight="1">
      <c r="L965" s="52"/>
    </row>
    <row r="966" ht="15.75" customHeight="1">
      <c r="L966" s="52"/>
    </row>
    <row r="967" ht="15.75" customHeight="1">
      <c r="L967" s="52"/>
    </row>
    <row r="968" ht="15.75" customHeight="1">
      <c r="L968" s="52"/>
    </row>
    <row r="969" ht="15.75" customHeight="1">
      <c r="L969" s="52"/>
    </row>
    <row r="970" ht="15.75" customHeight="1">
      <c r="L970" s="52"/>
    </row>
    <row r="971" ht="15.75" customHeight="1">
      <c r="L971" s="52"/>
    </row>
    <row r="972" ht="15.75" customHeight="1">
      <c r="L972" s="52"/>
    </row>
    <row r="973" ht="15.75" customHeight="1">
      <c r="L973" s="52"/>
    </row>
    <row r="974" ht="15.75" customHeight="1">
      <c r="L974" s="52"/>
    </row>
    <row r="975" ht="15.75" customHeight="1">
      <c r="L975" s="52"/>
    </row>
    <row r="976" ht="15.75" customHeight="1">
      <c r="L976" s="52"/>
    </row>
    <row r="977" ht="15.75" customHeight="1">
      <c r="L977" s="52"/>
    </row>
    <row r="978" ht="15.75" customHeight="1">
      <c r="L978" s="52"/>
    </row>
    <row r="979" ht="15.75" customHeight="1">
      <c r="L979" s="52"/>
    </row>
    <row r="980" ht="15.75" customHeight="1">
      <c r="L980" s="52"/>
    </row>
    <row r="981" ht="15.75" customHeight="1">
      <c r="L981" s="52"/>
    </row>
    <row r="982" ht="15.75" customHeight="1">
      <c r="L982" s="52"/>
    </row>
    <row r="983" ht="15.75" customHeight="1">
      <c r="L983" s="52"/>
    </row>
    <row r="984" ht="15.75" customHeight="1">
      <c r="L984" s="52"/>
    </row>
    <row r="985" ht="15.75" customHeight="1">
      <c r="L985" s="52"/>
    </row>
    <row r="986" ht="15.75" customHeight="1">
      <c r="L986" s="52"/>
    </row>
    <row r="987" ht="15.75" customHeight="1">
      <c r="L987" s="52"/>
    </row>
    <row r="988" ht="15.75" customHeight="1">
      <c r="L988" s="52"/>
    </row>
    <row r="989" ht="15.75" customHeight="1">
      <c r="L989" s="52"/>
    </row>
    <row r="990" ht="15.75" customHeight="1">
      <c r="L990" s="52"/>
    </row>
    <row r="991" ht="15.75" customHeight="1">
      <c r="L991" s="52"/>
    </row>
    <row r="992" ht="15.75" customHeight="1">
      <c r="L992" s="52"/>
    </row>
    <row r="993" ht="15.75" customHeight="1">
      <c r="L993" s="52"/>
    </row>
    <row r="994" ht="15.75" customHeight="1">
      <c r="L994" s="52"/>
    </row>
    <row r="995" ht="15.75" customHeight="1">
      <c r="L995" s="52"/>
    </row>
    <row r="996" ht="15.75" customHeight="1">
      <c r="L996" s="52"/>
    </row>
    <row r="997" ht="15.75" customHeight="1">
      <c r="L997" s="52"/>
    </row>
    <row r="998" ht="15.75" customHeight="1">
      <c r="L998" s="52"/>
    </row>
    <row r="999" ht="15.75" customHeight="1">
      <c r="L999" s="52"/>
    </row>
    <row r="1000" ht="15.75" customHeight="1">
      <c r="L1000" s="52"/>
    </row>
  </sheetData>
  <printOptions/>
  <pageMargins bottom="0.75" footer="0.0" header="0.0" left="0.44" right="0.38" top="0.75"/>
  <pageSetup orientation="portrait"/>
  <headerFooter>
    <oddHeader>&amp;R&amp;D</oddHeader>
    <oddFooter>&amp;R&amp;P of </oddFooter>
  </headerFooter>
  <colBreaks count="1" manualBreakCount="1">
    <brk id="9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Row="1"/>
  <cols>
    <col customWidth="1" min="1" max="1" width="22.0"/>
    <col customWidth="1" min="2" max="2" width="10.5"/>
    <col customWidth="1" min="3" max="3" width="7.25"/>
    <col customWidth="1" min="4" max="5" width="9.38"/>
    <col customWidth="1" min="6" max="6" width="10.75"/>
    <col customWidth="1" min="7" max="7" width="12.13"/>
    <col customWidth="1" min="8" max="8" width="10.75"/>
    <col customWidth="1" min="9" max="9" width="9.88"/>
    <col customWidth="1" min="10" max="10" width="10.63"/>
    <col customWidth="1" min="11" max="11" width="9.38"/>
    <col customWidth="1" min="12" max="12" width="10.0"/>
    <col customWidth="1" min="13" max="13" width="9.0"/>
    <col customWidth="1" min="14" max="14" width="10.75"/>
    <col customWidth="1" min="15" max="15" width="9.75"/>
    <col customWidth="1" min="16" max="16" width="9.38"/>
    <col customWidth="1" min="17" max="17" width="10.0"/>
    <col customWidth="1" min="18" max="18" width="13.13"/>
    <col customWidth="1" min="19" max="19" width="8.5"/>
    <col customWidth="1" min="20" max="20" width="10.88"/>
    <col customWidth="1" min="21" max="21" width="8.0"/>
    <col customWidth="1" min="22" max="22" width="9.88"/>
    <col customWidth="1" min="23" max="25" width="11.88"/>
    <col customWidth="1" min="26" max="27" width="8.13"/>
    <col customWidth="1" min="28" max="29" width="7.63"/>
    <col customWidth="1" min="30" max="30" width="10.88"/>
    <col customWidth="1" min="31" max="31" width="10.38"/>
    <col customWidth="1" min="32" max="32" width="11.0"/>
    <col customWidth="1" min="33" max="33" width="7.63"/>
    <col customWidth="1" min="34" max="34" width="10.75"/>
  </cols>
  <sheetData>
    <row r="1" outlineLevel="1">
      <c r="A1" s="50" t="s">
        <v>312</v>
      </c>
      <c r="W1" s="27"/>
      <c r="X1" s="27"/>
      <c r="AD1" s="27"/>
      <c r="AF1" s="27"/>
      <c r="AH1" s="27"/>
    </row>
    <row r="2" outlineLevel="1">
      <c r="A2" s="50" t="s">
        <v>737</v>
      </c>
      <c r="W2" s="27"/>
      <c r="X2" s="27"/>
      <c r="AD2" s="27"/>
      <c r="AF2" s="27"/>
      <c r="AH2" s="27"/>
    </row>
    <row r="3" outlineLevel="1">
      <c r="A3" s="50" t="s">
        <v>738</v>
      </c>
      <c r="W3" s="27"/>
      <c r="X3" s="27"/>
      <c r="AD3" s="27"/>
      <c r="AF3" s="27"/>
      <c r="AH3" s="27"/>
    </row>
    <row r="4" outlineLevel="1">
      <c r="A4" s="184" t="s">
        <v>739</v>
      </c>
      <c r="B4" s="185" t="s">
        <v>740</v>
      </c>
      <c r="C4" s="186"/>
      <c r="D4" s="187" t="s">
        <v>741</v>
      </c>
      <c r="E4" s="187" t="s">
        <v>742</v>
      </c>
      <c r="F4" s="187" t="s">
        <v>743</v>
      </c>
      <c r="G4" s="187" t="s">
        <v>744</v>
      </c>
      <c r="H4" s="187" t="s">
        <v>745</v>
      </c>
      <c r="I4" s="187" t="s">
        <v>746</v>
      </c>
      <c r="J4" s="187" t="s">
        <v>747</v>
      </c>
      <c r="K4" s="187" t="s">
        <v>748</v>
      </c>
      <c r="L4" s="187" t="s">
        <v>749</v>
      </c>
      <c r="M4" s="187" t="s">
        <v>750</v>
      </c>
      <c r="N4" s="187" t="s">
        <v>751</v>
      </c>
      <c r="O4" s="187" t="s">
        <v>752</v>
      </c>
      <c r="P4" s="187" t="s">
        <v>753</v>
      </c>
      <c r="Q4" s="187" t="s">
        <v>754</v>
      </c>
      <c r="R4" s="187" t="s">
        <v>755</v>
      </c>
      <c r="S4" s="187" t="s">
        <v>756</v>
      </c>
      <c r="T4" s="187" t="s">
        <v>757</v>
      </c>
      <c r="U4" s="187" t="s">
        <v>758</v>
      </c>
      <c r="V4" s="188" t="s">
        <v>759</v>
      </c>
      <c r="W4" s="27"/>
      <c r="X4" s="27"/>
      <c r="AD4" s="27"/>
      <c r="AF4" s="27"/>
      <c r="AH4" s="27"/>
    </row>
    <row r="5" outlineLevel="1">
      <c r="A5" s="1" t="s">
        <v>376</v>
      </c>
      <c r="B5" s="189"/>
      <c r="C5" s="1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>
        <f>3124.5/8*10</f>
        <v>3905.625</v>
      </c>
      <c r="V5" s="26">
        <f t="shared" ref="V5:V25" si="1">SUM(D5:U5)</f>
        <v>3905.625</v>
      </c>
      <c r="W5" s="27"/>
      <c r="X5" s="27"/>
      <c r="AD5" s="27"/>
      <c r="AF5" s="27"/>
      <c r="AH5" s="27"/>
    </row>
    <row r="6" outlineLevel="1">
      <c r="A6" s="1" t="s">
        <v>378</v>
      </c>
      <c r="B6" s="189"/>
      <c r="C6" s="1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>
        <v>12000.0</v>
      </c>
      <c r="U6" s="190"/>
      <c r="V6" s="26">
        <f t="shared" si="1"/>
        <v>12000</v>
      </c>
      <c r="W6" s="27"/>
      <c r="X6" s="27"/>
      <c r="AD6" s="27"/>
      <c r="AF6" s="27"/>
      <c r="AH6" s="27"/>
    </row>
    <row r="7" outlineLevel="1">
      <c r="A7" s="1" t="s">
        <v>380</v>
      </c>
      <c r="B7" s="189"/>
      <c r="C7" s="1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26">
        <f t="shared" si="1"/>
        <v>0</v>
      </c>
      <c r="W7" s="27"/>
      <c r="X7" s="27"/>
      <c r="AD7" s="27"/>
      <c r="AF7" s="27"/>
      <c r="AH7" s="27"/>
    </row>
    <row r="8" outlineLevel="1">
      <c r="A8" s="1" t="s">
        <v>382</v>
      </c>
      <c r="B8" s="189"/>
      <c r="C8" s="1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26">
        <f t="shared" si="1"/>
        <v>0</v>
      </c>
      <c r="W8" s="27"/>
      <c r="X8" s="27"/>
      <c r="AD8" s="27"/>
      <c r="AF8" s="27"/>
      <c r="AH8" s="27"/>
    </row>
    <row r="9" outlineLevel="1">
      <c r="A9" s="1" t="s">
        <v>384</v>
      </c>
      <c r="B9" s="189"/>
      <c r="C9" s="1"/>
      <c r="D9" s="190">
        <f>1517.25*24</f>
        <v>36414</v>
      </c>
      <c r="E9" s="190">
        <f>1250*24</f>
        <v>30000</v>
      </c>
      <c r="F9" s="190"/>
      <c r="G9" s="190">
        <f>1250*24</f>
        <v>30000</v>
      </c>
      <c r="H9" s="190">
        <f>1661.08*24</f>
        <v>39865.92</v>
      </c>
      <c r="I9" s="190"/>
      <c r="J9" s="190">
        <f>1671.18*24</f>
        <v>40108.32</v>
      </c>
      <c r="K9" s="190">
        <f>1250*24</f>
        <v>30000</v>
      </c>
      <c r="L9" s="190"/>
      <c r="M9" s="190">
        <f>1416.67*24</f>
        <v>34000.08</v>
      </c>
      <c r="N9" s="190"/>
      <c r="O9" s="190">
        <f>1273.25*24</f>
        <v>30558</v>
      </c>
      <c r="P9" s="190"/>
      <c r="Q9" s="190"/>
      <c r="R9" s="190">
        <f>1250*24</f>
        <v>30000</v>
      </c>
      <c r="S9" s="190"/>
      <c r="T9" s="190"/>
      <c r="U9" s="190"/>
      <c r="V9" s="26">
        <f t="shared" si="1"/>
        <v>300946.32</v>
      </c>
      <c r="W9" s="27"/>
      <c r="X9" s="27"/>
      <c r="AD9" s="27"/>
      <c r="AF9" s="27"/>
      <c r="AH9" s="27"/>
    </row>
    <row r="10" outlineLevel="1">
      <c r="A10" s="1" t="s">
        <v>386</v>
      </c>
      <c r="B10" s="189"/>
      <c r="C10" s="1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f>10859.1/8*10</f>
        <v>13573.875</v>
      </c>
      <c r="Q10" s="190"/>
      <c r="R10" s="190"/>
      <c r="S10" s="190"/>
      <c r="T10" s="190"/>
      <c r="U10" s="190"/>
      <c r="V10" s="26">
        <f t="shared" si="1"/>
        <v>13573.875</v>
      </c>
      <c r="W10" s="27"/>
      <c r="X10" s="27"/>
      <c r="AD10" s="27"/>
      <c r="AF10" s="27"/>
      <c r="AH10" s="27"/>
    </row>
    <row r="11" outlineLevel="1">
      <c r="A11" s="1" t="s">
        <v>388</v>
      </c>
      <c r="B11" s="189"/>
      <c r="C11" s="1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26">
        <f t="shared" si="1"/>
        <v>0</v>
      </c>
      <c r="W11" s="27"/>
      <c r="X11" s="27"/>
      <c r="AD11" s="27"/>
      <c r="AF11" s="27"/>
      <c r="AH11" s="27"/>
    </row>
    <row r="12" outlineLevel="1">
      <c r="A12" s="1" t="s">
        <v>390</v>
      </c>
      <c r="B12" s="189"/>
      <c r="C12" s="1"/>
      <c r="D12" s="190"/>
      <c r="E12" s="190"/>
      <c r="F12" s="190">
        <f>1768.68*24</f>
        <v>42448.32</v>
      </c>
      <c r="G12" s="190"/>
      <c r="H12" s="190"/>
      <c r="I12" s="190">
        <f>1473.9*24</f>
        <v>35373.6</v>
      </c>
      <c r="J12" s="190"/>
      <c r="K12" s="190"/>
      <c r="L12" s="190">
        <f>2166.67*24</f>
        <v>52000.08</v>
      </c>
      <c r="M12" s="190"/>
      <c r="N12" s="190">
        <f>2125*24</f>
        <v>51000</v>
      </c>
      <c r="O12" s="190"/>
      <c r="P12" s="190"/>
      <c r="Q12" s="190">
        <f>3208.33*24</f>
        <v>76999.92</v>
      </c>
      <c r="R12" s="190"/>
      <c r="S12" s="190"/>
      <c r="T12" s="190"/>
      <c r="U12" s="190"/>
      <c r="V12" s="26">
        <f t="shared" si="1"/>
        <v>257821.92</v>
      </c>
      <c r="W12" s="27"/>
      <c r="X12" s="27"/>
      <c r="AD12" s="27"/>
      <c r="AF12" s="27"/>
      <c r="AH12" s="27"/>
    </row>
    <row r="13" outlineLevel="1">
      <c r="A13" s="1" t="s">
        <v>392</v>
      </c>
      <c r="B13" s="189"/>
      <c r="C13" s="1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26">
        <f t="shared" si="1"/>
        <v>0</v>
      </c>
      <c r="W13" s="27"/>
      <c r="X13" s="27"/>
      <c r="AD13" s="27"/>
      <c r="AF13" s="27"/>
      <c r="AH13" s="27"/>
    </row>
    <row r="14" outlineLevel="1">
      <c r="A14" s="1" t="s">
        <v>394</v>
      </c>
      <c r="B14" s="189"/>
      <c r="C14" s="1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>
        <f>1950.75*24</f>
        <v>46818</v>
      </c>
      <c r="T14" s="190"/>
      <c r="U14" s="190"/>
      <c r="V14" s="26">
        <f t="shared" si="1"/>
        <v>46818</v>
      </c>
      <c r="W14" s="27"/>
      <c r="X14" s="27"/>
      <c r="AD14" s="27"/>
      <c r="AF14" s="27"/>
      <c r="AH14" s="27"/>
    </row>
    <row r="15" outlineLevel="1">
      <c r="A15" s="1" t="s">
        <v>396</v>
      </c>
      <c r="B15" s="189"/>
      <c r="C15" s="1"/>
      <c r="D15" s="190">
        <v>2000.0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>
        <f>3000+900+600+900</f>
        <v>5400</v>
      </c>
      <c r="R15" s="190"/>
      <c r="S15" s="190"/>
      <c r="T15" s="190"/>
      <c r="U15" s="190"/>
      <c r="V15" s="26">
        <f t="shared" si="1"/>
        <v>7400</v>
      </c>
      <c r="W15" s="27"/>
      <c r="X15" s="27"/>
      <c r="AD15" s="27"/>
      <c r="AF15" s="27"/>
      <c r="AH15" s="27"/>
    </row>
    <row r="16" outlineLevel="1">
      <c r="A16" s="1" t="s">
        <v>398</v>
      </c>
      <c r="B16" s="189"/>
      <c r="C16" s="1"/>
      <c r="D16" s="190"/>
      <c r="E16" s="190"/>
      <c r="F16" s="190"/>
      <c r="G16" s="190"/>
      <c r="H16" s="190"/>
      <c r="I16" s="190"/>
      <c r="J16" s="190"/>
      <c r="K16" s="190">
        <f>187.5*24</f>
        <v>4500</v>
      </c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26">
        <f t="shared" si="1"/>
        <v>4500</v>
      </c>
      <c r="W16" s="27"/>
      <c r="X16" s="27"/>
      <c r="AD16" s="27"/>
      <c r="AF16" s="27"/>
      <c r="AH16" s="27"/>
    </row>
    <row r="17" outlineLevel="1">
      <c r="A17" s="1" t="s">
        <v>400</v>
      </c>
      <c r="B17" s="189"/>
      <c r="C17" s="1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26">
        <f t="shared" si="1"/>
        <v>0</v>
      </c>
      <c r="W17" s="27"/>
      <c r="X17" s="27"/>
      <c r="AD17" s="27"/>
      <c r="AF17" s="27"/>
      <c r="AH17" s="27"/>
    </row>
    <row r="18" outlineLevel="1">
      <c r="A18" s="1" t="s">
        <v>402</v>
      </c>
      <c r="B18" s="189"/>
      <c r="C18" s="1"/>
      <c r="D18" s="190"/>
      <c r="E18" s="190"/>
      <c r="F18" s="190"/>
      <c r="G18" s="190">
        <f>8793.75/3</f>
        <v>2931.25</v>
      </c>
      <c r="H18" s="190"/>
      <c r="I18" s="190"/>
      <c r="J18" s="190"/>
      <c r="K18" s="190"/>
      <c r="L18" s="190"/>
      <c r="M18" s="190"/>
      <c r="N18" s="190">
        <v>2931.0</v>
      </c>
      <c r="O18" s="190">
        <v>2931.0</v>
      </c>
      <c r="P18" s="190"/>
      <c r="Q18" s="190"/>
      <c r="R18" s="190"/>
      <c r="S18" s="190"/>
      <c r="T18" s="190"/>
      <c r="U18" s="190"/>
      <c r="V18" s="26">
        <f t="shared" si="1"/>
        <v>8793.25</v>
      </c>
      <c r="W18" s="27"/>
      <c r="X18" s="27"/>
      <c r="AD18" s="27"/>
      <c r="AF18" s="27"/>
      <c r="AH18" s="27"/>
    </row>
    <row r="19" outlineLevel="1">
      <c r="A19" s="1" t="s">
        <v>405</v>
      </c>
      <c r="B19" s="189"/>
      <c r="C19" s="1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26">
        <f t="shared" si="1"/>
        <v>0</v>
      </c>
      <c r="W19" s="27"/>
      <c r="X19" s="27"/>
      <c r="AD19" s="27"/>
      <c r="AF19" s="27"/>
      <c r="AH19" s="27"/>
    </row>
    <row r="20" outlineLevel="1">
      <c r="A20" s="1" t="s">
        <v>408</v>
      </c>
      <c r="B20" s="189"/>
      <c r="C20" s="1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26">
        <f t="shared" si="1"/>
        <v>0</v>
      </c>
      <c r="W20" s="27"/>
      <c r="X20" s="27"/>
      <c r="AD20" s="27"/>
      <c r="AF20" s="27"/>
      <c r="AH20" s="27"/>
    </row>
    <row r="21" ht="15.75" customHeight="1" outlineLevel="1">
      <c r="A21" s="1" t="s">
        <v>412</v>
      </c>
      <c r="B21" s="189"/>
      <c r="C21" s="1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26">
        <f t="shared" si="1"/>
        <v>0</v>
      </c>
      <c r="W21" s="27"/>
      <c r="X21" s="27"/>
      <c r="AD21" s="27"/>
      <c r="AF21" s="27"/>
      <c r="AH21" s="27"/>
    </row>
    <row r="22" ht="15.75" customHeight="1" outlineLevel="1">
      <c r="A22" s="1" t="s">
        <v>760</v>
      </c>
      <c r="B22" s="189"/>
      <c r="C22" s="1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>
        <f>200*24</f>
        <v>4800</v>
      </c>
      <c r="P22" s="190"/>
      <c r="Q22" s="190"/>
      <c r="R22" s="190"/>
      <c r="S22" s="190"/>
      <c r="T22" s="190"/>
      <c r="U22" s="190"/>
      <c r="V22" s="26">
        <f t="shared" si="1"/>
        <v>4800</v>
      </c>
      <c r="W22" s="27"/>
      <c r="X22" s="27"/>
      <c r="AD22" s="27"/>
      <c r="AF22" s="27"/>
      <c r="AH22" s="27"/>
    </row>
    <row r="23" ht="15.75" customHeight="1" outlineLevel="1">
      <c r="A23" s="1" t="s">
        <v>434</v>
      </c>
      <c r="B23" s="189"/>
      <c r="C23" s="1"/>
      <c r="D23" s="190">
        <f t="shared" ref="D23:S23" si="2">4602.07/17</f>
        <v>270.71</v>
      </c>
      <c r="E23" s="190">
        <f t="shared" si="2"/>
        <v>270.71</v>
      </c>
      <c r="F23" s="190">
        <f t="shared" si="2"/>
        <v>270.71</v>
      </c>
      <c r="G23" s="190">
        <f t="shared" si="2"/>
        <v>270.71</v>
      </c>
      <c r="H23" s="190">
        <f t="shared" si="2"/>
        <v>270.71</v>
      </c>
      <c r="I23" s="190">
        <f t="shared" si="2"/>
        <v>270.71</v>
      </c>
      <c r="J23" s="190">
        <f t="shared" si="2"/>
        <v>270.71</v>
      </c>
      <c r="K23" s="190">
        <f t="shared" si="2"/>
        <v>270.71</v>
      </c>
      <c r="L23" s="190">
        <f t="shared" si="2"/>
        <v>270.71</v>
      </c>
      <c r="M23" s="190">
        <f t="shared" si="2"/>
        <v>270.71</v>
      </c>
      <c r="N23" s="190">
        <f t="shared" si="2"/>
        <v>270.71</v>
      </c>
      <c r="O23" s="190">
        <f t="shared" si="2"/>
        <v>270.71</v>
      </c>
      <c r="P23" s="190">
        <f t="shared" si="2"/>
        <v>270.71</v>
      </c>
      <c r="Q23" s="190">
        <f t="shared" si="2"/>
        <v>270.71</v>
      </c>
      <c r="R23" s="190">
        <f t="shared" si="2"/>
        <v>270.71</v>
      </c>
      <c r="S23" s="190">
        <f t="shared" si="2"/>
        <v>270.71</v>
      </c>
      <c r="T23" s="190"/>
      <c r="U23" s="190"/>
      <c r="V23" s="26">
        <f t="shared" si="1"/>
        <v>4331.36</v>
      </c>
      <c r="W23" s="27"/>
      <c r="X23" s="27"/>
      <c r="AD23" s="27"/>
      <c r="AF23" s="27"/>
      <c r="AH23" s="27"/>
    </row>
    <row r="24" ht="15.75" customHeight="1" outlineLevel="1">
      <c r="A24" s="1" t="s">
        <v>434</v>
      </c>
      <c r="B24" s="189"/>
      <c r="C24" s="1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26">
        <f t="shared" si="1"/>
        <v>0</v>
      </c>
      <c r="W24" s="27"/>
      <c r="X24" s="27"/>
      <c r="AD24" s="27"/>
      <c r="AF24" s="27"/>
      <c r="AH24" s="27"/>
    </row>
    <row r="25" ht="15.75" customHeight="1" outlineLevel="1">
      <c r="A25" s="1" t="s">
        <v>434</v>
      </c>
      <c r="B25" s="189"/>
      <c r="C25" s="1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26">
        <f t="shared" si="1"/>
        <v>0</v>
      </c>
      <c r="W25" s="27"/>
      <c r="X25" s="27"/>
      <c r="AD25" s="27"/>
      <c r="AF25" s="27"/>
      <c r="AH25" s="27"/>
    </row>
    <row r="26" ht="15.75" customHeight="1" outlineLevel="1">
      <c r="A26" s="191" t="s">
        <v>761</v>
      </c>
      <c r="B26" s="192"/>
      <c r="C26" s="192"/>
      <c r="D26" s="193">
        <f t="shared" ref="D26:V26" si="3">SUM(D5:D25)</f>
        <v>38684.71</v>
      </c>
      <c r="E26" s="193">
        <f t="shared" si="3"/>
        <v>30270.71</v>
      </c>
      <c r="F26" s="193">
        <f t="shared" si="3"/>
        <v>42719.03</v>
      </c>
      <c r="G26" s="193">
        <f t="shared" si="3"/>
        <v>33201.96</v>
      </c>
      <c r="H26" s="193">
        <f t="shared" si="3"/>
        <v>40136.63</v>
      </c>
      <c r="I26" s="193">
        <f t="shared" si="3"/>
        <v>35644.31</v>
      </c>
      <c r="J26" s="193">
        <f t="shared" si="3"/>
        <v>40379.03</v>
      </c>
      <c r="K26" s="193">
        <f t="shared" si="3"/>
        <v>34770.71</v>
      </c>
      <c r="L26" s="193">
        <f t="shared" si="3"/>
        <v>52270.79</v>
      </c>
      <c r="M26" s="193">
        <f t="shared" si="3"/>
        <v>34270.79</v>
      </c>
      <c r="N26" s="193">
        <f t="shared" si="3"/>
        <v>54201.71</v>
      </c>
      <c r="O26" s="193">
        <f t="shared" si="3"/>
        <v>38559.71</v>
      </c>
      <c r="P26" s="193">
        <f t="shared" si="3"/>
        <v>13844.585</v>
      </c>
      <c r="Q26" s="193">
        <f t="shared" si="3"/>
        <v>82670.63</v>
      </c>
      <c r="R26" s="193">
        <f t="shared" si="3"/>
        <v>30270.71</v>
      </c>
      <c r="S26" s="193">
        <f t="shared" si="3"/>
        <v>47088.71</v>
      </c>
      <c r="T26" s="193">
        <f t="shared" si="3"/>
        <v>12000</v>
      </c>
      <c r="U26" s="193">
        <f t="shared" si="3"/>
        <v>3905.625</v>
      </c>
      <c r="V26" s="194">
        <f t="shared" si="3"/>
        <v>664890.35</v>
      </c>
      <c r="W26" s="27">
        <v>490000.0</v>
      </c>
      <c r="X26" s="27">
        <f>+V26-W26</f>
        <v>174890.35</v>
      </c>
      <c r="AD26" s="27"/>
      <c r="AF26" s="27"/>
      <c r="AH26" s="27"/>
    </row>
    <row r="27" ht="15.75" customHeight="1" outlineLevel="1">
      <c r="W27" s="27"/>
      <c r="X27" s="27"/>
      <c r="AD27" s="27"/>
      <c r="AF27" s="27"/>
      <c r="AH27" s="27"/>
    </row>
    <row r="28" ht="15.75" customHeight="1" outlineLevel="1">
      <c r="A28" s="1" t="s">
        <v>762</v>
      </c>
      <c r="B28" s="1"/>
      <c r="C28" s="1"/>
      <c r="D28" s="190">
        <f t="shared" ref="D28:S28" si="4">538*12</f>
        <v>6456</v>
      </c>
      <c r="E28" s="190">
        <f t="shared" si="4"/>
        <v>6456</v>
      </c>
      <c r="F28" s="190">
        <f t="shared" si="4"/>
        <v>6456</v>
      </c>
      <c r="G28" s="190">
        <f t="shared" si="4"/>
        <v>6456</v>
      </c>
      <c r="H28" s="190">
        <f t="shared" si="4"/>
        <v>6456</v>
      </c>
      <c r="I28" s="190">
        <f t="shared" si="4"/>
        <v>6456</v>
      </c>
      <c r="J28" s="190">
        <f t="shared" si="4"/>
        <v>6456</v>
      </c>
      <c r="K28" s="190">
        <f t="shared" si="4"/>
        <v>6456</v>
      </c>
      <c r="L28" s="190">
        <f t="shared" si="4"/>
        <v>6456</v>
      </c>
      <c r="M28" s="190">
        <f t="shared" si="4"/>
        <v>6456</v>
      </c>
      <c r="N28" s="190">
        <f t="shared" si="4"/>
        <v>6456</v>
      </c>
      <c r="O28" s="190">
        <f t="shared" si="4"/>
        <v>6456</v>
      </c>
      <c r="P28" s="190">
        <f t="shared" si="4"/>
        <v>6456</v>
      </c>
      <c r="Q28" s="190">
        <f t="shared" si="4"/>
        <v>6456</v>
      </c>
      <c r="R28" s="190">
        <f t="shared" si="4"/>
        <v>6456</v>
      </c>
      <c r="S28" s="190">
        <f t="shared" si="4"/>
        <v>6456</v>
      </c>
      <c r="T28" s="190"/>
      <c r="U28" s="190"/>
      <c r="V28" s="26">
        <f>+SUM(D28:U28)</f>
        <v>103296</v>
      </c>
      <c r="W28" s="27"/>
      <c r="X28" s="27"/>
      <c r="AD28" s="27"/>
      <c r="AF28" s="27"/>
      <c r="AH28" s="27"/>
    </row>
    <row r="29" ht="15.75" customHeight="1" outlineLevel="1">
      <c r="W29" s="27"/>
      <c r="X29" s="27"/>
      <c r="AD29" s="27"/>
      <c r="AF29" s="27"/>
      <c r="AH29" s="27"/>
    </row>
    <row r="30" ht="15.75" customHeight="1" outlineLevel="1">
      <c r="A30" s="1" t="s">
        <v>763</v>
      </c>
      <c r="B30" s="1"/>
      <c r="C30" s="1"/>
      <c r="D30" s="190">
        <f>45.52*24</f>
        <v>1092.48</v>
      </c>
      <c r="E30" s="190">
        <f>37.5*24</f>
        <v>900</v>
      </c>
      <c r="F30" s="190">
        <f>53.06*24</f>
        <v>1273.44</v>
      </c>
      <c r="G30" s="190">
        <f>39.08*24</f>
        <v>937.92</v>
      </c>
      <c r="H30" s="190">
        <v>0.0</v>
      </c>
      <c r="I30" s="190">
        <f>44.22*24</f>
        <v>1061.28</v>
      </c>
      <c r="J30" s="190">
        <f>50.14*24</f>
        <v>1203.36</v>
      </c>
      <c r="K30" s="190">
        <v>0.0</v>
      </c>
      <c r="L30" s="190">
        <f>65*24</f>
        <v>1560</v>
      </c>
      <c r="M30" s="190">
        <f>28.33*24</f>
        <v>679.92</v>
      </c>
      <c r="N30" s="190">
        <f>63.75*24</f>
        <v>1530</v>
      </c>
      <c r="O30" s="190">
        <f>48.92*24</f>
        <v>1174.08</v>
      </c>
      <c r="P30" s="190">
        <v>0.0</v>
      </c>
      <c r="Q30" s="190">
        <f>100*24</f>
        <v>2400</v>
      </c>
      <c r="R30" s="190">
        <f>37.5*24</f>
        <v>900</v>
      </c>
      <c r="S30" s="190">
        <f>58.52*24</f>
        <v>1404.48</v>
      </c>
      <c r="T30" s="190"/>
      <c r="U30" s="190"/>
      <c r="V30" s="26">
        <f>+SUM(D30:U30)</f>
        <v>16116.96</v>
      </c>
      <c r="W30" s="27"/>
      <c r="X30" s="27"/>
      <c r="AD30" s="27"/>
      <c r="AF30" s="27"/>
      <c r="AH30" s="27"/>
    </row>
    <row r="31" ht="15.75" customHeight="1" outlineLevel="1">
      <c r="A31" s="1" t="s">
        <v>764</v>
      </c>
      <c r="B31" s="1"/>
      <c r="C31" s="1"/>
      <c r="D31" s="195">
        <f t="shared" ref="D31:S31" si="5">+D30/D26</f>
        <v>0.02824061496</v>
      </c>
      <c r="E31" s="195">
        <f t="shared" si="5"/>
        <v>0.02973171095</v>
      </c>
      <c r="F31" s="195">
        <f t="shared" si="5"/>
        <v>0.02980966562</v>
      </c>
      <c r="G31" s="195">
        <f t="shared" si="5"/>
        <v>0.0282489347</v>
      </c>
      <c r="H31" s="195">
        <f t="shared" si="5"/>
        <v>0</v>
      </c>
      <c r="I31" s="195">
        <f t="shared" si="5"/>
        <v>0.02977417714</v>
      </c>
      <c r="J31" s="195">
        <f t="shared" si="5"/>
        <v>0.02980160742</v>
      </c>
      <c r="K31" s="195">
        <f t="shared" si="5"/>
        <v>0</v>
      </c>
      <c r="L31" s="195">
        <f t="shared" si="5"/>
        <v>0.02984458433</v>
      </c>
      <c r="M31" s="195">
        <f t="shared" si="5"/>
        <v>0.01983963603</v>
      </c>
      <c r="N31" s="195">
        <f t="shared" si="5"/>
        <v>0.0282278917</v>
      </c>
      <c r="O31" s="195">
        <f t="shared" si="5"/>
        <v>0.03044836177</v>
      </c>
      <c r="P31" s="195">
        <f t="shared" si="5"/>
        <v>0</v>
      </c>
      <c r="Q31" s="195">
        <f t="shared" si="5"/>
        <v>0.02903086622</v>
      </c>
      <c r="R31" s="195">
        <f t="shared" si="5"/>
        <v>0.02973171095</v>
      </c>
      <c r="S31" s="195">
        <f t="shared" si="5"/>
        <v>0.02982625772</v>
      </c>
      <c r="T31" s="190"/>
      <c r="U31" s="190"/>
      <c r="V31" s="195">
        <f>+AVERAGE(D31:U31)</f>
        <v>0.02328475122</v>
      </c>
      <c r="W31" s="27"/>
      <c r="X31" s="27"/>
      <c r="AD31" s="27"/>
      <c r="AF31" s="27"/>
      <c r="AH31" s="27"/>
    </row>
    <row r="32" ht="15.75" customHeight="1" outlineLevel="1">
      <c r="A32" s="1"/>
      <c r="B32" s="1"/>
      <c r="C32" s="1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27"/>
      <c r="X32" s="27"/>
      <c r="AD32" s="27"/>
      <c r="AF32" s="27"/>
      <c r="AH32" s="27"/>
    </row>
    <row r="33" ht="15.75" customHeight="1" outlineLevel="1">
      <c r="A33" s="1" t="s">
        <v>765</v>
      </c>
      <c r="B33" s="1"/>
      <c r="C33" s="1"/>
      <c r="D33" s="190">
        <f t="shared" ref="D33:S33" si="6">6.65*12</f>
        <v>79.8</v>
      </c>
      <c r="E33" s="190">
        <f t="shared" si="6"/>
        <v>79.8</v>
      </c>
      <c r="F33" s="190">
        <f t="shared" si="6"/>
        <v>79.8</v>
      </c>
      <c r="G33" s="190">
        <f t="shared" si="6"/>
        <v>79.8</v>
      </c>
      <c r="H33" s="190">
        <f t="shared" si="6"/>
        <v>79.8</v>
      </c>
      <c r="I33" s="190">
        <f t="shared" si="6"/>
        <v>79.8</v>
      </c>
      <c r="J33" s="190">
        <f t="shared" si="6"/>
        <v>79.8</v>
      </c>
      <c r="K33" s="190">
        <f t="shared" si="6"/>
        <v>79.8</v>
      </c>
      <c r="L33" s="190">
        <f t="shared" si="6"/>
        <v>79.8</v>
      </c>
      <c r="M33" s="190">
        <f t="shared" si="6"/>
        <v>79.8</v>
      </c>
      <c r="N33" s="190">
        <f t="shared" si="6"/>
        <v>79.8</v>
      </c>
      <c r="O33" s="190">
        <f t="shared" si="6"/>
        <v>79.8</v>
      </c>
      <c r="P33" s="190">
        <f t="shared" si="6"/>
        <v>79.8</v>
      </c>
      <c r="Q33" s="190">
        <f t="shared" si="6"/>
        <v>79.8</v>
      </c>
      <c r="R33" s="190">
        <f t="shared" si="6"/>
        <v>79.8</v>
      </c>
      <c r="S33" s="190">
        <f t="shared" si="6"/>
        <v>79.8</v>
      </c>
      <c r="T33" s="190"/>
      <c r="U33" s="190"/>
      <c r="V33" s="26">
        <f>+SUM(D33:U33)</f>
        <v>1276.8</v>
      </c>
      <c r="W33" s="27"/>
      <c r="X33" s="27"/>
      <c r="AD33" s="27"/>
      <c r="AF33" s="27"/>
      <c r="AH33" s="27"/>
    </row>
    <row r="34" ht="15.75" customHeight="1" outlineLevel="1">
      <c r="A34" s="1"/>
      <c r="B34" s="1"/>
      <c r="C34" s="1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27"/>
      <c r="X34" s="27"/>
      <c r="AD34" s="27"/>
      <c r="AF34" s="27"/>
      <c r="AH34" s="27"/>
    </row>
    <row r="35" ht="15.75" customHeight="1" outlineLevel="1">
      <c r="A35" s="1" t="s">
        <v>766</v>
      </c>
      <c r="B35" s="1"/>
      <c r="C35" s="1"/>
      <c r="D35" s="26">
        <f t="shared" ref="D35:S35" si="7">0.062*D26</f>
        <v>2398.45202</v>
      </c>
      <c r="E35" s="26">
        <f t="shared" si="7"/>
        <v>1876.78402</v>
      </c>
      <c r="F35" s="26">
        <f t="shared" si="7"/>
        <v>2648.57986</v>
      </c>
      <c r="G35" s="26">
        <f t="shared" si="7"/>
        <v>2058.52152</v>
      </c>
      <c r="H35" s="26">
        <f t="shared" si="7"/>
        <v>2488.47106</v>
      </c>
      <c r="I35" s="26">
        <f t="shared" si="7"/>
        <v>2209.94722</v>
      </c>
      <c r="J35" s="26">
        <f t="shared" si="7"/>
        <v>2503.49986</v>
      </c>
      <c r="K35" s="26">
        <f t="shared" si="7"/>
        <v>2155.78402</v>
      </c>
      <c r="L35" s="26">
        <f t="shared" si="7"/>
        <v>3240.78898</v>
      </c>
      <c r="M35" s="26">
        <f t="shared" si="7"/>
        <v>2124.78898</v>
      </c>
      <c r="N35" s="26">
        <f t="shared" si="7"/>
        <v>3360.50602</v>
      </c>
      <c r="O35" s="26">
        <f t="shared" si="7"/>
        <v>2390.70202</v>
      </c>
      <c r="P35" s="26">
        <f t="shared" si="7"/>
        <v>858.36427</v>
      </c>
      <c r="Q35" s="26">
        <f t="shared" si="7"/>
        <v>5125.57906</v>
      </c>
      <c r="R35" s="26">
        <f t="shared" si="7"/>
        <v>1876.78402</v>
      </c>
      <c r="S35" s="26">
        <f t="shared" si="7"/>
        <v>2919.50002</v>
      </c>
      <c r="T35" s="190"/>
      <c r="U35" s="190"/>
      <c r="V35" s="26">
        <f t="shared" ref="V35:V36" si="9">+SUM(D35:U35)</f>
        <v>40237.05295</v>
      </c>
      <c r="W35" s="27"/>
      <c r="X35" s="27"/>
      <c r="AD35" s="27"/>
      <c r="AF35" s="27"/>
      <c r="AH35" s="27"/>
    </row>
    <row r="36" ht="15.75" customHeight="1" outlineLevel="1">
      <c r="A36" s="1" t="s">
        <v>767</v>
      </c>
      <c r="B36" s="1"/>
      <c r="C36" s="1"/>
      <c r="D36" s="26">
        <f t="shared" ref="D36:S36" si="8">+D26*0.0145</f>
        <v>560.928295</v>
      </c>
      <c r="E36" s="26">
        <f t="shared" si="8"/>
        <v>438.925295</v>
      </c>
      <c r="F36" s="26">
        <f t="shared" si="8"/>
        <v>619.425935</v>
      </c>
      <c r="G36" s="26">
        <f t="shared" si="8"/>
        <v>481.42842</v>
      </c>
      <c r="H36" s="26">
        <f t="shared" si="8"/>
        <v>581.981135</v>
      </c>
      <c r="I36" s="26">
        <f t="shared" si="8"/>
        <v>516.842495</v>
      </c>
      <c r="J36" s="26">
        <f t="shared" si="8"/>
        <v>585.495935</v>
      </c>
      <c r="K36" s="26">
        <f t="shared" si="8"/>
        <v>504.175295</v>
      </c>
      <c r="L36" s="26">
        <f t="shared" si="8"/>
        <v>757.926455</v>
      </c>
      <c r="M36" s="26">
        <f t="shared" si="8"/>
        <v>496.926455</v>
      </c>
      <c r="N36" s="26">
        <f t="shared" si="8"/>
        <v>785.924795</v>
      </c>
      <c r="O36" s="26">
        <f t="shared" si="8"/>
        <v>559.115795</v>
      </c>
      <c r="P36" s="26">
        <f t="shared" si="8"/>
        <v>200.7464825</v>
      </c>
      <c r="Q36" s="26">
        <f t="shared" si="8"/>
        <v>1198.724135</v>
      </c>
      <c r="R36" s="26">
        <f t="shared" si="8"/>
        <v>438.925295</v>
      </c>
      <c r="S36" s="26">
        <f t="shared" si="8"/>
        <v>682.786295</v>
      </c>
      <c r="T36" s="190"/>
      <c r="U36" s="190"/>
      <c r="V36" s="26">
        <f t="shared" si="9"/>
        <v>9410.278513</v>
      </c>
      <c r="W36" s="27"/>
      <c r="X36" s="27"/>
      <c r="AD36" s="27"/>
      <c r="AF36" s="27"/>
      <c r="AH36" s="27"/>
    </row>
    <row r="37" ht="15.75" customHeight="1" outlineLevel="1">
      <c r="A37" s="1"/>
      <c r="B37" s="1"/>
      <c r="C37" s="1"/>
      <c r="D37" s="196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27"/>
      <c r="X37" s="27"/>
      <c r="AD37" s="27"/>
      <c r="AF37" s="27"/>
      <c r="AH37" s="27"/>
    </row>
    <row r="38" ht="15.75" customHeight="1" outlineLevel="1">
      <c r="A38" s="1" t="s">
        <v>768</v>
      </c>
      <c r="B38" s="1"/>
      <c r="C38" s="1"/>
      <c r="D38" s="26">
        <f t="shared" ref="D38:U38" si="10">+D26</f>
        <v>38684.71</v>
      </c>
      <c r="E38" s="26">
        <f t="shared" si="10"/>
        <v>30270.71</v>
      </c>
      <c r="F38" s="26">
        <f t="shared" si="10"/>
        <v>42719.03</v>
      </c>
      <c r="G38" s="26">
        <f t="shared" si="10"/>
        <v>33201.96</v>
      </c>
      <c r="H38" s="26">
        <f t="shared" si="10"/>
        <v>40136.63</v>
      </c>
      <c r="I38" s="26">
        <f t="shared" si="10"/>
        <v>35644.31</v>
      </c>
      <c r="J38" s="26">
        <f t="shared" si="10"/>
        <v>40379.03</v>
      </c>
      <c r="K38" s="26">
        <f t="shared" si="10"/>
        <v>34770.71</v>
      </c>
      <c r="L38" s="26">
        <f t="shared" si="10"/>
        <v>52270.79</v>
      </c>
      <c r="M38" s="26">
        <f t="shared" si="10"/>
        <v>34270.79</v>
      </c>
      <c r="N38" s="26">
        <f t="shared" si="10"/>
        <v>54201.71</v>
      </c>
      <c r="O38" s="26">
        <f t="shared" si="10"/>
        <v>38559.71</v>
      </c>
      <c r="P38" s="26">
        <f t="shared" si="10"/>
        <v>13844.585</v>
      </c>
      <c r="Q38" s="26">
        <f t="shared" si="10"/>
        <v>82670.63</v>
      </c>
      <c r="R38" s="26">
        <f t="shared" si="10"/>
        <v>30270.71</v>
      </c>
      <c r="S38" s="26">
        <f t="shared" si="10"/>
        <v>47088.71</v>
      </c>
      <c r="T38" s="26">
        <f t="shared" si="10"/>
        <v>12000</v>
      </c>
      <c r="U38" s="26">
        <f t="shared" si="10"/>
        <v>3905.625</v>
      </c>
      <c r="V38" s="26">
        <f>+SUM(D38:U38)</f>
        <v>664890.35</v>
      </c>
      <c r="W38" s="27"/>
      <c r="X38" s="27"/>
      <c r="AD38" s="27"/>
      <c r="AF38" s="27"/>
      <c r="AH38" s="27"/>
    </row>
    <row r="39" ht="15.75" customHeight="1" outlineLevel="1">
      <c r="A39" s="1"/>
      <c r="B39" s="1"/>
      <c r="C39" s="1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27"/>
      <c r="X39" s="27"/>
      <c r="AD39" s="27"/>
      <c r="AF39" s="27"/>
      <c r="AH39" s="27"/>
    </row>
    <row r="40" ht="15.75" customHeight="1" outlineLevel="1">
      <c r="A40" s="1" t="s">
        <v>126</v>
      </c>
      <c r="B40" s="1"/>
      <c r="C40" s="1"/>
      <c r="D40" s="26">
        <f t="shared" ref="D40:U40" si="11">+D28+D30+D33</f>
        <v>7628.28</v>
      </c>
      <c r="E40" s="26">
        <f t="shared" si="11"/>
        <v>7435.8</v>
      </c>
      <c r="F40" s="26">
        <f t="shared" si="11"/>
        <v>7809.24</v>
      </c>
      <c r="G40" s="26">
        <f t="shared" si="11"/>
        <v>7473.72</v>
      </c>
      <c r="H40" s="26">
        <f t="shared" si="11"/>
        <v>6535.8</v>
      </c>
      <c r="I40" s="26">
        <f t="shared" si="11"/>
        <v>7597.08</v>
      </c>
      <c r="J40" s="26">
        <f t="shared" si="11"/>
        <v>7739.16</v>
      </c>
      <c r="K40" s="26">
        <f t="shared" si="11"/>
        <v>6535.8</v>
      </c>
      <c r="L40" s="26">
        <f t="shared" si="11"/>
        <v>8095.8</v>
      </c>
      <c r="M40" s="26">
        <f t="shared" si="11"/>
        <v>7215.72</v>
      </c>
      <c r="N40" s="26">
        <f t="shared" si="11"/>
        <v>8065.8</v>
      </c>
      <c r="O40" s="26">
        <f t="shared" si="11"/>
        <v>7709.88</v>
      </c>
      <c r="P40" s="26">
        <f t="shared" si="11"/>
        <v>6535.8</v>
      </c>
      <c r="Q40" s="26">
        <f t="shared" si="11"/>
        <v>8935.8</v>
      </c>
      <c r="R40" s="26">
        <f t="shared" si="11"/>
        <v>7435.8</v>
      </c>
      <c r="S40" s="26">
        <f t="shared" si="11"/>
        <v>7940.28</v>
      </c>
      <c r="T40" s="26">
        <f t="shared" si="11"/>
        <v>0</v>
      </c>
      <c r="U40" s="26">
        <f t="shared" si="11"/>
        <v>0</v>
      </c>
      <c r="V40" s="26">
        <f>+SUM(D40:U40)</f>
        <v>120689.76</v>
      </c>
      <c r="W40" s="27"/>
      <c r="X40" s="27"/>
      <c r="AD40" s="27"/>
      <c r="AF40" s="27"/>
      <c r="AH40" s="27"/>
    </row>
    <row r="41" ht="15.75" customHeight="1" outlineLevel="1">
      <c r="A41" s="1"/>
      <c r="B41" s="1"/>
      <c r="C41" s="1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27"/>
      <c r="X41" s="27"/>
      <c r="AD41" s="27"/>
      <c r="AF41" s="27"/>
      <c r="AH41" s="27"/>
    </row>
    <row r="42" ht="15.75" customHeight="1" outlineLevel="1">
      <c r="A42" s="136" t="s">
        <v>131</v>
      </c>
      <c r="B42" s="21"/>
      <c r="C42" s="21"/>
      <c r="D42" s="197">
        <f t="shared" ref="D42:U42" si="12">+D35+D36</f>
        <v>2959.380315</v>
      </c>
      <c r="E42" s="197">
        <f t="shared" si="12"/>
        <v>2315.709315</v>
      </c>
      <c r="F42" s="197">
        <f t="shared" si="12"/>
        <v>3268.005795</v>
      </c>
      <c r="G42" s="197">
        <f t="shared" si="12"/>
        <v>2539.94994</v>
      </c>
      <c r="H42" s="197">
        <f t="shared" si="12"/>
        <v>3070.452195</v>
      </c>
      <c r="I42" s="197">
        <f t="shared" si="12"/>
        <v>2726.789715</v>
      </c>
      <c r="J42" s="197">
        <f t="shared" si="12"/>
        <v>3088.995795</v>
      </c>
      <c r="K42" s="197">
        <f t="shared" si="12"/>
        <v>2659.959315</v>
      </c>
      <c r="L42" s="197">
        <f t="shared" si="12"/>
        <v>3998.715435</v>
      </c>
      <c r="M42" s="197">
        <f t="shared" si="12"/>
        <v>2621.715435</v>
      </c>
      <c r="N42" s="197">
        <f t="shared" si="12"/>
        <v>4146.430815</v>
      </c>
      <c r="O42" s="197">
        <f t="shared" si="12"/>
        <v>2949.817815</v>
      </c>
      <c r="P42" s="197">
        <f t="shared" si="12"/>
        <v>1059.110753</v>
      </c>
      <c r="Q42" s="197">
        <f t="shared" si="12"/>
        <v>6324.303195</v>
      </c>
      <c r="R42" s="197">
        <f t="shared" si="12"/>
        <v>2315.709315</v>
      </c>
      <c r="S42" s="197">
        <f t="shared" si="12"/>
        <v>3602.286315</v>
      </c>
      <c r="T42" s="197">
        <f t="shared" si="12"/>
        <v>0</v>
      </c>
      <c r="U42" s="197">
        <f t="shared" si="12"/>
        <v>0</v>
      </c>
      <c r="V42" s="197">
        <f>+SUM(D42:U42)</f>
        <v>49647.33146</v>
      </c>
      <c r="W42" s="27"/>
      <c r="X42" s="27"/>
      <c r="AD42" s="27"/>
      <c r="AF42" s="27"/>
      <c r="AH42" s="27"/>
    </row>
    <row r="43" ht="15.75" customHeight="1" outlineLevel="1">
      <c r="B43" s="1"/>
      <c r="C43" s="1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27"/>
      <c r="X43" s="27"/>
      <c r="AD43" s="27"/>
      <c r="AF43" s="27"/>
      <c r="AH43" s="27"/>
    </row>
    <row r="44" ht="15.75" customHeight="1" outlineLevel="1">
      <c r="A44" s="8" t="s">
        <v>769</v>
      </c>
      <c r="B44" s="1"/>
      <c r="C44" s="1"/>
      <c r="D44" s="26">
        <f t="shared" ref="D44:U44" si="13">+D26*1.02</f>
        <v>39458.4042</v>
      </c>
      <c r="E44" s="26">
        <f t="shared" si="13"/>
        <v>30876.1242</v>
      </c>
      <c r="F44" s="26">
        <f t="shared" si="13"/>
        <v>43573.4106</v>
      </c>
      <c r="G44" s="26">
        <f t="shared" si="13"/>
        <v>33865.9992</v>
      </c>
      <c r="H44" s="26">
        <f t="shared" si="13"/>
        <v>40939.3626</v>
      </c>
      <c r="I44" s="26">
        <f t="shared" si="13"/>
        <v>36357.1962</v>
      </c>
      <c r="J44" s="26">
        <f t="shared" si="13"/>
        <v>41186.6106</v>
      </c>
      <c r="K44" s="26">
        <f t="shared" si="13"/>
        <v>35466.1242</v>
      </c>
      <c r="L44" s="26">
        <f t="shared" si="13"/>
        <v>53316.2058</v>
      </c>
      <c r="M44" s="26">
        <f t="shared" si="13"/>
        <v>34956.2058</v>
      </c>
      <c r="N44" s="26">
        <f t="shared" si="13"/>
        <v>55285.7442</v>
      </c>
      <c r="O44" s="26">
        <f t="shared" si="13"/>
        <v>39330.9042</v>
      </c>
      <c r="P44" s="26">
        <f t="shared" si="13"/>
        <v>14121.4767</v>
      </c>
      <c r="Q44" s="26">
        <f t="shared" si="13"/>
        <v>84324.0426</v>
      </c>
      <c r="R44" s="26">
        <f t="shared" si="13"/>
        <v>30876.1242</v>
      </c>
      <c r="S44" s="26">
        <f t="shared" si="13"/>
        <v>48030.4842</v>
      </c>
      <c r="T44" s="26">
        <f t="shared" si="13"/>
        <v>12240</v>
      </c>
      <c r="U44" s="26">
        <f t="shared" si="13"/>
        <v>3983.7375</v>
      </c>
      <c r="V44" s="26">
        <f>+SUM(D44:U44)</f>
        <v>678188.157</v>
      </c>
      <c r="W44" s="27"/>
      <c r="X44" s="27"/>
      <c r="AD44" s="27"/>
      <c r="AF44" s="27"/>
      <c r="AH44" s="27"/>
    </row>
    <row r="45" ht="15.75" customHeight="1" outlineLevel="1">
      <c r="B45" s="1"/>
      <c r="C45" s="1"/>
      <c r="W45" s="27"/>
      <c r="X45" s="27"/>
      <c r="AD45" s="27"/>
      <c r="AF45" s="27"/>
      <c r="AH45" s="27"/>
    </row>
    <row r="46" ht="15.75" customHeight="1" outlineLevel="1">
      <c r="A46" s="8" t="s">
        <v>770</v>
      </c>
      <c r="B46" s="1"/>
      <c r="C46" s="1"/>
      <c r="D46" s="26">
        <f t="shared" ref="D46:U46" si="14">+D40*1.04</f>
        <v>7933.4112</v>
      </c>
      <c r="E46" s="26">
        <f t="shared" si="14"/>
        <v>7733.232</v>
      </c>
      <c r="F46" s="26">
        <f t="shared" si="14"/>
        <v>8121.6096</v>
      </c>
      <c r="G46" s="26">
        <f t="shared" si="14"/>
        <v>7772.6688</v>
      </c>
      <c r="H46" s="26">
        <f t="shared" si="14"/>
        <v>6797.232</v>
      </c>
      <c r="I46" s="26">
        <f t="shared" si="14"/>
        <v>7900.9632</v>
      </c>
      <c r="J46" s="26">
        <f t="shared" si="14"/>
        <v>8048.7264</v>
      </c>
      <c r="K46" s="26">
        <f t="shared" si="14"/>
        <v>6797.232</v>
      </c>
      <c r="L46" s="26">
        <f t="shared" si="14"/>
        <v>8419.632</v>
      </c>
      <c r="M46" s="26">
        <f t="shared" si="14"/>
        <v>7504.3488</v>
      </c>
      <c r="N46" s="26">
        <f t="shared" si="14"/>
        <v>8388.432</v>
      </c>
      <c r="O46" s="26">
        <f t="shared" si="14"/>
        <v>8018.2752</v>
      </c>
      <c r="P46" s="26">
        <f t="shared" si="14"/>
        <v>6797.232</v>
      </c>
      <c r="Q46" s="26">
        <f t="shared" si="14"/>
        <v>9293.232</v>
      </c>
      <c r="R46" s="26">
        <f t="shared" si="14"/>
        <v>7733.232</v>
      </c>
      <c r="S46" s="26">
        <f t="shared" si="14"/>
        <v>8257.8912</v>
      </c>
      <c r="T46" s="26">
        <f t="shared" si="14"/>
        <v>0</v>
      </c>
      <c r="U46" s="26">
        <f t="shared" si="14"/>
        <v>0</v>
      </c>
      <c r="V46" s="26">
        <f>+SUM(D46:U46)</f>
        <v>125517.3504</v>
      </c>
      <c r="W46" s="27"/>
      <c r="X46" s="27"/>
      <c r="AD46" s="27"/>
      <c r="AF46" s="27"/>
      <c r="AH46" s="27"/>
    </row>
    <row r="47" ht="15.75" customHeight="1" outlineLevel="1">
      <c r="B47" s="1"/>
      <c r="C47" s="1"/>
      <c r="W47" s="27"/>
      <c r="X47" s="27"/>
      <c r="AD47" s="27"/>
      <c r="AF47" s="27"/>
      <c r="AH47" s="27"/>
    </row>
    <row r="48" ht="15.75" customHeight="1" outlineLevel="1">
      <c r="A48" s="8" t="s">
        <v>131</v>
      </c>
      <c r="B48" s="1"/>
      <c r="C48" s="1"/>
      <c r="D48" s="26">
        <f t="shared" ref="D48:U48" si="15">+D42*1.02</f>
        <v>3018.567921</v>
      </c>
      <c r="E48" s="26">
        <f t="shared" si="15"/>
        <v>2362.023501</v>
      </c>
      <c r="F48" s="26">
        <f t="shared" si="15"/>
        <v>3333.365911</v>
      </c>
      <c r="G48" s="26">
        <f t="shared" si="15"/>
        <v>2590.748939</v>
      </c>
      <c r="H48" s="26">
        <f t="shared" si="15"/>
        <v>3131.861239</v>
      </c>
      <c r="I48" s="26">
        <f t="shared" si="15"/>
        <v>2781.325509</v>
      </c>
      <c r="J48" s="26">
        <f t="shared" si="15"/>
        <v>3150.775711</v>
      </c>
      <c r="K48" s="26">
        <f t="shared" si="15"/>
        <v>2713.158501</v>
      </c>
      <c r="L48" s="26">
        <f t="shared" si="15"/>
        <v>4078.689744</v>
      </c>
      <c r="M48" s="26">
        <f t="shared" si="15"/>
        <v>2674.149744</v>
      </c>
      <c r="N48" s="26">
        <f t="shared" si="15"/>
        <v>4229.359431</v>
      </c>
      <c r="O48" s="26">
        <f t="shared" si="15"/>
        <v>3008.814171</v>
      </c>
      <c r="P48" s="26">
        <f t="shared" si="15"/>
        <v>1080.292968</v>
      </c>
      <c r="Q48" s="26">
        <f t="shared" si="15"/>
        <v>6450.789259</v>
      </c>
      <c r="R48" s="26">
        <f t="shared" si="15"/>
        <v>2362.023501</v>
      </c>
      <c r="S48" s="26">
        <f t="shared" si="15"/>
        <v>3674.332041</v>
      </c>
      <c r="T48" s="26">
        <f t="shared" si="15"/>
        <v>0</v>
      </c>
      <c r="U48" s="26">
        <f t="shared" si="15"/>
        <v>0</v>
      </c>
      <c r="V48" s="26">
        <f>+SUM(D48:U48)</f>
        <v>50640.27809</v>
      </c>
      <c r="W48" s="27"/>
      <c r="X48" s="27"/>
      <c r="AD48" s="27"/>
      <c r="AF48" s="27"/>
      <c r="AH48" s="27"/>
    </row>
    <row r="49" ht="15.75" customHeight="1" outlineLevel="1">
      <c r="B49" s="1"/>
      <c r="C49" s="1"/>
      <c r="W49" s="27"/>
      <c r="X49" s="27"/>
      <c r="AD49" s="27"/>
      <c r="AF49" s="27"/>
      <c r="AH49" s="27"/>
    </row>
    <row r="50" ht="15.75" customHeight="1" outlineLevel="1">
      <c r="B50" s="1"/>
      <c r="C50" s="1"/>
      <c r="W50" s="27"/>
      <c r="X50" s="27"/>
      <c r="AD50" s="27"/>
      <c r="AF50" s="27"/>
      <c r="AH50" s="27"/>
    </row>
    <row r="51" ht="15.75" customHeight="1" outlineLevel="1">
      <c r="A51" s="50" t="s">
        <v>771</v>
      </c>
      <c r="B51" s="1"/>
      <c r="C51" s="1"/>
      <c r="W51" s="27"/>
      <c r="X51" s="27"/>
      <c r="AD51" s="27"/>
      <c r="AF51" s="27"/>
      <c r="AH51" s="27"/>
    </row>
    <row r="52" ht="15.75" customHeight="1" outlineLevel="1">
      <c r="A52" s="184" t="s">
        <v>739</v>
      </c>
      <c r="B52" s="185" t="s">
        <v>740</v>
      </c>
      <c r="C52" s="186"/>
      <c r="D52" s="187" t="s">
        <v>741</v>
      </c>
      <c r="E52" s="187" t="s">
        <v>742</v>
      </c>
      <c r="F52" s="187" t="s">
        <v>743</v>
      </c>
      <c r="G52" s="187" t="s">
        <v>744</v>
      </c>
      <c r="H52" s="187" t="s">
        <v>745</v>
      </c>
      <c r="I52" s="187" t="s">
        <v>746</v>
      </c>
      <c r="J52" s="187" t="s">
        <v>747</v>
      </c>
      <c r="K52" s="187" t="s">
        <v>748</v>
      </c>
      <c r="L52" s="187" t="s">
        <v>749</v>
      </c>
      <c r="M52" s="187" t="s">
        <v>750</v>
      </c>
      <c r="N52" s="187" t="s">
        <v>751</v>
      </c>
      <c r="O52" s="187" t="s">
        <v>752</v>
      </c>
      <c r="P52" s="187" t="s">
        <v>753</v>
      </c>
      <c r="Q52" s="187" t="s">
        <v>754</v>
      </c>
      <c r="R52" s="187" t="s">
        <v>755</v>
      </c>
      <c r="S52" s="187" t="s">
        <v>756</v>
      </c>
      <c r="T52" s="187" t="s">
        <v>757</v>
      </c>
      <c r="U52" s="187" t="s">
        <v>758</v>
      </c>
      <c r="V52" s="188" t="s">
        <v>759</v>
      </c>
      <c r="W52" s="27"/>
      <c r="X52" s="27"/>
      <c r="AD52" s="27"/>
      <c r="AF52" s="27"/>
      <c r="AH52" s="27"/>
    </row>
    <row r="53" ht="15.75" customHeight="1" outlineLevel="1">
      <c r="A53" s="1" t="s">
        <v>376</v>
      </c>
      <c r="B53" s="189" t="s">
        <v>375</v>
      </c>
      <c r="C53" s="1"/>
      <c r="D53" s="26">
        <f t="shared" ref="D53:U53" si="16">+D5*1.02</f>
        <v>0</v>
      </c>
      <c r="E53" s="26">
        <f t="shared" si="16"/>
        <v>0</v>
      </c>
      <c r="F53" s="26">
        <f t="shared" si="16"/>
        <v>0</v>
      </c>
      <c r="G53" s="26">
        <f t="shared" si="16"/>
        <v>0</v>
      </c>
      <c r="H53" s="26">
        <f t="shared" si="16"/>
        <v>0</v>
      </c>
      <c r="I53" s="26">
        <f t="shared" si="16"/>
        <v>0</v>
      </c>
      <c r="J53" s="26">
        <f t="shared" si="16"/>
        <v>0</v>
      </c>
      <c r="K53" s="26">
        <f t="shared" si="16"/>
        <v>0</v>
      </c>
      <c r="L53" s="26">
        <f t="shared" si="16"/>
        <v>0</v>
      </c>
      <c r="M53" s="26">
        <f t="shared" si="16"/>
        <v>0</v>
      </c>
      <c r="N53" s="26">
        <f t="shared" si="16"/>
        <v>0</v>
      </c>
      <c r="O53" s="26">
        <f t="shared" si="16"/>
        <v>0</v>
      </c>
      <c r="P53" s="26">
        <f t="shared" si="16"/>
        <v>0</v>
      </c>
      <c r="Q53" s="26">
        <f t="shared" si="16"/>
        <v>0</v>
      </c>
      <c r="R53" s="26">
        <f t="shared" si="16"/>
        <v>0</v>
      </c>
      <c r="S53" s="26">
        <f t="shared" si="16"/>
        <v>0</v>
      </c>
      <c r="T53" s="26">
        <f t="shared" si="16"/>
        <v>0</v>
      </c>
      <c r="U53" s="26">
        <f t="shared" si="16"/>
        <v>3983.7375</v>
      </c>
      <c r="V53" s="26">
        <f t="shared" ref="V53:V73" si="18">SUM(D53:U53)</f>
        <v>3983.7375</v>
      </c>
      <c r="W53" s="27"/>
      <c r="X53" s="27"/>
      <c r="AD53" s="27"/>
      <c r="AF53" s="27"/>
      <c r="AH53" s="27"/>
    </row>
    <row r="54" ht="15.75" customHeight="1" outlineLevel="1">
      <c r="A54" s="1" t="s">
        <v>378</v>
      </c>
      <c r="B54" s="189" t="s">
        <v>377</v>
      </c>
      <c r="C54" s="1"/>
      <c r="D54" s="26">
        <f t="shared" ref="D54:U54" si="17">+D6*1.02</f>
        <v>0</v>
      </c>
      <c r="E54" s="26">
        <f t="shared" si="17"/>
        <v>0</v>
      </c>
      <c r="F54" s="26">
        <f t="shared" si="17"/>
        <v>0</v>
      </c>
      <c r="G54" s="26">
        <f t="shared" si="17"/>
        <v>0</v>
      </c>
      <c r="H54" s="26">
        <f t="shared" si="17"/>
        <v>0</v>
      </c>
      <c r="I54" s="26">
        <f t="shared" si="17"/>
        <v>0</v>
      </c>
      <c r="J54" s="26">
        <f t="shared" si="17"/>
        <v>0</v>
      </c>
      <c r="K54" s="26">
        <f t="shared" si="17"/>
        <v>0</v>
      </c>
      <c r="L54" s="26">
        <f t="shared" si="17"/>
        <v>0</v>
      </c>
      <c r="M54" s="26">
        <f t="shared" si="17"/>
        <v>0</v>
      </c>
      <c r="N54" s="26">
        <f t="shared" si="17"/>
        <v>0</v>
      </c>
      <c r="O54" s="26">
        <f t="shared" si="17"/>
        <v>0</v>
      </c>
      <c r="P54" s="26">
        <f t="shared" si="17"/>
        <v>0</v>
      </c>
      <c r="Q54" s="26">
        <f t="shared" si="17"/>
        <v>0</v>
      </c>
      <c r="R54" s="26">
        <f t="shared" si="17"/>
        <v>0</v>
      </c>
      <c r="S54" s="26">
        <f t="shared" si="17"/>
        <v>0</v>
      </c>
      <c r="T54" s="26">
        <f t="shared" si="17"/>
        <v>12240</v>
      </c>
      <c r="U54" s="26">
        <f t="shared" si="17"/>
        <v>0</v>
      </c>
      <c r="V54" s="26">
        <f t="shared" si="18"/>
        <v>12240</v>
      </c>
      <c r="W54" s="27"/>
      <c r="X54" s="27"/>
      <c r="AD54" s="27"/>
      <c r="AF54" s="27"/>
      <c r="AH54" s="27"/>
    </row>
    <row r="55" ht="15.75" customHeight="1" outlineLevel="1">
      <c r="A55" s="1" t="s">
        <v>380</v>
      </c>
      <c r="B55" s="189" t="s">
        <v>379</v>
      </c>
      <c r="C55" s="1"/>
      <c r="D55" s="26">
        <f t="shared" ref="D55:U55" si="19">+D7*1.02</f>
        <v>0</v>
      </c>
      <c r="E55" s="26">
        <f t="shared" si="19"/>
        <v>0</v>
      </c>
      <c r="F55" s="26">
        <f t="shared" si="19"/>
        <v>0</v>
      </c>
      <c r="G55" s="26">
        <f t="shared" si="19"/>
        <v>0</v>
      </c>
      <c r="H55" s="26">
        <f t="shared" si="19"/>
        <v>0</v>
      </c>
      <c r="I55" s="26">
        <f t="shared" si="19"/>
        <v>0</v>
      </c>
      <c r="J55" s="26">
        <f t="shared" si="19"/>
        <v>0</v>
      </c>
      <c r="K55" s="26">
        <f t="shared" si="19"/>
        <v>0</v>
      </c>
      <c r="L55" s="26">
        <f t="shared" si="19"/>
        <v>0</v>
      </c>
      <c r="M55" s="26">
        <f t="shared" si="19"/>
        <v>0</v>
      </c>
      <c r="N55" s="26">
        <f t="shared" si="19"/>
        <v>0</v>
      </c>
      <c r="O55" s="26">
        <f t="shared" si="19"/>
        <v>0</v>
      </c>
      <c r="P55" s="26">
        <f t="shared" si="19"/>
        <v>0</v>
      </c>
      <c r="Q55" s="26">
        <f t="shared" si="19"/>
        <v>0</v>
      </c>
      <c r="R55" s="26">
        <f t="shared" si="19"/>
        <v>0</v>
      </c>
      <c r="S55" s="26">
        <f t="shared" si="19"/>
        <v>0</v>
      </c>
      <c r="T55" s="26">
        <f t="shared" si="19"/>
        <v>0</v>
      </c>
      <c r="U55" s="26">
        <f t="shared" si="19"/>
        <v>0</v>
      </c>
      <c r="V55" s="26">
        <f t="shared" si="18"/>
        <v>0</v>
      </c>
      <c r="W55" s="27"/>
      <c r="X55" s="27"/>
      <c r="AD55" s="27"/>
      <c r="AF55" s="27"/>
      <c r="AH55" s="27"/>
    </row>
    <row r="56" ht="15.75" customHeight="1" outlineLevel="1">
      <c r="A56" s="1" t="s">
        <v>382</v>
      </c>
      <c r="B56" s="189" t="s">
        <v>381</v>
      </c>
      <c r="C56" s="1"/>
      <c r="D56" s="26">
        <f t="shared" ref="D56:U56" si="20">+D8*1.02</f>
        <v>0</v>
      </c>
      <c r="E56" s="26">
        <f t="shared" si="20"/>
        <v>0</v>
      </c>
      <c r="F56" s="26">
        <f t="shared" si="20"/>
        <v>0</v>
      </c>
      <c r="G56" s="26">
        <f t="shared" si="20"/>
        <v>0</v>
      </c>
      <c r="H56" s="26">
        <f t="shared" si="20"/>
        <v>0</v>
      </c>
      <c r="I56" s="26">
        <f t="shared" si="20"/>
        <v>0</v>
      </c>
      <c r="J56" s="26">
        <f t="shared" si="20"/>
        <v>0</v>
      </c>
      <c r="K56" s="26">
        <f t="shared" si="20"/>
        <v>0</v>
      </c>
      <c r="L56" s="26">
        <f t="shared" si="20"/>
        <v>0</v>
      </c>
      <c r="M56" s="26">
        <f t="shared" si="20"/>
        <v>0</v>
      </c>
      <c r="N56" s="26">
        <f t="shared" si="20"/>
        <v>0</v>
      </c>
      <c r="O56" s="26">
        <f t="shared" si="20"/>
        <v>0</v>
      </c>
      <c r="P56" s="26">
        <f t="shared" si="20"/>
        <v>0</v>
      </c>
      <c r="Q56" s="26">
        <f t="shared" si="20"/>
        <v>0</v>
      </c>
      <c r="R56" s="26">
        <f t="shared" si="20"/>
        <v>0</v>
      </c>
      <c r="S56" s="26">
        <f t="shared" si="20"/>
        <v>0</v>
      </c>
      <c r="T56" s="26">
        <f t="shared" si="20"/>
        <v>0</v>
      </c>
      <c r="U56" s="26">
        <f t="shared" si="20"/>
        <v>0</v>
      </c>
      <c r="V56" s="26">
        <f t="shared" si="18"/>
        <v>0</v>
      </c>
      <c r="W56" s="27"/>
      <c r="X56" s="27"/>
      <c r="AD56" s="27"/>
      <c r="AF56" s="27"/>
      <c r="AH56" s="27"/>
    </row>
    <row r="57" ht="15.75" customHeight="1" outlineLevel="1">
      <c r="A57" s="1" t="s">
        <v>384</v>
      </c>
      <c r="B57" s="189" t="s">
        <v>383</v>
      </c>
      <c r="C57" s="1"/>
      <c r="D57" s="26">
        <f t="shared" ref="D57:U57" si="21">+D9*1.02</f>
        <v>37142.28</v>
      </c>
      <c r="E57" s="26">
        <f t="shared" si="21"/>
        <v>30600</v>
      </c>
      <c r="F57" s="26">
        <f t="shared" si="21"/>
        <v>0</v>
      </c>
      <c r="G57" s="26">
        <f t="shared" si="21"/>
        <v>30600</v>
      </c>
      <c r="H57" s="26">
        <f t="shared" si="21"/>
        <v>40663.2384</v>
      </c>
      <c r="I57" s="26">
        <f t="shared" si="21"/>
        <v>0</v>
      </c>
      <c r="J57" s="26">
        <f t="shared" si="21"/>
        <v>40910.4864</v>
      </c>
      <c r="K57" s="26">
        <f t="shared" si="21"/>
        <v>30600</v>
      </c>
      <c r="L57" s="26">
        <f t="shared" si="21"/>
        <v>0</v>
      </c>
      <c r="M57" s="26">
        <f t="shared" si="21"/>
        <v>34680.0816</v>
      </c>
      <c r="N57" s="26">
        <f t="shared" si="21"/>
        <v>0</v>
      </c>
      <c r="O57" s="26">
        <f t="shared" si="21"/>
        <v>31169.16</v>
      </c>
      <c r="P57" s="26">
        <f t="shared" si="21"/>
        <v>0</v>
      </c>
      <c r="Q57" s="26">
        <f t="shared" si="21"/>
        <v>0</v>
      </c>
      <c r="R57" s="26">
        <f t="shared" si="21"/>
        <v>30600</v>
      </c>
      <c r="S57" s="26">
        <f t="shared" si="21"/>
        <v>0</v>
      </c>
      <c r="T57" s="26">
        <f t="shared" si="21"/>
        <v>0</v>
      </c>
      <c r="U57" s="26">
        <f t="shared" si="21"/>
        <v>0</v>
      </c>
      <c r="V57" s="26">
        <f t="shared" si="18"/>
        <v>306965.2464</v>
      </c>
      <c r="W57" s="27"/>
      <c r="X57" s="27"/>
      <c r="AD57" s="27"/>
      <c r="AF57" s="27"/>
      <c r="AH57" s="27"/>
    </row>
    <row r="58" ht="15.75" customHeight="1" outlineLevel="1">
      <c r="A58" s="1" t="s">
        <v>386</v>
      </c>
      <c r="B58" s="189" t="s">
        <v>385</v>
      </c>
      <c r="C58" s="1"/>
      <c r="D58" s="26">
        <f t="shared" ref="D58:U58" si="22">+D10*1.02</f>
        <v>0</v>
      </c>
      <c r="E58" s="26">
        <f t="shared" si="22"/>
        <v>0</v>
      </c>
      <c r="F58" s="26">
        <f t="shared" si="22"/>
        <v>0</v>
      </c>
      <c r="G58" s="26">
        <f t="shared" si="22"/>
        <v>0</v>
      </c>
      <c r="H58" s="26">
        <f t="shared" si="22"/>
        <v>0</v>
      </c>
      <c r="I58" s="26">
        <f t="shared" si="22"/>
        <v>0</v>
      </c>
      <c r="J58" s="26">
        <f t="shared" si="22"/>
        <v>0</v>
      </c>
      <c r="K58" s="26">
        <f t="shared" si="22"/>
        <v>0</v>
      </c>
      <c r="L58" s="26">
        <f t="shared" si="22"/>
        <v>0</v>
      </c>
      <c r="M58" s="26">
        <f t="shared" si="22"/>
        <v>0</v>
      </c>
      <c r="N58" s="26">
        <f t="shared" si="22"/>
        <v>0</v>
      </c>
      <c r="O58" s="26">
        <f t="shared" si="22"/>
        <v>0</v>
      </c>
      <c r="P58" s="26">
        <f t="shared" si="22"/>
        <v>13845.3525</v>
      </c>
      <c r="Q58" s="26">
        <f t="shared" si="22"/>
        <v>0</v>
      </c>
      <c r="R58" s="26">
        <f t="shared" si="22"/>
        <v>0</v>
      </c>
      <c r="S58" s="26">
        <f t="shared" si="22"/>
        <v>0</v>
      </c>
      <c r="T58" s="26">
        <f t="shared" si="22"/>
        <v>0</v>
      </c>
      <c r="U58" s="26">
        <f t="shared" si="22"/>
        <v>0</v>
      </c>
      <c r="V58" s="26">
        <f t="shared" si="18"/>
        <v>13845.3525</v>
      </c>
      <c r="W58" s="27"/>
      <c r="X58" s="27"/>
      <c r="AD58" s="27"/>
      <c r="AF58" s="27"/>
      <c r="AH58" s="27"/>
    </row>
    <row r="59" ht="15.75" customHeight="1" outlineLevel="1">
      <c r="A59" s="1" t="s">
        <v>388</v>
      </c>
      <c r="B59" s="189" t="s">
        <v>387</v>
      </c>
      <c r="C59" s="1"/>
      <c r="D59" s="26">
        <f t="shared" ref="D59:U59" si="23">+D11*1.02</f>
        <v>0</v>
      </c>
      <c r="E59" s="26">
        <f t="shared" si="23"/>
        <v>0</v>
      </c>
      <c r="F59" s="26">
        <f t="shared" si="23"/>
        <v>0</v>
      </c>
      <c r="G59" s="26">
        <f t="shared" si="23"/>
        <v>0</v>
      </c>
      <c r="H59" s="26">
        <f t="shared" si="23"/>
        <v>0</v>
      </c>
      <c r="I59" s="26">
        <f t="shared" si="23"/>
        <v>0</v>
      </c>
      <c r="J59" s="26">
        <f t="shared" si="23"/>
        <v>0</v>
      </c>
      <c r="K59" s="26">
        <f t="shared" si="23"/>
        <v>0</v>
      </c>
      <c r="L59" s="26">
        <f t="shared" si="23"/>
        <v>0</v>
      </c>
      <c r="M59" s="26">
        <f t="shared" si="23"/>
        <v>0</v>
      </c>
      <c r="N59" s="26">
        <f t="shared" si="23"/>
        <v>0</v>
      </c>
      <c r="O59" s="26">
        <f t="shared" si="23"/>
        <v>0</v>
      </c>
      <c r="P59" s="26">
        <f t="shared" si="23"/>
        <v>0</v>
      </c>
      <c r="Q59" s="26">
        <f t="shared" si="23"/>
        <v>0</v>
      </c>
      <c r="R59" s="26">
        <f t="shared" si="23"/>
        <v>0</v>
      </c>
      <c r="S59" s="26">
        <f t="shared" si="23"/>
        <v>0</v>
      </c>
      <c r="T59" s="26">
        <f t="shared" si="23"/>
        <v>0</v>
      </c>
      <c r="U59" s="26">
        <f t="shared" si="23"/>
        <v>0</v>
      </c>
      <c r="V59" s="26">
        <f t="shared" si="18"/>
        <v>0</v>
      </c>
      <c r="W59" s="27"/>
      <c r="X59" s="27"/>
      <c r="AD59" s="27"/>
      <c r="AF59" s="27"/>
      <c r="AH59" s="27"/>
    </row>
    <row r="60" ht="15.75" customHeight="1" outlineLevel="1">
      <c r="A60" s="1" t="s">
        <v>390</v>
      </c>
      <c r="B60" s="189" t="s">
        <v>389</v>
      </c>
      <c r="C60" s="1"/>
      <c r="D60" s="26">
        <f t="shared" ref="D60:U60" si="24">+D12*1.02</f>
        <v>0</v>
      </c>
      <c r="E60" s="26">
        <f t="shared" si="24"/>
        <v>0</v>
      </c>
      <c r="F60" s="26">
        <f t="shared" si="24"/>
        <v>43297.2864</v>
      </c>
      <c r="G60" s="26">
        <f t="shared" si="24"/>
        <v>0</v>
      </c>
      <c r="H60" s="26">
        <f t="shared" si="24"/>
        <v>0</v>
      </c>
      <c r="I60" s="26">
        <f t="shared" si="24"/>
        <v>36081.072</v>
      </c>
      <c r="J60" s="26">
        <f t="shared" si="24"/>
        <v>0</v>
      </c>
      <c r="K60" s="26">
        <f t="shared" si="24"/>
        <v>0</v>
      </c>
      <c r="L60" s="26">
        <f t="shared" si="24"/>
        <v>53040.0816</v>
      </c>
      <c r="M60" s="26">
        <f t="shared" si="24"/>
        <v>0</v>
      </c>
      <c r="N60" s="26">
        <f t="shared" si="24"/>
        <v>52020</v>
      </c>
      <c r="O60" s="26">
        <f t="shared" si="24"/>
        <v>0</v>
      </c>
      <c r="P60" s="26">
        <f t="shared" si="24"/>
        <v>0</v>
      </c>
      <c r="Q60" s="26">
        <f t="shared" si="24"/>
        <v>78539.9184</v>
      </c>
      <c r="R60" s="26">
        <f t="shared" si="24"/>
        <v>0</v>
      </c>
      <c r="S60" s="26">
        <f t="shared" si="24"/>
        <v>0</v>
      </c>
      <c r="T60" s="26">
        <f t="shared" si="24"/>
        <v>0</v>
      </c>
      <c r="U60" s="26">
        <f t="shared" si="24"/>
        <v>0</v>
      </c>
      <c r="V60" s="26">
        <f t="shared" si="18"/>
        <v>262978.3584</v>
      </c>
      <c r="W60" s="27"/>
      <c r="X60" s="27"/>
      <c r="AD60" s="27"/>
      <c r="AF60" s="27"/>
      <c r="AH60" s="27"/>
    </row>
    <row r="61" ht="15.75" customHeight="1" outlineLevel="1">
      <c r="A61" s="1" t="s">
        <v>392</v>
      </c>
      <c r="B61" s="189" t="s">
        <v>391</v>
      </c>
      <c r="C61" s="1"/>
      <c r="D61" s="26">
        <f t="shared" ref="D61:U61" si="25">+D13*1.02</f>
        <v>0</v>
      </c>
      <c r="E61" s="26">
        <f t="shared" si="25"/>
        <v>0</v>
      </c>
      <c r="F61" s="26">
        <f t="shared" si="25"/>
        <v>0</v>
      </c>
      <c r="G61" s="26">
        <f t="shared" si="25"/>
        <v>0</v>
      </c>
      <c r="H61" s="26">
        <f t="shared" si="25"/>
        <v>0</v>
      </c>
      <c r="I61" s="26">
        <f t="shared" si="25"/>
        <v>0</v>
      </c>
      <c r="J61" s="26">
        <f t="shared" si="25"/>
        <v>0</v>
      </c>
      <c r="K61" s="26">
        <f t="shared" si="25"/>
        <v>0</v>
      </c>
      <c r="L61" s="26">
        <f t="shared" si="25"/>
        <v>0</v>
      </c>
      <c r="M61" s="26">
        <f t="shared" si="25"/>
        <v>0</v>
      </c>
      <c r="N61" s="26">
        <f t="shared" si="25"/>
        <v>0</v>
      </c>
      <c r="O61" s="26">
        <f t="shared" si="25"/>
        <v>0</v>
      </c>
      <c r="P61" s="26">
        <f t="shared" si="25"/>
        <v>0</v>
      </c>
      <c r="Q61" s="26">
        <f t="shared" si="25"/>
        <v>0</v>
      </c>
      <c r="R61" s="26">
        <f t="shared" si="25"/>
        <v>0</v>
      </c>
      <c r="S61" s="26">
        <f t="shared" si="25"/>
        <v>0</v>
      </c>
      <c r="T61" s="26">
        <f t="shared" si="25"/>
        <v>0</v>
      </c>
      <c r="U61" s="26">
        <f t="shared" si="25"/>
        <v>0</v>
      </c>
      <c r="V61" s="26">
        <f t="shared" si="18"/>
        <v>0</v>
      </c>
      <c r="W61" s="27"/>
      <c r="X61" s="27"/>
      <c r="AD61" s="27"/>
      <c r="AF61" s="27"/>
      <c r="AH61" s="27"/>
    </row>
    <row r="62" ht="15.75" customHeight="1" outlineLevel="1">
      <c r="A62" s="1" t="s">
        <v>394</v>
      </c>
      <c r="B62" s="189" t="s">
        <v>393</v>
      </c>
      <c r="C62" s="1"/>
      <c r="D62" s="26">
        <f t="shared" ref="D62:U62" si="26">+D14*1.02</f>
        <v>0</v>
      </c>
      <c r="E62" s="26">
        <f t="shared" si="26"/>
        <v>0</v>
      </c>
      <c r="F62" s="26">
        <f t="shared" si="26"/>
        <v>0</v>
      </c>
      <c r="G62" s="26">
        <f t="shared" si="26"/>
        <v>0</v>
      </c>
      <c r="H62" s="26">
        <f t="shared" si="26"/>
        <v>0</v>
      </c>
      <c r="I62" s="26">
        <f t="shared" si="26"/>
        <v>0</v>
      </c>
      <c r="J62" s="26">
        <f t="shared" si="26"/>
        <v>0</v>
      </c>
      <c r="K62" s="26">
        <f t="shared" si="26"/>
        <v>0</v>
      </c>
      <c r="L62" s="26">
        <f t="shared" si="26"/>
        <v>0</v>
      </c>
      <c r="M62" s="26">
        <f t="shared" si="26"/>
        <v>0</v>
      </c>
      <c r="N62" s="26">
        <f t="shared" si="26"/>
        <v>0</v>
      </c>
      <c r="O62" s="26">
        <f t="shared" si="26"/>
        <v>0</v>
      </c>
      <c r="P62" s="26">
        <f t="shared" si="26"/>
        <v>0</v>
      </c>
      <c r="Q62" s="26">
        <f t="shared" si="26"/>
        <v>0</v>
      </c>
      <c r="R62" s="26">
        <f t="shared" si="26"/>
        <v>0</v>
      </c>
      <c r="S62" s="26">
        <f t="shared" si="26"/>
        <v>47754.36</v>
      </c>
      <c r="T62" s="26">
        <f t="shared" si="26"/>
        <v>0</v>
      </c>
      <c r="U62" s="26">
        <f t="shared" si="26"/>
        <v>0</v>
      </c>
      <c r="V62" s="26">
        <f t="shared" si="18"/>
        <v>47754.36</v>
      </c>
      <c r="W62" s="27"/>
      <c r="X62" s="27"/>
      <c r="AD62" s="27"/>
      <c r="AF62" s="27"/>
      <c r="AH62" s="27"/>
    </row>
    <row r="63" ht="15.75" customHeight="1" outlineLevel="1">
      <c r="A63" s="1" t="s">
        <v>396</v>
      </c>
      <c r="B63" s="189" t="s">
        <v>395</v>
      </c>
      <c r="C63" s="1"/>
      <c r="D63" s="26">
        <f t="shared" ref="D63:U63" si="27">+D15*1.02</f>
        <v>2040</v>
      </c>
      <c r="E63" s="26">
        <f t="shared" si="27"/>
        <v>0</v>
      </c>
      <c r="F63" s="26">
        <f t="shared" si="27"/>
        <v>0</v>
      </c>
      <c r="G63" s="26">
        <f t="shared" si="27"/>
        <v>0</v>
      </c>
      <c r="H63" s="26">
        <f t="shared" si="27"/>
        <v>0</v>
      </c>
      <c r="I63" s="26">
        <f t="shared" si="27"/>
        <v>0</v>
      </c>
      <c r="J63" s="26">
        <f t="shared" si="27"/>
        <v>0</v>
      </c>
      <c r="K63" s="26">
        <f t="shared" si="27"/>
        <v>0</v>
      </c>
      <c r="L63" s="26">
        <f t="shared" si="27"/>
        <v>0</v>
      </c>
      <c r="M63" s="26">
        <f t="shared" si="27"/>
        <v>0</v>
      </c>
      <c r="N63" s="26">
        <f t="shared" si="27"/>
        <v>0</v>
      </c>
      <c r="O63" s="26">
        <f t="shared" si="27"/>
        <v>0</v>
      </c>
      <c r="P63" s="26">
        <f t="shared" si="27"/>
        <v>0</v>
      </c>
      <c r="Q63" s="26">
        <f t="shared" si="27"/>
        <v>5508</v>
      </c>
      <c r="R63" s="26">
        <f t="shared" si="27"/>
        <v>0</v>
      </c>
      <c r="S63" s="26">
        <f t="shared" si="27"/>
        <v>0</v>
      </c>
      <c r="T63" s="26">
        <f t="shared" si="27"/>
        <v>0</v>
      </c>
      <c r="U63" s="26">
        <f t="shared" si="27"/>
        <v>0</v>
      </c>
      <c r="V63" s="26">
        <f t="shared" si="18"/>
        <v>7548</v>
      </c>
      <c r="W63" s="27"/>
      <c r="X63" s="27"/>
      <c r="AD63" s="27"/>
      <c r="AF63" s="27"/>
      <c r="AH63" s="27"/>
    </row>
    <row r="64" ht="15.75" customHeight="1" outlineLevel="1">
      <c r="A64" s="1" t="s">
        <v>398</v>
      </c>
      <c r="B64" s="189" t="s">
        <v>397</v>
      </c>
      <c r="C64" s="1"/>
      <c r="D64" s="26">
        <f t="shared" ref="D64:U64" si="28">+D16*1.02</f>
        <v>0</v>
      </c>
      <c r="E64" s="26">
        <f t="shared" si="28"/>
        <v>0</v>
      </c>
      <c r="F64" s="26">
        <f t="shared" si="28"/>
        <v>0</v>
      </c>
      <c r="G64" s="26">
        <f t="shared" si="28"/>
        <v>0</v>
      </c>
      <c r="H64" s="26">
        <f t="shared" si="28"/>
        <v>0</v>
      </c>
      <c r="I64" s="26">
        <f t="shared" si="28"/>
        <v>0</v>
      </c>
      <c r="J64" s="26">
        <f t="shared" si="28"/>
        <v>0</v>
      </c>
      <c r="K64" s="26">
        <f t="shared" si="28"/>
        <v>4590</v>
      </c>
      <c r="L64" s="26">
        <f t="shared" si="28"/>
        <v>0</v>
      </c>
      <c r="M64" s="26">
        <f t="shared" si="28"/>
        <v>0</v>
      </c>
      <c r="N64" s="26">
        <f t="shared" si="28"/>
        <v>0</v>
      </c>
      <c r="O64" s="26">
        <f t="shared" si="28"/>
        <v>0</v>
      </c>
      <c r="P64" s="26">
        <f t="shared" si="28"/>
        <v>0</v>
      </c>
      <c r="Q64" s="26">
        <f t="shared" si="28"/>
        <v>0</v>
      </c>
      <c r="R64" s="26">
        <f t="shared" si="28"/>
        <v>0</v>
      </c>
      <c r="S64" s="26">
        <f t="shared" si="28"/>
        <v>0</v>
      </c>
      <c r="T64" s="26">
        <f t="shared" si="28"/>
        <v>0</v>
      </c>
      <c r="U64" s="26">
        <f t="shared" si="28"/>
        <v>0</v>
      </c>
      <c r="V64" s="26">
        <f t="shared" si="18"/>
        <v>4590</v>
      </c>
      <c r="W64" s="27"/>
      <c r="X64" s="27"/>
      <c r="AD64" s="27"/>
      <c r="AF64" s="27"/>
      <c r="AH64" s="27"/>
    </row>
    <row r="65" ht="15.75" customHeight="1" outlineLevel="1">
      <c r="A65" s="1" t="s">
        <v>400</v>
      </c>
      <c r="B65" s="189" t="s">
        <v>399</v>
      </c>
      <c r="C65" s="1"/>
      <c r="D65" s="26">
        <f t="shared" ref="D65:U65" si="29">+D17*1.02</f>
        <v>0</v>
      </c>
      <c r="E65" s="26">
        <f t="shared" si="29"/>
        <v>0</v>
      </c>
      <c r="F65" s="26">
        <f t="shared" si="29"/>
        <v>0</v>
      </c>
      <c r="G65" s="26">
        <f t="shared" si="29"/>
        <v>0</v>
      </c>
      <c r="H65" s="26">
        <f t="shared" si="29"/>
        <v>0</v>
      </c>
      <c r="I65" s="26">
        <f t="shared" si="29"/>
        <v>0</v>
      </c>
      <c r="J65" s="26">
        <f t="shared" si="29"/>
        <v>0</v>
      </c>
      <c r="K65" s="26">
        <f t="shared" si="29"/>
        <v>0</v>
      </c>
      <c r="L65" s="26">
        <f t="shared" si="29"/>
        <v>0</v>
      </c>
      <c r="M65" s="26">
        <f t="shared" si="29"/>
        <v>0</v>
      </c>
      <c r="N65" s="26">
        <f t="shared" si="29"/>
        <v>0</v>
      </c>
      <c r="O65" s="26">
        <f t="shared" si="29"/>
        <v>0</v>
      </c>
      <c r="P65" s="26">
        <f t="shared" si="29"/>
        <v>0</v>
      </c>
      <c r="Q65" s="26">
        <f t="shared" si="29"/>
        <v>0</v>
      </c>
      <c r="R65" s="26">
        <f t="shared" si="29"/>
        <v>0</v>
      </c>
      <c r="S65" s="26">
        <f t="shared" si="29"/>
        <v>0</v>
      </c>
      <c r="T65" s="26">
        <f t="shared" si="29"/>
        <v>0</v>
      </c>
      <c r="U65" s="26">
        <f t="shared" si="29"/>
        <v>0</v>
      </c>
      <c r="V65" s="26">
        <f t="shared" si="18"/>
        <v>0</v>
      </c>
      <c r="W65" s="27"/>
      <c r="X65" s="27"/>
      <c r="AD65" s="27"/>
      <c r="AF65" s="27"/>
      <c r="AH65" s="27"/>
    </row>
    <row r="66" ht="15.75" customHeight="1" outlineLevel="1">
      <c r="A66" s="1" t="s">
        <v>402</v>
      </c>
      <c r="B66" s="189" t="s">
        <v>401</v>
      </c>
      <c r="C66" s="1"/>
      <c r="D66" s="26">
        <f t="shared" ref="D66:U66" si="30">+D18*1.02</f>
        <v>0</v>
      </c>
      <c r="E66" s="26">
        <f t="shared" si="30"/>
        <v>0</v>
      </c>
      <c r="F66" s="26">
        <f t="shared" si="30"/>
        <v>0</v>
      </c>
      <c r="G66" s="26">
        <f t="shared" si="30"/>
        <v>2989.875</v>
      </c>
      <c r="H66" s="26">
        <f t="shared" si="30"/>
        <v>0</v>
      </c>
      <c r="I66" s="26">
        <f t="shared" si="30"/>
        <v>0</v>
      </c>
      <c r="J66" s="26">
        <f t="shared" si="30"/>
        <v>0</v>
      </c>
      <c r="K66" s="26">
        <f t="shared" si="30"/>
        <v>0</v>
      </c>
      <c r="L66" s="26">
        <f t="shared" si="30"/>
        <v>0</v>
      </c>
      <c r="M66" s="26">
        <f t="shared" si="30"/>
        <v>0</v>
      </c>
      <c r="N66" s="26">
        <f t="shared" si="30"/>
        <v>2989.62</v>
      </c>
      <c r="O66" s="26">
        <f t="shared" si="30"/>
        <v>2989.62</v>
      </c>
      <c r="P66" s="26">
        <f t="shared" si="30"/>
        <v>0</v>
      </c>
      <c r="Q66" s="26">
        <f t="shared" si="30"/>
        <v>0</v>
      </c>
      <c r="R66" s="26">
        <f t="shared" si="30"/>
        <v>0</v>
      </c>
      <c r="S66" s="26">
        <f t="shared" si="30"/>
        <v>0</v>
      </c>
      <c r="T66" s="26">
        <f t="shared" si="30"/>
        <v>0</v>
      </c>
      <c r="U66" s="26">
        <f t="shared" si="30"/>
        <v>0</v>
      </c>
      <c r="V66" s="26">
        <f t="shared" si="18"/>
        <v>8969.115</v>
      </c>
      <c r="W66" s="27"/>
      <c r="X66" s="27"/>
      <c r="AD66" s="27"/>
      <c r="AF66" s="27"/>
      <c r="AH66" s="27"/>
    </row>
    <row r="67" ht="15.75" customHeight="1" outlineLevel="1">
      <c r="A67" s="1" t="s">
        <v>405</v>
      </c>
      <c r="B67" s="189" t="s">
        <v>404</v>
      </c>
      <c r="C67" s="1"/>
      <c r="D67" s="26">
        <f t="shared" ref="D67:U67" si="31">+D19*1.02</f>
        <v>0</v>
      </c>
      <c r="E67" s="26">
        <f t="shared" si="31"/>
        <v>0</v>
      </c>
      <c r="F67" s="26">
        <f t="shared" si="31"/>
        <v>0</v>
      </c>
      <c r="G67" s="26">
        <f t="shared" si="31"/>
        <v>0</v>
      </c>
      <c r="H67" s="26">
        <f t="shared" si="31"/>
        <v>0</v>
      </c>
      <c r="I67" s="26">
        <f t="shared" si="31"/>
        <v>0</v>
      </c>
      <c r="J67" s="26">
        <f t="shared" si="31"/>
        <v>0</v>
      </c>
      <c r="K67" s="26">
        <f t="shared" si="31"/>
        <v>0</v>
      </c>
      <c r="L67" s="26">
        <f t="shared" si="31"/>
        <v>0</v>
      </c>
      <c r="M67" s="26">
        <f t="shared" si="31"/>
        <v>0</v>
      </c>
      <c r="N67" s="26">
        <f t="shared" si="31"/>
        <v>0</v>
      </c>
      <c r="O67" s="26">
        <f t="shared" si="31"/>
        <v>0</v>
      </c>
      <c r="P67" s="26">
        <f t="shared" si="31"/>
        <v>0</v>
      </c>
      <c r="Q67" s="26">
        <f t="shared" si="31"/>
        <v>0</v>
      </c>
      <c r="R67" s="26">
        <f t="shared" si="31"/>
        <v>0</v>
      </c>
      <c r="S67" s="26">
        <f t="shared" si="31"/>
        <v>0</v>
      </c>
      <c r="T67" s="26">
        <f t="shared" si="31"/>
        <v>0</v>
      </c>
      <c r="U67" s="26">
        <f t="shared" si="31"/>
        <v>0</v>
      </c>
      <c r="V67" s="26">
        <f t="shared" si="18"/>
        <v>0</v>
      </c>
      <c r="W67" s="27"/>
      <c r="X67" s="27"/>
      <c r="AD67" s="27"/>
      <c r="AF67" s="27"/>
      <c r="AH67" s="27"/>
    </row>
    <row r="68" ht="15.75" customHeight="1" outlineLevel="1">
      <c r="A68" s="1" t="s">
        <v>408</v>
      </c>
      <c r="B68" s="189" t="s">
        <v>407</v>
      </c>
      <c r="C68" s="1"/>
      <c r="D68" s="26">
        <f t="shared" ref="D68:U68" si="32">+D20*1.02</f>
        <v>0</v>
      </c>
      <c r="E68" s="26">
        <f t="shared" si="32"/>
        <v>0</v>
      </c>
      <c r="F68" s="26">
        <f t="shared" si="32"/>
        <v>0</v>
      </c>
      <c r="G68" s="26">
        <f t="shared" si="32"/>
        <v>0</v>
      </c>
      <c r="H68" s="26">
        <f t="shared" si="32"/>
        <v>0</v>
      </c>
      <c r="I68" s="26">
        <f t="shared" si="32"/>
        <v>0</v>
      </c>
      <c r="J68" s="26">
        <f t="shared" si="32"/>
        <v>0</v>
      </c>
      <c r="K68" s="26">
        <f t="shared" si="32"/>
        <v>0</v>
      </c>
      <c r="L68" s="26">
        <f t="shared" si="32"/>
        <v>0</v>
      </c>
      <c r="M68" s="26">
        <f t="shared" si="32"/>
        <v>0</v>
      </c>
      <c r="N68" s="26">
        <f t="shared" si="32"/>
        <v>0</v>
      </c>
      <c r="O68" s="26">
        <f t="shared" si="32"/>
        <v>0</v>
      </c>
      <c r="P68" s="26">
        <f t="shared" si="32"/>
        <v>0</v>
      </c>
      <c r="Q68" s="26">
        <f t="shared" si="32"/>
        <v>0</v>
      </c>
      <c r="R68" s="26">
        <f t="shared" si="32"/>
        <v>0</v>
      </c>
      <c r="S68" s="26">
        <f t="shared" si="32"/>
        <v>0</v>
      </c>
      <c r="T68" s="26">
        <f t="shared" si="32"/>
        <v>0</v>
      </c>
      <c r="U68" s="26">
        <f t="shared" si="32"/>
        <v>0</v>
      </c>
      <c r="V68" s="26">
        <f t="shared" si="18"/>
        <v>0</v>
      </c>
      <c r="W68" s="27"/>
      <c r="X68" s="27"/>
      <c r="AD68" s="27"/>
      <c r="AF68" s="27"/>
      <c r="AH68" s="27"/>
    </row>
    <row r="69" ht="15.75" customHeight="1" outlineLevel="1">
      <c r="A69" s="1" t="s">
        <v>412</v>
      </c>
      <c r="B69" s="189" t="s">
        <v>410</v>
      </c>
      <c r="C69" s="1"/>
      <c r="D69" s="26">
        <f t="shared" ref="D69:U69" si="33">+D21*1.02</f>
        <v>0</v>
      </c>
      <c r="E69" s="26">
        <f t="shared" si="33"/>
        <v>0</v>
      </c>
      <c r="F69" s="26">
        <f t="shared" si="33"/>
        <v>0</v>
      </c>
      <c r="G69" s="26">
        <f t="shared" si="33"/>
        <v>0</v>
      </c>
      <c r="H69" s="26">
        <f t="shared" si="33"/>
        <v>0</v>
      </c>
      <c r="I69" s="26">
        <f t="shared" si="33"/>
        <v>0</v>
      </c>
      <c r="J69" s="26">
        <f t="shared" si="33"/>
        <v>0</v>
      </c>
      <c r="K69" s="26">
        <f t="shared" si="33"/>
        <v>0</v>
      </c>
      <c r="L69" s="26">
        <f t="shared" si="33"/>
        <v>0</v>
      </c>
      <c r="M69" s="26">
        <f t="shared" si="33"/>
        <v>0</v>
      </c>
      <c r="N69" s="26">
        <f t="shared" si="33"/>
        <v>0</v>
      </c>
      <c r="O69" s="26">
        <f t="shared" si="33"/>
        <v>0</v>
      </c>
      <c r="P69" s="26">
        <f t="shared" si="33"/>
        <v>0</v>
      </c>
      <c r="Q69" s="26">
        <f t="shared" si="33"/>
        <v>0</v>
      </c>
      <c r="R69" s="26">
        <f t="shared" si="33"/>
        <v>0</v>
      </c>
      <c r="S69" s="26">
        <f t="shared" si="33"/>
        <v>0</v>
      </c>
      <c r="T69" s="26">
        <f t="shared" si="33"/>
        <v>0</v>
      </c>
      <c r="U69" s="26">
        <f t="shared" si="33"/>
        <v>0</v>
      </c>
      <c r="V69" s="26">
        <f t="shared" si="18"/>
        <v>0</v>
      </c>
      <c r="W69" s="27"/>
      <c r="X69" s="27"/>
      <c r="AD69" s="27"/>
      <c r="AF69" s="27"/>
      <c r="AH69" s="27"/>
    </row>
    <row r="70" ht="15.75" customHeight="1" outlineLevel="1">
      <c r="A70" s="1" t="s">
        <v>760</v>
      </c>
      <c r="B70" s="189" t="s">
        <v>420</v>
      </c>
      <c r="C70" s="1"/>
      <c r="D70" s="26">
        <f t="shared" ref="D70:U70" si="34">+D22*1.02</f>
        <v>0</v>
      </c>
      <c r="E70" s="26">
        <f t="shared" si="34"/>
        <v>0</v>
      </c>
      <c r="F70" s="26">
        <f t="shared" si="34"/>
        <v>0</v>
      </c>
      <c r="G70" s="26">
        <f t="shared" si="34"/>
        <v>0</v>
      </c>
      <c r="H70" s="26">
        <f t="shared" si="34"/>
        <v>0</v>
      </c>
      <c r="I70" s="26">
        <f t="shared" si="34"/>
        <v>0</v>
      </c>
      <c r="J70" s="26">
        <f t="shared" si="34"/>
        <v>0</v>
      </c>
      <c r="K70" s="26">
        <f t="shared" si="34"/>
        <v>0</v>
      </c>
      <c r="L70" s="26">
        <f t="shared" si="34"/>
        <v>0</v>
      </c>
      <c r="M70" s="26">
        <f t="shared" si="34"/>
        <v>0</v>
      </c>
      <c r="N70" s="26">
        <f t="shared" si="34"/>
        <v>0</v>
      </c>
      <c r="O70" s="26">
        <f t="shared" si="34"/>
        <v>4896</v>
      </c>
      <c r="P70" s="26">
        <f t="shared" si="34"/>
        <v>0</v>
      </c>
      <c r="Q70" s="26">
        <f t="shared" si="34"/>
        <v>0</v>
      </c>
      <c r="R70" s="26">
        <f t="shared" si="34"/>
        <v>0</v>
      </c>
      <c r="S70" s="26">
        <f t="shared" si="34"/>
        <v>0</v>
      </c>
      <c r="T70" s="26">
        <f t="shared" si="34"/>
        <v>0</v>
      </c>
      <c r="U70" s="26">
        <f t="shared" si="34"/>
        <v>0</v>
      </c>
      <c r="V70" s="26">
        <f t="shared" si="18"/>
        <v>4896</v>
      </c>
      <c r="W70" s="27"/>
      <c r="X70" s="27"/>
      <c r="AD70" s="27"/>
      <c r="AF70" s="27"/>
      <c r="AH70" s="27"/>
    </row>
    <row r="71" ht="15.75" customHeight="1" outlineLevel="1">
      <c r="A71" s="1" t="s">
        <v>434</v>
      </c>
      <c r="B71" s="189" t="s">
        <v>433</v>
      </c>
      <c r="C71" s="1"/>
      <c r="D71" s="26">
        <f t="shared" ref="D71:U71" si="35">+D23*1.02</f>
        <v>276.1242</v>
      </c>
      <c r="E71" s="26">
        <f t="shared" si="35"/>
        <v>276.1242</v>
      </c>
      <c r="F71" s="26">
        <f t="shared" si="35"/>
        <v>276.1242</v>
      </c>
      <c r="G71" s="26">
        <f t="shared" si="35"/>
        <v>276.1242</v>
      </c>
      <c r="H71" s="26">
        <f t="shared" si="35"/>
        <v>276.1242</v>
      </c>
      <c r="I71" s="26">
        <f t="shared" si="35"/>
        <v>276.1242</v>
      </c>
      <c r="J71" s="26">
        <f t="shared" si="35"/>
        <v>276.1242</v>
      </c>
      <c r="K71" s="26">
        <f t="shared" si="35"/>
        <v>276.1242</v>
      </c>
      <c r="L71" s="26">
        <f t="shared" si="35"/>
        <v>276.1242</v>
      </c>
      <c r="M71" s="26">
        <f t="shared" si="35"/>
        <v>276.1242</v>
      </c>
      <c r="N71" s="26">
        <f t="shared" si="35"/>
        <v>276.1242</v>
      </c>
      <c r="O71" s="26">
        <f t="shared" si="35"/>
        <v>276.1242</v>
      </c>
      <c r="P71" s="26">
        <f t="shared" si="35"/>
        <v>276.1242</v>
      </c>
      <c r="Q71" s="26">
        <f t="shared" si="35"/>
        <v>276.1242</v>
      </c>
      <c r="R71" s="26">
        <f t="shared" si="35"/>
        <v>276.1242</v>
      </c>
      <c r="S71" s="26">
        <f t="shared" si="35"/>
        <v>276.1242</v>
      </c>
      <c r="T71" s="26">
        <f t="shared" si="35"/>
        <v>0</v>
      </c>
      <c r="U71" s="26">
        <f t="shared" si="35"/>
        <v>0</v>
      </c>
      <c r="V71" s="26">
        <f t="shared" si="18"/>
        <v>4417.9872</v>
      </c>
      <c r="W71" s="27"/>
      <c r="X71" s="27"/>
      <c r="AD71" s="27"/>
      <c r="AF71" s="27"/>
      <c r="AH71" s="27"/>
    </row>
    <row r="72" ht="15.75" customHeight="1" outlineLevel="1">
      <c r="A72" s="1" t="s">
        <v>434</v>
      </c>
      <c r="B72" s="189" t="s">
        <v>435</v>
      </c>
      <c r="C72" s="1"/>
      <c r="D72" s="26">
        <f t="shared" ref="D72:U72" si="36">+D24*1.02</f>
        <v>0</v>
      </c>
      <c r="E72" s="26">
        <f t="shared" si="36"/>
        <v>0</v>
      </c>
      <c r="F72" s="26">
        <f t="shared" si="36"/>
        <v>0</v>
      </c>
      <c r="G72" s="26">
        <f t="shared" si="36"/>
        <v>0</v>
      </c>
      <c r="H72" s="26">
        <f t="shared" si="36"/>
        <v>0</v>
      </c>
      <c r="I72" s="26">
        <f t="shared" si="36"/>
        <v>0</v>
      </c>
      <c r="J72" s="26">
        <f t="shared" si="36"/>
        <v>0</v>
      </c>
      <c r="K72" s="26">
        <f t="shared" si="36"/>
        <v>0</v>
      </c>
      <c r="L72" s="26">
        <f t="shared" si="36"/>
        <v>0</v>
      </c>
      <c r="M72" s="26">
        <f t="shared" si="36"/>
        <v>0</v>
      </c>
      <c r="N72" s="26">
        <f t="shared" si="36"/>
        <v>0</v>
      </c>
      <c r="O72" s="26">
        <f t="shared" si="36"/>
        <v>0</v>
      </c>
      <c r="P72" s="26">
        <f t="shared" si="36"/>
        <v>0</v>
      </c>
      <c r="Q72" s="26">
        <f t="shared" si="36"/>
        <v>0</v>
      </c>
      <c r="R72" s="26">
        <f t="shared" si="36"/>
        <v>0</v>
      </c>
      <c r="S72" s="26">
        <f t="shared" si="36"/>
        <v>0</v>
      </c>
      <c r="T72" s="26">
        <f t="shared" si="36"/>
        <v>0</v>
      </c>
      <c r="U72" s="26">
        <f t="shared" si="36"/>
        <v>0</v>
      </c>
      <c r="V72" s="26">
        <f t="shared" si="18"/>
        <v>0</v>
      </c>
      <c r="W72" s="27"/>
      <c r="X72" s="27"/>
      <c r="AD72" s="27"/>
      <c r="AF72" s="27"/>
      <c r="AH72" s="27"/>
    </row>
    <row r="73" ht="15.75" customHeight="1" outlineLevel="1">
      <c r="A73" s="1" t="s">
        <v>434</v>
      </c>
      <c r="B73" s="189" t="s">
        <v>436</v>
      </c>
      <c r="C73" s="1"/>
      <c r="D73" s="26">
        <f t="shared" ref="D73:U73" si="37">+D25*1.02</f>
        <v>0</v>
      </c>
      <c r="E73" s="26">
        <f t="shared" si="37"/>
        <v>0</v>
      </c>
      <c r="F73" s="26">
        <f t="shared" si="37"/>
        <v>0</v>
      </c>
      <c r="G73" s="26">
        <f t="shared" si="37"/>
        <v>0</v>
      </c>
      <c r="H73" s="26">
        <f t="shared" si="37"/>
        <v>0</v>
      </c>
      <c r="I73" s="26">
        <f t="shared" si="37"/>
        <v>0</v>
      </c>
      <c r="J73" s="26">
        <f t="shared" si="37"/>
        <v>0</v>
      </c>
      <c r="K73" s="26">
        <f t="shared" si="37"/>
        <v>0</v>
      </c>
      <c r="L73" s="26">
        <f t="shared" si="37"/>
        <v>0</v>
      </c>
      <c r="M73" s="26">
        <f t="shared" si="37"/>
        <v>0</v>
      </c>
      <c r="N73" s="26">
        <f t="shared" si="37"/>
        <v>0</v>
      </c>
      <c r="O73" s="26">
        <f t="shared" si="37"/>
        <v>0</v>
      </c>
      <c r="P73" s="26">
        <f t="shared" si="37"/>
        <v>0</v>
      </c>
      <c r="Q73" s="26">
        <f t="shared" si="37"/>
        <v>0</v>
      </c>
      <c r="R73" s="26">
        <f t="shared" si="37"/>
        <v>0</v>
      </c>
      <c r="S73" s="26">
        <f t="shared" si="37"/>
        <v>0</v>
      </c>
      <c r="T73" s="26">
        <f t="shared" si="37"/>
        <v>0</v>
      </c>
      <c r="U73" s="26">
        <f t="shared" si="37"/>
        <v>0</v>
      </c>
      <c r="V73" s="26">
        <f t="shared" si="18"/>
        <v>0</v>
      </c>
      <c r="W73" s="27"/>
      <c r="X73" s="27"/>
      <c r="AD73" s="27"/>
      <c r="AF73" s="27"/>
      <c r="AH73" s="27"/>
    </row>
    <row r="74" ht="15.75" customHeight="1" outlineLevel="1">
      <c r="A74" s="191" t="s">
        <v>761</v>
      </c>
      <c r="B74" s="192"/>
      <c r="C74" s="192"/>
      <c r="D74" s="193">
        <f t="shared" ref="D74:V74" si="38">SUM(D53:D73)</f>
        <v>39458.4042</v>
      </c>
      <c r="E74" s="193">
        <f t="shared" si="38"/>
        <v>30876.1242</v>
      </c>
      <c r="F74" s="193">
        <f t="shared" si="38"/>
        <v>43573.4106</v>
      </c>
      <c r="G74" s="193">
        <f t="shared" si="38"/>
        <v>33865.9992</v>
      </c>
      <c r="H74" s="193">
        <f t="shared" si="38"/>
        <v>40939.3626</v>
      </c>
      <c r="I74" s="193">
        <f t="shared" si="38"/>
        <v>36357.1962</v>
      </c>
      <c r="J74" s="193">
        <f t="shared" si="38"/>
        <v>41186.6106</v>
      </c>
      <c r="K74" s="193">
        <f t="shared" si="38"/>
        <v>35466.1242</v>
      </c>
      <c r="L74" s="193">
        <f t="shared" si="38"/>
        <v>53316.2058</v>
      </c>
      <c r="M74" s="193">
        <f t="shared" si="38"/>
        <v>34956.2058</v>
      </c>
      <c r="N74" s="193">
        <f t="shared" si="38"/>
        <v>55285.7442</v>
      </c>
      <c r="O74" s="193">
        <f t="shared" si="38"/>
        <v>39330.9042</v>
      </c>
      <c r="P74" s="193">
        <f t="shared" si="38"/>
        <v>14121.4767</v>
      </c>
      <c r="Q74" s="193">
        <f t="shared" si="38"/>
        <v>84324.0426</v>
      </c>
      <c r="R74" s="193">
        <f t="shared" si="38"/>
        <v>30876.1242</v>
      </c>
      <c r="S74" s="193">
        <f t="shared" si="38"/>
        <v>48030.4842</v>
      </c>
      <c r="T74" s="193">
        <f t="shared" si="38"/>
        <v>12240</v>
      </c>
      <c r="U74" s="193">
        <f t="shared" si="38"/>
        <v>3983.7375</v>
      </c>
      <c r="V74" s="194">
        <f t="shared" si="38"/>
        <v>678188.157</v>
      </c>
      <c r="W74" s="27"/>
      <c r="X74" s="27"/>
      <c r="AD74" s="27"/>
      <c r="AF74" s="27"/>
      <c r="AH74" s="27"/>
    </row>
    <row r="75" ht="15.75" customHeight="1" outlineLevel="1">
      <c r="W75" s="27"/>
      <c r="X75" s="27"/>
      <c r="Y75" s="8" t="s">
        <v>772</v>
      </c>
      <c r="AD75" s="27"/>
      <c r="AF75" s="27"/>
      <c r="AH75" s="27"/>
    </row>
    <row r="76" ht="15.75" customHeight="1" outlineLevel="1">
      <c r="A76" s="1" t="s">
        <v>762</v>
      </c>
      <c r="B76" s="1" t="s">
        <v>443</v>
      </c>
      <c r="C76" s="1"/>
      <c r="D76" s="26">
        <f t="shared" ref="D76:U76" si="39">+D28*1.04</f>
        <v>6714.24</v>
      </c>
      <c r="E76" s="26">
        <f t="shared" si="39"/>
        <v>6714.24</v>
      </c>
      <c r="F76" s="26">
        <f t="shared" si="39"/>
        <v>6714.24</v>
      </c>
      <c r="G76" s="26">
        <f t="shared" si="39"/>
        <v>6714.24</v>
      </c>
      <c r="H76" s="26">
        <f t="shared" si="39"/>
        <v>6714.24</v>
      </c>
      <c r="I76" s="26">
        <f t="shared" si="39"/>
        <v>6714.24</v>
      </c>
      <c r="J76" s="26">
        <f t="shared" si="39"/>
        <v>6714.24</v>
      </c>
      <c r="K76" s="26">
        <f t="shared" si="39"/>
        <v>6714.24</v>
      </c>
      <c r="L76" s="26">
        <f t="shared" si="39"/>
        <v>6714.24</v>
      </c>
      <c r="M76" s="26">
        <f t="shared" si="39"/>
        <v>6714.24</v>
      </c>
      <c r="N76" s="26">
        <f t="shared" si="39"/>
        <v>6714.24</v>
      </c>
      <c r="O76" s="26">
        <f t="shared" si="39"/>
        <v>6714.24</v>
      </c>
      <c r="P76" s="26">
        <f t="shared" si="39"/>
        <v>6714.24</v>
      </c>
      <c r="Q76" s="26">
        <f t="shared" si="39"/>
        <v>6714.24</v>
      </c>
      <c r="R76" s="26">
        <f t="shared" si="39"/>
        <v>6714.24</v>
      </c>
      <c r="S76" s="26">
        <f t="shared" si="39"/>
        <v>6714.24</v>
      </c>
      <c r="T76" s="26">
        <f t="shared" si="39"/>
        <v>0</v>
      </c>
      <c r="U76" s="26">
        <f t="shared" si="39"/>
        <v>0</v>
      </c>
      <c r="V76" s="26">
        <f>+SUM(D76:U76)</f>
        <v>107427.84</v>
      </c>
      <c r="W76" s="27"/>
      <c r="X76" s="27"/>
      <c r="AD76" s="27"/>
      <c r="AF76" s="27"/>
      <c r="AH76" s="27"/>
    </row>
    <row r="77" ht="15.75" customHeight="1" outlineLevel="1">
      <c r="W77" s="27"/>
      <c r="X77" s="27"/>
      <c r="AD77" s="27"/>
      <c r="AF77" s="27"/>
      <c r="AH77" s="27"/>
    </row>
    <row r="78" ht="15.75" customHeight="1" outlineLevel="1">
      <c r="A78" s="1" t="s">
        <v>763</v>
      </c>
      <c r="B78" s="1" t="s">
        <v>439</v>
      </c>
      <c r="C78" s="1"/>
      <c r="D78" s="26">
        <f t="shared" ref="D78:G78" si="40">+D30*1.02</f>
        <v>1114.3296</v>
      </c>
      <c r="E78" s="26">
        <f t="shared" si="40"/>
        <v>918</v>
      </c>
      <c r="F78" s="26">
        <f t="shared" si="40"/>
        <v>1298.9088</v>
      </c>
      <c r="G78" s="26">
        <f t="shared" si="40"/>
        <v>956.6784</v>
      </c>
      <c r="H78" s="26">
        <f>+H74*0.03</f>
        <v>1228.180878</v>
      </c>
      <c r="I78" s="26">
        <f t="shared" ref="I78:J78" si="41">+I30*1.02</f>
        <v>1082.5056</v>
      </c>
      <c r="J78" s="26">
        <f t="shared" si="41"/>
        <v>1227.4272</v>
      </c>
      <c r="K78" s="26">
        <f>+K74*0.03</f>
        <v>1063.983726</v>
      </c>
      <c r="L78" s="26">
        <f t="shared" ref="L78:O78" si="42">+L30*1.02</f>
        <v>1591.2</v>
      </c>
      <c r="M78" s="26">
        <f t="shared" si="42"/>
        <v>693.5184</v>
      </c>
      <c r="N78" s="26">
        <f t="shared" si="42"/>
        <v>1560.6</v>
      </c>
      <c r="O78" s="26">
        <f t="shared" si="42"/>
        <v>1197.5616</v>
      </c>
      <c r="P78" s="26">
        <f>+P74*0.03</f>
        <v>423.644301</v>
      </c>
      <c r="Q78" s="26">
        <f t="shared" ref="Q78:U78" si="43">+Q30*1.02</f>
        <v>2448</v>
      </c>
      <c r="R78" s="26">
        <f t="shared" si="43"/>
        <v>918</v>
      </c>
      <c r="S78" s="26">
        <f t="shared" si="43"/>
        <v>1432.5696</v>
      </c>
      <c r="T78" s="26">
        <f t="shared" si="43"/>
        <v>0</v>
      </c>
      <c r="U78" s="26">
        <f t="shared" si="43"/>
        <v>0</v>
      </c>
      <c r="V78" s="26">
        <f>+SUM(D78:U78)</f>
        <v>19155.10811</v>
      </c>
      <c r="W78" s="27"/>
      <c r="X78" s="27"/>
      <c r="AD78" s="27"/>
      <c r="AF78" s="27"/>
      <c r="AH78" s="27"/>
    </row>
    <row r="79" ht="15.75" customHeight="1" outlineLevel="1">
      <c r="A79" s="1" t="s">
        <v>764</v>
      </c>
      <c r="B79" s="1"/>
      <c r="C79" s="1"/>
      <c r="D79" s="57">
        <f t="shared" ref="D79:U79" si="44">+D78/D74</f>
        <v>0.02824061496</v>
      </c>
      <c r="E79" s="57">
        <f t="shared" si="44"/>
        <v>0.02973171095</v>
      </c>
      <c r="F79" s="57">
        <f t="shared" si="44"/>
        <v>0.02980966562</v>
      </c>
      <c r="G79" s="57">
        <f t="shared" si="44"/>
        <v>0.0282489347</v>
      </c>
      <c r="H79" s="57">
        <f t="shared" si="44"/>
        <v>0.03</v>
      </c>
      <c r="I79" s="57">
        <f t="shared" si="44"/>
        <v>0.02977417714</v>
      </c>
      <c r="J79" s="57">
        <f t="shared" si="44"/>
        <v>0.02980160742</v>
      </c>
      <c r="K79" s="57">
        <f t="shared" si="44"/>
        <v>0.03</v>
      </c>
      <c r="L79" s="57">
        <f t="shared" si="44"/>
        <v>0.02984458433</v>
      </c>
      <c r="M79" s="57">
        <f t="shared" si="44"/>
        <v>0.01983963603</v>
      </c>
      <c r="N79" s="57">
        <f t="shared" si="44"/>
        <v>0.0282278917</v>
      </c>
      <c r="O79" s="57">
        <f t="shared" si="44"/>
        <v>0.03044836177</v>
      </c>
      <c r="P79" s="57">
        <f t="shared" si="44"/>
        <v>0.03</v>
      </c>
      <c r="Q79" s="57">
        <f t="shared" si="44"/>
        <v>0.02903086622</v>
      </c>
      <c r="R79" s="57">
        <f t="shared" si="44"/>
        <v>0.02973171095</v>
      </c>
      <c r="S79" s="57">
        <f t="shared" si="44"/>
        <v>0.02982625772</v>
      </c>
      <c r="T79" s="57">
        <f t="shared" si="44"/>
        <v>0</v>
      </c>
      <c r="U79" s="57">
        <f t="shared" si="44"/>
        <v>0</v>
      </c>
      <c r="W79" s="27"/>
      <c r="X79" s="27"/>
      <c r="AD79" s="27"/>
      <c r="AF79" s="27"/>
      <c r="AH79" s="27"/>
    </row>
    <row r="80" ht="15.75" customHeight="1" outlineLevel="1">
      <c r="A80" s="1"/>
      <c r="B80" s="1"/>
      <c r="C80" s="1"/>
      <c r="W80" s="27"/>
      <c r="X80" s="27"/>
      <c r="AD80" s="27"/>
      <c r="AF80" s="27"/>
      <c r="AH80" s="27"/>
    </row>
    <row r="81" ht="15.75" customHeight="1" outlineLevel="1">
      <c r="A81" s="1" t="s">
        <v>765</v>
      </c>
      <c r="B81" s="1" t="s">
        <v>453</v>
      </c>
      <c r="C81" s="1"/>
      <c r="D81" s="26">
        <f t="shared" ref="D81:U81" si="45">+D33*1.02</f>
        <v>81.396</v>
      </c>
      <c r="E81" s="26">
        <f t="shared" si="45"/>
        <v>81.396</v>
      </c>
      <c r="F81" s="26">
        <f t="shared" si="45"/>
        <v>81.396</v>
      </c>
      <c r="G81" s="26">
        <f t="shared" si="45"/>
        <v>81.396</v>
      </c>
      <c r="H81" s="26">
        <f t="shared" si="45"/>
        <v>81.396</v>
      </c>
      <c r="I81" s="26">
        <f t="shared" si="45"/>
        <v>81.396</v>
      </c>
      <c r="J81" s="26">
        <f t="shared" si="45"/>
        <v>81.396</v>
      </c>
      <c r="K81" s="26">
        <f t="shared" si="45"/>
        <v>81.396</v>
      </c>
      <c r="L81" s="26">
        <f t="shared" si="45"/>
        <v>81.396</v>
      </c>
      <c r="M81" s="26">
        <f t="shared" si="45"/>
        <v>81.396</v>
      </c>
      <c r="N81" s="26">
        <f t="shared" si="45"/>
        <v>81.396</v>
      </c>
      <c r="O81" s="26">
        <f t="shared" si="45"/>
        <v>81.396</v>
      </c>
      <c r="P81" s="26">
        <f t="shared" si="45"/>
        <v>81.396</v>
      </c>
      <c r="Q81" s="26">
        <f t="shared" si="45"/>
        <v>81.396</v>
      </c>
      <c r="R81" s="26">
        <f t="shared" si="45"/>
        <v>81.396</v>
      </c>
      <c r="S81" s="26">
        <f t="shared" si="45"/>
        <v>81.396</v>
      </c>
      <c r="T81" s="26">
        <f t="shared" si="45"/>
        <v>0</v>
      </c>
      <c r="U81" s="26">
        <f t="shared" si="45"/>
        <v>0</v>
      </c>
      <c r="V81" s="26">
        <f>+SUM(D81:U81)</f>
        <v>1302.336</v>
      </c>
      <c r="W81" s="27"/>
      <c r="X81" s="27"/>
      <c r="AD81" s="27"/>
      <c r="AF81" s="27"/>
      <c r="AH81" s="27"/>
    </row>
    <row r="82" ht="15.75" customHeight="1" outlineLevel="1">
      <c r="A82" s="1"/>
      <c r="B82" s="1"/>
      <c r="C82" s="1"/>
      <c r="W82" s="27"/>
      <c r="X82" s="27"/>
      <c r="AD82" s="27"/>
      <c r="AF82" s="27"/>
      <c r="AH82" s="27"/>
    </row>
    <row r="83" ht="15.75" customHeight="1" outlineLevel="1">
      <c r="A83" s="1" t="s">
        <v>766</v>
      </c>
      <c r="B83" s="1" t="s">
        <v>459</v>
      </c>
      <c r="C83" s="1"/>
      <c r="D83" s="26">
        <f t="shared" ref="D83:U83" si="46">+D74*0.065</f>
        <v>2564.796273</v>
      </c>
      <c r="E83" s="26">
        <f t="shared" si="46"/>
        <v>2006.948073</v>
      </c>
      <c r="F83" s="26">
        <f t="shared" si="46"/>
        <v>2832.271689</v>
      </c>
      <c r="G83" s="26">
        <f t="shared" si="46"/>
        <v>2201.289948</v>
      </c>
      <c r="H83" s="26">
        <f t="shared" si="46"/>
        <v>2661.058569</v>
      </c>
      <c r="I83" s="26">
        <f t="shared" si="46"/>
        <v>2363.217753</v>
      </c>
      <c r="J83" s="26">
        <f t="shared" si="46"/>
        <v>2677.129689</v>
      </c>
      <c r="K83" s="26">
        <f t="shared" si="46"/>
        <v>2305.298073</v>
      </c>
      <c r="L83" s="26">
        <f t="shared" si="46"/>
        <v>3465.553377</v>
      </c>
      <c r="M83" s="26">
        <f t="shared" si="46"/>
        <v>2272.153377</v>
      </c>
      <c r="N83" s="26">
        <f t="shared" si="46"/>
        <v>3593.573373</v>
      </c>
      <c r="O83" s="26">
        <f t="shared" si="46"/>
        <v>2556.508773</v>
      </c>
      <c r="P83" s="26">
        <f t="shared" si="46"/>
        <v>917.8959855</v>
      </c>
      <c r="Q83" s="26">
        <f t="shared" si="46"/>
        <v>5481.062769</v>
      </c>
      <c r="R83" s="26">
        <f t="shared" si="46"/>
        <v>2006.948073</v>
      </c>
      <c r="S83" s="26">
        <f t="shared" si="46"/>
        <v>3121.981473</v>
      </c>
      <c r="T83" s="26">
        <f t="shared" si="46"/>
        <v>795.6</v>
      </c>
      <c r="U83" s="26">
        <f t="shared" si="46"/>
        <v>258.9429375</v>
      </c>
      <c r="V83" s="26">
        <f t="shared" ref="V83:V84" si="48">+SUM(D83:U83)</f>
        <v>44082.23021</v>
      </c>
      <c r="W83" s="27"/>
      <c r="X83" s="27"/>
      <c r="AD83" s="27"/>
      <c r="AF83" s="27"/>
      <c r="AH83" s="27"/>
    </row>
    <row r="84" ht="15.75" customHeight="1" outlineLevel="1">
      <c r="A84" s="1" t="s">
        <v>767</v>
      </c>
      <c r="B84" s="1" t="s">
        <v>463</v>
      </c>
      <c r="C84" s="1"/>
      <c r="D84" s="26">
        <f t="shared" ref="D84:U84" si="47">+D74*0.0145</f>
        <v>572.1468609</v>
      </c>
      <c r="E84" s="26">
        <f t="shared" si="47"/>
        <v>447.7038009</v>
      </c>
      <c r="F84" s="26">
        <f t="shared" si="47"/>
        <v>631.8144537</v>
      </c>
      <c r="G84" s="26">
        <f t="shared" si="47"/>
        <v>491.0569884</v>
      </c>
      <c r="H84" s="26">
        <f t="shared" si="47"/>
        <v>593.6207577</v>
      </c>
      <c r="I84" s="26">
        <f t="shared" si="47"/>
        <v>527.1793449</v>
      </c>
      <c r="J84" s="26">
        <f t="shared" si="47"/>
        <v>597.2058537</v>
      </c>
      <c r="K84" s="26">
        <f t="shared" si="47"/>
        <v>514.2588009</v>
      </c>
      <c r="L84" s="26">
        <f t="shared" si="47"/>
        <v>773.0849841</v>
      </c>
      <c r="M84" s="26">
        <f t="shared" si="47"/>
        <v>506.8649841</v>
      </c>
      <c r="N84" s="26">
        <f t="shared" si="47"/>
        <v>801.6432909</v>
      </c>
      <c r="O84" s="26">
        <f t="shared" si="47"/>
        <v>570.2981109</v>
      </c>
      <c r="P84" s="26">
        <f t="shared" si="47"/>
        <v>204.7614122</v>
      </c>
      <c r="Q84" s="26">
        <f t="shared" si="47"/>
        <v>1222.698618</v>
      </c>
      <c r="R84" s="26">
        <f t="shared" si="47"/>
        <v>447.7038009</v>
      </c>
      <c r="S84" s="26">
        <f t="shared" si="47"/>
        <v>696.4420209</v>
      </c>
      <c r="T84" s="26">
        <f t="shared" si="47"/>
        <v>177.48</v>
      </c>
      <c r="U84" s="26">
        <f t="shared" si="47"/>
        <v>57.76419375</v>
      </c>
      <c r="V84" s="26">
        <f t="shared" si="48"/>
        <v>9833.728277</v>
      </c>
      <c r="W84" s="27"/>
      <c r="X84" s="27"/>
      <c r="AD84" s="27"/>
      <c r="AF84" s="27"/>
      <c r="AH84" s="27"/>
    </row>
    <row r="85" ht="15.75" customHeight="1" outlineLevel="1">
      <c r="W85" s="27"/>
      <c r="X85" s="27"/>
      <c r="AD85" s="27"/>
      <c r="AF85" s="27"/>
      <c r="AH85" s="27"/>
    </row>
    <row r="86" ht="15.75" customHeight="1" outlineLevel="1">
      <c r="W86" s="27"/>
      <c r="X86" s="27"/>
      <c r="AD86" s="27"/>
      <c r="AF86" s="27"/>
      <c r="AH86" s="27"/>
    </row>
    <row r="87" ht="15.75" customHeight="1" outlineLevel="1">
      <c r="W87" s="27"/>
      <c r="X87" s="27"/>
      <c r="AD87" s="27"/>
      <c r="AF87" s="27"/>
      <c r="AH87" s="27"/>
    </row>
    <row r="88" ht="15.75" customHeight="1" outlineLevel="1">
      <c r="W88" s="27"/>
      <c r="X88" s="27"/>
      <c r="AD88" s="27"/>
      <c r="AF88" s="27"/>
      <c r="AH88" s="27"/>
    </row>
    <row r="89" ht="15.75" customHeight="1" outlineLevel="1">
      <c r="W89" s="27"/>
      <c r="X89" s="27"/>
      <c r="AD89" s="27"/>
      <c r="AF89" s="27"/>
      <c r="AH89" s="27"/>
    </row>
    <row r="90" ht="15.75" customHeight="1" outlineLevel="1">
      <c r="W90" s="27"/>
      <c r="X90" s="27"/>
      <c r="AD90" s="27"/>
      <c r="AF90" s="27"/>
      <c r="AH90" s="27"/>
    </row>
    <row r="91" ht="15.75" customHeight="1" outlineLevel="1">
      <c r="W91" s="27"/>
      <c r="X91" s="27"/>
      <c r="AD91" s="27"/>
      <c r="AF91" s="27"/>
      <c r="AH91" s="27"/>
    </row>
    <row r="92" ht="15.75" customHeight="1" outlineLevel="1">
      <c r="W92" s="27"/>
      <c r="X92" s="27"/>
      <c r="AD92" s="27"/>
      <c r="AF92" s="27"/>
      <c r="AH92" s="27"/>
    </row>
    <row r="93" ht="15.75" customHeight="1" outlineLevel="1">
      <c r="W93" s="27"/>
      <c r="X93" s="27"/>
      <c r="AD93" s="27"/>
      <c r="AF93" s="27"/>
      <c r="AH93" s="27"/>
    </row>
    <row r="94" ht="15.75" customHeight="1" outlineLevel="1">
      <c r="W94" s="27"/>
      <c r="X94" s="27"/>
      <c r="AD94" s="27"/>
      <c r="AF94" s="27"/>
      <c r="AH94" s="27"/>
    </row>
    <row r="95" ht="15.75" customHeight="1" outlineLevel="1">
      <c r="W95" s="27"/>
      <c r="X95" s="27"/>
      <c r="AD95" s="27"/>
      <c r="AF95" s="27"/>
      <c r="AH95" s="27"/>
    </row>
    <row r="96" ht="15.75" customHeight="1" outlineLevel="1">
      <c r="W96" s="27"/>
      <c r="X96" s="27"/>
      <c r="AD96" s="27"/>
      <c r="AF96" s="27"/>
      <c r="AH96" s="27"/>
    </row>
    <row r="97" ht="15.75" customHeight="1" outlineLevel="1">
      <c r="W97" s="27"/>
      <c r="X97" s="27"/>
      <c r="AD97" s="27"/>
      <c r="AF97" s="27"/>
      <c r="AH97" s="27"/>
    </row>
    <row r="98" ht="15.75" customHeight="1">
      <c r="W98" s="27"/>
      <c r="X98" s="27"/>
      <c r="AD98" s="27"/>
      <c r="AF98" s="27"/>
      <c r="AH98" s="27"/>
    </row>
    <row r="99" ht="15.75" customHeight="1">
      <c r="A99" s="50" t="s">
        <v>771</v>
      </c>
      <c r="B99" s="1"/>
      <c r="C99" s="1"/>
      <c r="W99" s="27"/>
      <c r="X99" s="27"/>
      <c r="AD99" s="27"/>
      <c r="AF99" s="27"/>
      <c r="AH99" s="27"/>
    </row>
    <row r="100" ht="15.75" customHeight="1">
      <c r="A100" s="184" t="s">
        <v>739</v>
      </c>
      <c r="B100" s="185" t="s">
        <v>740</v>
      </c>
      <c r="C100" s="186"/>
      <c r="D100" s="187" t="s">
        <v>741</v>
      </c>
      <c r="E100" s="187" t="s">
        <v>742</v>
      </c>
      <c r="F100" s="187" t="s">
        <v>743</v>
      </c>
      <c r="G100" s="187" t="s">
        <v>744</v>
      </c>
      <c r="H100" s="187" t="s">
        <v>745</v>
      </c>
      <c r="I100" s="187" t="s">
        <v>746</v>
      </c>
      <c r="J100" s="187" t="s">
        <v>747</v>
      </c>
      <c r="K100" s="187" t="s">
        <v>748</v>
      </c>
      <c r="L100" s="187" t="s">
        <v>749</v>
      </c>
      <c r="M100" s="187" t="s">
        <v>750</v>
      </c>
      <c r="N100" s="187" t="s">
        <v>751</v>
      </c>
      <c r="O100" s="187" t="s">
        <v>752</v>
      </c>
      <c r="P100" s="187" t="s">
        <v>753</v>
      </c>
      <c r="Q100" s="187" t="s">
        <v>754</v>
      </c>
      <c r="R100" s="187" t="s">
        <v>755</v>
      </c>
      <c r="S100" s="187" t="s">
        <v>756</v>
      </c>
      <c r="T100" s="187" t="s">
        <v>757</v>
      </c>
      <c r="U100" s="187" t="s">
        <v>758</v>
      </c>
      <c r="V100" s="188" t="s">
        <v>759</v>
      </c>
      <c r="W100" s="27"/>
      <c r="X100" s="27"/>
      <c r="AD100" s="27"/>
      <c r="AF100" s="27"/>
      <c r="AH100" s="27"/>
    </row>
    <row r="101" ht="15.75" customHeight="1">
      <c r="A101" s="1" t="s">
        <v>376</v>
      </c>
      <c r="B101" s="189" t="s">
        <v>375</v>
      </c>
      <c r="C101" s="1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>
        <v>3984.0</v>
      </c>
      <c r="V101" s="26">
        <f t="shared" ref="V101:V121" si="49">SUM(D101:U101)</f>
        <v>3984</v>
      </c>
      <c r="W101" s="27"/>
      <c r="X101" s="27"/>
      <c r="AD101" s="27"/>
      <c r="AF101" s="27"/>
      <c r="AH101" s="27"/>
    </row>
    <row r="102" ht="15.75" customHeight="1">
      <c r="A102" s="1" t="s">
        <v>378</v>
      </c>
      <c r="B102" s="189" t="s">
        <v>377</v>
      </c>
      <c r="C102" s="1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>
        <v>0.0</v>
      </c>
      <c r="U102" s="190"/>
      <c r="V102" s="26">
        <f t="shared" si="49"/>
        <v>0</v>
      </c>
      <c r="W102" s="27"/>
      <c r="X102" s="27"/>
      <c r="AD102" s="27"/>
      <c r="AF102" s="27"/>
      <c r="AH102" s="27"/>
    </row>
    <row r="103" ht="15.75" customHeight="1">
      <c r="A103" s="1" t="s">
        <v>380</v>
      </c>
      <c r="B103" s="189" t="s">
        <v>379</v>
      </c>
      <c r="C103" s="1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26">
        <f t="shared" si="49"/>
        <v>0</v>
      </c>
      <c r="W103" s="27"/>
      <c r="X103" s="27"/>
      <c r="AD103" s="27"/>
      <c r="AF103" s="27"/>
      <c r="AH103" s="27"/>
    </row>
    <row r="104" ht="15.75" customHeight="1">
      <c r="A104" s="1" t="s">
        <v>382</v>
      </c>
      <c r="B104" s="189" t="s">
        <v>381</v>
      </c>
      <c r="C104" s="1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26">
        <f t="shared" si="49"/>
        <v>0</v>
      </c>
      <c r="W104" s="27"/>
      <c r="X104" s="27"/>
      <c r="AD104" s="27"/>
      <c r="AF104" s="27"/>
      <c r="AH104" s="27"/>
    </row>
    <row r="105" ht="15.75" customHeight="1">
      <c r="A105" s="1" t="s">
        <v>384</v>
      </c>
      <c r="B105" s="189" t="s">
        <v>383</v>
      </c>
      <c r="C105" s="1"/>
      <c r="D105" s="190">
        <f>1517.25*24</f>
        <v>36414</v>
      </c>
      <c r="E105" s="190">
        <f>1300.51*24</f>
        <v>31212.24</v>
      </c>
      <c r="F105" s="190"/>
      <c r="G105" s="190">
        <f>1250*24</f>
        <v>30000</v>
      </c>
      <c r="H105" s="190">
        <f>1661.08*24</f>
        <v>39865.92</v>
      </c>
      <c r="I105" s="190"/>
      <c r="J105" s="190">
        <f>1671.18*24</f>
        <v>40108.32</v>
      </c>
      <c r="K105" s="190">
        <f>1250*24</f>
        <v>30000</v>
      </c>
      <c r="L105" s="190"/>
      <c r="M105" s="190">
        <v>34680.0</v>
      </c>
      <c r="N105" s="190"/>
      <c r="O105" s="190">
        <f>1273.25*24</f>
        <v>30558</v>
      </c>
      <c r="P105" s="190"/>
      <c r="Q105" s="190"/>
      <c r="R105" s="190">
        <f>844.02*24</f>
        <v>20256.48</v>
      </c>
      <c r="S105" s="190"/>
      <c r="T105" s="190"/>
      <c r="U105" s="190"/>
      <c r="V105" s="26">
        <f t="shared" si="49"/>
        <v>293094.96</v>
      </c>
      <c r="W105" s="27"/>
      <c r="X105" s="27"/>
      <c r="AD105" s="27"/>
      <c r="AF105" s="27"/>
      <c r="AH105" s="27"/>
    </row>
    <row r="106" ht="15.75" customHeight="1">
      <c r="A106" s="1" t="s">
        <v>386</v>
      </c>
      <c r="B106" s="189" t="s">
        <v>385</v>
      </c>
      <c r="C106" s="1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>
        <v>0.0</v>
      </c>
      <c r="Q106" s="190"/>
      <c r="R106" s="190"/>
      <c r="S106" s="190"/>
      <c r="T106" s="190"/>
      <c r="U106" s="190"/>
      <c r="V106" s="26">
        <f t="shared" si="49"/>
        <v>0</v>
      </c>
      <c r="W106" s="27"/>
      <c r="X106" s="27"/>
      <c r="AD106" s="27"/>
      <c r="AF106" s="27"/>
      <c r="AH106" s="27"/>
    </row>
    <row r="107" ht="15.75" customHeight="1">
      <c r="A107" s="1" t="s">
        <v>388</v>
      </c>
      <c r="B107" s="189" t="s">
        <v>387</v>
      </c>
      <c r="C107" s="1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26">
        <f t="shared" si="49"/>
        <v>0</v>
      </c>
      <c r="W107" s="27"/>
      <c r="X107" s="27"/>
      <c r="AD107" s="27"/>
      <c r="AF107" s="27"/>
      <c r="AH107" s="27"/>
    </row>
    <row r="108" ht="15.75" customHeight="1">
      <c r="A108" s="1" t="s">
        <v>390</v>
      </c>
      <c r="B108" s="189" t="s">
        <v>389</v>
      </c>
      <c r="C108" s="1"/>
      <c r="D108" s="190"/>
      <c r="E108" s="190"/>
      <c r="F108" s="190">
        <f>1768.68*24</f>
        <v>42448.32</v>
      </c>
      <c r="G108" s="190"/>
      <c r="H108" s="190"/>
      <c r="I108" s="190">
        <v>35374.0</v>
      </c>
      <c r="J108" s="190"/>
      <c r="K108" s="190"/>
      <c r="L108" s="190">
        <f>2166.67*24</f>
        <v>52000.08</v>
      </c>
      <c r="M108" s="190"/>
      <c r="N108" s="190">
        <f>2215.9*24</f>
        <v>53181.6</v>
      </c>
      <c r="O108" s="190"/>
      <c r="P108" s="190"/>
      <c r="Q108" s="190">
        <v>78540.0</v>
      </c>
      <c r="R108" s="190"/>
      <c r="S108" s="190"/>
      <c r="T108" s="190"/>
      <c r="U108" s="190"/>
      <c r="V108" s="26">
        <f t="shared" si="49"/>
        <v>261544</v>
      </c>
      <c r="W108" s="27"/>
      <c r="X108" s="27"/>
      <c r="AD108" s="27"/>
      <c r="AF108" s="27"/>
      <c r="AH108" s="27"/>
    </row>
    <row r="109" ht="15.75" customHeight="1">
      <c r="A109" s="1" t="s">
        <v>392</v>
      </c>
      <c r="B109" s="189" t="s">
        <v>391</v>
      </c>
      <c r="C109" s="1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26">
        <f t="shared" si="49"/>
        <v>0</v>
      </c>
      <c r="W109" s="27"/>
      <c r="X109" s="27"/>
      <c r="AD109" s="27"/>
      <c r="AF109" s="27"/>
      <c r="AH109" s="27"/>
    </row>
    <row r="110" ht="15.75" customHeight="1">
      <c r="A110" s="1" t="s">
        <v>394</v>
      </c>
      <c r="B110" s="189" t="s">
        <v>393</v>
      </c>
      <c r="C110" s="1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>
        <f>1890*2+17000</f>
        <v>20780</v>
      </c>
      <c r="T110" s="190"/>
      <c r="U110" s="190"/>
      <c r="V110" s="26">
        <f t="shared" si="49"/>
        <v>20780</v>
      </c>
      <c r="W110" s="27"/>
      <c r="X110" s="27"/>
      <c r="AD110" s="27"/>
      <c r="AF110" s="27"/>
      <c r="AH110" s="27"/>
    </row>
    <row r="111" ht="15.75" customHeight="1">
      <c r="A111" s="1" t="s">
        <v>396</v>
      </c>
      <c r="B111" s="189" t="s">
        <v>395</v>
      </c>
      <c r="C111" s="1"/>
      <c r="D111" s="190">
        <v>2000.0</v>
      </c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>
        <v>5508.0</v>
      </c>
      <c r="R111" s="190"/>
      <c r="S111" s="190"/>
      <c r="T111" s="190"/>
      <c r="U111" s="190"/>
      <c r="V111" s="26">
        <f t="shared" si="49"/>
        <v>7508</v>
      </c>
      <c r="W111" s="27"/>
      <c r="X111" s="27"/>
      <c r="AD111" s="27"/>
      <c r="AF111" s="27"/>
      <c r="AH111" s="27"/>
    </row>
    <row r="112" ht="15.75" customHeight="1">
      <c r="A112" s="1" t="s">
        <v>398</v>
      </c>
      <c r="B112" s="189" t="s">
        <v>397</v>
      </c>
      <c r="C112" s="1"/>
      <c r="D112" s="190"/>
      <c r="E112" s="190"/>
      <c r="F112" s="190"/>
      <c r="G112" s="190"/>
      <c r="H112" s="190"/>
      <c r="I112" s="190"/>
      <c r="J112" s="190"/>
      <c r="K112" s="190">
        <v>4590.0</v>
      </c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26">
        <f t="shared" si="49"/>
        <v>4590</v>
      </c>
      <c r="W112" s="27"/>
      <c r="X112" s="27"/>
      <c r="AD112" s="27"/>
      <c r="AF112" s="27"/>
      <c r="AH112" s="27"/>
    </row>
    <row r="113" ht="15.75" customHeight="1">
      <c r="A113" s="1" t="s">
        <v>400</v>
      </c>
      <c r="B113" s="189" t="s">
        <v>399</v>
      </c>
      <c r="C113" s="1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26">
        <f t="shared" si="49"/>
        <v>0</v>
      </c>
      <c r="W113" s="27"/>
      <c r="X113" s="27"/>
      <c r="AD113" s="27"/>
      <c r="AF113" s="27"/>
      <c r="AH113" s="27"/>
    </row>
    <row r="114" ht="15.75" customHeight="1">
      <c r="A114" s="1" t="s">
        <v>402</v>
      </c>
      <c r="B114" s="189" t="s">
        <v>401</v>
      </c>
      <c r="C114" s="1"/>
      <c r="D114" s="190"/>
      <c r="E114" s="190"/>
      <c r="F114" s="190"/>
      <c r="G114" s="190">
        <f>8793.75/3</f>
        <v>2931.25</v>
      </c>
      <c r="H114" s="190"/>
      <c r="I114" s="190"/>
      <c r="J114" s="190"/>
      <c r="K114" s="190"/>
      <c r="L114" s="190"/>
      <c r="M114" s="190"/>
      <c r="N114" s="190">
        <v>2990.0</v>
      </c>
      <c r="O114" s="190">
        <v>2990.0</v>
      </c>
      <c r="P114" s="190"/>
      <c r="Q114" s="190"/>
      <c r="R114" s="190"/>
      <c r="S114" s="190"/>
      <c r="T114" s="190"/>
      <c r="U114" s="190"/>
      <c r="V114" s="26">
        <f t="shared" si="49"/>
        <v>8911.25</v>
      </c>
      <c r="W114" s="27"/>
      <c r="X114" s="27"/>
      <c r="AD114" s="27"/>
      <c r="AF114" s="27"/>
      <c r="AH114" s="27"/>
    </row>
    <row r="115" ht="15.75" customHeight="1">
      <c r="A115" s="1" t="s">
        <v>405</v>
      </c>
      <c r="B115" s="189" t="s">
        <v>404</v>
      </c>
      <c r="C115" s="1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26">
        <f t="shared" si="49"/>
        <v>0</v>
      </c>
      <c r="W115" s="27"/>
      <c r="X115" s="27"/>
      <c r="AD115" s="27"/>
      <c r="AF115" s="27"/>
      <c r="AH115" s="27"/>
    </row>
    <row r="116" ht="15.75" customHeight="1">
      <c r="A116" s="1" t="s">
        <v>408</v>
      </c>
      <c r="B116" s="189" t="s">
        <v>407</v>
      </c>
      <c r="C116" s="1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26">
        <f t="shared" si="49"/>
        <v>0</v>
      </c>
      <c r="W116" s="27"/>
      <c r="X116" s="27"/>
      <c r="AD116" s="27"/>
      <c r="AF116" s="27"/>
      <c r="AH116" s="27"/>
    </row>
    <row r="117" ht="15.75" customHeight="1">
      <c r="A117" s="1" t="s">
        <v>412</v>
      </c>
      <c r="B117" s="189" t="s">
        <v>410</v>
      </c>
      <c r="C117" s="1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26">
        <f t="shared" si="49"/>
        <v>0</v>
      </c>
      <c r="W117" s="27"/>
      <c r="X117" s="27"/>
      <c r="AD117" s="27"/>
      <c r="AF117" s="27"/>
      <c r="AH117" s="27"/>
    </row>
    <row r="118" ht="15.75" customHeight="1">
      <c r="A118" s="1" t="s">
        <v>760</v>
      </c>
      <c r="B118" s="189" t="s">
        <v>420</v>
      </c>
      <c r="C118" s="1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>
        <f>200*24</f>
        <v>4800</v>
      </c>
      <c r="P118" s="190"/>
      <c r="Q118" s="190"/>
      <c r="R118" s="190"/>
      <c r="S118" s="190"/>
      <c r="T118" s="190"/>
      <c r="U118" s="190"/>
      <c r="V118" s="26">
        <f t="shared" si="49"/>
        <v>4800</v>
      </c>
      <c r="W118" s="27"/>
      <c r="X118" s="27"/>
      <c r="AD118" s="27"/>
      <c r="AF118" s="27"/>
      <c r="AH118" s="27"/>
    </row>
    <row r="119" ht="15.75" customHeight="1">
      <c r="A119" s="1" t="s">
        <v>434</v>
      </c>
      <c r="B119" s="189" t="s">
        <v>433</v>
      </c>
      <c r="C119" s="1"/>
      <c r="D119" s="190">
        <f t="shared" ref="D119:E119" si="50">4602.07/17</f>
        <v>270.71</v>
      </c>
      <c r="E119" s="190">
        <f t="shared" si="50"/>
        <v>270.71</v>
      </c>
      <c r="F119" s="190"/>
      <c r="G119" s="190">
        <f t="shared" ref="G119:H119" si="51">4602.07/17</f>
        <v>270.71</v>
      </c>
      <c r="H119" s="190">
        <f t="shared" si="51"/>
        <v>270.71</v>
      </c>
      <c r="I119" s="190"/>
      <c r="J119" s="190">
        <f t="shared" ref="J119:K119" si="52">4602.07/17</f>
        <v>270.71</v>
      </c>
      <c r="K119" s="190">
        <f t="shared" si="52"/>
        <v>270.71</v>
      </c>
      <c r="L119" s="190"/>
      <c r="M119" s="190">
        <f>4602.07/17</f>
        <v>270.71</v>
      </c>
      <c r="N119" s="190"/>
      <c r="O119" s="190">
        <f>4602.07/17</f>
        <v>270.71</v>
      </c>
      <c r="P119" s="190">
        <v>0.0</v>
      </c>
      <c r="Q119" s="190"/>
      <c r="R119" s="190">
        <f>4602.07/17</f>
        <v>270.71</v>
      </c>
      <c r="S119" s="190"/>
      <c r="T119" s="190"/>
      <c r="U119" s="190"/>
      <c r="V119" s="26">
        <f t="shared" si="49"/>
        <v>2436.39</v>
      </c>
      <c r="W119" s="27"/>
      <c r="X119" s="27"/>
      <c r="AD119" s="27"/>
      <c r="AF119" s="27"/>
      <c r="AH119" s="27"/>
    </row>
    <row r="120" ht="15.75" customHeight="1">
      <c r="A120" s="1" t="s">
        <v>434</v>
      </c>
      <c r="B120" s="189" t="s">
        <v>435</v>
      </c>
      <c r="C120" s="1"/>
      <c r="D120" s="26"/>
      <c r="E120" s="26"/>
      <c r="F120" s="26">
        <v>271.0</v>
      </c>
      <c r="G120" s="26"/>
      <c r="H120" s="26"/>
      <c r="I120" s="26">
        <v>271.0</v>
      </c>
      <c r="J120" s="26"/>
      <c r="K120" s="26"/>
      <c r="L120" s="26">
        <v>271.0</v>
      </c>
      <c r="M120" s="26"/>
      <c r="N120" s="26">
        <v>271.0</v>
      </c>
      <c r="O120" s="26"/>
      <c r="P120" s="26"/>
      <c r="Q120" s="26">
        <v>271.0</v>
      </c>
      <c r="R120" s="26"/>
      <c r="S120" s="26"/>
      <c r="T120" s="26"/>
      <c r="U120" s="26"/>
      <c r="V120" s="26">
        <f t="shared" si="49"/>
        <v>1355</v>
      </c>
      <c r="W120" s="27"/>
      <c r="X120" s="27"/>
      <c r="AD120" s="27"/>
      <c r="AF120" s="27"/>
      <c r="AH120" s="27"/>
    </row>
    <row r="121" ht="15.75" customHeight="1">
      <c r="A121" s="1" t="s">
        <v>434</v>
      </c>
      <c r="B121" s="189" t="s">
        <v>436</v>
      </c>
      <c r="C121" s="1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>
        <f t="shared" si="49"/>
        <v>0</v>
      </c>
      <c r="W121" s="27"/>
      <c r="X121" s="27"/>
      <c r="AD121" s="27"/>
      <c r="AF121" s="27"/>
      <c r="AH121" s="27"/>
    </row>
    <row r="122" ht="15.75" customHeight="1">
      <c r="A122" s="191" t="s">
        <v>761</v>
      </c>
      <c r="B122" s="192"/>
      <c r="C122" s="192"/>
      <c r="D122" s="193">
        <f t="shared" ref="D122:V122" si="53">SUM(D101:D121)</f>
        <v>38684.71</v>
      </c>
      <c r="E122" s="193">
        <f t="shared" si="53"/>
        <v>31482.95</v>
      </c>
      <c r="F122" s="193">
        <f t="shared" si="53"/>
        <v>42719.32</v>
      </c>
      <c r="G122" s="193">
        <f t="shared" si="53"/>
        <v>33201.96</v>
      </c>
      <c r="H122" s="193">
        <f t="shared" si="53"/>
        <v>40136.63</v>
      </c>
      <c r="I122" s="193">
        <f t="shared" si="53"/>
        <v>35645</v>
      </c>
      <c r="J122" s="193">
        <f t="shared" si="53"/>
        <v>40379.03</v>
      </c>
      <c r="K122" s="193">
        <f t="shared" si="53"/>
        <v>34860.71</v>
      </c>
      <c r="L122" s="193">
        <f t="shared" si="53"/>
        <v>52271.08</v>
      </c>
      <c r="M122" s="193">
        <f t="shared" si="53"/>
        <v>34950.71</v>
      </c>
      <c r="N122" s="193">
        <f t="shared" si="53"/>
        <v>56442.6</v>
      </c>
      <c r="O122" s="193">
        <f t="shared" si="53"/>
        <v>38618.71</v>
      </c>
      <c r="P122" s="193">
        <f t="shared" si="53"/>
        <v>0</v>
      </c>
      <c r="Q122" s="193">
        <f t="shared" si="53"/>
        <v>84319</v>
      </c>
      <c r="R122" s="193">
        <f t="shared" si="53"/>
        <v>20527.19</v>
      </c>
      <c r="S122" s="193">
        <f t="shared" si="53"/>
        <v>20780</v>
      </c>
      <c r="T122" s="193">
        <f t="shared" si="53"/>
        <v>0</v>
      </c>
      <c r="U122" s="193">
        <f t="shared" si="53"/>
        <v>3984</v>
      </c>
      <c r="V122" s="194">
        <f t="shared" si="53"/>
        <v>609003.6</v>
      </c>
      <c r="W122" s="27">
        <v>490000.0</v>
      </c>
      <c r="X122" s="27">
        <f>+V122-W122</f>
        <v>119003.6</v>
      </c>
      <c r="AD122" s="27"/>
      <c r="AF122" s="27"/>
      <c r="AH122" s="27"/>
    </row>
    <row r="123" ht="15.75" customHeight="1">
      <c r="A123" s="1" t="s">
        <v>762</v>
      </c>
      <c r="B123" s="1" t="s">
        <v>443</v>
      </c>
      <c r="C123" s="1"/>
      <c r="D123" s="26">
        <f t="shared" ref="D123:R123" si="54">+IF(D122&gt;0,D28*0.5,0)</f>
        <v>3228</v>
      </c>
      <c r="E123" s="26">
        <f t="shared" si="54"/>
        <v>3228</v>
      </c>
      <c r="F123" s="26">
        <f t="shared" si="54"/>
        <v>3228</v>
      </c>
      <c r="G123" s="26">
        <f t="shared" si="54"/>
        <v>3228</v>
      </c>
      <c r="H123" s="26">
        <f t="shared" si="54"/>
        <v>3228</v>
      </c>
      <c r="I123" s="26">
        <f t="shared" si="54"/>
        <v>3228</v>
      </c>
      <c r="J123" s="26">
        <f t="shared" si="54"/>
        <v>3228</v>
      </c>
      <c r="K123" s="26">
        <f t="shared" si="54"/>
        <v>3228</v>
      </c>
      <c r="L123" s="26">
        <f t="shared" si="54"/>
        <v>3228</v>
      </c>
      <c r="M123" s="26">
        <f t="shared" si="54"/>
        <v>3228</v>
      </c>
      <c r="N123" s="26">
        <f t="shared" si="54"/>
        <v>3228</v>
      </c>
      <c r="O123" s="26">
        <f t="shared" si="54"/>
        <v>3228</v>
      </c>
      <c r="P123" s="26">
        <f t="shared" si="54"/>
        <v>0</v>
      </c>
      <c r="Q123" s="26">
        <f t="shared" si="54"/>
        <v>3228</v>
      </c>
      <c r="R123" s="26">
        <f t="shared" si="54"/>
        <v>3228</v>
      </c>
      <c r="S123" s="190">
        <v>600.0</v>
      </c>
      <c r="T123" s="26">
        <v>2400.0</v>
      </c>
      <c r="U123" s="26">
        <f>+IF(U122&gt;0,U28*0.5,0)</f>
        <v>0</v>
      </c>
      <c r="V123" s="26">
        <f t="shared" ref="V123:V124" si="55">+SUM(D123:U123)</f>
        <v>48192</v>
      </c>
      <c r="W123" s="27"/>
      <c r="X123" s="27"/>
      <c r="AD123" s="27"/>
      <c r="AF123" s="27"/>
      <c r="AH123" s="27"/>
    </row>
    <row r="124" ht="15.75" customHeight="1">
      <c r="A124" s="1" t="s">
        <v>763</v>
      </c>
      <c r="B124" s="1" t="s">
        <v>439</v>
      </c>
      <c r="C124" s="1"/>
      <c r="D124" s="26">
        <v>0.0</v>
      </c>
      <c r="E124" s="26">
        <v>0.0</v>
      </c>
      <c r="F124" s="26">
        <v>0.0</v>
      </c>
      <c r="G124" s="26">
        <v>0.0</v>
      </c>
      <c r="H124" s="26">
        <v>0.0</v>
      </c>
      <c r="I124" s="26">
        <v>0.0</v>
      </c>
      <c r="J124" s="26">
        <v>0.0</v>
      </c>
      <c r="K124" s="26">
        <v>0.0</v>
      </c>
      <c r="L124" s="26">
        <v>0.0</v>
      </c>
      <c r="M124" s="26">
        <v>0.0</v>
      </c>
      <c r="N124" s="26">
        <v>0.0</v>
      </c>
      <c r="O124" s="26">
        <v>0.0</v>
      </c>
      <c r="P124" s="26">
        <v>0.0</v>
      </c>
      <c r="Q124" s="26">
        <v>0.0</v>
      </c>
      <c r="R124" s="26">
        <v>0.0</v>
      </c>
      <c r="S124" s="26">
        <v>0.0</v>
      </c>
      <c r="T124" s="26">
        <v>0.0</v>
      </c>
      <c r="U124" s="26">
        <v>0.0</v>
      </c>
      <c r="V124" s="26">
        <f t="shared" si="55"/>
        <v>0</v>
      </c>
      <c r="W124" s="27"/>
      <c r="X124" s="27"/>
      <c r="AD124" s="27"/>
      <c r="AF124" s="27"/>
      <c r="AH124" s="27"/>
    </row>
    <row r="125" ht="15.75" customHeight="1">
      <c r="A125" s="1" t="s">
        <v>764</v>
      </c>
      <c r="B125" s="1"/>
      <c r="C125" s="1"/>
      <c r="D125" s="57">
        <f t="shared" ref="D125:U125" si="56">+D124/D122</f>
        <v>0</v>
      </c>
      <c r="E125" s="57">
        <f t="shared" si="56"/>
        <v>0</v>
      </c>
      <c r="F125" s="57">
        <f t="shared" si="56"/>
        <v>0</v>
      </c>
      <c r="G125" s="57">
        <f t="shared" si="56"/>
        <v>0</v>
      </c>
      <c r="H125" s="57">
        <f t="shared" si="56"/>
        <v>0</v>
      </c>
      <c r="I125" s="57">
        <f t="shared" si="56"/>
        <v>0</v>
      </c>
      <c r="J125" s="57">
        <f t="shared" si="56"/>
        <v>0</v>
      </c>
      <c r="K125" s="57">
        <f t="shared" si="56"/>
        <v>0</v>
      </c>
      <c r="L125" s="57">
        <f t="shared" si="56"/>
        <v>0</v>
      </c>
      <c r="M125" s="57">
        <f t="shared" si="56"/>
        <v>0</v>
      </c>
      <c r="N125" s="57">
        <f t="shared" si="56"/>
        <v>0</v>
      </c>
      <c r="O125" s="57">
        <f t="shared" si="56"/>
        <v>0</v>
      </c>
      <c r="P125" s="57" t="str">
        <f t="shared" si="56"/>
        <v>#DIV/0!</v>
      </c>
      <c r="Q125" s="57">
        <f t="shared" si="56"/>
        <v>0</v>
      </c>
      <c r="R125" s="57">
        <f t="shared" si="56"/>
        <v>0</v>
      </c>
      <c r="S125" s="57">
        <f t="shared" si="56"/>
        <v>0</v>
      </c>
      <c r="T125" s="57" t="str">
        <f t="shared" si="56"/>
        <v>#DIV/0!</v>
      </c>
      <c r="U125" s="57">
        <f t="shared" si="56"/>
        <v>0</v>
      </c>
      <c r="W125" s="27"/>
      <c r="X125" s="27"/>
      <c r="AD125" s="27"/>
      <c r="AF125" s="27"/>
      <c r="AH125" s="27"/>
    </row>
    <row r="126" ht="15.75" customHeight="1">
      <c r="A126" s="1"/>
      <c r="B126" s="1"/>
      <c r="C126" s="1"/>
      <c r="W126" s="27"/>
      <c r="X126" s="27"/>
      <c r="AD126" s="27"/>
      <c r="AF126" s="27"/>
      <c r="AH126" s="27"/>
    </row>
    <row r="127" ht="15.75" customHeight="1">
      <c r="A127" s="1" t="s">
        <v>765</v>
      </c>
      <c r="B127" s="1" t="s">
        <v>453</v>
      </c>
      <c r="C127" s="1"/>
      <c r="D127" s="26">
        <f t="shared" ref="D127:H127" si="57">+D33*1.02</f>
        <v>81.396</v>
      </c>
      <c r="E127" s="26">
        <f t="shared" si="57"/>
        <v>81.396</v>
      </c>
      <c r="F127" s="26">
        <f t="shared" si="57"/>
        <v>81.396</v>
      </c>
      <c r="G127" s="26">
        <f t="shared" si="57"/>
        <v>81.396</v>
      </c>
      <c r="H127" s="26">
        <f t="shared" si="57"/>
        <v>81.396</v>
      </c>
      <c r="I127" s="26">
        <v>0.0</v>
      </c>
      <c r="J127" s="26">
        <f t="shared" ref="J127:U127" si="58">+J33*1.02</f>
        <v>81.396</v>
      </c>
      <c r="K127" s="26">
        <f t="shared" si="58"/>
        <v>81.396</v>
      </c>
      <c r="L127" s="26">
        <f t="shared" si="58"/>
        <v>81.396</v>
      </c>
      <c r="M127" s="26">
        <f t="shared" si="58"/>
        <v>81.396</v>
      </c>
      <c r="N127" s="26">
        <f t="shared" si="58"/>
        <v>81.396</v>
      </c>
      <c r="O127" s="26">
        <f t="shared" si="58"/>
        <v>81.396</v>
      </c>
      <c r="P127" s="26">
        <f t="shared" si="58"/>
        <v>81.396</v>
      </c>
      <c r="Q127" s="26">
        <f t="shared" si="58"/>
        <v>81.396</v>
      </c>
      <c r="R127" s="26">
        <f t="shared" si="58"/>
        <v>81.396</v>
      </c>
      <c r="S127" s="26">
        <f t="shared" si="58"/>
        <v>81.396</v>
      </c>
      <c r="T127" s="26">
        <f t="shared" si="58"/>
        <v>0</v>
      </c>
      <c r="U127" s="26">
        <f t="shared" si="58"/>
        <v>0</v>
      </c>
      <c r="V127" s="26">
        <f>+SUM(D127:U127)</f>
        <v>1220.94</v>
      </c>
      <c r="W127" s="27"/>
      <c r="X127" s="27"/>
      <c r="AD127" s="27"/>
      <c r="AF127" s="27"/>
      <c r="AH127" s="27"/>
    </row>
    <row r="128" ht="15.75" customHeight="1">
      <c r="A128" s="1"/>
      <c r="B128" s="1"/>
      <c r="C128" s="1"/>
      <c r="W128" s="27"/>
      <c r="X128" s="27"/>
      <c r="AD128" s="27"/>
      <c r="AF128" s="27"/>
      <c r="AH128" s="27"/>
    </row>
    <row r="129" ht="15.75" customHeight="1">
      <c r="A129" s="1" t="s">
        <v>766</v>
      </c>
      <c r="B129" s="1" t="s">
        <v>459</v>
      </c>
      <c r="C129" s="1"/>
      <c r="D129" s="26">
        <f t="shared" ref="D129:U129" si="59">+D122*0.065</f>
        <v>2514.50615</v>
      </c>
      <c r="E129" s="26">
        <f t="shared" si="59"/>
        <v>2046.39175</v>
      </c>
      <c r="F129" s="26">
        <f t="shared" si="59"/>
        <v>2776.7558</v>
      </c>
      <c r="G129" s="26">
        <f t="shared" si="59"/>
        <v>2158.1274</v>
      </c>
      <c r="H129" s="26">
        <f t="shared" si="59"/>
        <v>2608.88095</v>
      </c>
      <c r="I129" s="26">
        <f t="shared" si="59"/>
        <v>2316.925</v>
      </c>
      <c r="J129" s="26">
        <f t="shared" si="59"/>
        <v>2624.63695</v>
      </c>
      <c r="K129" s="26">
        <f t="shared" si="59"/>
        <v>2265.94615</v>
      </c>
      <c r="L129" s="26">
        <f t="shared" si="59"/>
        <v>3397.6202</v>
      </c>
      <c r="M129" s="26">
        <f t="shared" si="59"/>
        <v>2271.79615</v>
      </c>
      <c r="N129" s="26">
        <f t="shared" si="59"/>
        <v>3668.769</v>
      </c>
      <c r="O129" s="26">
        <f t="shared" si="59"/>
        <v>2510.21615</v>
      </c>
      <c r="P129" s="26">
        <f t="shared" si="59"/>
        <v>0</v>
      </c>
      <c r="Q129" s="26">
        <f t="shared" si="59"/>
        <v>5480.735</v>
      </c>
      <c r="R129" s="26">
        <f t="shared" si="59"/>
        <v>1334.26735</v>
      </c>
      <c r="S129" s="26">
        <f t="shared" si="59"/>
        <v>1350.7</v>
      </c>
      <c r="T129" s="26">
        <f t="shared" si="59"/>
        <v>0</v>
      </c>
      <c r="U129" s="26">
        <f t="shared" si="59"/>
        <v>258.96</v>
      </c>
      <c r="V129" s="26">
        <f t="shared" ref="V129:V130" si="61">+SUM(D129:U129)</f>
        <v>39585.234</v>
      </c>
      <c r="W129" s="27"/>
      <c r="X129" s="27"/>
      <c r="AD129" s="27"/>
      <c r="AF129" s="27"/>
      <c r="AH129" s="27"/>
    </row>
    <row r="130" ht="15.75" customHeight="1">
      <c r="A130" s="1" t="s">
        <v>767</v>
      </c>
      <c r="B130" s="1" t="s">
        <v>463</v>
      </c>
      <c r="C130" s="1"/>
      <c r="D130" s="26">
        <f t="shared" ref="D130:U130" si="60">+D122*0.0145</f>
        <v>560.928295</v>
      </c>
      <c r="E130" s="26">
        <f t="shared" si="60"/>
        <v>456.502775</v>
      </c>
      <c r="F130" s="26">
        <f t="shared" si="60"/>
        <v>619.43014</v>
      </c>
      <c r="G130" s="26">
        <f t="shared" si="60"/>
        <v>481.42842</v>
      </c>
      <c r="H130" s="26">
        <f t="shared" si="60"/>
        <v>581.981135</v>
      </c>
      <c r="I130" s="26">
        <f t="shared" si="60"/>
        <v>516.8525</v>
      </c>
      <c r="J130" s="26">
        <f t="shared" si="60"/>
        <v>585.495935</v>
      </c>
      <c r="K130" s="26">
        <f t="shared" si="60"/>
        <v>505.480295</v>
      </c>
      <c r="L130" s="26">
        <f t="shared" si="60"/>
        <v>757.93066</v>
      </c>
      <c r="M130" s="26">
        <f t="shared" si="60"/>
        <v>506.785295</v>
      </c>
      <c r="N130" s="26">
        <f t="shared" si="60"/>
        <v>818.4177</v>
      </c>
      <c r="O130" s="26">
        <f t="shared" si="60"/>
        <v>559.971295</v>
      </c>
      <c r="P130" s="26">
        <f t="shared" si="60"/>
        <v>0</v>
      </c>
      <c r="Q130" s="26">
        <f t="shared" si="60"/>
        <v>1222.6255</v>
      </c>
      <c r="R130" s="26">
        <f t="shared" si="60"/>
        <v>297.644255</v>
      </c>
      <c r="S130" s="26">
        <f t="shared" si="60"/>
        <v>301.31</v>
      </c>
      <c r="T130" s="26">
        <f t="shared" si="60"/>
        <v>0</v>
      </c>
      <c r="U130" s="26">
        <f t="shared" si="60"/>
        <v>57.768</v>
      </c>
      <c r="V130" s="26">
        <f t="shared" si="61"/>
        <v>8830.5522</v>
      </c>
      <c r="W130" s="27"/>
      <c r="X130" s="27"/>
      <c r="AD130" s="27"/>
      <c r="AF130" s="27"/>
      <c r="AH130" s="27"/>
    </row>
    <row r="131" ht="15.75" customHeight="1">
      <c r="W131" s="27"/>
      <c r="X131" s="27"/>
      <c r="AD131" s="27"/>
      <c r="AF131" s="27"/>
      <c r="AH131" s="27"/>
    </row>
    <row r="132" ht="15.75" customHeight="1">
      <c r="A132" s="50" t="s">
        <v>773</v>
      </c>
      <c r="B132" s="1"/>
      <c r="C132" s="1"/>
      <c r="D132" s="8" t="s">
        <v>774</v>
      </c>
      <c r="W132" s="27"/>
      <c r="X132" s="27"/>
      <c r="AD132" s="27"/>
      <c r="AF132" s="27"/>
      <c r="AH132" s="27"/>
    </row>
    <row r="133" ht="54.75" customHeight="1">
      <c r="A133" s="184" t="s">
        <v>739</v>
      </c>
      <c r="B133" s="185" t="s">
        <v>740</v>
      </c>
      <c r="C133" s="186"/>
      <c r="D133" s="187" t="s">
        <v>741</v>
      </c>
      <c r="E133" s="187" t="s">
        <v>742</v>
      </c>
      <c r="F133" s="187" t="s">
        <v>743</v>
      </c>
      <c r="G133" s="187" t="s">
        <v>744</v>
      </c>
      <c r="H133" s="187" t="s">
        <v>745</v>
      </c>
      <c r="I133" s="187" t="s">
        <v>746</v>
      </c>
      <c r="J133" s="187" t="s">
        <v>747</v>
      </c>
      <c r="K133" s="187" t="s">
        <v>748</v>
      </c>
      <c r="L133" s="187" t="s">
        <v>749</v>
      </c>
      <c r="M133" s="187" t="s">
        <v>750</v>
      </c>
      <c r="N133" s="187" t="s">
        <v>751</v>
      </c>
      <c r="O133" s="187" t="s">
        <v>752</v>
      </c>
      <c r="P133" s="187"/>
      <c r="Q133" s="187" t="s">
        <v>754</v>
      </c>
      <c r="R133" s="187" t="s">
        <v>775</v>
      </c>
      <c r="S133" s="187"/>
      <c r="T133" s="187" t="s">
        <v>757</v>
      </c>
      <c r="U133" s="187" t="s">
        <v>758</v>
      </c>
      <c r="V133" s="188" t="s">
        <v>759</v>
      </c>
      <c r="W133" s="27"/>
      <c r="X133" s="27"/>
      <c r="AD133" s="27"/>
      <c r="AE133" s="27"/>
      <c r="AF133" s="27"/>
      <c r="AH133" s="27"/>
    </row>
    <row r="134" ht="15.75" customHeight="1">
      <c r="A134" s="1" t="s">
        <v>376</v>
      </c>
      <c r="B134" s="189" t="s">
        <v>375</v>
      </c>
      <c r="C134" s="1"/>
      <c r="D134" s="26">
        <f t="shared" ref="D134:R134" si="62">+D101*1.03</f>
        <v>0</v>
      </c>
      <c r="E134" s="26">
        <f t="shared" si="62"/>
        <v>0</v>
      </c>
      <c r="F134" s="26">
        <f t="shared" si="62"/>
        <v>0</v>
      </c>
      <c r="G134" s="26">
        <f t="shared" si="62"/>
        <v>0</v>
      </c>
      <c r="H134" s="26">
        <f t="shared" si="62"/>
        <v>0</v>
      </c>
      <c r="I134" s="26">
        <f t="shared" si="62"/>
        <v>0</v>
      </c>
      <c r="J134" s="26">
        <f t="shared" si="62"/>
        <v>0</v>
      </c>
      <c r="K134" s="26">
        <f t="shared" si="62"/>
        <v>0</v>
      </c>
      <c r="L134" s="26">
        <f t="shared" si="62"/>
        <v>0</v>
      </c>
      <c r="M134" s="26">
        <f t="shared" si="62"/>
        <v>0</v>
      </c>
      <c r="N134" s="26">
        <f t="shared" si="62"/>
        <v>0</v>
      </c>
      <c r="O134" s="26">
        <f t="shared" si="62"/>
        <v>0</v>
      </c>
      <c r="P134" s="26">
        <f t="shared" si="62"/>
        <v>0</v>
      </c>
      <c r="Q134" s="26">
        <f t="shared" si="62"/>
        <v>0</v>
      </c>
      <c r="R134" s="26">
        <f t="shared" si="62"/>
        <v>0</v>
      </c>
      <c r="S134" s="190"/>
      <c r="T134" s="190"/>
      <c r="U134" s="190">
        <v>4500.0</v>
      </c>
      <c r="V134" s="26">
        <f t="shared" ref="V134:V154" si="64">SUM(D134:U134)</f>
        <v>4500</v>
      </c>
      <c r="W134" s="27"/>
      <c r="X134" s="27"/>
      <c r="AD134" s="27"/>
      <c r="AE134" s="27"/>
      <c r="AF134" s="27"/>
      <c r="AH134" s="27"/>
    </row>
    <row r="135" ht="15.75" customHeight="1">
      <c r="A135" s="1" t="s">
        <v>378</v>
      </c>
      <c r="B135" s="189" t="s">
        <v>377</v>
      </c>
      <c r="C135" s="1"/>
      <c r="D135" s="26">
        <f t="shared" ref="D135:R135" si="63">+D102*1.03</f>
        <v>0</v>
      </c>
      <c r="E135" s="26">
        <f t="shared" si="63"/>
        <v>0</v>
      </c>
      <c r="F135" s="26">
        <f t="shared" si="63"/>
        <v>0</v>
      </c>
      <c r="G135" s="26">
        <f t="shared" si="63"/>
        <v>0</v>
      </c>
      <c r="H135" s="26">
        <f t="shared" si="63"/>
        <v>0</v>
      </c>
      <c r="I135" s="26">
        <f t="shared" si="63"/>
        <v>0</v>
      </c>
      <c r="J135" s="26">
        <f t="shared" si="63"/>
        <v>0</v>
      </c>
      <c r="K135" s="26">
        <f t="shared" si="63"/>
        <v>0</v>
      </c>
      <c r="L135" s="26">
        <f t="shared" si="63"/>
        <v>0</v>
      </c>
      <c r="M135" s="26">
        <f t="shared" si="63"/>
        <v>0</v>
      </c>
      <c r="N135" s="26">
        <f t="shared" si="63"/>
        <v>0</v>
      </c>
      <c r="O135" s="26">
        <f t="shared" si="63"/>
        <v>0</v>
      </c>
      <c r="P135" s="26">
        <f t="shared" si="63"/>
        <v>0</v>
      </c>
      <c r="Q135" s="26">
        <f t="shared" si="63"/>
        <v>0</v>
      </c>
      <c r="R135" s="26">
        <f t="shared" si="63"/>
        <v>0</v>
      </c>
      <c r="S135" s="190"/>
      <c r="T135" s="190">
        <v>12000.0</v>
      </c>
      <c r="U135" s="190"/>
      <c r="V135" s="26">
        <f t="shared" si="64"/>
        <v>12000</v>
      </c>
      <c r="W135" s="27"/>
      <c r="X135" s="27"/>
      <c r="AD135" s="27"/>
      <c r="AF135" s="27"/>
      <c r="AH135" s="27"/>
    </row>
    <row r="136" ht="15.75" customHeight="1">
      <c r="A136" s="1" t="s">
        <v>380</v>
      </c>
      <c r="B136" s="189" t="s">
        <v>379</v>
      </c>
      <c r="C136" s="1"/>
      <c r="D136" s="26">
        <f t="shared" ref="D136:R136" si="65">+D103*1.03</f>
        <v>0</v>
      </c>
      <c r="E136" s="26">
        <f t="shared" si="65"/>
        <v>0</v>
      </c>
      <c r="F136" s="26">
        <f t="shared" si="65"/>
        <v>0</v>
      </c>
      <c r="G136" s="26">
        <f t="shared" si="65"/>
        <v>0</v>
      </c>
      <c r="H136" s="26">
        <f t="shared" si="65"/>
        <v>0</v>
      </c>
      <c r="I136" s="26">
        <f t="shared" si="65"/>
        <v>0</v>
      </c>
      <c r="J136" s="26">
        <f t="shared" si="65"/>
        <v>0</v>
      </c>
      <c r="K136" s="26">
        <f t="shared" si="65"/>
        <v>0</v>
      </c>
      <c r="L136" s="26">
        <f t="shared" si="65"/>
        <v>0</v>
      </c>
      <c r="M136" s="26">
        <f t="shared" si="65"/>
        <v>0</v>
      </c>
      <c r="N136" s="26">
        <f t="shared" si="65"/>
        <v>0</v>
      </c>
      <c r="O136" s="26">
        <f t="shared" si="65"/>
        <v>0</v>
      </c>
      <c r="P136" s="26">
        <f t="shared" si="65"/>
        <v>0</v>
      </c>
      <c r="Q136" s="26">
        <f t="shared" si="65"/>
        <v>0</v>
      </c>
      <c r="R136" s="26">
        <f t="shared" si="65"/>
        <v>0</v>
      </c>
      <c r="S136" s="190"/>
      <c r="T136" s="190"/>
      <c r="U136" s="190"/>
      <c r="V136" s="26">
        <f t="shared" si="64"/>
        <v>0</v>
      </c>
      <c r="W136" s="27"/>
      <c r="X136" s="27"/>
      <c r="AD136" s="27"/>
      <c r="AE136" s="27"/>
      <c r="AF136" s="27"/>
      <c r="AH136" s="27"/>
    </row>
    <row r="137" ht="15.75" customHeight="1">
      <c r="A137" s="1" t="s">
        <v>382</v>
      </c>
      <c r="B137" s="189" t="s">
        <v>381</v>
      </c>
      <c r="C137" s="1"/>
      <c r="D137" s="26">
        <f t="shared" ref="D137:R137" si="66">+D104*1.03</f>
        <v>0</v>
      </c>
      <c r="E137" s="26">
        <f t="shared" si="66"/>
        <v>0</v>
      </c>
      <c r="F137" s="26">
        <f t="shared" si="66"/>
        <v>0</v>
      </c>
      <c r="G137" s="26">
        <f t="shared" si="66"/>
        <v>0</v>
      </c>
      <c r="H137" s="26">
        <f t="shared" si="66"/>
        <v>0</v>
      </c>
      <c r="I137" s="26">
        <f t="shared" si="66"/>
        <v>0</v>
      </c>
      <c r="J137" s="26">
        <f t="shared" si="66"/>
        <v>0</v>
      </c>
      <c r="K137" s="26">
        <f t="shared" si="66"/>
        <v>0</v>
      </c>
      <c r="L137" s="26">
        <f t="shared" si="66"/>
        <v>0</v>
      </c>
      <c r="M137" s="26">
        <f t="shared" si="66"/>
        <v>0</v>
      </c>
      <c r="N137" s="26">
        <f t="shared" si="66"/>
        <v>0</v>
      </c>
      <c r="O137" s="26">
        <f t="shared" si="66"/>
        <v>0</v>
      </c>
      <c r="P137" s="26">
        <f t="shared" si="66"/>
        <v>0</v>
      </c>
      <c r="Q137" s="26">
        <f t="shared" si="66"/>
        <v>0</v>
      </c>
      <c r="R137" s="26">
        <f t="shared" si="66"/>
        <v>0</v>
      </c>
      <c r="S137" s="190"/>
      <c r="T137" s="190"/>
      <c r="U137" s="190"/>
      <c r="V137" s="26">
        <f t="shared" si="64"/>
        <v>0</v>
      </c>
      <c r="W137" s="27"/>
      <c r="X137" s="27"/>
      <c r="AD137" s="27"/>
      <c r="AE137" s="27"/>
      <c r="AF137" s="27"/>
      <c r="AH137" s="27"/>
    </row>
    <row r="138" ht="15.75" customHeight="1">
      <c r="A138" s="1" t="s">
        <v>384</v>
      </c>
      <c r="B138" s="189" t="s">
        <v>383</v>
      </c>
      <c r="C138" s="1"/>
      <c r="D138" s="26">
        <f t="shared" ref="D138:Q138" si="67">+D105*1.03</f>
        <v>37506.42</v>
      </c>
      <c r="E138" s="26">
        <f t="shared" si="67"/>
        <v>32148.6072</v>
      </c>
      <c r="F138" s="26">
        <f t="shared" si="67"/>
        <v>0</v>
      </c>
      <c r="G138" s="26">
        <f t="shared" si="67"/>
        <v>30900</v>
      </c>
      <c r="H138" s="26">
        <f t="shared" si="67"/>
        <v>41061.8976</v>
      </c>
      <c r="I138" s="198">
        <f t="shared" si="67"/>
        <v>0</v>
      </c>
      <c r="J138" s="26">
        <f t="shared" si="67"/>
        <v>41311.5696</v>
      </c>
      <c r="K138" s="26">
        <f t="shared" si="67"/>
        <v>30900</v>
      </c>
      <c r="L138" s="26">
        <f t="shared" si="67"/>
        <v>0</v>
      </c>
      <c r="M138" s="26">
        <f t="shared" si="67"/>
        <v>35720.4</v>
      </c>
      <c r="N138" s="26">
        <f t="shared" si="67"/>
        <v>0</v>
      </c>
      <c r="O138" s="26">
        <f t="shared" si="67"/>
        <v>31474.74</v>
      </c>
      <c r="P138" s="26">
        <f t="shared" si="67"/>
        <v>0</v>
      </c>
      <c r="Q138" s="26">
        <f t="shared" si="67"/>
        <v>0</v>
      </c>
      <c r="R138" s="26">
        <v>37000.0</v>
      </c>
      <c r="S138" s="190"/>
      <c r="T138" s="190"/>
      <c r="U138" s="190"/>
      <c r="V138" s="26">
        <f t="shared" si="64"/>
        <v>318023.6344</v>
      </c>
      <c r="W138" s="27"/>
      <c r="X138" s="27"/>
      <c r="AD138" s="27"/>
      <c r="AF138" s="27"/>
      <c r="AH138" s="27"/>
    </row>
    <row r="139" ht="15.75" customHeight="1">
      <c r="A139" s="1" t="s">
        <v>386</v>
      </c>
      <c r="B139" s="189" t="s">
        <v>385</v>
      </c>
      <c r="C139" s="1"/>
      <c r="D139" s="26">
        <f t="shared" ref="D139:R139" si="68">+D106*1.03</f>
        <v>0</v>
      </c>
      <c r="E139" s="26">
        <f t="shared" si="68"/>
        <v>0</v>
      </c>
      <c r="F139" s="26">
        <f t="shared" si="68"/>
        <v>0</v>
      </c>
      <c r="G139" s="26">
        <f t="shared" si="68"/>
        <v>0</v>
      </c>
      <c r="H139" s="26">
        <f t="shared" si="68"/>
        <v>0</v>
      </c>
      <c r="I139" s="26">
        <f t="shared" si="68"/>
        <v>0</v>
      </c>
      <c r="J139" s="26">
        <f t="shared" si="68"/>
        <v>0</v>
      </c>
      <c r="K139" s="26">
        <f t="shared" si="68"/>
        <v>0</v>
      </c>
      <c r="L139" s="26">
        <f t="shared" si="68"/>
        <v>0</v>
      </c>
      <c r="M139" s="26">
        <f t="shared" si="68"/>
        <v>0</v>
      </c>
      <c r="N139" s="26">
        <f t="shared" si="68"/>
        <v>0</v>
      </c>
      <c r="O139" s="26">
        <f t="shared" si="68"/>
        <v>0</v>
      </c>
      <c r="P139" s="26">
        <f t="shared" si="68"/>
        <v>0</v>
      </c>
      <c r="Q139" s="26">
        <f t="shared" si="68"/>
        <v>0</v>
      </c>
      <c r="R139" s="26">
        <f t="shared" si="68"/>
        <v>0</v>
      </c>
      <c r="S139" s="190"/>
      <c r="T139" s="190"/>
      <c r="U139" s="190"/>
      <c r="V139" s="26">
        <f t="shared" si="64"/>
        <v>0</v>
      </c>
      <c r="W139" s="27"/>
      <c r="X139" s="27"/>
      <c r="AD139" s="27"/>
      <c r="AF139" s="27"/>
      <c r="AH139" s="27"/>
    </row>
    <row r="140" ht="15.75" customHeight="1">
      <c r="A140" s="1" t="s">
        <v>388</v>
      </c>
      <c r="B140" s="189" t="s">
        <v>387</v>
      </c>
      <c r="C140" s="1"/>
      <c r="D140" s="26">
        <f t="shared" ref="D140:R140" si="69">+D107*1.03</f>
        <v>0</v>
      </c>
      <c r="E140" s="26">
        <f t="shared" si="69"/>
        <v>0</v>
      </c>
      <c r="F140" s="26">
        <f t="shared" si="69"/>
        <v>0</v>
      </c>
      <c r="G140" s="26">
        <f t="shared" si="69"/>
        <v>0</v>
      </c>
      <c r="H140" s="26">
        <f t="shared" si="69"/>
        <v>0</v>
      </c>
      <c r="I140" s="26">
        <f t="shared" si="69"/>
        <v>0</v>
      </c>
      <c r="J140" s="26">
        <f t="shared" si="69"/>
        <v>0</v>
      </c>
      <c r="K140" s="26">
        <f t="shared" si="69"/>
        <v>0</v>
      </c>
      <c r="L140" s="26">
        <f t="shared" si="69"/>
        <v>0</v>
      </c>
      <c r="M140" s="26">
        <f t="shared" si="69"/>
        <v>0</v>
      </c>
      <c r="N140" s="26">
        <f t="shared" si="69"/>
        <v>0</v>
      </c>
      <c r="O140" s="26">
        <f t="shared" si="69"/>
        <v>0</v>
      </c>
      <c r="P140" s="26">
        <f t="shared" si="69"/>
        <v>0</v>
      </c>
      <c r="Q140" s="26">
        <f t="shared" si="69"/>
        <v>0</v>
      </c>
      <c r="R140" s="26">
        <f t="shared" si="69"/>
        <v>0</v>
      </c>
      <c r="S140" s="190"/>
      <c r="T140" s="190"/>
      <c r="U140" s="190"/>
      <c r="V140" s="26">
        <f t="shared" si="64"/>
        <v>0</v>
      </c>
      <c r="W140" s="27"/>
      <c r="X140" s="27"/>
      <c r="AD140" s="27"/>
      <c r="AF140" s="27"/>
      <c r="AH140" s="27"/>
    </row>
    <row r="141" ht="15.75" customHeight="1">
      <c r="A141" s="1" t="s">
        <v>390</v>
      </c>
      <c r="B141" s="189" t="s">
        <v>389</v>
      </c>
      <c r="C141" s="1"/>
      <c r="D141" s="26">
        <f t="shared" ref="D141:R141" si="70">+D108*1.03</f>
        <v>0</v>
      </c>
      <c r="E141" s="26">
        <f t="shared" si="70"/>
        <v>0</v>
      </c>
      <c r="F141" s="198">
        <f t="shared" si="70"/>
        <v>43721.7696</v>
      </c>
      <c r="G141" s="26">
        <f t="shared" si="70"/>
        <v>0</v>
      </c>
      <c r="H141" s="26">
        <f t="shared" si="70"/>
        <v>0</v>
      </c>
      <c r="I141" s="26">
        <f t="shared" si="70"/>
        <v>36435.22</v>
      </c>
      <c r="J141" s="26">
        <f t="shared" si="70"/>
        <v>0</v>
      </c>
      <c r="K141" s="26">
        <f t="shared" si="70"/>
        <v>0</v>
      </c>
      <c r="L141" s="26">
        <f t="shared" si="70"/>
        <v>53560.0824</v>
      </c>
      <c r="M141" s="26">
        <f t="shared" si="70"/>
        <v>0</v>
      </c>
      <c r="N141" s="26">
        <f t="shared" si="70"/>
        <v>54777.048</v>
      </c>
      <c r="O141" s="26">
        <f t="shared" si="70"/>
        <v>0</v>
      </c>
      <c r="P141" s="26">
        <f t="shared" si="70"/>
        <v>0</v>
      </c>
      <c r="Q141" s="198">
        <f t="shared" si="70"/>
        <v>80896.2</v>
      </c>
      <c r="R141" s="26">
        <f t="shared" si="70"/>
        <v>0</v>
      </c>
      <c r="S141" s="190"/>
      <c r="T141" s="190"/>
      <c r="U141" s="190"/>
      <c r="V141" s="26">
        <f t="shared" si="64"/>
        <v>269390.32</v>
      </c>
      <c r="W141" s="27"/>
      <c r="X141" s="27"/>
      <c r="AD141" s="27"/>
      <c r="AF141" s="27"/>
      <c r="AH141" s="27"/>
    </row>
    <row r="142" ht="15.75" customHeight="1">
      <c r="A142" s="1" t="s">
        <v>392</v>
      </c>
      <c r="B142" s="189" t="s">
        <v>391</v>
      </c>
      <c r="C142" s="1"/>
      <c r="D142" s="26">
        <f t="shared" ref="D142:R142" si="71">+D109*1.03</f>
        <v>0</v>
      </c>
      <c r="E142" s="26">
        <f t="shared" si="71"/>
        <v>0</v>
      </c>
      <c r="F142" s="26">
        <f t="shared" si="71"/>
        <v>0</v>
      </c>
      <c r="G142" s="26">
        <f t="shared" si="71"/>
        <v>0</v>
      </c>
      <c r="H142" s="26">
        <f t="shared" si="71"/>
        <v>0</v>
      </c>
      <c r="I142" s="26">
        <f t="shared" si="71"/>
        <v>0</v>
      </c>
      <c r="J142" s="26">
        <f t="shared" si="71"/>
        <v>0</v>
      </c>
      <c r="K142" s="26">
        <f t="shared" si="71"/>
        <v>0</v>
      </c>
      <c r="L142" s="26">
        <f t="shared" si="71"/>
        <v>0</v>
      </c>
      <c r="M142" s="26">
        <f t="shared" si="71"/>
        <v>0</v>
      </c>
      <c r="N142" s="26">
        <f t="shared" si="71"/>
        <v>0</v>
      </c>
      <c r="O142" s="26">
        <f t="shared" si="71"/>
        <v>0</v>
      </c>
      <c r="P142" s="26">
        <f t="shared" si="71"/>
        <v>0</v>
      </c>
      <c r="Q142" s="26">
        <f t="shared" si="71"/>
        <v>0</v>
      </c>
      <c r="R142" s="26">
        <f t="shared" si="71"/>
        <v>0</v>
      </c>
      <c r="S142" s="190"/>
      <c r="T142" s="190"/>
      <c r="U142" s="190"/>
      <c r="V142" s="26">
        <f t="shared" si="64"/>
        <v>0</v>
      </c>
      <c r="W142" s="27"/>
      <c r="X142" s="27"/>
      <c r="AD142" s="27"/>
      <c r="AF142" s="27"/>
      <c r="AH142" s="27"/>
    </row>
    <row r="143" ht="15.75" customHeight="1">
      <c r="A143" s="1" t="s">
        <v>394</v>
      </c>
      <c r="B143" s="189" t="s">
        <v>393</v>
      </c>
      <c r="C143" s="1"/>
      <c r="D143" s="26">
        <f t="shared" ref="D143:R143" si="72">+D110*1.03</f>
        <v>0</v>
      </c>
      <c r="E143" s="26">
        <f t="shared" si="72"/>
        <v>0</v>
      </c>
      <c r="F143" s="26">
        <f t="shared" si="72"/>
        <v>0</v>
      </c>
      <c r="G143" s="26">
        <f t="shared" si="72"/>
        <v>0</v>
      </c>
      <c r="H143" s="26">
        <f t="shared" si="72"/>
        <v>0</v>
      </c>
      <c r="I143" s="26">
        <f t="shared" si="72"/>
        <v>0</v>
      </c>
      <c r="J143" s="26">
        <f t="shared" si="72"/>
        <v>0</v>
      </c>
      <c r="K143" s="26">
        <f t="shared" si="72"/>
        <v>0</v>
      </c>
      <c r="L143" s="26">
        <f t="shared" si="72"/>
        <v>0</v>
      </c>
      <c r="M143" s="26">
        <f t="shared" si="72"/>
        <v>0</v>
      </c>
      <c r="N143" s="26">
        <f t="shared" si="72"/>
        <v>0</v>
      </c>
      <c r="O143" s="26">
        <f t="shared" si="72"/>
        <v>0</v>
      </c>
      <c r="P143" s="26">
        <f t="shared" si="72"/>
        <v>0</v>
      </c>
      <c r="Q143" s="26">
        <f t="shared" si="72"/>
        <v>0</v>
      </c>
      <c r="R143" s="26">
        <f t="shared" si="72"/>
        <v>0</v>
      </c>
      <c r="S143" s="190">
        <v>4000.0</v>
      </c>
      <c r="T143" s="190"/>
      <c r="U143" s="190"/>
      <c r="V143" s="26">
        <f t="shared" si="64"/>
        <v>4000</v>
      </c>
      <c r="W143" s="27"/>
      <c r="X143" s="27"/>
      <c r="AD143" s="27"/>
      <c r="AF143" s="27"/>
      <c r="AH143" s="27"/>
    </row>
    <row r="144" ht="15.75" customHeight="1">
      <c r="A144" s="1" t="s">
        <v>396</v>
      </c>
      <c r="B144" s="189" t="s">
        <v>395</v>
      </c>
      <c r="C144" s="1"/>
      <c r="D144" s="190">
        <v>1750.0</v>
      </c>
      <c r="E144" s="190">
        <v>1500.0</v>
      </c>
      <c r="F144" s="190">
        <f t="shared" ref="F144:J144" si="73">+F111*1.03</f>
        <v>0</v>
      </c>
      <c r="G144" s="190">
        <f t="shared" si="73"/>
        <v>0</v>
      </c>
      <c r="H144" s="190">
        <f t="shared" si="73"/>
        <v>0</v>
      </c>
      <c r="I144" s="190">
        <f t="shared" si="73"/>
        <v>0</v>
      </c>
      <c r="J144" s="190">
        <f t="shared" si="73"/>
        <v>0</v>
      </c>
      <c r="K144" s="190">
        <v>1750.0</v>
      </c>
      <c r="L144" s="190">
        <f t="shared" ref="L144:P144" si="74">+L111*1.03</f>
        <v>0</v>
      </c>
      <c r="M144" s="190">
        <f t="shared" si="74"/>
        <v>0</v>
      </c>
      <c r="N144" s="190">
        <f t="shared" si="74"/>
        <v>0</v>
      </c>
      <c r="O144" s="190">
        <f t="shared" si="74"/>
        <v>0</v>
      </c>
      <c r="P144" s="190">
        <f t="shared" si="74"/>
        <v>0</v>
      </c>
      <c r="Q144" s="190">
        <v>5000.0</v>
      </c>
      <c r="R144" s="190">
        <f>+R111*1.03</f>
        <v>0</v>
      </c>
      <c r="S144" s="190"/>
      <c r="T144" s="190"/>
      <c r="U144" s="190"/>
      <c r="V144" s="26">
        <f t="shared" si="64"/>
        <v>10000</v>
      </c>
      <c r="W144" s="27"/>
      <c r="X144" s="27"/>
      <c r="AD144" s="27"/>
      <c r="AF144" s="27"/>
      <c r="AH144" s="27"/>
    </row>
    <row r="145" ht="15.75" customHeight="1">
      <c r="A145" s="1" t="s">
        <v>398</v>
      </c>
      <c r="B145" s="189" t="s">
        <v>397</v>
      </c>
      <c r="C145" s="1"/>
      <c r="D145" s="26">
        <f t="shared" ref="D145:R145" si="75">+D112*1.03</f>
        <v>0</v>
      </c>
      <c r="E145" s="26">
        <f t="shared" si="75"/>
        <v>0</v>
      </c>
      <c r="F145" s="26">
        <f t="shared" si="75"/>
        <v>0</v>
      </c>
      <c r="G145" s="26">
        <f t="shared" si="75"/>
        <v>0</v>
      </c>
      <c r="H145" s="26">
        <f t="shared" si="75"/>
        <v>0</v>
      </c>
      <c r="I145" s="26">
        <f t="shared" si="75"/>
        <v>0</v>
      </c>
      <c r="J145" s="26">
        <f t="shared" si="75"/>
        <v>0</v>
      </c>
      <c r="K145" s="26">
        <f t="shared" si="75"/>
        <v>4727.7</v>
      </c>
      <c r="L145" s="26">
        <f t="shared" si="75"/>
        <v>0</v>
      </c>
      <c r="M145" s="26">
        <f t="shared" si="75"/>
        <v>0</v>
      </c>
      <c r="N145" s="26">
        <f t="shared" si="75"/>
        <v>0</v>
      </c>
      <c r="O145" s="26">
        <f t="shared" si="75"/>
        <v>0</v>
      </c>
      <c r="P145" s="26">
        <f t="shared" si="75"/>
        <v>0</v>
      </c>
      <c r="Q145" s="26">
        <f t="shared" si="75"/>
        <v>0</v>
      </c>
      <c r="R145" s="26">
        <f t="shared" si="75"/>
        <v>0</v>
      </c>
      <c r="S145" s="190"/>
      <c r="T145" s="190"/>
      <c r="U145" s="190"/>
      <c r="V145" s="26">
        <f t="shared" si="64"/>
        <v>4727.7</v>
      </c>
      <c r="W145" s="27"/>
      <c r="X145" s="27"/>
      <c r="AD145" s="27"/>
      <c r="AF145" s="27"/>
      <c r="AH145" s="27"/>
    </row>
    <row r="146" ht="15.75" customHeight="1">
      <c r="A146" s="1" t="s">
        <v>400</v>
      </c>
      <c r="B146" s="189" t="s">
        <v>399</v>
      </c>
      <c r="C146" s="1"/>
      <c r="D146" s="26">
        <f t="shared" ref="D146:R146" si="76">+D113*1.03</f>
        <v>0</v>
      </c>
      <c r="E146" s="26">
        <f t="shared" si="76"/>
        <v>0</v>
      </c>
      <c r="F146" s="26">
        <f t="shared" si="76"/>
        <v>0</v>
      </c>
      <c r="G146" s="26">
        <f t="shared" si="76"/>
        <v>0</v>
      </c>
      <c r="H146" s="26">
        <f t="shared" si="76"/>
        <v>0</v>
      </c>
      <c r="I146" s="26">
        <f t="shared" si="76"/>
        <v>0</v>
      </c>
      <c r="J146" s="26">
        <f t="shared" si="76"/>
        <v>0</v>
      </c>
      <c r="K146" s="26">
        <f t="shared" si="76"/>
        <v>0</v>
      </c>
      <c r="L146" s="26">
        <f t="shared" si="76"/>
        <v>0</v>
      </c>
      <c r="M146" s="26">
        <f t="shared" si="76"/>
        <v>0</v>
      </c>
      <c r="N146" s="26">
        <f t="shared" si="76"/>
        <v>0</v>
      </c>
      <c r="O146" s="26">
        <f t="shared" si="76"/>
        <v>0</v>
      </c>
      <c r="P146" s="26">
        <f t="shared" si="76"/>
        <v>0</v>
      </c>
      <c r="Q146" s="26">
        <f t="shared" si="76"/>
        <v>0</v>
      </c>
      <c r="R146" s="26">
        <f t="shared" si="76"/>
        <v>0</v>
      </c>
      <c r="S146" s="190"/>
      <c r="T146" s="190"/>
      <c r="U146" s="190"/>
      <c r="V146" s="26">
        <f t="shared" si="64"/>
        <v>0</v>
      </c>
      <c r="W146" s="27"/>
      <c r="X146" s="27"/>
      <c r="AD146" s="27"/>
      <c r="AF146" s="27"/>
      <c r="AH146" s="27"/>
    </row>
    <row r="147" ht="15.75" customHeight="1">
      <c r="A147" s="1" t="s">
        <v>402</v>
      </c>
      <c r="B147" s="189" t="s">
        <v>401</v>
      </c>
      <c r="C147" s="1"/>
      <c r="D147" s="26">
        <f t="shared" ref="D147:R147" si="77">+D114*1.03</f>
        <v>0</v>
      </c>
      <c r="E147" s="26">
        <f t="shared" si="77"/>
        <v>0</v>
      </c>
      <c r="F147" s="26">
        <f t="shared" si="77"/>
        <v>0</v>
      </c>
      <c r="G147" s="26">
        <f t="shared" si="77"/>
        <v>3019.1875</v>
      </c>
      <c r="H147" s="26">
        <f t="shared" si="77"/>
        <v>0</v>
      </c>
      <c r="I147" s="26">
        <f t="shared" si="77"/>
        <v>0</v>
      </c>
      <c r="J147" s="26">
        <f t="shared" si="77"/>
        <v>0</v>
      </c>
      <c r="K147" s="26">
        <f t="shared" si="77"/>
        <v>0</v>
      </c>
      <c r="L147" s="26">
        <f t="shared" si="77"/>
        <v>0</v>
      </c>
      <c r="M147" s="26">
        <f t="shared" si="77"/>
        <v>0</v>
      </c>
      <c r="N147" s="26">
        <f t="shared" si="77"/>
        <v>3079.7</v>
      </c>
      <c r="O147" s="26">
        <f t="shared" si="77"/>
        <v>3079.7</v>
      </c>
      <c r="P147" s="26">
        <f t="shared" si="77"/>
        <v>0</v>
      </c>
      <c r="Q147" s="26">
        <f t="shared" si="77"/>
        <v>0</v>
      </c>
      <c r="R147" s="26">
        <f t="shared" si="77"/>
        <v>0</v>
      </c>
      <c r="S147" s="190"/>
      <c r="T147" s="190"/>
      <c r="U147" s="190"/>
      <c r="V147" s="26">
        <f t="shared" si="64"/>
        <v>9178.5875</v>
      </c>
      <c r="W147" s="27"/>
      <c r="X147" s="27"/>
      <c r="AD147" s="27"/>
      <c r="AE147" s="27"/>
      <c r="AF147" s="27"/>
      <c r="AH147" s="27"/>
    </row>
    <row r="148" ht="15.75" customHeight="1">
      <c r="A148" s="1" t="s">
        <v>405</v>
      </c>
      <c r="B148" s="189" t="s">
        <v>404</v>
      </c>
      <c r="C148" s="1"/>
      <c r="D148" s="26">
        <f t="shared" ref="D148:R148" si="78">+D115*1.03</f>
        <v>0</v>
      </c>
      <c r="E148" s="26">
        <f t="shared" si="78"/>
        <v>0</v>
      </c>
      <c r="F148" s="26">
        <f t="shared" si="78"/>
        <v>0</v>
      </c>
      <c r="G148" s="26">
        <f t="shared" si="78"/>
        <v>0</v>
      </c>
      <c r="H148" s="26">
        <f t="shared" si="78"/>
        <v>0</v>
      </c>
      <c r="I148" s="26">
        <f t="shared" si="78"/>
        <v>0</v>
      </c>
      <c r="J148" s="26">
        <f t="shared" si="78"/>
        <v>0</v>
      </c>
      <c r="K148" s="26">
        <f t="shared" si="78"/>
        <v>0</v>
      </c>
      <c r="L148" s="26">
        <f t="shared" si="78"/>
        <v>0</v>
      </c>
      <c r="M148" s="26">
        <f t="shared" si="78"/>
        <v>0</v>
      </c>
      <c r="N148" s="26">
        <f t="shared" si="78"/>
        <v>0</v>
      </c>
      <c r="O148" s="26">
        <f t="shared" si="78"/>
        <v>0</v>
      </c>
      <c r="P148" s="26">
        <f t="shared" si="78"/>
        <v>0</v>
      </c>
      <c r="Q148" s="26">
        <f t="shared" si="78"/>
        <v>0</v>
      </c>
      <c r="R148" s="26">
        <f t="shared" si="78"/>
        <v>0</v>
      </c>
      <c r="S148" s="190"/>
      <c r="T148" s="190"/>
      <c r="U148" s="190"/>
      <c r="V148" s="26">
        <f t="shared" si="64"/>
        <v>0</v>
      </c>
      <c r="W148" s="27"/>
      <c r="X148" s="27"/>
      <c r="AC148" s="8" t="s">
        <v>776</v>
      </c>
      <c r="AD148" s="27" t="s">
        <v>771</v>
      </c>
      <c r="AF148" s="27"/>
      <c r="AH148" s="27"/>
    </row>
    <row r="149" ht="15.75" customHeight="1">
      <c r="A149" s="1" t="s">
        <v>408</v>
      </c>
      <c r="B149" s="189" t="s">
        <v>407</v>
      </c>
      <c r="C149" s="1"/>
      <c r="D149" s="26">
        <f t="shared" ref="D149:R149" si="79">+D116*1.03</f>
        <v>0</v>
      </c>
      <c r="E149" s="26">
        <f t="shared" si="79"/>
        <v>0</v>
      </c>
      <c r="F149" s="26">
        <f t="shared" si="79"/>
        <v>0</v>
      </c>
      <c r="G149" s="26">
        <f t="shared" si="79"/>
        <v>0</v>
      </c>
      <c r="H149" s="26">
        <f t="shared" si="79"/>
        <v>0</v>
      </c>
      <c r="I149" s="26">
        <f t="shared" si="79"/>
        <v>0</v>
      </c>
      <c r="J149" s="26">
        <f t="shared" si="79"/>
        <v>0</v>
      </c>
      <c r="K149" s="26">
        <f t="shared" si="79"/>
        <v>0</v>
      </c>
      <c r="L149" s="26">
        <f t="shared" si="79"/>
        <v>0</v>
      </c>
      <c r="M149" s="26">
        <f t="shared" si="79"/>
        <v>0</v>
      </c>
      <c r="N149" s="26">
        <f t="shared" si="79"/>
        <v>0</v>
      </c>
      <c r="O149" s="26">
        <f t="shared" si="79"/>
        <v>0</v>
      </c>
      <c r="P149" s="26">
        <f t="shared" si="79"/>
        <v>0</v>
      </c>
      <c r="Q149" s="26">
        <f t="shared" si="79"/>
        <v>0</v>
      </c>
      <c r="R149" s="26">
        <f t="shared" si="79"/>
        <v>0</v>
      </c>
      <c r="S149" s="190"/>
      <c r="T149" s="190"/>
      <c r="U149" s="190"/>
      <c r="V149" s="26">
        <f t="shared" si="64"/>
        <v>0</v>
      </c>
      <c r="W149" s="27"/>
      <c r="X149" s="27"/>
      <c r="AD149" s="27">
        <v>420.28</v>
      </c>
      <c r="AE149" s="8" t="s">
        <v>777</v>
      </c>
      <c r="AF149" s="27"/>
      <c r="AH149" s="27"/>
    </row>
    <row r="150" ht="15.75" customHeight="1">
      <c r="A150" s="1" t="s">
        <v>412</v>
      </c>
      <c r="B150" s="189" t="s">
        <v>410</v>
      </c>
      <c r="C150" s="1"/>
      <c r="D150" s="26">
        <f t="shared" ref="D150:R150" si="80">+D117*1.03</f>
        <v>0</v>
      </c>
      <c r="E150" s="26">
        <f t="shared" si="80"/>
        <v>0</v>
      </c>
      <c r="F150" s="26">
        <f t="shared" si="80"/>
        <v>0</v>
      </c>
      <c r="G150" s="26">
        <f t="shared" si="80"/>
        <v>0</v>
      </c>
      <c r="H150" s="26">
        <f t="shared" si="80"/>
        <v>0</v>
      </c>
      <c r="I150" s="26">
        <f t="shared" si="80"/>
        <v>0</v>
      </c>
      <c r="J150" s="26">
        <f t="shared" si="80"/>
        <v>0</v>
      </c>
      <c r="K150" s="26">
        <f t="shared" si="80"/>
        <v>0</v>
      </c>
      <c r="L150" s="26">
        <f t="shared" si="80"/>
        <v>0</v>
      </c>
      <c r="M150" s="26">
        <f t="shared" si="80"/>
        <v>0</v>
      </c>
      <c r="N150" s="26">
        <f t="shared" si="80"/>
        <v>0</v>
      </c>
      <c r="O150" s="26">
        <f t="shared" si="80"/>
        <v>0</v>
      </c>
      <c r="P150" s="26">
        <f t="shared" si="80"/>
        <v>0</v>
      </c>
      <c r="Q150" s="26">
        <f t="shared" si="80"/>
        <v>0</v>
      </c>
      <c r="R150" s="26">
        <f t="shared" si="80"/>
        <v>0</v>
      </c>
      <c r="S150" s="190"/>
      <c r="T150" s="190"/>
      <c r="U150" s="190"/>
      <c r="V150" s="26">
        <f t="shared" si="64"/>
        <v>0</v>
      </c>
      <c r="W150" s="27"/>
      <c r="X150" s="27"/>
      <c r="AB150" s="199" t="s">
        <v>778</v>
      </c>
      <c r="AD150" s="27">
        <v>360.0</v>
      </c>
      <c r="AE150" s="8" t="s">
        <v>779</v>
      </c>
      <c r="AF150" s="27"/>
      <c r="AH150" s="27"/>
    </row>
    <row r="151" ht="15.75" customHeight="1">
      <c r="A151" s="1" t="s">
        <v>760</v>
      </c>
      <c r="B151" s="189" t="s">
        <v>420</v>
      </c>
      <c r="C151" s="1"/>
      <c r="D151" s="26">
        <f t="shared" ref="D151:R151" si="81">+D118*1.03</f>
        <v>0</v>
      </c>
      <c r="E151" s="26">
        <f t="shared" si="81"/>
        <v>0</v>
      </c>
      <c r="F151" s="26">
        <f t="shared" si="81"/>
        <v>0</v>
      </c>
      <c r="G151" s="26">
        <f t="shared" si="81"/>
        <v>0</v>
      </c>
      <c r="H151" s="26">
        <f t="shared" si="81"/>
        <v>0</v>
      </c>
      <c r="I151" s="26">
        <f t="shared" si="81"/>
        <v>0</v>
      </c>
      <c r="J151" s="26">
        <f t="shared" si="81"/>
        <v>0</v>
      </c>
      <c r="K151" s="26">
        <f t="shared" si="81"/>
        <v>0</v>
      </c>
      <c r="L151" s="26">
        <f t="shared" si="81"/>
        <v>0</v>
      </c>
      <c r="M151" s="26">
        <f t="shared" si="81"/>
        <v>0</v>
      </c>
      <c r="N151" s="26">
        <f t="shared" si="81"/>
        <v>0</v>
      </c>
      <c r="O151" s="26">
        <f t="shared" si="81"/>
        <v>4944</v>
      </c>
      <c r="P151" s="26">
        <f t="shared" si="81"/>
        <v>0</v>
      </c>
      <c r="Q151" s="26">
        <f t="shared" si="81"/>
        <v>0</v>
      </c>
      <c r="R151" s="26">
        <f t="shared" si="81"/>
        <v>0</v>
      </c>
      <c r="S151" s="190"/>
      <c r="T151" s="190"/>
      <c r="U151" s="190"/>
      <c r="V151" s="26">
        <f t="shared" si="64"/>
        <v>4944</v>
      </c>
      <c r="W151" s="27"/>
      <c r="X151" s="27"/>
      <c r="AD151" s="27">
        <v>496.0</v>
      </c>
      <c r="AE151" s="8" t="s">
        <v>780</v>
      </c>
      <c r="AF151" s="27"/>
      <c r="AH151" s="27"/>
    </row>
    <row r="152" ht="15.75" customHeight="1">
      <c r="A152" s="1" t="s">
        <v>434</v>
      </c>
      <c r="B152" s="189" t="s">
        <v>433</v>
      </c>
      <c r="C152" s="1"/>
      <c r="D152" s="26">
        <f t="shared" ref="D152:R152" si="82">+D119*1.03</f>
        <v>278.8313</v>
      </c>
      <c r="E152" s="26">
        <f t="shared" si="82"/>
        <v>278.8313</v>
      </c>
      <c r="F152" s="26">
        <f t="shared" si="82"/>
        <v>0</v>
      </c>
      <c r="G152" s="26">
        <f t="shared" si="82"/>
        <v>278.8313</v>
      </c>
      <c r="H152" s="26">
        <f t="shared" si="82"/>
        <v>278.8313</v>
      </c>
      <c r="I152" s="26">
        <f t="shared" si="82"/>
        <v>0</v>
      </c>
      <c r="J152" s="26">
        <f t="shared" si="82"/>
        <v>278.8313</v>
      </c>
      <c r="K152" s="26">
        <f t="shared" si="82"/>
        <v>278.8313</v>
      </c>
      <c r="L152" s="26">
        <f t="shared" si="82"/>
        <v>0</v>
      </c>
      <c r="M152" s="26">
        <f t="shared" si="82"/>
        <v>278.8313</v>
      </c>
      <c r="N152" s="26">
        <f t="shared" si="82"/>
        <v>0</v>
      </c>
      <c r="O152" s="26">
        <f t="shared" si="82"/>
        <v>278.8313</v>
      </c>
      <c r="P152" s="26">
        <f t="shared" si="82"/>
        <v>0</v>
      </c>
      <c r="Q152" s="26">
        <f t="shared" si="82"/>
        <v>0</v>
      </c>
      <c r="R152" s="26">
        <f t="shared" si="82"/>
        <v>278.8313</v>
      </c>
      <c r="S152" s="190"/>
      <c r="T152" s="190"/>
      <c r="U152" s="190"/>
      <c r="V152" s="26">
        <f t="shared" si="64"/>
        <v>2509.4817</v>
      </c>
      <c r="W152" s="27"/>
      <c r="X152" s="27"/>
      <c r="AD152" s="27">
        <v>360.0</v>
      </c>
      <c r="AE152" s="8" t="s">
        <v>781</v>
      </c>
      <c r="AF152" s="27"/>
      <c r="AH152" s="27"/>
    </row>
    <row r="153" ht="15.75" customHeight="1">
      <c r="A153" s="1" t="s">
        <v>434</v>
      </c>
      <c r="B153" s="189" t="s">
        <v>435</v>
      </c>
      <c r="C153" s="1"/>
      <c r="D153" s="26">
        <f t="shared" ref="D153:R153" si="83">+D120*1.03</f>
        <v>0</v>
      </c>
      <c r="E153" s="26">
        <f t="shared" si="83"/>
        <v>0</v>
      </c>
      <c r="F153" s="26">
        <f t="shared" si="83"/>
        <v>279.13</v>
      </c>
      <c r="G153" s="26">
        <f t="shared" si="83"/>
        <v>0</v>
      </c>
      <c r="H153" s="26">
        <f t="shared" si="83"/>
        <v>0</v>
      </c>
      <c r="I153" s="26">
        <f t="shared" si="83"/>
        <v>279.13</v>
      </c>
      <c r="J153" s="26">
        <f t="shared" si="83"/>
        <v>0</v>
      </c>
      <c r="K153" s="26">
        <f t="shared" si="83"/>
        <v>0</v>
      </c>
      <c r="L153" s="26">
        <f t="shared" si="83"/>
        <v>279.13</v>
      </c>
      <c r="M153" s="26">
        <f t="shared" si="83"/>
        <v>0</v>
      </c>
      <c r="N153" s="26">
        <f t="shared" si="83"/>
        <v>279.13</v>
      </c>
      <c r="O153" s="26">
        <f t="shared" si="83"/>
        <v>0</v>
      </c>
      <c r="P153" s="26">
        <f t="shared" si="83"/>
        <v>0</v>
      </c>
      <c r="Q153" s="26">
        <f t="shared" si="83"/>
        <v>279.13</v>
      </c>
      <c r="R153" s="26">
        <f t="shared" si="83"/>
        <v>0</v>
      </c>
      <c r="S153" s="26"/>
      <c r="T153" s="26"/>
      <c r="U153" s="26"/>
      <c r="V153" s="26">
        <f t="shared" si="64"/>
        <v>1395.65</v>
      </c>
      <c r="W153" s="27"/>
      <c r="X153" s="27"/>
      <c r="AD153" s="27">
        <v>360.0</v>
      </c>
      <c r="AE153" s="8" t="s">
        <v>782</v>
      </c>
      <c r="AF153" s="27"/>
      <c r="AH153" s="27"/>
    </row>
    <row r="154" ht="15.75" customHeight="1">
      <c r="A154" s="1" t="s">
        <v>434</v>
      </c>
      <c r="B154" s="189" t="s">
        <v>436</v>
      </c>
      <c r="C154" s="1"/>
      <c r="D154" s="26">
        <f t="shared" ref="D154:R154" si="84">+D121*1.03</f>
        <v>0</v>
      </c>
      <c r="E154" s="26">
        <f t="shared" si="84"/>
        <v>0</v>
      </c>
      <c r="F154" s="26">
        <f t="shared" si="84"/>
        <v>0</v>
      </c>
      <c r="G154" s="26">
        <f t="shared" si="84"/>
        <v>0</v>
      </c>
      <c r="H154" s="26">
        <f t="shared" si="84"/>
        <v>0</v>
      </c>
      <c r="I154" s="26">
        <f t="shared" si="84"/>
        <v>0</v>
      </c>
      <c r="J154" s="26">
        <f t="shared" si="84"/>
        <v>0</v>
      </c>
      <c r="K154" s="26">
        <f t="shared" si="84"/>
        <v>0</v>
      </c>
      <c r="L154" s="26">
        <f t="shared" si="84"/>
        <v>0</v>
      </c>
      <c r="M154" s="26">
        <f t="shared" si="84"/>
        <v>0</v>
      </c>
      <c r="N154" s="26">
        <f t="shared" si="84"/>
        <v>0</v>
      </c>
      <c r="O154" s="26">
        <f t="shared" si="84"/>
        <v>0</v>
      </c>
      <c r="P154" s="26">
        <f t="shared" si="84"/>
        <v>0</v>
      </c>
      <c r="Q154" s="26">
        <f t="shared" si="84"/>
        <v>0</v>
      </c>
      <c r="R154" s="26">
        <f t="shared" si="84"/>
        <v>0</v>
      </c>
      <c r="S154" s="26"/>
      <c r="T154" s="26"/>
      <c r="U154" s="26"/>
      <c r="V154" s="26">
        <f t="shared" si="64"/>
        <v>0</v>
      </c>
      <c r="W154" s="27">
        <f>+V122*0.02</f>
        <v>12180.072</v>
      </c>
      <c r="X154" s="27"/>
      <c r="AD154" s="27">
        <v>360.0</v>
      </c>
      <c r="AE154" s="8" t="s">
        <v>783</v>
      </c>
      <c r="AF154" s="27"/>
      <c r="AH154" s="27"/>
    </row>
    <row r="155" ht="15.75" customHeight="1">
      <c r="A155" s="191" t="s">
        <v>761</v>
      </c>
      <c r="B155" s="192"/>
      <c r="C155" s="192"/>
      <c r="D155" s="193">
        <f t="shared" ref="D155:V155" si="85">SUM(D134:D154)</f>
        <v>39535.2513</v>
      </c>
      <c r="E155" s="193">
        <f t="shared" si="85"/>
        <v>33927.4385</v>
      </c>
      <c r="F155" s="193">
        <f t="shared" si="85"/>
        <v>44000.8996</v>
      </c>
      <c r="G155" s="193">
        <f t="shared" si="85"/>
        <v>34198.0188</v>
      </c>
      <c r="H155" s="193">
        <f t="shared" si="85"/>
        <v>41340.7289</v>
      </c>
      <c r="I155" s="193">
        <f t="shared" si="85"/>
        <v>36714.35</v>
      </c>
      <c r="J155" s="193">
        <f t="shared" si="85"/>
        <v>41590.4009</v>
      </c>
      <c r="K155" s="193">
        <f t="shared" si="85"/>
        <v>37656.5313</v>
      </c>
      <c r="L155" s="193">
        <f t="shared" si="85"/>
        <v>53839.2124</v>
      </c>
      <c r="M155" s="193">
        <f t="shared" si="85"/>
        <v>35999.2313</v>
      </c>
      <c r="N155" s="193">
        <f t="shared" si="85"/>
        <v>58135.878</v>
      </c>
      <c r="O155" s="193">
        <f t="shared" si="85"/>
        <v>39777.2713</v>
      </c>
      <c r="P155" s="193">
        <f t="shared" si="85"/>
        <v>0</v>
      </c>
      <c r="Q155" s="193">
        <f t="shared" si="85"/>
        <v>86175.33</v>
      </c>
      <c r="R155" s="193">
        <f t="shared" si="85"/>
        <v>37278.8313</v>
      </c>
      <c r="S155" s="193">
        <f t="shared" si="85"/>
        <v>4000</v>
      </c>
      <c r="T155" s="193">
        <f t="shared" si="85"/>
        <v>12000</v>
      </c>
      <c r="U155" s="193">
        <f t="shared" si="85"/>
        <v>4500</v>
      </c>
      <c r="V155" s="194">
        <f t="shared" si="85"/>
        <v>640669.3736</v>
      </c>
      <c r="W155" s="27">
        <v>490000.0</v>
      </c>
      <c r="X155" s="27">
        <f>+V155-W155</f>
        <v>150669.3736</v>
      </c>
      <c r="Y155" s="27"/>
      <c r="AD155" s="27">
        <v>360.0</v>
      </c>
      <c r="AE155" s="8" t="s">
        <v>784</v>
      </c>
      <c r="AF155" s="27"/>
      <c r="AH155" s="27"/>
    </row>
    <row r="156" ht="15.75" customHeight="1">
      <c r="W156" s="27"/>
      <c r="X156" s="27"/>
      <c r="AD156" s="27">
        <v>360.0</v>
      </c>
      <c r="AE156" s="8" t="s">
        <v>785</v>
      </c>
      <c r="AF156" s="27"/>
      <c r="AH156" s="27"/>
    </row>
    <row r="157" ht="15.75" customHeight="1">
      <c r="A157" s="1" t="s">
        <v>762</v>
      </c>
      <c r="B157" s="1" t="s">
        <v>443</v>
      </c>
      <c r="C157" s="1"/>
      <c r="D157" s="26">
        <f t="shared" ref="D157:O157" si="86">65000/14</f>
        <v>4642.857143</v>
      </c>
      <c r="E157" s="26">
        <f t="shared" si="86"/>
        <v>4642.857143</v>
      </c>
      <c r="F157" s="26">
        <f t="shared" si="86"/>
        <v>4642.857143</v>
      </c>
      <c r="G157" s="26">
        <f t="shared" si="86"/>
        <v>4642.857143</v>
      </c>
      <c r="H157" s="26">
        <f t="shared" si="86"/>
        <v>4642.857143</v>
      </c>
      <c r="I157" s="26">
        <f t="shared" si="86"/>
        <v>4642.857143</v>
      </c>
      <c r="J157" s="26">
        <f t="shared" si="86"/>
        <v>4642.857143</v>
      </c>
      <c r="K157" s="26">
        <f t="shared" si="86"/>
        <v>4642.857143</v>
      </c>
      <c r="L157" s="26">
        <f t="shared" si="86"/>
        <v>4642.857143</v>
      </c>
      <c r="M157" s="26">
        <f t="shared" si="86"/>
        <v>4642.857143</v>
      </c>
      <c r="N157" s="26">
        <f t="shared" si="86"/>
        <v>4642.857143</v>
      </c>
      <c r="O157" s="26">
        <f t="shared" si="86"/>
        <v>4642.857143</v>
      </c>
      <c r="P157" s="26"/>
      <c r="Q157" s="26">
        <f t="shared" ref="Q157:R157" si="87">65000/14</f>
        <v>4642.857143</v>
      </c>
      <c r="R157" s="26">
        <f t="shared" si="87"/>
        <v>4642.857143</v>
      </c>
      <c r="S157" s="200"/>
      <c r="T157" s="200"/>
      <c r="U157" s="200"/>
      <c r="V157" s="26">
        <f>+SUM(D157:U157)</f>
        <v>65000</v>
      </c>
      <c r="W157" s="27"/>
      <c r="X157" s="27"/>
      <c r="AD157" s="27">
        <v>360.0</v>
      </c>
      <c r="AE157" s="8" t="s">
        <v>786</v>
      </c>
      <c r="AF157" s="27"/>
      <c r="AH157" s="27"/>
    </row>
    <row r="158" ht="15.75" customHeight="1">
      <c r="D158" s="8" t="s">
        <v>787</v>
      </c>
      <c r="W158" s="27"/>
      <c r="X158" s="27"/>
      <c r="AD158" s="27">
        <v>360.0</v>
      </c>
      <c r="AE158" s="8" t="s">
        <v>788</v>
      </c>
      <c r="AF158" s="27"/>
      <c r="AH158" s="27"/>
    </row>
    <row r="159" ht="15.75" customHeight="1">
      <c r="A159" s="1" t="s">
        <v>763</v>
      </c>
      <c r="B159" s="1" t="s">
        <v>439</v>
      </c>
      <c r="C159" s="1"/>
      <c r="D159" s="26">
        <v>0.0</v>
      </c>
      <c r="E159" s="26">
        <v>0.0</v>
      </c>
      <c r="F159" s="26">
        <v>0.0</v>
      </c>
      <c r="G159" s="26">
        <v>0.0</v>
      </c>
      <c r="H159" s="26">
        <v>0.0</v>
      </c>
      <c r="I159" s="26">
        <v>0.0</v>
      </c>
      <c r="J159" s="26">
        <v>0.0</v>
      </c>
      <c r="K159" s="26">
        <v>0.0</v>
      </c>
      <c r="L159" s="26">
        <v>0.0</v>
      </c>
      <c r="M159" s="26">
        <v>0.0</v>
      </c>
      <c r="N159" s="26">
        <v>0.0</v>
      </c>
      <c r="O159" s="26">
        <v>0.0</v>
      </c>
      <c r="P159" s="26">
        <v>0.0</v>
      </c>
      <c r="Q159" s="26">
        <v>0.0</v>
      </c>
      <c r="R159" s="26">
        <v>0.0</v>
      </c>
      <c r="S159" s="26">
        <v>0.0</v>
      </c>
      <c r="T159" s="26">
        <v>0.0</v>
      </c>
      <c r="U159" s="26">
        <v>0.0</v>
      </c>
      <c r="V159" s="26">
        <f>+SUM(D159:U159)</f>
        <v>0</v>
      </c>
      <c r="W159" s="27"/>
      <c r="X159" s="27"/>
      <c r="AD159" s="27">
        <v>360.0</v>
      </c>
      <c r="AE159" s="8" t="s">
        <v>789</v>
      </c>
      <c r="AF159" s="27"/>
      <c r="AH159" s="27"/>
    </row>
    <row r="160" ht="15.75" customHeight="1">
      <c r="A160" s="1" t="s">
        <v>764</v>
      </c>
      <c r="B160" s="1"/>
      <c r="C160" s="1"/>
      <c r="D160" s="57">
        <f t="shared" ref="D160:U160" si="88">+D159/D155</f>
        <v>0</v>
      </c>
      <c r="E160" s="57">
        <f t="shared" si="88"/>
        <v>0</v>
      </c>
      <c r="F160" s="57">
        <f t="shared" si="88"/>
        <v>0</v>
      </c>
      <c r="G160" s="57">
        <f t="shared" si="88"/>
        <v>0</v>
      </c>
      <c r="H160" s="57">
        <f t="shared" si="88"/>
        <v>0</v>
      </c>
      <c r="I160" s="57">
        <f t="shared" si="88"/>
        <v>0</v>
      </c>
      <c r="J160" s="57">
        <f t="shared" si="88"/>
        <v>0</v>
      </c>
      <c r="K160" s="57">
        <f t="shared" si="88"/>
        <v>0</v>
      </c>
      <c r="L160" s="57">
        <f t="shared" si="88"/>
        <v>0</v>
      </c>
      <c r="M160" s="57">
        <f t="shared" si="88"/>
        <v>0</v>
      </c>
      <c r="N160" s="57">
        <f t="shared" si="88"/>
        <v>0</v>
      </c>
      <c r="O160" s="57">
        <f t="shared" si="88"/>
        <v>0</v>
      </c>
      <c r="P160" s="57" t="str">
        <f t="shared" si="88"/>
        <v>#DIV/0!</v>
      </c>
      <c r="Q160" s="57">
        <f t="shared" si="88"/>
        <v>0</v>
      </c>
      <c r="R160" s="57">
        <f t="shared" si="88"/>
        <v>0</v>
      </c>
      <c r="S160" s="57">
        <f t="shared" si="88"/>
        <v>0</v>
      </c>
      <c r="T160" s="57">
        <f t="shared" si="88"/>
        <v>0</v>
      </c>
      <c r="U160" s="57">
        <f t="shared" si="88"/>
        <v>0</v>
      </c>
      <c r="W160" s="27"/>
      <c r="X160" s="27"/>
      <c r="AD160" s="27">
        <v>360.0</v>
      </c>
      <c r="AE160" s="8" t="s">
        <v>790</v>
      </c>
      <c r="AF160" s="27"/>
      <c r="AH160" s="27"/>
    </row>
    <row r="161" ht="15.75" customHeight="1">
      <c r="A161" s="1"/>
      <c r="B161" s="1"/>
      <c r="C161" s="1"/>
      <c r="W161" s="27"/>
      <c r="X161" s="27"/>
      <c r="AD161" s="27">
        <v>360.0</v>
      </c>
      <c r="AE161" s="8" t="s">
        <v>791</v>
      </c>
      <c r="AF161" s="27"/>
      <c r="AH161" s="27"/>
    </row>
    <row r="162" ht="15.75" customHeight="1">
      <c r="A162" s="1" t="s">
        <v>765</v>
      </c>
      <c r="B162" s="1" t="s">
        <v>453</v>
      </c>
      <c r="C162" s="1"/>
      <c r="D162" s="26">
        <f t="shared" ref="D162:O162" si="89">+D127*1.02</f>
        <v>83.02392</v>
      </c>
      <c r="E162" s="26">
        <f t="shared" si="89"/>
        <v>83.02392</v>
      </c>
      <c r="F162" s="26">
        <f t="shared" si="89"/>
        <v>83.02392</v>
      </c>
      <c r="G162" s="26">
        <f t="shared" si="89"/>
        <v>83.02392</v>
      </c>
      <c r="H162" s="26">
        <f t="shared" si="89"/>
        <v>83.02392</v>
      </c>
      <c r="I162" s="26">
        <f t="shared" si="89"/>
        <v>0</v>
      </c>
      <c r="J162" s="26">
        <f t="shared" si="89"/>
        <v>83.02392</v>
      </c>
      <c r="K162" s="26">
        <f t="shared" si="89"/>
        <v>83.02392</v>
      </c>
      <c r="L162" s="26">
        <f t="shared" si="89"/>
        <v>83.02392</v>
      </c>
      <c r="M162" s="26">
        <f t="shared" si="89"/>
        <v>83.02392</v>
      </c>
      <c r="N162" s="26">
        <f t="shared" si="89"/>
        <v>83.02392</v>
      </c>
      <c r="O162" s="26">
        <f t="shared" si="89"/>
        <v>83.02392</v>
      </c>
      <c r="P162" s="26"/>
      <c r="Q162" s="26">
        <f t="shared" ref="Q162:R162" si="90">+Q127*1.02</f>
        <v>83.02392</v>
      </c>
      <c r="R162" s="26">
        <f t="shared" si="90"/>
        <v>83.02392</v>
      </c>
      <c r="S162" s="200"/>
      <c r="T162" s="200"/>
      <c r="U162" s="200"/>
      <c r="V162" s="26">
        <f>+SUM(D162:U162)</f>
        <v>1079.31096</v>
      </c>
      <c r="W162" s="27"/>
      <c r="X162" s="27"/>
      <c r="AD162" s="27"/>
      <c r="AF162" s="27"/>
      <c r="AH162" s="27"/>
    </row>
    <row r="163" ht="15.75" customHeight="1">
      <c r="A163" s="1"/>
      <c r="B163" s="1"/>
      <c r="C163" s="1"/>
      <c r="W163" s="27"/>
      <c r="X163" s="27"/>
      <c r="AD163" s="27">
        <f>+SUM(AD149:AD161)</f>
        <v>4876.28</v>
      </c>
      <c r="AF163" s="27">
        <f>+AD163*1.1</f>
        <v>5363.908</v>
      </c>
      <c r="AH163" s="27"/>
    </row>
    <row r="164" ht="15.75" customHeight="1">
      <c r="A164" s="1" t="s">
        <v>766</v>
      </c>
      <c r="B164" s="1" t="s">
        <v>459</v>
      </c>
      <c r="C164" s="1"/>
      <c r="D164" s="26">
        <f t="shared" ref="D164:U164" si="91">+(D155-D141-D153)*0.065</f>
        <v>2569.791335</v>
      </c>
      <c r="E164" s="26">
        <f t="shared" si="91"/>
        <v>2205.283503</v>
      </c>
      <c r="F164" s="26">
        <f t="shared" si="91"/>
        <v>0</v>
      </c>
      <c r="G164" s="26">
        <f t="shared" si="91"/>
        <v>2222.871222</v>
      </c>
      <c r="H164" s="26">
        <f t="shared" si="91"/>
        <v>2687.147379</v>
      </c>
      <c r="I164" s="26">
        <f t="shared" si="91"/>
        <v>0</v>
      </c>
      <c r="J164" s="26">
        <f t="shared" si="91"/>
        <v>2703.376059</v>
      </c>
      <c r="K164" s="26">
        <f t="shared" si="91"/>
        <v>2447.674535</v>
      </c>
      <c r="L164" s="26">
        <f t="shared" si="91"/>
        <v>0</v>
      </c>
      <c r="M164" s="26">
        <f t="shared" si="91"/>
        <v>2339.950035</v>
      </c>
      <c r="N164" s="26">
        <f t="shared" si="91"/>
        <v>200.1805</v>
      </c>
      <c r="O164" s="26">
        <f t="shared" si="91"/>
        <v>2585.522635</v>
      </c>
      <c r="P164" s="26">
        <f t="shared" si="91"/>
        <v>0</v>
      </c>
      <c r="Q164" s="26">
        <f t="shared" si="91"/>
        <v>325</v>
      </c>
      <c r="R164" s="26">
        <f t="shared" si="91"/>
        <v>2423.124035</v>
      </c>
      <c r="S164" s="26">
        <f t="shared" si="91"/>
        <v>260</v>
      </c>
      <c r="T164" s="26">
        <f t="shared" si="91"/>
        <v>780</v>
      </c>
      <c r="U164" s="26">
        <f t="shared" si="91"/>
        <v>292.5</v>
      </c>
      <c r="V164" s="26">
        <f t="shared" ref="V164:V167" si="93">+SUM(D164:U164)</f>
        <v>24042.42123</v>
      </c>
      <c r="W164" s="27"/>
      <c r="X164" s="27"/>
      <c r="AB164" s="201" t="s">
        <v>792</v>
      </c>
      <c r="AD164" s="27">
        <f>+AD163*6</f>
        <v>29257.68</v>
      </c>
      <c r="AF164" s="27">
        <f>+AF163*6</f>
        <v>32183.448</v>
      </c>
      <c r="AH164" s="27">
        <f>+AD164+AF164</f>
        <v>61441.128</v>
      </c>
    </row>
    <row r="165" ht="15.75" customHeight="1">
      <c r="A165" s="1" t="s">
        <v>767</v>
      </c>
      <c r="B165" s="1" t="s">
        <v>463</v>
      </c>
      <c r="C165" s="1"/>
      <c r="D165" s="26">
        <f t="shared" ref="D165:U165" si="92">+(D155-D141-D153)*0.0145</f>
        <v>573.2611439</v>
      </c>
      <c r="E165" s="26">
        <f t="shared" si="92"/>
        <v>491.9478583</v>
      </c>
      <c r="F165" s="26">
        <f t="shared" si="92"/>
        <v>0</v>
      </c>
      <c r="G165" s="26">
        <f t="shared" si="92"/>
        <v>495.8712726</v>
      </c>
      <c r="H165" s="26">
        <f t="shared" si="92"/>
        <v>599.4405691</v>
      </c>
      <c r="I165" s="26">
        <f t="shared" si="92"/>
        <v>0</v>
      </c>
      <c r="J165" s="26">
        <f t="shared" si="92"/>
        <v>603.0608131</v>
      </c>
      <c r="K165" s="26">
        <f t="shared" si="92"/>
        <v>546.0197039</v>
      </c>
      <c r="L165" s="26">
        <f t="shared" si="92"/>
        <v>0</v>
      </c>
      <c r="M165" s="26">
        <f t="shared" si="92"/>
        <v>521.9888539</v>
      </c>
      <c r="N165" s="26">
        <f t="shared" si="92"/>
        <v>44.65565</v>
      </c>
      <c r="O165" s="26">
        <f t="shared" si="92"/>
        <v>576.7704339</v>
      </c>
      <c r="P165" s="26">
        <f t="shared" si="92"/>
        <v>0</v>
      </c>
      <c r="Q165" s="26">
        <f t="shared" si="92"/>
        <v>72.5</v>
      </c>
      <c r="R165" s="26">
        <f t="shared" si="92"/>
        <v>540.5430539</v>
      </c>
      <c r="S165" s="26">
        <f t="shared" si="92"/>
        <v>58</v>
      </c>
      <c r="T165" s="26">
        <f t="shared" si="92"/>
        <v>174</v>
      </c>
      <c r="U165" s="26">
        <f t="shared" si="92"/>
        <v>65.25</v>
      </c>
      <c r="V165" s="26">
        <f t="shared" si="93"/>
        <v>5363.309352</v>
      </c>
      <c r="W165" s="27"/>
      <c r="X165" s="27"/>
      <c r="AD165" s="27"/>
      <c r="AF165" s="27"/>
      <c r="AH165" s="27"/>
    </row>
    <row r="166" ht="15.75" customHeight="1">
      <c r="A166" s="1" t="s">
        <v>766</v>
      </c>
      <c r="B166" s="1" t="s">
        <v>461</v>
      </c>
      <c r="C166" s="1"/>
      <c r="D166" s="190">
        <f t="shared" ref="D166:U166" si="94">+(D141+D153)*0.065</f>
        <v>0</v>
      </c>
      <c r="E166" s="190">
        <f t="shared" si="94"/>
        <v>0</v>
      </c>
      <c r="F166" s="190">
        <f t="shared" si="94"/>
        <v>2860.058474</v>
      </c>
      <c r="G166" s="190">
        <f t="shared" si="94"/>
        <v>0</v>
      </c>
      <c r="H166" s="190">
        <f t="shared" si="94"/>
        <v>0</v>
      </c>
      <c r="I166" s="190">
        <f t="shared" si="94"/>
        <v>2386.43275</v>
      </c>
      <c r="J166" s="190">
        <f t="shared" si="94"/>
        <v>0</v>
      </c>
      <c r="K166" s="190">
        <f t="shared" si="94"/>
        <v>0</v>
      </c>
      <c r="L166" s="190">
        <f t="shared" si="94"/>
        <v>3499.548806</v>
      </c>
      <c r="M166" s="190">
        <f t="shared" si="94"/>
        <v>0</v>
      </c>
      <c r="N166" s="190">
        <f t="shared" si="94"/>
        <v>3578.65157</v>
      </c>
      <c r="O166" s="190">
        <f t="shared" si="94"/>
        <v>0</v>
      </c>
      <c r="P166" s="190">
        <f t="shared" si="94"/>
        <v>0</v>
      </c>
      <c r="Q166" s="190">
        <f t="shared" si="94"/>
        <v>5276.39645</v>
      </c>
      <c r="R166" s="190">
        <f t="shared" si="94"/>
        <v>0</v>
      </c>
      <c r="S166" s="190">
        <f t="shared" si="94"/>
        <v>0</v>
      </c>
      <c r="T166" s="190">
        <f t="shared" si="94"/>
        <v>0</v>
      </c>
      <c r="U166" s="190">
        <f t="shared" si="94"/>
        <v>0</v>
      </c>
      <c r="V166" s="26">
        <f t="shared" si="93"/>
        <v>17601.08805</v>
      </c>
      <c r="W166" s="27"/>
      <c r="X166" s="27"/>
      <c r="AD166" s="27"/>
      <c r="AF166" s="27"/>
      <c r="AH166" s="27"/>
    </row>
    <row r="167" ht="15.75" customHeight="1">
      <c r="A167" s="1" t="s">
        <v>767</v>
      </c>
      <c r="B167" s="1" t="s">
        <v>465</v>
      </c>
      <c r="C167" s="1"/>
      <c r="D167" s="190">
        <f t="shared" ref="D167:U167" si="95">+(D141+D153)*0.0145</f>
        <v>0</v>
      </c>
      <c r="E167" s="190">
        <f t="shared" si="95"/>
        <v>0</v>
      </c>
      <c r="F167" s="190">
        <f t="shared" si="95"/>
        <v>638.0130442</v>
      </c>
      <c r="G167" s="190">
        <f t="shared" si="95"/>
        <v>0</v>
      </c>
      <c r="H167" s="190">
        <f t="shared" si="95"/>
        <v>0</v>
      </c>
      <c r="I167" s="190">
        <f t="shared" si="95"/>
        <v>532.358075</v>
      </c>
      <c r="J167" s="190">
        <f t="shared" si="95"/>
        <v>0</v>
      </c>
      <c r="K167" s="190">
        <f t="shared" si="95"/>
        <v>0</v>
      </c>
      <c r="L167" s="190">
        <f t="shared" si="95"/>
        <v>780.6685798</v>
      </c>
      <c r="M167" s="190">
        <f t="shared" si="95"/>
        <v>0</v>
      </c>
      <c r="N167" s="190">
        <f t="shared" si="95"/>
        <v>798.314581</v>
      </c>
      <c r="O167" s="190">
        <f t="shared" si="95"/>
        <v>0</v>
      </c>
      <c r="P167" s="190">
        <f t="shared" si="95"/>
        <v>0</v>
      </c>
      <c r="Q167" s="190">
        <f t="shared" si="95"/>
        <v>1177.042285</v>
      </c>
      <c r="R167" s="190">
        <f t="shared" si="95"/>
        <v>0</v>
      </c>
      <c r="S167" s="190">
        <f t="shared" si="95"/>
        <v>0</v>
      </c>
      <c r="T167" s="190">
        <f t="shared" si="95"/>
        <v>0</v>
      </c>
      <c r="U167" s="190">
        <f t="shared" si="95"/>
        <v>0</v>
      </c>
      <c r="V167" s="26">
        <f t="shared" si="93"/>
        <v>3926.396565</v>
      </c>
      <c r="W167" s="27"/>
      <c r="X167" s="27"/>
      <c r="AD167" s="27"/>
      <c r="AF167" s="27"/>
      <c r="AH167" s="27"/>
    </row>
    <row r="168" ht="15.75" customHeight="1">
      <c r="W168" s="27"/>
      <c r="X168" s="27"/>
      <c r="AD168" s="27"/>
      <c r="AF168" s="27"/>
      <c r="AH168" s="27"/>
    </row>
    <row r="169" ht="15.75" customHeight="1">
      <c r="A169" s="202" t="s">
        <v>793</v>
      </c>
      <c r="B169" s="203">
        <v>0.03</v>
      </c>
      <c r="C169" s="204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7"/>
      <c r="X169" s="27"/>
      <c r="AD169" s="27"/>
      <c r="AF169" s="27"/>
      <c r="AH169" s="27"/>
    </row>
    <row r="170" ht="15.75" customHeight="1">
      <c r="A170" s="206" t="s">
        <v>794</v>
      </c>
      <c r="B170" s="207"/>
      <c r="C170" s="207"/>
      <c r="D170" s="205" t="s">
        <v>774</v>
      </c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7"/>
      <c r="X170" s="27"/>
      <c r="AD170" s="27"/>
      <c r="AF170" s="27"/>
      <c r="AH170" s="27"/>
    </row>
    <row r="171" ht="15.75" customHeight="1">
      <c r="A171" s="206" t="s">
        <v>795</v>
      </c>
      <c r="B171" s="207"/>
      <c r="C171" s="207"/>
      <c r="D171" s="208">
        <v>1.0</v>
      </c>
      <c r="E171" s="208">
        <v>1.0</v>
      </c>
      <c r="F171" s="208">
        <v>2.0</v>
      </c>
      <c r="G171" s="208">
        <v>1.0</v>
      </c>
      <c r="H171" s="208">
        <v>1.0</v>
      </c>
      <c r="I171" s="208">
        <v>2.0</v>
      </c>
      <c r="J171" s="208">
        <v>1.0</v>
      </c>
      <c r="K171" s="208">
        <v>1.0</v>
      </c>
      <c r="L171" s="208">
        <v>2.0</v>
      </c>
      <c r="M171" s="208">
        <v>1.0</v>
      </c>
      <c r="N171" s="208">
        <v>2.0</v>
      </c>
      <c r="O171" s="208">
        <v>1.0</v>
      </c>
      <c r="P171" s="208"/>
      <c r="Q171" s="208">
        <v>2.0</v>
      </c>
      <c r="R171" s="208">
        <v>1.0</v>
      </c>
      <c r="S171" s="208"/>
      <c r="T171" s="208">
        <v>1.0</v>
      </c>
      <c r="U171" s="208">
        <v>1.0</v>
      </c>
      <c r="V171" s="205"/>
      <c r="W171" s="27"/>
      <c r="X171" s="27"/>
      <c r="AD171" s="27"/>
      <c r="AF171" s="27"/>
      <c r="AH171" s="27"/>
    </row>
    <row r="172" ht="15.75" customHeight="1">
      <c r="A172" s="185" t="s">
        <v>739</v>
      </c>
      <c r="B172" s="185" t="s">
        <v>740</v>
      </c>
      <c r="C172" s="209" t="s">
        <v>795</v>
      </c>
      <c r="D172" s="210" t="s">
        <v>741</v>
      </c>
      <c r="E172" s="210" t="s">
        <v>742</v>
      </c>
      <c r="F172" s="210" t="s">
        <v>743</v>
      </c>
      <c r="G172" s="210" t="s">
        <v>744</v>
      </c>
      <c r="H172" s="210" t="s">
        <v>745</v>
      </c>
      <c r="I172" s="210" t="s">
        <v>746</v>
      </c>
      <c r="J172" s="210" t="s">
        <v>747</v>
      </c>
      <c r="K172" s="210" t="s">
        <v>748</v>
      </c>
      <c r="L172" s="210" t="s">
        <v>749</v>
      </c>
      <c r="M172" s="210" t="s">
        <v>750</v>
      </c>
      <c r="N172" s="210" t="s">
        <v>751</v>
      </c>
      <c r="O172" s="210" t="s">
        <v>752</v>
      </c>
      <c r="P172" s="210"/>
      <c r="Q172" s="210" t="s">
        <v>754</v>
      </c>
      <c r="R172" s="210" t="s">
        <v>796</v>
      </c>
      <c r="S172" s="210"/>
      <c r="T172" s="210" t="s">
        <v>757</v>
      </c>
      <c r="U172" s="210" t="s">
        <v>758</v>
      </c>
      <c r="V172" s="210" t="s">
        <v>759</v>
      </c>
      <c r="W172" s="27"/>
      <c r="X172" s="27"/>
      <c r="AD172" s="27"/>
      <c r="AF172" s="27"/>
      <c r="AH172" s="27"/>
    </row>
    <row r="173" ht="15.75" customHeight="1">
      <c r="A173" s="185" t="s">
        <v>797</v>
      </c>
      <c r="B173" s="185"/>
      <c r="C173" s="209"/>
      <c r="D173" s="211">
        <v>1570.35</v>
      </c>
      <c r="E173" s="211">
        <v>1406.5</v>
      </c>
      <c r="F173" s="212"/>
      <c r="G173" s="211">
        <v>1287.5</v>
      </c>
      <c r="H173" s="211">
        <v>1710.91</v>
      </c>
      <c r="I173" s="211">
        <v>1518.12</v>
      </c>
      <c r="J173" s="211">
        <v>835.59</v>
      </c>
      <c r="K173" s="211">
        <v>1287.5</v>
      </c>
      <c r="L173" s="211">
        <v>2231.67</v>
      </c>
      <c r="M173" s="211">
        <v>1459.17</v>
      </c>
      <c r="N173" s="211">
        <v>2282.38</v>
      </c>
      <c r="O173" s="211">
        <v>1311.45</v>
      </c>
      <c r="P173" s="211"/>
      <c r="Q173" s="211">
        <v>3304.58</v>
      </c>
      <c r="R173" s="211">
        <v>1541.67</v>
      </c>
      <c r="S173" s="210"/>
      <c r="T173" s="210"/>
      <c r="U173" s="210"/>
      <c r="V173" s="210"/>
      <c r="W173" s="27"/>
      <c r="X173" s="27"/>
      <c r="AD173" s="27"/>
      <c r="AF173" s="27"/>
      <c r="AH173" s="27"/>
    </row>
    <row r="174" ht="15.75" customHeight="1">
      <c r="A174" s="207" t="s">
        <v>376</v>
      </c>
      <c r="B174" s="207" t="s">
        <v>375</v>
      </c>
      <c r="C174" s="207" t="s">
        <v>798</v>
      </c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>
        <f t="shared" ref="T174:U174" si="96">+T134*(1+$B$169)</f>
        <v>0</v>
      </c>
      <c r="U174" s="213">
        <f t="shared" si="96"/>
        <v>4635</v>
      </c>
      <c r="V174" s="213">
        <f t="shared" ref="V174:V194" si="97">SUM(D174:U174)</f>
        <v>4635</v>
      </c>
      <c r="W174" s="27"/>
      <c r="X174" s="27"/>
      <c r="AD174" s="27"/>
      <c r="AF174" s="27"/>
      <c r="AH174" s="27"/>
    </row>
    <row r="175" ht="15.75" customHeight="1">
      <c r="A175" s="207" t="s">
        <v>378</v>
      </c>
      <c r="B175" s="207" t="s">
        <v>377</v>
      </c>
      <c r="C175" s="207" t="s">
        <v>798</v>
      </c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>
        <v>15600.0</v>
      </c>
      <c r="U175" s="213">
        <f>+U135*(1+$B$169)</f>
        <v>0</v>
      </c>
      <c r="V175" s="213">
        <f t="shared" si="97"/>
        <v>15600</v>
      </c>
      <c r="W175" s="27"/>
      <c r="X175" s="27"/>
      <c r="AD175" s="27"/>
      <c r="AF175" s="27"/>
      <c r="AH175" s="27"/>
    </row>
    <row r="176" ht="15.75" customHeight="1">
      <c r="A176" s="207" t="s">
        <v>380</v>
      </c>
      <c r="B176" s="207" t="s">
        <v>379</v>
      </c>
      <c r="C176" s="207" t="s">
        <v>798</v>
      </c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>
        <f t="shared" ref="T176:U176" si="98">+T136*(1+$B$169)</f>
        <v>0</v>
      </c>
      <c r="U176" s="213">
        <f t="shared" si="98"/>
        <v>0</v>
      </c>
      <c r="V176" s="213">
        <f t="shared" si="97"/>
        <v>0</v>
      </c>
      <c r="W176" s="27"/>
      <c r="X176" s="27"/>
      <c r="AD176" s="27"/>
      <c r="AF176" s="27"/>
      <c r="AH176" s="27"/>
    </row>
    <row r="177" ht="15.75" customHeight="1">
      <c r="A177" s="207" t="s">
        <v>382</v>
      </c>
      <c r="B177" s="207" t="s">
        <v>381</v>
      </c>
      <c r="C177" s="207" t="s">
        <v>798</v>
      </c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>
        <f t="shared" ref="T177:U177" si="99">+T137*(1+$B$169)</f>
        <v>0</v>
      </c>
      <c r="U177" s="213">
        <f t="shared" si="99"/>
        <v>0</v>
      </c>
      <c r="V177" s="213">
        <f t="shared" si="97"/>
        <v>0</v>
      </c>
      <c r="W177" s="27"/>
      <c r="X177" s="27"/>
      <c r="AD177" s="27"/>
      <c r="AF177" s="27"/>
      <c r="AH177" s="27"/>
    </row>
    <row r="178" ht="15.75" customHeight="1">
      <c r="A178" s="207" t="s">
        <v>384</v>
      </c>
      <c r="B178" s="207" t="s">
        <v>383</v>
      </c>
      <c r="C178" s="207" t="s">
        <v>798</v>
      </c>
      <c r="D178" s="213">
        <f t="shared" ref="D178:E178" si="100">D173*24*(1+$B$169)</f>
        <v>38819.052</v>
      </c>
      <c r="E178" s="213">
        <f t="shared" si="100"/>
        <v>34768.68</v>
      </c>
      <c r="F178" s="205"/>
      <c r="G178" s="213">
        <f t="shared" ref="G178:H178" si="101">G173*24*(1+$B$169)</f>
        <v>31827</v>
      </c>
      <c r="H178" s="213">
        <f t="shared" si="101"/>
        <v>42293.6952</v>
      </c>
      <c r="I178" s="205"/>
      <c r="J178" s="213">
        <f>J173*24*(1+$B$169)*2</f>
        <v>41311.5696</v>
      </c>
      <c r="K178" s="213">
        <f>K173*24*(1+$B$169)</f>
        <v>31827</v>
      </c>
      <c r="L178" s="205"/>
      <c r="M178" s="213">
        <f>M173*24*(1+$B$169)</f>
        <v>36070.6824</v>
      </c>
      <c r="N178" s="205"/>
      <c r="O178" s="213">
        <f t="shared" ref="O178:P178" si="102">O173*24*(1+$B$169)</f>
        <v>32419.044</v>
      </c>
      <c r="P178" s="213">
        <f t="shared" si="102"/>
        <v>0</v>
      </c>
      <c r="Q178" s="205"/>
      <c r="R178" s="213">
        <f>R173*24*(1+$B$169)</f>
        <v>38110.0824</v>
      </c>
      <c r="S178" s="213"/>
      <c r="T178" s="213">
        <f t="shared" ref="T178:U178" si="103">+T138*(1+$B$169)</f>
        <v>0</v>
      </c>
      <c r="U178" s="213">
        <f t="shared" si="103"/>
        <v>0</v>
      </c>
      <c r="V178" s="213">
        <f t="shared" si="97"/>
        <v>327446.8056</v>
      </c>
      <c r="W178" s="27"/>
      <c r="X178" s="27"/>
      <c r="AD178" s="27"/>
      <c r="AF178" s="27"/>
      <c r="AH178" s="27"/>
    </row>
    <row r="179" ht="15.75" customHeight="1">
      <c r="A179" s="207" t="s">
        <v>386</v>
      </c>
      <c r="B179" s="207" t="s">
        <v>385</v>
      </c>
      <c r="C179" s="207" t="s">
        <v>798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>
        <f t="shared" ref="T179:U179" si="104">+T139*(1+$B$169)</f>
        <v>0</v>
      </c>
      <c r="U179" s="213">
        <f t="shared" si="104"/>
        <v>0</v>
      </c>
      <c r="V179" s="213">
        <f t="shared" si="97"/>
        <v>0</v>
      </c>
      <c r="W179" s="27"/>
      <c r="X179" s="27"/>
      <c r="AD179" s="27"/>
      <c r="AF179" s="27"/>
      <c r="AH179" s="27"/>
    </row>
    <row r="180" ht="15.75" customHeight="1">
      <c r="A180" s="207" t="s">
        <v>388</v>
      </c>
      <c r="B180" s="207" t="s">
        <v>387</v>
      </c>
      <c r="C180" s="207" t="s">
        <v>798</v>
      </c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>
        <f t="shared" ref="T180:U180" si="105">+T140*(1+$B$169)</f>
        <v>0</v>
      </c>
      <c r="U180" s="213">
        <f t="shared" si="105"/>
        <v>0</v>
      </c>
      <c r="V180" s="213">
        <f t="shared" si="97"/>
        <v>0</v>
      </c>
      <c r="W180" s="27"/>
      <c r="X180" s="27"/>
      <c r="AD180" s="27"/>
      <c r="AF180" s="27"/>
      <c r="AH180" s="27"/>
    </row>
    <row r="181" ht="15.75" customHeight="1">
      <c r="A181" s="207" t="s">
        <v>390</v>
      </c>
      <c r="B181" s="207" t="s">
        <v>389</v>
      </c>
      <c r="C181" s="207" t="s">
        <v>799</v>
      </c>
      <c r="D181" s="213"/>
      <c r="E181" s="213"/>
      <c r="F181" s="213">
        <f>F173*24*(1+$B$169)</f>
        <v>0</v>
      </c>
      <c r="G181" s="213"/>
      <c r="H181" s="213"/>
      <c r="I181" s="213">
        <f>I173*24*(1+$B$169)</f>
        <v>37527.9264</v>
      </c>
      <c r="J181" s="213"/>
      <c r="K181" s="213"/>
      <c r="L181" s="213">
        <f>L173*24*(1+$B$169)</f>
        <v>55166.8824</v>
      </c>
      <c r="M181" s="213"/>
      <c r="N181" s="213">
        <f>N173*24*(1+$B$169)</f>
        <v>56420.4336</v>
      </c>
      <c r="O181" s="213"/>
      <c r="P181" s="213"/>
      <c r="Q181" s="213">
        <f>Q173*24*(1+$B$169)</f>
        <v>81689.2176</v>
      </c>
      <c r="R181" s="213"/>
      <c r="S181" s="213"/>
      <c r="T181" s="213">
        <f t="shared" ref="T181:U181" si="106">+T141*(1+$B$169)</f>
        <v>0</v>
      </c>
      <c r="U181" s="213">
        <f t="shared" si="106"/>
        <v>0</v>
      </c>
      <c r="V181" s="213">
        <f t="shared" si="97"/>
        <v>230804.46</v>
      </c>
      <c r="W181" s="27"/>
      <c r="X181" s="27"/>
      <c r="AD181" s="27"/>
      <c r="AF181" s="27"/>
      <c r="AH181" s="27"/>
    </row>
    <row r="182" ht="15.75" customHeight="1">
      <c r="A182" s="207" t="s">
        <v>392</v>
      </c>
      <c r="B182" s="207" t="s">
        <v>391</v>
      </c>
      <c r="C182" s="207" t="s">
        <v>800</v>
      </c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>
        <f t="shared" ref="T182:U182" si="107">+T142*(1+$B$169)</f>
        <v>0</v>
      </c>
      <c r="U182" s="213">
        <f t="shared" si="107"/>
        <v>0</v>
      </c>
      <c r="V182" s="213">
        <f t="shared" si="97"/>
        <v>0</v>
      </c>
      <c r="W182" s="27"/>
      <c r="X182" s="27"/>
      <c r="AD182" s="27"/>
      <c r="AF182" s="27"/>
      <c r="AH182" s="27"/>
    </row>
    <row r="183" ht="15.75" customHeight="1">
      <c r="A183" s="207" t="s">
        <v>394</v>
      </c>
      <c r="B183" s="207" t="s">
        <v>393</v>
      </c>
      <c r="C183" s="207" t="s">
        <v>798</v>
      </c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>
        <f t="shared" ref="T183:U183" si="108">+T143*(1+$B$169)</f>
        <v>0</v>
      </c>
      <c r="U183" s="213">
        <f t="shared" si="108"/>
        <v>0</v>
      </c>
      <c r="V183" s="213">
        <f t="shared" si="97"/>
        <v>0</v>
      </c>
      <c r="W183" s="27"/>
      <c r="X183" s="27"/>
      <c r="AD183" s="27"/>
      <c r="AF183" s="27"/>
      <c r="AH183" s="27"/>
    </row>
    <row r="184" ht="15.75" customHeight="1">
      <c r="A184" s="207" t="s">
        <v>396</v>
      </c>
      <c r="B184" s="207" t="s">
        <v>395</v>
      </c>
      <c r="C184" s="207" t="s">
        <v>798</v>
      </c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>
        <f t="shared" ref="T184:U184" si="109">+T144*(1+$B$169)</f>
        <v>0</v>
      </c>
      <c r="U184" s="213">
        <f t="shared" si="109"/>
        <v>0</v>
      </c>
      <c r="V184" s="213">
        <f t="shared" si="97"/>
        <v>0</v>
      </c>
      <c r="W184" s="27" t="s">
        <v>801</v>
      </c>
      <c r="X184" s="27"/>
      <c r="AD184" s="27"/>
      <c r="AF184" s="27"/>
      <c r="AH184" s="27"/>
    </row>
    <row r="185" ht="15.75" customHeight="1">
      <c r="A185" s="207" t="s">
        <v>398</v>
      </c>
      <c r="B185" s="207" t="s">
        <v>397</v>
      </c>
      <c r="C185" s="207" t="s">
        <v>798</v>
      </c>
      <c r="D185" s="213"/>
      <c r="E185" s="213"/>
      <c r="F185" s="213"/>
      <c r="G185" s="213"/>
      <c r="H185" s="213"/>
      <c r="I185" s="213"/>
      <c r="J185" s="213"/>
      <c r="K185" s="213">
        <f>187.5*24*(1+B169)</f>
        <v>4635</v>
      </c>
      <c r="L185" s="213"/>
      <c r="M185" s="213"/>
      <c r="N185" s="213"/>
      <c r="O185" s="213"/>
      <c r="P185" s="213"/>
      <c r="Q185" s="213"/>
      <c r="R185" s="213"/>
      <c r="S185" s="213"/>
      <c r="T185" s="213">
        <f t="shared" ref="T185:U185" si="110">+T145*(1+$B$169)</f>
        <v>0</v>
      </c>
      <c r="U185" s="213">
        <f t="shared" si="110"/>
        <v>0</v>
      </c>
      <c r="V185" s="213">
        <f t="shared" si="97"/>
        <v>4635</v>
      </c>
      <c r="W185" s="27"/>
      <c r="X185" s="27"/>
      <c r="AD185" s="27"/>
      <c r="AF185" s="27"/>
      <c r="AH185" s="27"/>
    </row>
    <row r="186" ht="15.75" customHeight="1">
      <c r="A186" s="207" t="s">
        <v>400</v>
      </c>
      <c r="B186" s="207" t="s">
        <v>399</v>
      </c>
      <c r="C186" s="207" t="s">
        <v>798</v>
      </c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>
        <f t="shared" ref="T186:U186" si="111">+T146*(1+$B$169)</f>
        <v>0</v>
      </c>
      <c r="U186" s="213">
        <f t="shared" si="111"/>
        <v>0</v>
      </c>
      <c r="V186" s="213">
        <f t="shared" si="97"/>
        <v>0</v>
      </c>
      <c r="W186" s="57"/>
      <c r="X186" s="27"/>
      <c r="AD186" s="27"/>
      <c r="AF186" s="27"/>
      <c r="AH186" s="27"/>
    </row>
    <row r="187" ht="15.75" customHeight="1">
      <c r="A187" s="207" t="s">
        <v>402</v>
      </c>
      <c r="B187" s="207" t="s">
        <v>401</v>
      </c>
      <c r="C187" s="207" t="s">
        <v>798</v>
      </c>
      <c r="D187" s="213"/>
      <c r="E187" s="213"/>
      <c r="F187" s="213"/>
      <c r="G187" s="211">
        <v>9187.5</v>
      </c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>
        <f t="shared" ref="T187:U187" si="112">+T147*(1+$B$169)</f>
        <v>0</v>
      </c>
      <c r="U187" s="213">
        <f t="shared" si="112"/>
        <v>0</v>
      </c>
      <c r="V187" s="213">
        <f t="shared" si="97"/>
        <v>9187.5</v>
      </c>
      <c r="W187" s="57"/>
      <c r="X187" s="27"/>
      <c r="AD187" s="27"/>
      <c r="AF187" s="27"/>
      <c r="AH187" s="27"/>
    </row>
    <row r="188" ht="15.75" customHeight="1">
      <c r="A188" s="207" t="s">
        <v>405</v>
      </c>
      <c r="B188" s="207" t="s">
        <v>404</v>
      </c>
      <c r="C188" s="207" t="s">
        <v>798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>
        <f t="shared" ref="T188:U188" si="113">+T148*(1+$B$169)</f>
        <v>0</v>
      </c>
      <c r="U188" s="213">
        <f t="shared" si="113"/>
        <v>0</v>
      </c>
      <c r="V188" s="213">
        <f t="shared" si="97"/>
        <v>0</v>
      </c>
      <c r="W188" s="57"/>
      <c r="X188" s="27"/>
      <c r="AD188" s="27"/>
      <c r="AF188" s="27"/>
      <c r="AH188" s="27"/>
    </row>
    <row r="189" ht="15.75" customHeight="1">
      <c r="A189" s="207" t="s">
        <v>408</v>
      </c>
      <c r="B189" s="207" t="s">
        <v>407</v>
      </c>
      <c r="C189" s="207" t="s">
        <v>798</v>
      </c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>
        <f t="shared" ref="T189:U189" si="114">+T149*(1+$B$169)</f>
        <v>0</v>
      </c>
      <c r="U189" s="213">
        <f t="shared" si="114"/>
        <v>0</v>
      </c>
      <c r="V189" s="213">
        <f t="shared" si="97"/>
        <v>0</v>
      </c>
      <c r="W189" s="57"/>
      <c r="X189" s="27"/>
      <c r="AD189" s="27"/>
      <c r="AF189" s="27"/>
      <c r="AH189" s="27"/>
    </row>
    <row r="190" ht="15.75" customHeight="1">
      <c r="A190" s="207" t="s">
        <v>412</v>
      </c>
      <c r="B190" s="207" t="s">
        <v>410</v>
      </c>
      <c r="C190" s="207" t="s">
        <v>798</v>
      </c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>
        <f t="shared" ref="T190:U190" si="115">+T150*(1+$B$169)</f>
        <v>0</v>
      </c>
      <c r="U190" s="213">
        <f t="shared" si="115"/>
        <v>0</v>
      </c>
      <c r="V190" s="213">
        <f t="shared" si="97"/>
        <v>0</v>
      </c>
      <c r="W190" s="57"/>
      <c r="X190" s="27"/>
      <c r="AD190" s="27"/>
      <c r="AF190" s="27"/>
      <c r="AH190" s="27"/>
    </row>
    <row r="191" ht="15.75" customHeight="1">
      <c r="A191" s="207" t="s">
        <v>760</v>
      </c>
      <c r="B191" s="207" t="s">
        <v>420</v>
      </c>
      <c r="C191" s="207" t="s">
        <v>798</v>
      </c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>
        <f>300*20</f>
        <v>6000</v>
      </c>
      <c r="P191" s="213"/>
      <c r="Q191" s="213"/>
      <c r="R191" s="213"/>
      <c r="S191" s="213"/>
      <c r="T191" s="213">
        <f t="shared" ref="T191:U191" si="116">+T151*(1+$B$169)</f>
        <v>0</v>
      </c>
      <c r="U191" s="213">
        <f t="shared" si="116"/>
        <v>0</v>
      </c>
      <c r="V191" s="213">
        <f t="shared" si="97"/>
        <v>6000</v>
      </c>
      <c r="W191" s="57"/>
      <c r="X191" s="27"/>
      <c r="AD191" s="27"/>
      <c r="AF191" s="27"/>
      <c r="AH191" s="27"/>
    </row>
    <row r="192" ht="15.75" customHeight="1">
      <c r="A192" s="207" t="s">
        <v>434</v>
      </c>
      <c r="B192" s="207" t="s">
        <v>433</v>
      </c>
      <c r="C192" s="207" t="s">
        <v>798</v>
      </c>
      <c r="D192" s="213">
        <f t="shared" ref="D192:R192" si="117">+D152*(1+$B$169)</f>
        <v>287.196239</v>
      </c>
      <c r="E192" s="213">
        <f t="shared" si="117"/>
        <v>287.196239</v>
      </c>
      <c r="F192" s="213">
        <f t="shared" si="117"/>
        <v>0</v>
      </c>
      <c r="G192" s="213">
        <f t="shared" si="117"/>
        <v>287.196239</v>
      </c>
      <c r="H192" s="213">
        <f t="shared" si="117"/>
        <v>287.196239</v>
      </c>
      <c r="I192" s="213">
        <f t="shared" si="117"/>
        <v>0</v>
      </c>
      <c r="J192" s="213">
        <f t="shared" si="117"/>
        <v>287.196239</v>
      </c>
      <c r="K192" s="213">
        <f t="shared" si="117"/>
        <v>287.196239</v>
      </c>
      <c r="L192" s="213">
        <f t="shared" si="117"/>
        <v>0</v>
      </c>
      <c r="M192" s="213">
        <f t="shared" si="117"/>
        <v>287.196239</v>
      </c>
      <c r="N192" s="213">
        <f t="shared" si="117"/>
        <v>0</v>
      </c>
      <c r="O192" s="213">
        <f t="shared" si="117"/>
        <v>287.196239</v>
      </c>
      <c r="P192" s="213">
        <f t="shared" si="117"/>
        <v>0</v>
      </c>
      <c r="Q192" s="213">
        <f t="shared" si="117"/>
        <v>0</v>
      </c>
      <c r="R192" s="213">
        <f t="shared" si="117"/>
        <v>287.196239</v>
      </c>
      <c r="S192" s="213"/>
      <c r="T192" s="213">
        <f t="shared" ref="T192:U192" si="118">+T152*(1+$B$169)</f>
        <v>0</v>
      </c>
      <c r="U192" s="213">
        <f t="shared" si="118"/>
        <v>0</v>
      </c>
      <c r="V192" s="213">
        <f t="shared" si="97"/>
        <v>2584.766151</v>
      </c>
      <c r="W192" s="57"/>
      <c r="X192" s="27"/>
      <c r="AD192" s="27"/>
      <c r="AF192" s="27"/>
      <c r="AH192" s="27"/>
    </row>
    <row r="193" ht="15.75" customHeight="1">
      <c r="A193" s="207" t="s">
        <v>434</v>
      </c>
      <c r="B193" s="207" t="s">
        <v>435</v>
      </c>
      <c r="C193" s="207" t="s">
        <v>799</v>
      </c>
      <c r="D193" s="213">
        <f t="shared" ref="D193:E193" si="119">+D153*(1+$B$169)</f>
        <v>0</v>
      </c>
      <c r="E193" s="213">
        <f t="shared" si="119"/>
        <v>0</v>
      </c>
      <c r="F193" s="213"/>
      <c r="G193" s="213">
        <f t="shared" ref="G193:P193" si="120">+G153*(1+$B$169)</f>
        <v>0</v>
      </c>
      <c r="H193" s="213">
        <f t="shared" si="120"/>
        <v>0</v>
      </c>
      <c r="I193" s="213">
        <f t="shared" si="120"/>
        <v>287.5039</v>
      </c>
      <c r="J193" s="213">
        <f t="shared" si="120"/>
        <v>0</v>
      </c>
      <c r="K193" s="213">
        <f t="shared" si="120"/>
        <v>0</v>
      </c>
      <c r="L193" s="213">
        <f t="shared" si="120"/>
        <v>287.5039</v>
      </c>
      <c r="M193" s="213">
        <f t="shared" si="120"/>
        <v>0</v>
      </c>
      <c r="N193" s="213">
        <f t="shared" si="120"/>
        <v>287.5039</v>
      </c>
      <c r="O193" s="213">
        <f t="shared" si="120"/>
        <v>0</v>
      </c>
      <c r="P193" s="213">
        <f t="shared" si="120"/>
        <v>0</v>
      </c>
      <c r="Q193" s="213">
        <f>+Q153*(1+$B$169)+10000</f>
        <v>10287.5039</v>
      </c>
      <c r="R193" s="213">
        <f>+R153*(1+$B$169)</f>
        <v>0</v>
      </c>
      <c r="S193" s="213"/>
      <c r="T193" s="213">
        <f t="shared" ref="T193:U193" si="121">+T153*(1+$B$169)</f>
        <v>0</v>
      </c>
      <c r="U193" s="213">
        <f t="shared" si="121"/>
        <v>0</v>
      </c>
      <c r="V193" s="213">
        <f t="shared" si="97"/>
        <v>11150.0156</v>
      </c>
      <c r="W193" s="57"/>
      <c r="X193" s="27"/>
      <c r="AD193" s="27"/>
      <c r="AF193" s="27"/>
      <c r="AH193" s="27"/>
    </row>
    <row r="194" ht="15.75" customHeight="1">
      <c r="A194" s="207" t="s">
        <v>434</v>
      </c>
      <c r="B194" s="207" t="s">
        <v>436</v>
      </c>
      <c r="C194" s="207" t="s">
        <v>800</v>
      </c>
      <c r="D194" s="213">
        <f t="shared" ref="D194:R194" si="122">+D154*(1+$B$169)</f>
        <v>0</v>
      </c>
      <c r="E194" s="213">
        <f t="shared" si="122"/>
        <v>0</v>
      </c>
      <c r="F194" s="213">
        <f t="shared" si="122"/>
        <v>0</v>
      </c>
      <c r="G194" s="213">
        <f t="shared" si="122"/>
        <v>0</v>
      </c>
      <c r="H194" s="213">
        <f t="shared" si="122"/>
        <v>0</v>
      </c>
      <c r="I194" s="213">
        <f t="shared" si="122"/>
        <v>0</v>
      </c>
      <c r="J194" s="213">
        <f t="shared" si="122"/>
        <v>0</v>
      </c>
      <c r="K194" s="213">
        <f t="shared" si="122"/>
        <v>0</v>
      </c>
      <c r="L194" s="213">
        <f t="shared" si="122"/>
        <v>0</v>
      </c>
      <c r="M194" s="213">
        <f t="shared" si="122"/>
        <v>0</v>
      </c>
      <c r="N194" s="213">
        <f t="shared" si="122"/>
        <v>0</v>
      </c>
      <c r="O194" s="213">
        <f t="shared" si="122"/>
        <v>0</v>
      </c>
      <c r="P194" s="213">
        <f t="shared" si="122"/>
        <v>0</v>
      </c>
      <c r="Q194" s="213">
        <f t="shared" si="122"/>
        <v>0</v>
      </c>
      <c r="R194" s="213">
        <f t="shared" si="122"/>
        <v>0</v>
      </c>
      <c r="S194" s="213"/>
      <c r="T194" s="213">
        <f t="shared" ref="T194:U194" si="123">+T154*(1+$B$169)</f>
        <v>0</v>
      </c>
      <c r="U194" s="213">
        <f t="shared" si="123"/>
        <v>0</v>
      </c>
      <c r="V194" s="213">
        <f t="shared" si="97"/>
        <v>0</v>
      </c>
      <c r="W194" s="27" t="s">
        <v>802</v>
      </c>
      <c r="X194" s="27" t="s">
        <v>803</v>
      </c>
      <c r="AD194" s="27"/>
      <c r="AF194" s="27"/>
      <c r="AH194" s="27"/>
    </row>
    <row r="195" ht="15.75" customHeight="1">
      <c r="A195" s="205" t="s">
        <v>761</v>
      </c>
      <c r="B195" s="205"/>
      <c r="C195" s="205"/>
      <c r="D195" s="213">
        <f t="shared" ref="D195:V195" si="124">SUM(D174:D194)</f>
        <v>39106.24824</v>
      </c>
      <c r="E195" s="213">
        <f t="shared" si="124"/>
        <v>35055.87624</v>
      </c>
      <c r="F195" s="213">
        <f t="shared" si="124"/>
        <v>0</v>
      </c>
      <c r="G195" s="213">
        <f t="shared" si="124"/>
        <v>41301.69624</v>
      </c>
      <c r="H195" s="213">
        <f t="shared" si="124"/>
        <v>42580.89144</v>
      </c>
      <c r="I195" s="213">
        <f t="shared" si="124"/>
        <v>37815.4303</v>
      </c>
      <c r="J195" s="213">
        <f t="shared" si="124"/>
        <v>41598.76584</v>
      </c>
      <c r="K195" s="213">
        <f t="shared" si="124"/>
        <v>36749.19624</v>
      </c>
      <c r="L195" s="213">
        <f t="shared" si="124"/>
        <v>55454.3863</v>
      </c>
      <c r="M195" s="213">
        <f t="shared" si="124"/>
        <v>36357.87864</v>
      </c>
      <c r="N195" s="213">
        <f t="shared" si="124"/>
        <v>56707.9375</v>
      </c>
      <c r="O195" s="213">
        <f t="shared" si="124"/>
        <v>38706.24024</v>
      </c>
      <c r="P195" s="213">
        <f t="shared" si="124"/>
        <v>0</v>
      </c>
      <c r="Q195" s="213">
        <f t="shared" si="124"/>
        <v>91976.7215</v>
      </c>
      <c r="R195" s="213">
        <f t="shared" si="124"/>
        <v>38397.27864</v>
      </c>
      <c r="S195" s="213">
        <f t="shared" si="124"/>
        <v>0</v>
      </c>
      <c r="T195" s="213">
        <f t="shared" si="124"/>
        <v>15600</v>
      </c>
      <c r="U195" s="213">
        <f t="shared" si="124"/>
        <v>4635</v>
      </c>
      <c r="V195" s="213">
        <f t="shared" si="124"/>
        <v>612043.5474</v>
      </c>
      <c r="W195" s="57">
        <f>+SUMIF($D$171:$R$171,1,$D$195:$R$195)</f>
        <v>349854.0718</v>
      </c>
      <c r="X195" s="57">
        <f>+SUMIF($D$171:$U$171,2,$D$195:$U$195)</f>
        <v>241954.4756</v>
      </c>
      <c r="Y195" s="27">
        <f>+SUM(W195:X195)*1.03</f>
        <v>609562.8038</v>
      </c>
      <c r="AD195" s="27"/>
      <c r="AF195" s="27"/>
      <c r="AH195" s="27"/>
    </row>
    <row r="196" ht="15.75" customHeight="1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57"/>
      <c r="X196" s="27"/>
      <c r="Y196" s="27">
        <f>+Y195-SUM(W195,X195)</f>
        <v>17754.25642</v>
      </c>
      <c r="AD196" s="27"/>
      <c r="AF196" s="27"/>
      <c r="AH196" s="27"/>
    </row>
    <row r="197" ht="15.75" customHeight="1">
      <c r="A197" s="207" t="s">
        <v>762</v>
      </c>
      <c r="B197" s="207" t="s">
        <v>443</v>
      </c>
      <c r="C197" s="207"/>
      <c r="D197" s="213">
        <f t="shared" ref="D197:R197" si="125">IF(D173&lt;&gt;0,$B$198*$C$198*12,0)</f>
        <v>4752</v>
      </c>
      <c r="E197" s="213">
        <f t="shared" si="125"/>
        <v>4752</v>
      </c>
      <c r="F197" s="213">
        <f t="shared" si="125"/>
        <v>0</v>
      </c>
      <c r="G197" s="213">
        <f t="shared" si="125"/>
        <v>4752</v>
      </c>
      <c r="H197" s="213">
        <f t="shared" si="125"/>
        <v>4752</v>
      </c>
      <c r="I197" s="213">
        <f t="shared" si="125"/>
        <v>4752</v>
      </c>
      <c r="J197" s="213">
        <f t="shared" si="125"/>
        <v>4752</v>
      </c>
      <c r="K197" s="213">
        <f t="shared" si="125"/>
        <v>4752</v>
      </c>
      <c r="L197" s="213">
        <f t="shared" si="125"/>
        <v>4752</v>
      </c>
      <c r="M197" s="213">
        <f t="shared" si="125"/>
        <v>4752</v>
      </c>
      <c r="N197" s="213">
        <f t="shared" si="125"/>
        <v>4752</v>
      </c>
      <c r="O197" s="213">
        <f t="shared" si="125"/>
        <v>4752</v>
      </c>
      <c r="P197" s="213">
        <f t="shared" si="125"/>
        <v>0</v>
      </c>
      <c r="Q197" s="213">
        <f t="shared" si="125"/>
        <v>4752</v>
      </c>
      <c r="R197" s="213">
        <f t="shared" si="125"/>
        <v>4752</v>
      </c>
      <c r="S197" s="214"/>
      <c r="T197" s="214"/>
      <c r="U197" s="214"/>
      <c r="V197" s="213">
        <f>+SUM(D197:U197)</f>
        <v>61776</v>
      </c>
      <c r="W197" s="57">
        <f>+SUMIF($D$171:$U$171,1,$D$197:$U$197)</f>
        <v>42768</v>
      </c>
      <c r="X197" s="57">
        <f>+SUMIF($D$171:$U$171,2,$D$197:$U$197)</f>
        <v>19008</v>
      </c>
      <c r="AD197" s="27"/>
      <c r="AF197" s="27"/>
      <c r="AH197" s="27"/>
    </row>
    <row r="198" ht="15.75" customHeight="1">
      <c r="A198" s="207" t="s">
        <v>804</v>
      </c>
      <c r="B198" s="215">
        <v>360.0</v>
      </c>
      <c r="C198" s="216">
        <v>1.1</v>
      </c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57"/>
      <c r="X198" s="27"/>
      <c r="AD198" s="27"/>
      <c r="AF198" s="27"/>
      <c r="AH198" s="27"/>
    </row>
    <row r="199" ht="15.75" customHeight="1">
      <c r="A199" s="207" t="s">
        <v>763</v>
      </c>
      <c r="B199" s="207" t="s">
        <v>439</v>
      </c>
      <c r="C199" s="207"/>
      <c r="D199" s="213">
        <f t="shared" ref="D199:R199" si="126">+D195*0.03</f>
        <v>1173.187447</v>
      </c>
      <c r="E199" s="213">
        <f t="shared" si="126"/>
        <v>1051.676287</v>
      </c>
      <c r="F199" s="213">
        <f t="shared" si="126"/>
        <v>0</v>
      </c>
      <c r="G199" s="213">
        <f t="shared" si="126"/>
        <v>1239.050887</v>
      </c>
      <c r="H199" s="213">
        <f t="shared" si="126"/>
        <v>1277.426743</v>
      </c>
      <c r="I199" s="213">
        <f t="shared" si="126"/>
        <v>1134.462909</v>
      </c>
      <c r="J199" s="213">
        <f t="shared" si="126"/>
        <v>1247.962975</v>
      </c>
      <c r="K199" s="213">
        <f t="shared" si="126"/>
        <v>1102.475887</v>
      </c>
      <c r="L199" s="213">
        <f t="shared" si="126"/>
        <v>1663.631589</v>
      </c>
      <c r="M199" s="213">
        <f t="shared" si="126"/>
        <v>1090.736359</v>
      </c>
      <c r="N199" s="213">
        <f t="shared" si="126"/>
        <v>1701.238125</v>
      </c>
      <c r="O199" s="213">
        <f t="shared" si="126"/>
        <v>1161.187207</v>
      </c>
      <c r="P199" s="213">
        <f t="shared" si="126"/>
        <v>0</v>
      </c>
      <c r="Q199" s="213">
        <f t="shared" si="126"/>
        <v>2759.301645</v>
      </c>
      <c r="R199" s="213">
        <f t="shared" si="126"/>
        <v>1151.918359</v>
      </c>
      <c r="S199" s="213">
        <v>0.0</v>
      </c>
      <c r="T199" s="213">
        <v>0.0</v>
      </c>
      <c r="U199" s="213">
        <v>0.0</v>
      </c>
      <c r="V199" s="213">
        <f>+SUM(D199:U199)</f>
        <v>17754.25642</v>
      </c>
      <c r="W199" s="57">
        <f>+SUMIF($D$171:$U$171,1,$D$199:$U$199)</f>
        <v>10495.62215</v>
      </c>
      <c r="X199" s="57">
        <f>+SUMIF($D$171:$U$171,2,$D$199:$U$199)</f>
        <v>7258.634268</v>
      </c>
      <c r="AD199" s="27"/>
      <c r="AF199" s="27"/>
      <c r="AH199" s="27"/>
    </row>
    <row r="200" ht="15.75" customHeight="1">
      <c r="A200" s="207" t="s">
        <v>764</v>
      </c>
      <c r="B200" s="207"/>
      <c r="C200" s="207"/>
      <c r="D200" s="217">
        <f t="shared" ref="D200:U200" si="127">+IFERROR(D199/D195,0)</f>
        <v>0.03</v>
      </c>
      <c r="E200" s="217">
        <f t="shared" si="127"/>
        <v>0.03</v>
      </c>
      <c r="F200" s="217">
        <f t="shared" si="127"/>
        <v>0</v>
      </c>
      <c r="G200" s="217">
        <f t="shared" si="127"/>
        <v>0.03</v>
      </c>
      <c r="H200" s="217">
        <f t="shared" si="127"/>
        <v>0.03</v>
      </c>
      <c r="I200" s="217">
        <f t="shared" si="127"/>
        <v>0.03</v>
      </c>
      <c r="J200" s="217">
        <f t="shared" si="127"/>
        <v>0.03</v>
      </c>
      <c r="K200" s="217">
        <f t="shared" si="127"/>
        <v>0.03</v>
      </c>
      <c r="L200" s="217">
        <f t="shared" si="127"/>
        <v>0.03</v>
      </c>
      <c r="M200" s="217">
        <f t="shared" si="127"/>
        <v>0.03</v>
      </c>
      <c r="N200" s="217">
        <f t="shared" si="127"/>
        <v>0.03</v>
      </c>
      <c r="O200" s="217">
        <f t="shared" si="127"/>
        <v>0.03</v>
      </c>
      <c r="P200" s="217">
        <f t="shared" si="127"/>
        <v>0</v>
      </c>
      <c r="Q200" s="217">
        <f t="shared" si="127"/>
        <v>0.03</v>
      </c>
      <c r="R200" s="217">
        <f t="shared" si="127"/>
        <v>0.03</v>
      </c>
      <c r="S200" s="217">
        <f t="shared" si="127"/>
        <v>0</v>
      </c>
      <c r="T200" s="217">
        <f t="shared" si="127"/>
        <v>0</v>
      </c>
      <c r="U200" s="217">
        <f t="shared" si="127"/>
        <v>0</v>
      </c>
      <c r="V200" s="205"/>
      <c r="W200" s="57"/>
      <c r="X200" s="27"/>
      <c r="AD200" s="27"/>
      <c r="AF200" s="27"/>
      <c r="AH200" s="27"/>
    </row>
    <row r="201" ht="15.75" customHeight="1">
      <c r="A201" s="207"/>
      <c r="B201" s="207"/>
      <c r="C201" s="207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57"/>
      <c r="X201" s="27"/>
      <c r="AD201" s="27"/>
      <c r="AF201" s="27"/>
      <c r="AH201" s="27"/>
    </row>
    <row r="202" ht="15.75" customHeight="1">
      <c r="A202" s="207" t="s">
        <v>765</v>
      </c>
      <c r="B202" s="207" t="s">
        <v>453</v>
      </c>
      <c r="C202" s="207"/>
      <c r="D202" s="213">
        <f t="shared" ref="D202:E202" si="128">+D162*1.15</f>
        <v>95.477508</v>
      </c>
      <c r="E202" s="213">
        <f t="shared" si="128"/>
        <v>95.477508</v>
      </c>
      <c r="F202" s="213"/>
      <c r="G202" s="213">
        <f t="shared" ref="G202:R202" si="129">+G162*1.15</f>
        <v>95.477508</v>
      </c>
      <c r="H202" s="213">
        <f t="shared" si="129"/>
        <v>95.477508</v>
      </c>
      <c r="I202" s="213">
        <f t="shared" si="129"/>
        <v>0</v>
      </c>
      <c r="J202" s="213">
        <f t="shared" si="129"/>
        <v>95.477508</v>
      </c>
      <c r="K202" s="213">
        <f t="shared" si="129"/>
        <v>95.477508</v>
      </c>
      <c r="L202" s="213">
        <f t="shared" si="129"/>
        <v>95.477508</v>
      </c>
      <c r="M202" s="213">
        <f t="shared" si="129"/>
        <v>95.477508</v>
      </c>
      <c r="N202" s="213">
        <f t="shared" si="129"/>
        <v>95.477508</v>
      </c>
      <c r="O202" s="213">
        <f t="shared" si="129"/>
        <v>95.477508</v>
      </c>
      <c r="P202" s="213">
        <f t="shared" si="129"/>
        <v>0</v>
      </c>
      <c r="Q202" s="213">
        <f t="shared" si="129"/>
        <v>95.477508</v>
      </c>
      <c r="R202" s="213">
        <f t="shared" si="129"/>
        <v>95.477508</v>
      </c>
      <c r="S202" s="214"/>
      <c r="T202" s="214"/>
      <c r="U202" s="214"/>
      <c r="V202" s="213">
        <f>+SUM(D202:U202)</f>
        <v>1145.730096</v>
      </c>
      <c r="W202" s="57">
        <f>+SUMIF($D$171:$U$171,1,$D$202:$U$202)</f>
        <v>859.297572</v>
      </c>
      <c r="X202" s="57">
        <f>+SUMIF($D$171:$U$171,2,$D$202:$U$202)</f>
        <v>286.432524</v>
      </c>
      <c r="AD202" s="27"/>
      <c r="AF202" s="27"/>
      <c r="AH202" s="27"/>
    </row>
    <row r="203" ht="15.75" customHeight="1">
      <c r="A203" s="207"/>
      <c r="B203" s="207"/>
      <c r="C203" s="207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57"/>
      <c r="X203" s="27"/>
      <c r="AD203" s="27"/>
      <c r="AF203" s="27"/>
      <c r="AH203" s="27"/>
    </row>
    <row r="204" ht="15.75" customHeight="1">
      <c r="A204" s="207" t="s">
        <v>766</v>
      </c>
      <c r="B204" s="207" t="s">
        <v>459</v>
      </c>
      <c r="C204" s="207" t="s">
        <v>798</v>
      </c>
      <c r="D204" s="213">
        <f t="shared" ref="D204:U204" si="130">+SUMIFS(D$174:D$194,$C$174:$C$194,$C204,$C$174:$C$194,D$171)*0.062</f>
        <v>2424.587391</v>
      </c>
      <c r="E204" s="213">
        <f t="shared" si="130"/>
        <v>2173.464327</v>
      </c>
      <c r="F204" s="213">
        <f t="shared" si="130"/>
        <v>0</v>
      </c>
      <c r="G204" s="213">
        <f t="shared" si="130"/>
        <v>2560.705167</v>
      </c>
      <c r="H204" s="213">
        <f t="shared" si="130"/>
        <v>2640.015269</v>
      </c>
      <c r="I204" s="213">
        <f t="shared" si="130"/>
        <v>0</v>
      </c>
      <c r="J204" s="213">
        <f t="shared" si="130"/>
        <v>2579.123482</v>
      </c>
      <c r="K204" s="213">
        <f t="shared" si="130"/>
        <v>2278.450167</v>
      </c>
      <c r="L204" s="213">
        <f t="shared" si="130"/>
        <v>0</v>
      </c>
      <c r="M204" s="213">
        <f t="shared" si="130"/>
        <v>2254.188476</v>
      </c>
      <c r="N204" s="213">
        <f t="shared" si="130"/>
        <v>0</v>
      </c>
      <c r="O204" s="213">
        <f t="shared" si="130"/>
        <v>2399.786895</v>
      </c>
      <c r="P204" s="213">
        <f t="shared" si="130"/>
        <v>0</v>
      </c>
      <c r="Q204" s="213">
        <f t="shared" si="130"/>
        <v>0</v>
      </c>
      <c r="R204" s="213">
        <f t="shared" si="130"/>
        <v>2380.631276</v>
      </c>
      <c r="S204" s="213">
        <f t="shared" si="130"/>
        <v>0</v>
      </c>
      <c r="T204" s="213">
        <f t="shared" si="130"/>
        <v>967.2</v>
      </c>
      <c r="U204" s="213">
        <f t="shared" si="130"/>
        <v>287.37</v>
      </c>
      <c r="V204" s="213">
        <f t="shared" ref="V204:V209" si="132">+SUM(D204:U204)</f>
        <v>22945.52245</v>
      </c>
      <c r="W204" s="57"/>
      <c r="X204" s="27"/>
      <c r="AD204" s="27"/>
      <c r="AF204" s="27"/>
      <c r="AH204" s="27"/>
    </row>
    <row r="205" ht="15.75" customHeight="1">
      <c r="A205" s="207" t="s">
        <v>767</v>
      </c>
      <c r="B205" s="207" t="s">
        <v>463</v>
      </c>
      <c r="C205" s="207" t="s">
        <v>798</v>
      </c>
      <c r="D205" s="213">
        <f t="shared" ref="D205:U205" si="131">+SUMIFS(D$174:D$194,$C$174:$C$194,$C205,$C$174:$C$194,D$171)*0.0145</f>
        <v>567.0405995</v>
      </c>
      <c r="E205" s="213">
        <f t="shared" si="131"/>
        <v>508.3102055</v>
      </c>
      <c r="F205" s="213">
        <f t="shared" si="131"/>
        <v>0</v>
      </c>
      <c r="G205" s="213">
        <f t="shared" si="131"/>
        <v>598.8745955</v>
      </c>
      <c r="H205" s="213">
        <f t="shared" si="131"/>
        <v>617.4229259</v>
      </c>
      <c r="I205" s="213">
        <f t="shared" si="131"/>
        <v>0</v>
      </c>
      <c r="J205" s="213">
        <f t="shared" si="131"/>
        <v>603.1821047</v>
      </c>
      <c r="K205" s="213">
        <f t="shared" si="131"/>
        <v>532.8633455</v>
      </c>
      <c r="L205" s="213">
        <f t="shared" si="131"/>
        <v>0</v>
      </c>
      <c r="M205" s="213">
        <f t="shared" si="131"/>
        <v>527.1892403</v>
      </c>
      <c r="N205" s="213">
        <f t="shared" si="131"/>
        <v>0</v>
      </c>
      <c r="O205" s="213">
        <f t="shared" si="131"/>
        <v>561.2404835</v>
      </c>
      <c r="P205" s="213">
        <f t="shared" si="131"/>
        <v>0</v>
      </c>
      <c r="Q205" s="213">
        <f t="shared" si="131"/>
        <v>0</v>
      </c>
      <c r="R205" s="213">
        <f t="shared" si="131"/>
        <v>556.7605403</v>
      </c>
      <c r="S205" s="213">
        <f t="shared" si="131"/>
        <v>0</v>
      </c>
      <c r="T205" s="213">
        <f t="shared" si="131"/>
        <v>226.2</v>
      </c>
      <c r="U205" s="213">
        <f t="shared" si="131"/>
        <v>67.2075</v>
      </c>
      <c r="V205" s="213">
        <f t="shared" si="132"/>
        <v>5366.29154</v>
      </c>
      <c r="W205" s="57"/>
      <c r="X205" s="27"/>
      <c r="AD205" s="27"/>
      <c r="AF205" s="27"/>
      <c r="AH205" s="27"/>
    </row>
    <row r="206" ht="15.75" customHeight="1">
      <c r="A206" s="207" t="s">
        <v>766</v>
      </c>
      <c r="B206" s="207" t="s">
        <v>461</v>
      </c>
      <c r="C206" s="207" t="s">
        <v>799</v>
      </c>
      <c r="D206" s="213">
        <f t="shared" ref="D206:U206" si="133">+SUMIFS(D$174:D$194,$C$174:$C$194,$C206,$C$174:$C$194,D$171)*0.062</f>
        <v>0</v>
      </c>
      <c r="E206" s="213">
        <f t="shared" si="133"/>
        <v>0</v>
      </c>
      <c r="F206" s="213">
        <f t="shared" si="133"/>
        <v>0</v>
      </c>
      <c r="G206" s="213">
        <f t="shared" si="133"/>
        <v>0</v>
      </c>
      <c r="H206" s="213">
        <f t="shared" si="133"/>
        <v>0</v>
      </c>
      <c r="I206" s="213">
        <f t="shared" si="133"/>
        <v>2344.556679</v>
      </c>
      <c r="J206" s="213">
        <f t="shared" si="133"/>
        <v>0</v>
      </c>
      <c r="K206" s="213">
        <f t="shared" si="133"/>
        <v>0</v>
      </c>
      <c r="L206" s="213">
        <f t="shared" si="133"/>
        <v>3438.171951</v>
      </c>
      <c r="M206" s="213">
        <f t="shared" si="133"/>
        <v>0</v>
      </c>
      <c r="N206" s="213">
        <f t="shared" si="133"/>
        <v>3515.892125</v>
      </c>
      <c r="O206" s="213">
        <f t="shared" si="133"/>
        <v>0</v>
      </c>
      <c r="P206" s="213">
        <f t="shared" si="133"/>
        <v>0</v>
      </c>
      <c r="Q206" s="213">
        <f t="shared" si="133"/>
        <v>5702.556733</v>
      </c>
      <c r="R206" s="213">
        <f t="shared" si="133"/>
        <v>0</v>
      </c>
      <c r="S206" s="213">
        <f t="shared" si="133"/>
        <v>0</v>
      </c>
      <c r="T206" s="213">
        <f t="shared" si="133"/>
        <v>0</v>
      </c>
      <c r="U206" s="213">
        <f t="shared" si="133"/>
        <v>0</v>
      </c>
      <c r="V206" s="213">
        <f t="shared" si="132"/>
        <v>15001.17749</v>
      </c>
      <c r="W206" s="57"/>
      <c r="X206" s="27"/>
      <c r="AD206" s="27"/>
      <c r="AF206" s="27"/>
      <c r="AH206" s="27"/>
    </row>
    <row r="207" ht="15.75" customHeight="1">
      <c r="A207" s="207" t="s">
        <v>767</v>
      </c>
      <c r="B207" s="207" t="s">
        <v>465</v>
      </c>
      <c r="C207" s="207" t="s">
        <v>799</v>
      </c>
      <c r="D207" s="213">
        <f t="shared" ref="D207:U207" si="134">+SUMIFS(D$174:D$194,$C$174:$C$194,$C207,$C$174:$C$194,D$171)*0.0145</f>
        <v>0</v>
      </c>
      <c r="E207" s="213">
        <f t="shared" si="134"/>
        <v>0</v>
      </c>
      <c r="F207" s="213">
        <f t="shared" si="134"/>
        <v>0</v>
      </c>
      <c r="G207" s="213">
        <f t="shared" si="134"/>
        <v>0</v>
      </c>
      <c r="H207" s="213">
        <f t="shared" si="134"/>
        <v>0</v>
      </c>
      <c r="I207" s="213">
        <f t="shared" si="134"/>
        <v>548.3237394</v>
      </c>
      <c r="J207" s="213">
        <f t="shared" si="134"/>
        <v>0</v>
      </c>
      <c r="K207" s="213">
        <f t="shared" si="134"/>
        <v>0</v>
      </c>
      <c r="L207" s="213">
        <f t="shared" si="134"/>
        <v>804.0886014</v>
      </c>
      <c r="M207" s="213">
        <f t="shared" si="134"/>
        <v>0</v>
      </c>
      <c r="N207" s="213">
        <f t="shared" si="134"/>
        <v>822.2650938</v>
      </c>
      <c r="O207" s="213">
        <f t="shared" si="134"/>
        <v>0</v>
      </c>
      <c r="P207" s="213">
        <f t="shared" si="134"/>
        <v>0</v>
      </c>
      <c r="Q207" s="213">
        <f t="shared" si="134"/>
        <v>1333.662462</v>
      </c>
      <c r="R207" s="213">
        <f t="shared" si="134"/>
        <v>0</v>
      </c>
      <c r="S207" s="213">
        <f t="shared" si="134"/>
        <v>0</v>
      </c>
      <c r="T207" s="213">
        <f t="shared" si="134"/>
        <v>0</v>
      </c>
      <c r="U207" s="213">
        <f t="shared" si="134"/>
        <v>0</v>
      </c>
      <c r="V207" s="213">
        <f t="shared" si="132"/>
        <v>3508.339896</v>
      </c>
      <c r="W207" s="57"/>
      <c r="X207" s="27"/>
      <c r="AD207" s="27"/>
      <c r="AF207" s="27"/>
      <c r="AH207" s="27"/>
    </row>
    <row r="208" ht="15.75" customHeight="1">
      <c r="A208" s="207" t="s">
        <v>766</v>
      </c>
      <c r="B208" s="207" t="s">
        <v>461</v>
      </c>
      <c r="C208" s="207" t="s">
        <v>800</v>
      </c>
      <c r="D208" s="213">
        <f t="shared" ref="D208:U208" si="135">+SUMIFS(D$174:D$194,$C$174:$C$194,$C208,$C$174:$C$194,D$171)*0.062</f>
        <v>0</v>
      </c>
      <c r="E208" s="213">
        <f t="shared" si="135"/>
        <v>0</v>
      </c>
      <c r="F208" s="213">
        <f t="shared" si="135"/>
        <v>0</v>
      </c>
      <c r="G208" s="213">
        <f t="shared" si="135"/>
        <v>0</v>
      </c>
      <c r="H208" s="213">
        <f t="shared" si="135"/>
        <v>0</v>
      </c>
      <c r="I208" s="213">
        <f t="shared" si="135"/>
        <v>0</v>
      </c>
      <c r="J208" s="213">
        <f t="shared" si="135"/>
        <v>0</v>
      </c>
      <c r="K208" s="213">
        <f t="shared" si="135"/>
        <v>0</v>
      </c>
      <c r="L208" s="213">
        <f t="shared" si="135"/>
        <v>0</v>
      </c>
      <c r="M208" s="213">
        <f t="shared" si="135"/>
        <v>0</v>
      </c>
      <c r="N208" s="213">
        <f t="shared" si="135"/>
        <v>0</v>
      </c>
      <c r="O208" s="213">
        <f t="shared" si="135"/>
        <v>0</v>
      </c>
      <c r="P208" s="213">
        <f t="shared" si="135"/>
        <v>0</v>
      </c>
      <c r="Q208" s="213">
        <f t="shared" si="135"/>
        <v>0</v>
      </c>
      <c r="R208" s="213">
        <f t="shared" si="135"/>
        <v>0</v>
      </c>
      <c r="S208" s="213">
        <f t="shared" si="135"/>
        <v>0</v>
      </c>
      <c r="T208" s="213">
        <f t="shared" si="135"/>
        <v>0</v>
      </c>
      <c r="U208" s="213">
        <f t="shared" si="135"/>
        <v>0</v>
      </c>
      <c r="V208" s="213">
        <f t="shared" si="132"/>
        <v>0</v>
      </c>
      <c r="W208" s="57"/>
      <c r="X208" s="27"/>
      <c r="AD208" s="27"/>
      <c r="AF208" s="27"/>
      <c r="AH208" s="27"/>
    </row>
    <row r="209" ht="15.75" customHeight="1">
      <c r="A209" s="207" t="s">
        <v>767</v>
      </c>
      <c r="B209" s="207" t="s">
        <v>465</v>
      </c>
      <c r="C209" s="207" t="s">
        <v>800</v>
      </c>
      <c r="D209" s="213">
        <f t="shared" ref="D209:U209" si="136">+SUMIFS(D$174:D$194,$C$174:$C$194,$C209,$C$174:$C$194,D$171)*0.0145</f>
        <v>0</v>
      </c>
      <c r="E209" s="213">
        <f t="shared" si="136"/>
        <v>0</v>
      </c>
      <c r="F209" s="213">
        <f t="shared" si="136"/>
        <v>0</v>
      </c>
      <c r="G209" s="213">
        <f t="shared" si="136"/>
        <v>0</v>
      </c>
      <c r="H209" s="213">
        <f t="shared" si="136"/>
        <v>0</v>
      </c>
      <c r="I209" s="213">
        <f t="shared" si="136"/>
        <v>0</v>
      </c>
      <c r="J209" s="213">
        <f t="shared" si="136"/>
        <v>0</v>
      </c>
      <c r="K209" s="213">
        <f t="shared" si="136"/>
        <v>0</v>
      </c>
      <c r="L209" s="213">
        <f t="shared" si="136"/>
        <v>0</v>
      </c>
      <c r="M209" s="213">
        <f t="shared" si="136"/>
        <v>0</v>
      </c>
      <c r="N209" s="213">
        <f t="shared" si="136"/>
        <v>0</v>
      </c>
      <c r="O209" s="213">
        <f t="shared" si="136"/>
        <v>0</v>
      </c>
      <c r="P209" s="213">
        <f t="shared" si="136"/>
        <v>0</v>
      </c>
      <c r="Q209" s="213">
        <f t="shared" si="136"/>
        <v>0</v>
      </c>
      <c r="R209" s="213">
        <f t="shared" si="136"/>
        <v>0</v>
      </c>
      <c r="S209" s="213">
        <f t="shared" si="136"/>
        <v>0</v>
      </c>
      <c r="T209" s="213">
        <f t="shared" si="136"/>
        <v>0</v>
      </c>
      <c r="U209" s="213">
        <f t="shared" si="136"/>
        <v>0</v>
      </c>
      <c r="V209" s="213">
        <f t="shared" si="132"/>
        <v>0</v>
      </c>
      <c r="W209" s="57">
        <f>+SUM(V204:V209)</f>
        <v>46821.33137</v>
      </c>
      <c r="X209" s="27"/>
      <c r="AD209" s="27"/>
      <c r="AF209" s="27"/>
      <c r="AH209" s="27"/>
    </row>
    <row r="210" ht="15.75" customHeight="1">
      <c r="W210" s="57"/>
      <c r="X210" s="27"/>
      <c r="AD210" s="27"/>
      <c r="AF210" s="27"/>
      <c r="AH210" s="27"/>
    </row>
    <row r="211" ht="15.75" customHeight="1">
      <c r="A211" s="202" t="s">
        <v>793</v>
      </c>
      <c r="B211" s="203">
        <v>0.03</v>
      </c>
      <c r="C211" s="204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7"/>
      <c r="X211" s="27"/>
      <c r="AD211" s="27"/>
      <c r="AF211" s="27"/>
      <c r="AH211" s="27"/>
    </row>
    <row r="212" ht="15.75" customHeight="1">
      <c r="A212" s="206" t="s">
        <v>805</v>
      </c>
      <c r="B212" s="207"/>
      <c r="C212" s="207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7"/>
      <c r="X212" s="27"/>
      <c r="AD212" s="27"/>
      <c r="AF212" s="27"/>
      <c r="AH212" s="27"/>
    </row>
    <row r="213" ht="15.75" customHeight="1">
      <c r="A213" s="206" t="s">
        <v>795</v>
      </c>
      <c r="B213" s="207"/>
      <c r="C213" s="207"/>
      <c r="D213" s="208">
        <v>1.0</v>
      </c>
      <c r="E213" s="208">
        <v>1.0</v>
      </c>
      <c r="F213" s="208">
        <v>2.0</v>
      </c>
      <c r="G213" s="208">
        <v>2.0</v>
      </c>
      <c r="H213" s="208">
        <v>1.0</v>
      </c>
      <c r="I213" s="208">
        <v>2.0</v>
      </c>
      <c r="J213" s="208">
        <v>1.0</v>
      </c>
      <c r="K213" s="208">
        <v>1.0</v>
      </c>
      <c r="L213" s="208">
        <v>2.0</v>
      </c>
      <c r="M213" s="208">
        <v>1.0</v>
      </c>
      <c r="N213" s="208">
        <v>2.0</v>
      </c>
      <c r="O213" s="208">
        <v>1.0</v>
      </c>
      <c r="P213" s="208"/>
      <c r="Q213" s="208">
        <v>2.0</v>
      </c>
      <c r="R213" s="208">
        <v>1.0</v>
      </c>
      <c r="S213" s="208">
        <v>2.0</v>
      </c>
      <c r="T213" s="208">
        <v>1.0</v>
      </c>
      <c r="U213" s="208">
        <v>1.0</v>
      </c>
      <c r="V213" s="205"/>
      <c r="W213" s="27"/>
      <c r="X213" s="27"/>
      <c r="AD213" s="27"/>
      <c r="AF213" s="27"/>
      <c r="AH213" s="27"/>
    </row>
    <row r="214" ht="15.75" customHeight="1">
      <c r="A214" s="185" t="s">
        <v>739</v>
      </c>
      <c r="B214" s="185" t="s">
        <v>740</v>
      </c>
      <c r="C214" s="209" t="s">
        <v>806</v>
      </c>
      <c r="D214" s="210" t="s">
        <v>741</v>
      </c>
      <c r="E214" s="210" t="s">
        <v>742</v>
      </c>
      <c r="F214" s="210" t="s">
        <v>807</v>
      </c>
      <c r="G214" s="210" t="s">
        <v>744</v>
      </c>
      <c r="H214" s="210" t="s">
        <v>745</v>
      </c>
      <c r="I214" s="210"/>
      <c r="J214" s="210" t="s">
        <v>747</v>
      </c>
      <c r="K214" s="210" t="s">
        <v>748</v>
      </c>
      <c r="L214" s="210" t="s">
        <v>749</v>
      </c>
      <c r="M214" s="210" t="s">
        <v>750</v>
      </c>
      <c r="N214" s="210" t="s">
        <v>751</v>
      </c>
      <c r="O214" s="210" t="s">
        <v>752</v>
      </c>
      <c r="P214" s="210" t="s">
        <v>808</v>
      </c>
      <c r="Q214" s="210" t="s">
        <v>754</v>
      </c>
      <c r="R214" s="210" t="s">
        <v>796</v>
      </c>
      <c r="S214" s="210" t="s">
        <v>809</v>
      </c>
      <c r="T214" s="210" t="s">
        <v>757</v>
      </c>
      <c r="U214" s="210" t="s">
        <v>758</v>
      </c>
      <c r="V214" s="210" t="s">
        <v>759</v>
      </c>
      <c r="W214" s="27"/>
      <c r="X214" s="27"/>
      <c r="AD214" s="27"/>
      <c r="AF214" s="27"/>
      <c r="AH214" s="27"/>
    </row>
    <row r="215" ht="15.75" customHeight="1">
      <c r="A215" s="185" t="s">
        <v>810</v>
      </c>
      <c r="B215" s="185"/>
      <c r="C215" s="209"/>
      <c r="D215" s="218">
        <f t="shared" ref="D215:F215" si="137">+(D195-SUM(D182:D194))/24</f>
        <v>1617.4605</v>
      </c>
      <c r="E215" s="218">
        <f t="shared" si="137"/>
        <v>1448.695</v>
      </c>
      <c r="F215" s="218">
        <f t="shared" si="137"/>
        <v>0</v>
      </c>
      <c r="G215" s="211">
        <v>1583.33</v>
      </c>
      <c r="H215" s="218">
        <f>+(H195-SUM(H182:H194))/24</f>
        <v>1762.2373</v>
      </c>
      <c r="I215" s="218"/>
      <c r="J215" s="211">
        <v>1359.32</v>
      </c>
      <c r="K215" s="211">
        <v>1326.13</v>
      </c>
      <c r="L215" s="211">
        <v>2350.85</v>
      </c>
      <c r="M215" s="211">
        <v>1502.95</v>
      </c>
      <c r="N215" s="211">
        <v>2475.85</v>
      </c>
      <c r="O215" s="211">
        <v>1350.79</v>
      </c>
      <c r="P215" s="211">
        <v>1333.33</v>
      </c>
      <c r="Q215" s="218">
        <f t="shared" ref="Q215:S215" si="138">+(Q195-SUM(Q182:Q194))/24</f>
        <v>3403.7174</v>
      </c>
      <c r="R215" s="218">
        <f t="shared" si="138"/>
        <v>1587.9201</v>
      </c>
      <c r="S215" s="218">
        <f t="shared" si="138"/>
        <v>0</v>
      </c>
      <c r="T215" s="210">
        <v>15600.0</v>
      </c>
      <c r="U215" s="210">
        <v>4635.0</v>
      </c>
      <c r="V215" s="213">
        <f t="shared" ref="V215:V237" si="139">SUM(D215:U215)</f>
        <v>43337.5803</v>
      </c>
      <c r="W215" s="27"/>
      <c r="X215" s="27"/>
      <c r="AD215" s="27"/>
      <c r="AF215" s="27"/>
      <c r="AH215" s="27"/>
    </row>
    <row r="216" ht="15.75" customHeight="1">
      <c r="A216" s="207" t="s">
        <v>376</v>
      </c>
      <c r="B216" s="207" t="s">
        <v>375</v>
      </c>
      <c r="C216" s="207" t="s">
        <v>798</v>
      </c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  <c r="T216" s="213">
        <f>+T176*(1+$B$211)</f>
        <v>0</v>
      </c>
      <c r="U216" s="213">
        <f>+U215*(1+$B$211)</f>
        <v>4774.05</v>
      </c>
      <c r="V216" s="213">
        <f t="shared" si="139"/>
        <v>4774.05</v>
      </c>
      <c r="W216" s="27"/>
      <c r="X216" s="27"/>
      <c r="AD216" s="27"/>
      <c r="AF216" s="27"/>
      <c r="AH216" s="27"/>
    </row>
    <row r="217" ht="15.75" customHeight="1">
      <c r="A217" s="207" t="s">
        <v>378</v>
      </c>
      <c r="B217" s="207" t="s">
        <v>377</v>
      </c>
      <c r="C217" s="207" t="s">
        <v>798</v>
      </c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  <c r="T217" s="213">
        <v>15600.0</v>
      </c>
      <c r="U217" s="213">
        <f>+U177*(1+$B$211)</f>
        <v>0</v>
      </c>
      <c r="V217" s="213">
        <f t="shared" si="139"/>
        <v>15600</v>
      </c>
      <c r="W217" s="27"/>
      <c r="X217" s="27"/>
      <c r="AD217" s="27"/>
      <c r="AF217" s="27"/>
      <c r="AH217" s="27"/>
    </row>
    <row r="218" ht="15.75" customHeight="1">
      <c r="A218" s="207" t="str">
        <f>+'Detail 18-19'!B148</f>
        <v>Contract Accounting Services</v>
      </c>
      <c r="B218" s="207" t="str">
        <f>+'Detail 18-19'!A148</f>
        <v>631050-2U</v>
      </c>
      <c r="C218" s="207" t="s">
        <v>799</v>
      </c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>
        <v>15000.0</v>
      </c>
      <c r="T218" s="213"/>
      <c r="U218" s="213"/>
      <c r="V218" s="213">
        <f t="shared" si="139"/>
        <v>15000</v>
      </c>
      <c r="W218" s="27"/>
      <c r="X218" s="27"/>
      <c r="AD218" s="27"/>
      <c r="AF218" s="27"/>
      <c r="AH218" s="27"/>
    </row>
    <row r="219" ht="15.75" customHeight="1">
      <c r="A219" s="207" t="s">
        <v>380</v>
      </c>
      <c r="B219" s="207" t="s">
        <v>379</v>
      </c>
      <c r="C219" s="207" t="s">
        <v>798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>
        <f t="shared" ref="T219:U219" si="140">+T178*(1+$B$211)</f>
        <v>0</v>
      </c>
      <c r="U219" s="213">
        <f t="shared" si="140"/>
        <v>0</v>
      </c>
      <c r="V219" s="213">
        <f t="shared" si="139"/>
        <v>0</v>
      </c>
      <c r="W219" s="27"/>
      <c r="X219" s="27"/>
      <c r="AD219" s="27"/>
      <c r="AF219" s="27"/>
      <c r="AH219" s="27"/>
    </row>
    <row r="220" ht="15.75" customHeight="1">
      <c r="A220" s="207" t="s">
        <v>382</v>
      </c>
      <c r="B220" s="207" t="s">
        <v>381</v>
      </c>
      <c r="C220" s="207" t="s">
        <v>798</v>
      </c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>
        <f t="shared" ref="T220:U220" si="141">+T179*(1+$B$211)</f>
        <v>0</v>
      </c>
      <c r="U220" s="213">
        <f t="shared" si="141"/>
        <v>0</v>
      </c>
      <c r="V220" s="213">
        <f t="shared" si="139"/>
        <v>0</v>
      </c>
      <c r="W220" s="27"/>
      <c r="X220" s="27"/>
      <c r="AD220" s="27"/>
      <c r="AF220" s="27"/>
      <c r="AH220" s="27"/>
    </row>
    <row r="221" ht="15.75" customHeight="1">
      <c r="A221" s="207" t="s">
        <v>384</v>
      </c>
      <c r="B221" s="207" t="s">
        <v>383</v>
      </c>
      <c r="C221" s="207" t="s">
        <v>798</v>
      </c>
      <c r="D221" s="213">
        <f t="shared" ref="D221:E221" si="142">D215*24*(1+$B$211)</f>
        <v>39983.62356</v>
      </c>
      <c r="E221" s="213">
        <f t="shared" si="142"/>
        <v>35811.7404</v>
      </c>
      <c r="F221" s="205"/>
      <c r="H221" s="213">
        <f>H215*24*(1+$B$211)</f>
        <v>43562.50606</v>
      </c>
      <c r="I221" s="205"/>
      <c r="J221" s="213">
        <f t="shared" ref="J221:K221" si="143">J215*24*(1+$B$211)</f>
        <v>33602.3904</v>
      </c>
      <c r="K221" s="213">
        <f t="shared" si="143"/>
        <v>32781.9336</v>
      </c>
      <c r="L221" s="205"/>
      <c r="M221" s="213">
        <f>M215*24*(1+$B$211)</f>
        <v>37152.924</v>
      </c>
      <c r="N221" s="205"/>
      <c r="O221" s="213">
        <f t="shared" ref="O221:P221" si="144">O215*24*(1+$B$211)</f>
        <v>33391.5288</v>
      </c>
      <c r="P221" s="213">
        <f t="shared" si="144"/>
        <v>32959.9176</v>
      </c>
      <c r="Q221" s="205"/>
      <c r="R221" s="213">
        <f>R215*24*(1+$B$211)</f>
        <v>39253.38487</v>
      </c>
      <c r="S221" s="213"/>
      <c r="T221" s="213">
        <f t="shared" ref="T221:U221" si="145">+T180*(1+$B$211)</f>
        <v>0</v>
      </c>
      <c r="U221" s="213">
        <f t="shared" si="145"/>
        <v>0</v>
      </c>
      <c r="V221" s="213">
        <f t="shared" si="139"/>
        <v>328499.9493</v>
      </c>
      <c r="W221" s="27"/>
      <c r="X221" s="27"/>
      <c r="AD221" s="27"/>
      <c r="AF221" s="27"/>
      <c r="AH221" s="27"/>
    </row>
    <row r="222" ht="15.75" customHeight="1">
      <c r="A222" s="207" t="s">
        <v>386</v>
      </c>
      <c r="B222" s="207" t="s">
        <v>385</v>
      </c>
      <c r="C222" s="207" t="s">
        <v>798</v>
      </c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>
        <f t="shared" ref="T222:U222" si="146">+T181*(1+$B$211)</f>
        <v>0</v>
      </c>
      <c r="U222" s="213">
        <f t="shared" si="146"/>
        <v>0</v>
      </c>
      <c r="V222" s="213">
        <f t="shared" si="139"/>
        <v>0</v>
      </c>
      <c r="W222" s="27"/>
      <c r="X222" s="27"/>
      <c r="AD222" s="27"/>
      <c r="AF222" s="27"/>
      <c r="AH222" s="27"/>
    </row>
    <row r="223" ht="15.75" customHeight="1">
      <c r="A223" s="207" t="s">
        <v>388</v>
      </c>
      <c r="B223" s="207" t="s">
        <v>387</v>
      </c>
      <c r="C223" s="207" t="s">
        <v>798</v>
      </c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>
        <f t="shared" ref="T223:U223" si="147">+T182*(1+$B$211)</f>
        <v>0</v>
      </c>
      <c r="U223" s="213">
        <f t="shared" si="147"/>
        <v>0</v>
      </c>
      <c r="V223" s="213">
        <f t="shared" si="139"/>
        <v>0</v>
      </c>
      <c r="W223" s="27"/>
      <c r="X223" s="27"/>
      <c r="AD223" s="27"/>
      <c r="AF223" s="27"/>
      <c r="AH223" s="27"/>
    </row>
    <row r="224" ht="15.75" customHeight="1">
      <c r="A224" s="207" t="s">
        <v>390</v>
      </c>
      <c r="B224" s="207" t="s">
        <v>389</v>
      </c>
      <c r="C224" s="207" t="s">
        <v>799</v>
      </c>
      <c r="D224" s="213"/>
      <c r="E224" s="213"/>
      <c r="F224" s="213">
        <v>45000.0</v>
      </c>
      <c r="G224" s="213">
        <f>G215*24*(1+$B$211)</f>
        <v>39139.9176</v>
      </c>
      <c r="H224" s="213"/>
      <c r="I224" s="213">
        <f>I215*24*(1+$B$211)</f>
        <v>0</v>
      </c>
      <c r="J224" s="213"/>
      <c r="K224" s="213"/>
      <c r="L224" s="213">
        <f>L215*24*(1+$B$211)</f>
        <v>58113.012</v>
      </c>
      <c r="M224" s="213"/>
      <c r="N224" s="213">
        <f>N215*24*(1+$B$211)</f>
        <v>61203.012</v>
      </c>
      <c r="O224" s="213"/>
      <c r="P224" s="213"/>
      <c r="Q224" s="213">
        <f>Q215*24*(1+$B$211)</f>
        <v>84139.89413</v>
      </c>
      <c r="R224" s="213"/>
      <c r="S224" s="213"/>
      <c r="T224" s="213">
        <f t="shared" ref="T224:U224" si="148">+T183*(1+$B$211)</f>
        <v>0</v>
      </c>
      <c r="U224" s="213">
        <f t="shared" si="148"/>
        <v>0</v>
      </c>
      <c r="V224" s="213">
        <f t="shared" si="139"/>
        <v>287595.8357</v>
      </c>
      <c r="W224" s="27"/>
      <c r="X224" s="27"/>
      <c r="AD224" s="27"/>
      <c r="AF224" s="27"/>
      <c r="AH224" s="27"/>
    </row>
    <row r="225" ht="15.75" customHeight="1">
      <c r="A225" s="207" t="s">
        <v>392</v>
      </c>
      <c r="B225" s="207" t="s">
        <v>391</v>
      </c>
      <c r="C225" s="207" t="s">
        <v>800</v>
      </c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>
        <f t="shared" ref="T225:U225" si="149">+T184*(1+$B$211)</f>
        <v>0</v>
      </c>
      <c r="U225" s="213">
        <f t="shared" si="149"/>
        <v>0</v>
      </c>
      <c r="V225" s="213">
        <f t="shared" si="139"/>
        <v>0</v>
      </c>
      <c r="W225" s="27"/>
      <c r="X225" s="27"/>
      <c r="AD225" s="27"/>
      <c r="AF225" s="27"/>
      <c r="AH225" s="27"/>
    </row>
    <row r="226" ht="15.75" customHeight="1">
      <c r="A226" s="207" t="s">
        <v>394</v>
      </c>
      <c r="B226" s="207" t="s">
        <v>393</v>
      </c>
      <c r="C226" s="207" t="s">
        <v>798</v>
      </c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>
        <f t="shared" ref="T226:U226" si="150">+T185*(1+$B$211)</f>
        <v>0</v>
      </c>
      <c r="U226" s="213">
        <f t="shared" si="150"/>
        <v>0</v>
      </c>
      <c r="V226" s="213">
        <f t="shared" si="139"/>
        <v>0</v>
      </c>
      <c r="W226" s="27"/>
      <c r="X226" s="27"/>
      <c r="AD226" s="27"/>
      <c r="AF226" s="27"/>
      <c r="AH226" s="27"/>
    </row>
    <row r="227" ht="15.75" customHeight="1">
      <c r="A227" s="207" t="s">
        <v>396</v>
      </c>
      <c r="B227" s="207" t="s">
        <v>395</v>
      </c>
      <c r="C227" s="207" t="s">
        <v>798</v>
      </c>
      <c r="D227" s="213"/>
      <c r="E227" s="213">
        <v>1250.0</v>
      </c>
      <c r="F227" s="213"/>
      <c r="G227" s="213"/>
      <c r="H227" s="213"/>
      <c r="I227" s="213"/>
      <c r="J227" s="213"/>
      <c r="K227" s="213">
        <v>2500.0</v>
      </c>
      <c r="L227" s="213"/>
      <c r="M227" s="213"/>
      <c r="N227" s="213"/>
      <c r="O227" s="213">
        <v>850.0</v>
      </c>
      <c r="P227" s="213"/>
      <c r="Q227" s="219">
        <v>7500.0</v>
      </c>
      <c r="R227" s="213"/>
      <c r="S227" s="213"/>
      <c r="T227" s="213">
        <f t="shared" ref="T227:U227" si="151">+T186*(1+$B$211)</f>
        <v>0</v>
      </c>
      <c r="U227" s="213">
        <f t="shared" si="151"/>
        <v>0</v>
      </c>
      <c r="V227" s="213">
        <f t="shared" si="139"/>
        <v>12100</v>
      </c>
      <c r="W227" s="27" t="s">
        <v>801</v>
      </c>
      <c r="X227" s="27"/>
      <c r="AD227" s="27"/>
      <c r="AF227" s="27"/>
      <c r="AH227" s="27"/>
    </row>
    <row r="228" ht="15.75" customHeight="1">
      <c r="A228" s="207" t="s">
        <v>398</v>
      </c>
      <c r="B228" s="207" t="s">
        <v>397</v>
      </c>
      <c r="C228" s="207" t="s">
        <v>798</v>
      </c>
      <c r="D228" s="213"/>
      <c r="E228" s="213"/>
      <c r="F228" s="213"/>
      <c r="G228" s="213"/>
      <c r="H228" s="213"/>
      <c r="I228" s="213"/>
      <c r="J228" s="213"/>
      <c r="K228" s="213">
        <f>187.5*24*(1+B211)</f>
        <v>4635</v>
      </c>
      <c r="L228" s="213"/>
      <c r="M228" s="213"/>
      <c r="N228" s="213"/>
      <c r="O228" s="213"/>
      <c r="P228" s="213"/>
      <c r="Q228" s="213"/>
      <c r="R228" s="213"/>
      <c r="S228" s="213"/>
      <c r="T228" s="213">
        <f t="shared" ref="T228:U228" si="152">+T187*(1+$B$211)</f>
        <v>0</v>
      </c>
      <c r="U228" s="213">
        <f t="shared" si="152"/>
        <v>0</v>
      </c>
      <c r="V228" s="213">
        <f t="shared" si="139"/>
        <v>4635</v>
      </c>
      <c r="W228" s="27"/>
      <c r="X228" s="27"/>
      <c r="AD228" s="27"/>
      <c r="AF228" s="27"/>
      <c r="AH228" s="27"/>
    </row>
    <row r="229" ht="15.75" customHeight="1">
      <c r="A229" s="207" t="s">
        <v>400</v>
      </c>
      <c r="B229" s="207" t="s">
        <v>399</v>
      </c>
      <c r="C229" s="207" t="s">
        <v>798</v>
      </c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>
        <f t="shared" ref="T229:U229" si="153">+T188*(1+$B$211)</f>
        <v>0</v>
      </c>
      <c r="U229" s="213">
        <f t="shared" si="153"/>
        <v>0</v>
      </c>
      <c r="V229" s="213">
        <f t="shared" si="139"/>
        <v>0</v>
      </c>
      <c r="W229" s="57"/>
      <c r="X229" s="27"/>
      <c r="AD229" s="27"/>
      <c r="AF229" s="27"/>
      <c r="AH229" s="27"/>
    </row>
    <row r="230" ht="15.75" customHeight="1">
      <c r="A230" s="207" t="s">
        <v>402</v>
      </c>
      <c r="B230" s="207" t="s">
        <v>401</v>
      </c>
      <c r="C230" s="207" t="s">
        <v>798</v>
      </c>
      <c r="D230" s="213"/>
      <c r="E230" s="213">
        <f>8700*0.25</f>
        <v>2175</v>
      </c>
      <c r="F230" s="213"/>
      <c r="G230" s="211"/>
      <c r="H230" s="213"/>
      <c r="I230" s="213"/>
      <c r="J230" s="213"/>
      <c r="K230" s="213"/>
      <c r="L230" s="213"/>
      <c r="M230" s="213"/>
      <c r="N230" s="213"/>
      <c r="O230" s="213">
        <f>8700*0.5</f>
        <v>4350</v>
      </c>
      <c r="P230" s="213">
        <f>8700*0.25</f>
        <v>2175</v>
      </c>
      <c r="Q230" s="213"/>
      <c r="R230" s="213"/>
      <c r="S230" s="213"/>
      <c r="T230" s="213">
        <f t="shared" ref="T230:U230" si="154">+T189*(1+$B$211)</f>
        <v>0</v>
      </c>
      <c r="U230" s="213">
        <f t="shared" si="154"/>
        <v>0</v>
      </c>
      <c r="V230" s="213">
        <f t="shared" si="139"/>
        <v>8700</v>
      </c>
      <c r="W230" s="57"/>
      <c r="X230" s="27"/>
      <c r="AD230" s="27"/>
      <c r="AF230" s="27"/>
      <c r="AH230" s="27"/>
    </row>
    <row r="231" ht="15.75" customHeight="1">
      <c r="A231" s="207" t="s">
        <v>405</v>
      </c>
      <c r="B231" s="207" t="s">
        <v>404</v>
      </c>
      <c r="C231" s="207" t="s">
        <v>798</v>
      </c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>
        <f t="shared" ref="T231:U231" si="155">+T190*(1+$B$211)</f>
        <v>0</v>
      </c>
      <c r="U231" s="213">
        <f t="shared" si="155"/>
        <v>0</v>
      </c>
      <c r="V231" s="213">
        <f t="shared" si="139"/>
        <v>0</v>
      </c>
      <c r="W231" s="57"/>
      <c r="X231" s="27"/>
      <c r="AD231" s="27"/>
      <c r="AF231" s="27"/>
      <c r="AH231" s="27"/>
    </row>
    <row r="232" ht="15.75" customHeight="1">
      <c r="A232" s="207" t="s">
        <v>408</v>
      </c>
      <c r="B232" s="207" t="s">
        <v>407</v>
      </c>
      <c r="C232" s="207" t="s">
        <v>798</v>
      </c>
      <c r="D232" s="213"/>
      <c r="E232" s="213">
        <v>500.0</v>
      </c>
      <c r="F232" s="213"/>
      <c r="G232" s="213"/>
      <c r="H232" s="213"/>
      <c r="I232" s="213"/>
      <c r="J232" s="213"/>
      <c r="K232" s="213"/>
      <c r="L232" s="213"/>
      <c r="M232" s="213">
        <v>500.0</v>
      </c>
      <c r="N232" s="213"/>
      <c r="O232" s="213"/>
      <c r="P232" s="213"/>
      <c r="Q232" s="213"/>
      <c r="R232" s="213"/>
      <c r="S232" s="213"/>
      <c r="T232" s="213">
        <f t="shared" ref="T232:U232" si="156">+T191*(1+$B$211)</f>
        <v>0</v>
      </c>
      <c r="U232" s="213">
        <f t="shared" si="156"/>
        <v>0</v>
      </c>
      <c r="V232" s="213">
        <f t="shared" si="139"/>
        <v>1000</v>
      </c>
      <c r="W232" s="57"/>
      <c r="X232" s="27"/>
      <c r="AD232" s="27"/>
      <c r="AF232" s="27"/>
      <c r="AH232" s="27"/>
    </row>
    <row r="233" ht="15.75" customHeight="1">
      <c r="A233" s="207" t="s">
        <v>412</v>
      </c>
      <c r="B233" s="207" t="s">
        <v>410</v>
      </c>
      <c r="C233" s="207" t="s">
        <v>798</v>
      </c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>
        <f t="shared" ref="T233:U233" si="157">+T192*(1+$B$211)</f>
        <v>0</v>
      </c>
      <c r="U233" s="213">
        <f t="shared" si="157"/>
        <v>0</v>
      </c>
      <c r="V233" s="213">
        <f t="shared" si="139"/>
        <v>0</v>
      </c>
      <c r="W233" s="57"/>
      <c r="X233" s="27"/>
      <c r="AD233" s="27"/>
      <c r="AF233" s="27"/>
      <c r="AH233" s="27"/>
    </row>
    <row r="234" ht="15.75" customHeight="1">
      <c r="A234" s="207" t="s">
        <v>760</v>
      </c>
      <c r="B234" s="207" t="s">
        <v>420</v>
      </c>
      <c r="C234" s="207" t="s">
        <v>798</v>
      </c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>
        <f>300*20</f>
        <v>6000</v>
      </c>
      <c r="P234" s="213"/>
      <c r="Q234" s="213"/>
      <c r="R234" s="213"/>
      <c r="S234" s="213"/>
      <c r="T234" s="213">
        <f t="shared" ref="T234:U234" si="158">+T193*(1+$B$211)</f>
        <v>0</v>
      </c>
      <c r="U234" s="213">
        <f t="shared" si="158"/>
        <v>0</v>
      </c>
      <c r="V234" s="213">
        <f t="shared" si="139"/>
        <v>6000</v>
      </c>
      <c r="W234" s="57"/>
      <c r="X234" s="27"/>
      <c r="AD234" s="27"/>
      <c r="AF234" s="27"/>
      <c r="AH234" s="27"/>
    </row>
    <row r="235" ht="15.75" customHeight="1">
      <c r="A235" s="207" t="s">
        <v>434</v>
      </c>
      <c r="B235" s="207" t="s">
        <v>433</v>
      </c>
      <c r="C235" s="207" t="s">
        <v>798</v>
      </c>
      <c r="D235" s="213">
        <f t="shared" ref="D235:E235" si="159">+D192*(1+$B$211)</f>
        <v>295.8121262</v>
      </c>
      <c r="E235" s="213">
        <f t="shared" si="159"/>
        <v>295.8121262</v>
      </c>
      <c r="F235" s="213"/>
      <c r="G235" s="213"/>
      <c r="H235" s="213">
        <v>296.0</v>
      </c>
      <c r="I235" s="213"/>
      <c r="J235" s="213">
        <v>296.0</v>
      </c>
      <c r="K235" s="213">
        <v>296.0</v>
      </c>
      <c r="L235" s="213"/>
      <c r="M235" s="213">
        <v>296.0</v>
      </c>
      <c r="N235" s="213"/>
      <c r="O235" s="213">
        <v>296.0</v>
      </c>
      <c r="P235" s="213">
        <v>296.0</v>
      </c>
      <c r="Q235" s="213"/>
      <c r="R235" s="213">
        <v>296.0</v>
      </c>
      <c r="S235" s="213"/>
      <c r="T235" s="213"/>
      <c r="U235" s="213"/>
      <c r="V235" s="213">
        <f t="shared" si="139"/>
        <v>2663.624252</v>
      </c>
      <c r="W235" s="57"/>
      <c r="X235" s="27"/>
      <c r="AD235" s="27"/>
      <c r="AF235" s="27"/>
      <c r="AH235" s="27"/>
    </row>
    <row r="236" ht="15.75" customHeight="1">
      <c r="A236" s="207" t="s">
        <v>434</v>
      </c>
      <c r="B236" s="207" t="s">
        <v>435</v>
      </c>
      <c r="C236" s="207" t="s">
        <v>799</v>
      </c>
      <c r="D236" s="213"/>
      <c r="E236" s="213"/>
      <c r="F236" s="213">
        <v>296.0</v>
      </c>
      <c r="G236" s="213">
        <v>296.0</v>
      </c>
      <c r="H236" s="213"/>
      <c r="I236" s="213"/>
      <c r="J236" s="213"/>
      <c r="K236" s="213"/>
      <c r="L236" s="213">
        <v>296.0</v>
      </c>
      <c r="M236" s="213"/>
      <c r="N236" s="213">
        <v>296.0</v>
      </c>
      <c r="O236" s="213"/>
      <c r="P236" s="213"/>
      <c r="Q236" s="213">
        <f>296+10000</f>
        <v>10296</v>
      </c>
      <c r="R236" s="213"/>
      <c r="S236" s="213"/>
      <c r="T236" s="213"/>
      <c r="U236" s="213"/>
      <c r="V236" s="213">
        <f t="shared" si="139"/>
        <v>11480</v>
      </c>
      <c r="W236" s="57"/>
      <c r="X236" s="27"/>
      <c r="AD236" s="27"/>
      <c r="AF236" s="27"/>
      <c r="AH236" s="27"/>
    </row>
    <row r="237" ht="15.75" customHeight="1">
      <c r="A237" s="207" t="s">
        <v>434</v>
      </c>
      <c r="B237" s="207" t="s">
        <v>436</v>
      </c>
      <c r="C237" s="207" t="s">
        <v>800</v>
      </c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>
        <f t="shared" si="139"/>
        <v>0</v>
      </c>
      <c r="W237" s="27" t="s">
        <v>802</v>
      </c>
      <c r="X237" s="27" t="s">
        <v>803</v>
      </c>
      <c r="Y237" s="2" t="s">
        <v>794</v>
      </c>
      <c r="Z237" s="2" t="s">
        <v>812</v>
      </c>
      <c r="AA237" s="2" t="s">
        <v>764</v>
      </c>
      <c r="AD237" s="27"/>
      <c r="AF237" s="27"/>
      <c r="AH237" s="27"/>
    </row>
    <row r="238" ht="15.75" customHeight="1">
      <c r="A238" s="207" t="s">
        <v>761</v>
      </c>
      <c r="B238" s="205"/>
      <c r="C238" s="205"/>
      <c r="D238" s="213">
        <f t="shared" ref="D238:V238" si="160">SUM(D216:D237)</f>
        <v>40279.43569</v>
      </c>
      <c r="E238" s="213">
        <f t="shared" si="160"/>
        <v>40032.55253</v>
      </c>
      <c r="F238" s="213">
        <f t="shared" si="160"/>
        <v>45296</v>
      </c>
      <c r="G238" s="213">
        <f t="shared" si="160"/>
        <v>39435.9176</v>
      </c>
      <c r="H238" s="213">
        <f t="shared" si="160"/>
        <v>43858.50606</v>
      </c>
      <c r="I238" s="213">
        <f t="shared" si="160"/>
        <v>0</v>
      </c>
      <c r="J238" s="213">
        <f t="shared" si="160"/>
        <v>33898.3904</v>
      </c>
      <c r="K238" s="213">
        <f t="shared" si="160"/>
        <v>40212.9336</v>
      </c>
      <c r="L238" s="213">
        <f t="shared" si="160"/>
        <v>58409.012</v>
      </c>
      <c r="M238" s="213">
        <f t="shared" si="160"/>
        <v>37948.924</v>
      </c>
      <c r="N238" s="213">
        <f t="shared" si="160"/>
        <v>61499.012</v>
      </c>
      <c r="O238" s="213">
        <f t="shared" si="160"/>
        <v>44887.5288</v>
      </c>
      <c r="P238" s="213">
        <f t="shared" si="160"/>
        <v>35430.9176</v>
      </c>
      <c r="Q238" s="213">
        <f t="shared" si="160"/>
        <v>101935.8941</v>
      </c>
      <c r="R238" s="213">
        <f t="shared" si="160"/>
        <v>39549.38487</v>
      </c>
      <c r="S238" s="213">
        <f t="shared" si="160"/>
        <v>15000</v>
      </c>
      <c r="T238" s="213">
        <f t="shared" si="160"/>
        <v>15600</v>
      </c>
      <c r="U238" s="213">
        <f t="shared" si="160"/>
        <v>4774.05</v>
      </c>
      <c r="V238" s="213">
        <f t="shared" si="160"/>
        <v>698048.4593</v>
      </c>
      <c r="W238" s="57">
        <f t="shared" ref="W238:X238" si="161">+SUMIF($D$213:$R$213,1,$D238:$R238)</f>
        <v>320667.6559</v>
      </c>
      <c r="X238" s="57">
        <f t="shared" si="161"/>
        <v>320667.6559</v>
      </c>
      <c r="Y238" s="190">
        <f>+W195+X195</f>
        <v>591808.5474</v>
      </c>
      <c r="Z238" s="26">
        <f>+V238-Y238</f>
        <v>106239.9119</v>
      </c>
      <c r="AA238" s="11">
        <f>+Z238/Y238</f>
        <v>0.1795173665</v>
      </c>
      <c r="AD238" s="27"/>
      <c r="AF238" s="27"/>
      <c r="AH238" s="27"/>
    </row>
    <row r="239" ht="15.75" customHeight="1">
      <c r="A239" s="205"/>
      <c r="B239" s="205"/>
      <c r="C239" s="205"/>
      <c r="D239" s="220">
        <f t="shared" ref="D239:R239" si="162">+D238/24</f>
        <v>1678.30982</v>
      </c>
      <c r="E239" s="220">
        <f t="shared" si="162"/>
        <v>1668.023022</v>
      </c>
      <c r="F239" s="220">
        <f t="shared" si="162"/>
        <v>1887.333333</v>
      </c>
      <c r="G239" s="220">
        <f t="shared" si="162"/>
        <v>1643.163233</v>
      </c>
      <c r="H239" s="220">
        <f t="shared" si="162"/>
        <v>1827.437752</v>
      </c>
      <c r="I239" s="220">
        <f t="shared" si="162"/>
        <v>0</v>
      </c>
      <c r="J239" s="220">
        <f t="shared" si="162"/>
        <v>1412.432933</v>
      </c>
      <c r="K239" s="220">
        <f t="shared" si="162"/>
        <v>1675.5389</v>
      </c>
      <c r="L239" s="220">
        <f t="shared" si="162"/>
        <v>2433.708833</v>
      </c>
      <c r="M239" s="220">
        <f t="shared" si="162"/>
        <v>1581.205167</v>
      </c>
      <c r="N239" s="220">
        <f t="shared" si="162"/>
        <v>2562.458833</v>
      </c>
      <c r="O239" s="220">
        <f t="shared" si="162"/>
        <v>1870.3137</v>
      </c>
      <c r="P239" s="220">
        <f t="shared" si="162"/>
        <v>1476.288233</v>
      </c>
      <c r="Q239" s="220">
        <f t="shared" si="162"/>
        <v>4247.328922</v>
      </c>
      <c r="R239" s="220">
        <f t="shared" si="162"/>
        <v>1647.891036</v>
      </c>
      <c r="S239" s="205"/>
      <c r="T239" s="205"/>
      <c r="U239" s="205"/>
      <c r="V239" s="205"/>
      <c r="W239" s="57"/>
      <c r="X239" s="27"/>
      <c r="AD239" s="27"/>
      <c r="AF239" s="27"/>
      <c r="AH239" s="27"/>
    </row>
    <row r="240" ht="15.75" customHeight="1">
      <c r="A240" s="207" t="s">
        <v>762</v>
      </c>
      <c r="B240" s="207" t="s">
        <v>443</v>
      </c>
      <c r="C240" s="207"/>
      <c r="D240" s="213">
        <f t="shared" ref="D240:E240" si="163">IF(D238&lt;&gt;0,$B$241*$C$241*12,0)</f>
        <v>4752</v>
      </c>
      <c r="E240" s="213">
        <f t="shared" si="163"/>
        <v>4752</v>
      </c>
      <c r="F240" s="221"/>
      <c r="G240" s="221"/>
      <c r="H240" s="213">
        <f t="shared" ref="H240:J240" si="164">IF(H238&lt;&gt;0,$B$241*$C$241*12,0)</f>
        <v>4752</v>
      </c>
      <c r="I240" s="221">
        <f t="shared" si="164"/>
        <v>0</v>
      </c>
      <c r="J240" s="213">
        <f t="shared" si="164"/>
        <v>4752</v>
      </c>
      <c r="K240" s="221"/>
      <c r="L240" s="221"/>
      <c r="M240" s="213">
        <f t="shared" ref="M240:P240" si="165">IF(M238&lt;&gt;0,$B$241*$C$241*12,0)</f>
        <v>4752</v>
      </c>
      <c r="N240" s="213">
        <f t="shared" si="165"/>
        <v>4752</v>
      </c>
      <c r="O240" s="213">
        <f t="shared" si="165"/>
        <v>4752</v>
      </c>
      <c r="P240" s="213">
        <f t="shared" si="165"/>
        <v>4752</v>
      </c>
      <c r="Q240" s="221"/>
      <c r="R240" s="213">
        <f>IF(R238&lt;&gt;0,$B$241*$C$241*12,0)</f>
        <v>4752</v>
      </c>
      <c r="S240" s="214"/>
      <c r="T240" s="214"/>
      <c r="U240" s="214"/>
      <c r="V240" s="213">
        <f>+SUM(D240:U240)</f>
        <v>42768</v>
      </c>
      <c r="W240" s="57">
        <f>+SUMIF($D$213:$U$213,1,$D240:$U240)</f>
        <v>33264</v>
      </c>
      <c r="X240" s="57">
        <f>+SUMIF($D$213:$U$213,2,$D240:$U240)</f>
        <v>4752</v>
      </c>
      <c r="Y240" s="190">
        <f>+W197+X197</f>
        <v>61776</v>
      </c>
      <c r="Z240" s="26">
        <f>+V240-Y240</f>
        <v>-19008</v>
      </c>
      <c r="AA240" s="11">
        <f>+Z240/Y240</f>
        <v>-0.3076923077</v>
      </c>
      <c r="AD240" s="27"/>
      <c r="AF240" s="27"/>
      <c r="AH240" s="27"/>
    </row>
    <row r="241" ht="15.75" customHeight="1">
      <c r="A241" s="207" t="s">
        <v>804</v>
      </c>
      <c r="B241" s="215">
        <v>396.0</v>
      </c>
      <c r="C241" s="216">
        <v>1.0</v>
      </c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57"/>
      <c r="X241" s="27"/>
      <c r="AD241" s="27"/>
      <c r="AF241" s="27"/>
      <c r="AH241" s="27"/>
    </row>
    <row r="242" ht="15.75" customHeight="1">
      <c r="A242" s="207" t="s">
        <v>763</v>
      </c>
      <c r="B242" s="207" t="s">
        <v>439</v>
      </c>
      <c r="C242" s="207"/>
      <c r="D242" s="213">
        <f t="shared" ref="D242:E242" si="166">+D238*0.03</f>
        <v>1208.383071</v>
      </c>
      <c r="E242" s="213">
        <f t="shared" si="166"/>
        <v>1200.976576</v>
      </c>
      <c r="F242" s="221"/>
      <c r="G242" s="213">
        <f t="shared" ref="G242:R242" si="167">+G238*0.03</f>
        <v>1183.077528</v>
      </c>
      <c r="H242" s="213">
        <f t="shared" si="167"/>
        <v>1315.755182</v>
      </c>
      <c r="I242" s="213">
        <f t="shared" si="167"/>
        <v>0</v>
      </c>
      <c r="J242" s="213">
        <f t="shared" si="167"/>
        <v>1016.951712</v>
      </c>
      <c r="K242" s="213">
        <f t="shared" si="167"/>
        <v>1206.388008</v>
      </c>
      <c r="L242" s="213">
        <f t="shared" si="167"/>
        <v>1752.27036</v>
      </c>
      <c r="M242" s="213">
        <f t="shared" si="167"/>
        <v>1138.46772</v>
      </c>
      <c r="N242" s="213">
        <f t="shared" si="167"/>
        <v>1844.97036</v>
      </c>
      <c r="O242" s="213">
        <f t="shared" si="167"/>
        <v>1346.625864</v>
      </c>
      <c r="P242" s="213">
        <f t="shared" si="167"/>
        <v>1062.927528</v>
      </c>
      <c r="Q242" s="213">
        <f t="shared" si="167"/>
        <v>3058.076824</v>
      </c>
      <c r="R242" s="213">
        <f t="shared" si="167"/>
        <v>1186.481546</v>
      </c>
      <c r="S242" s="213">
        <v>0.0</v>
      </c>
      <c r="T242" s="213">
        <v>0.0</v>
      </c>
      <c r="U242" s="213">
        <v>0.0</v>
      </c>
      <c r="V242" s="213">
        <f>+SUM(D242:U242)</f>
        <v>18521.35228</v>
      </c>
      <c r="W242" s="57">
        <f>+SUMIF($D$213:$U$213,1,$D242:$U242)</f>
        <v>9620.029678</v>
      </c>
      <c r="X242" s="57">
        <f>+SUMIF($D$213:$U$213,2,$D242:$U242)</f>
        <v>7838.395072</v>
      </c>
      <c r="Y242" s="190">
        <f>+W199+X199</f>
        <v>17754.25642</v>
      </c>
      <c r="Z242" s="26">
        <f>+V242-Y242</f>
        <v>767.0958575</v>
      </c>
      <c r="AA242" s="11">
        <f>+Z242/Y242</f>
        <v>0.04320630723</v>
      </c>
      <c r="AD242" s="27"/>
      <c r="AF242" s="27"/>
      <c r="AH242" s="27"/>
    </row>
    <row r="243" ht="15.75" customHeight="1">
      <c r="A243" s="207" t="s">
        <v>764</v>
      </c>
      <c r="B243" s="207"/>
      <c r="C243" s="207"/>
      <c r="D243" s="217">
        <f t="shared" ref="D243:U243" si="168">+IFERROR(D242/D238,0)</f>
        <v>0.03</v>
      </c>
      <c r="E243" s="217">
        <f t="shared" si="168"/>
        <v>0.03</v>
      </c>
      <c r="F243" s="217">
        <f t="shared" si="168"/>
        <v>0</v>
      </c>
      <c r="G243" s="217">
        <f t="shared" si="168"/>
        <v>0.03</v>
      </c>
      <c r="H243" s="217">
        <f t="shared" si="168"/>
        <v>0.03</v>
      </c>
      <c r="I243" s="217">
        <f t="shared" si="168"/>
        <v>0</v>
      </c>
      <c r="J243" s="217">
        <f t="shared" si="168"/>
        <v>0.03</v>
      </c>
      <c r="K243" s="217">
        <f t="shared" si="168"/>
        <v>0.03</v>
      </c>
      <c r="L243" s="217">
        <f t="shared" si="168"/>
        <v>0.03</v>
      </c>
      <c r="M243" s="217">
        <f t="shared" si="168"/>
        <v>0.03</v>
      </c>
      <c r="N243" s="217">
        <f t="shared" si="168"/>
        <v>0.03</v>
      </c>
      <c r="O243" s="217">
        <f t="shared" si="168"/>
        <v>0.03</v>
      </c>
      <c r="P243" s="217">
        <f t="shared" si="168"/>
        <v>0.03</v>
      </c>
      <c r="Q243" s="217">
        <f t="shared" si="168"/>
        <v>0.03</v>
      </c>
      <c r="R243" s="217">
        <f t="shared" si="168"/>
        <v>0.03</v>
      </c>
      <c r="S243" s="217">
        <f t="shared" si="168"/>
        <v>0</v>
      </c>
      <c r="T243" s="217">
        <f t="shared" si="168"/>
        <v>0</v>
      </c>
      <c r="U243" s="217">
        <f t="shared" si="168"/>
        <v>0</v>
      </c>
      <c r="V243" s="205"/>
      <c r="W243" s="57"/>
      <c r="X243" s="27"/>
      <c r="Y243" s="190"/>
      <c r="AD243" s="27"/>
      <c r="AF243" s="27"/>
      <c r="AH243" s="27"/>
    </row>
    <row r="244" ht="15.75" customHeight="1">
      <c r="A244" s="207"/>
      <c r="B244" s="207"/>
      <c r="C244" s="207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57"/>
      <c r="X244" s="27"/>
      <c r="AD244" s="27"/>
      <c r="AF244" s="27"/>
      <c r="AH244" s="27"/>
    </row>
    <row r="245" ht="15.75" customHeight="1">
      <c r="A245" s="207" t="s">
        <v>765</v>
      </c>
      <c r="B245" s="207" t="s">
        <v>453</v>
      </c>
      <c r="C245" s="207"/>
      <c r="D245" s="213">
        <f t="shared" ref="D245:R245" si="169">+IF(D238&gt;0,8*12,0)</f>
        <v>96</v>
      </c>
      <c r="E245" s="213">
        <f t="shared" si="169"/>
        <v>96</v>
      </c>
      <c r="F245" s="213">
        <f t="shared" si="169"/>
        <v>96</v>
      </c>
      <c r="G245" s="213">
        <f t="shared" si="169"/>
        <v>96</v>
      </c>
      <c r="H245" s="213">
        <f t="shared" si="169"/>
        <v>96</v>
      </c>
      <c r="I245" s="213">
        <f t="shared" si="169"/>
        <v>0</v>
      </c>
      <c r="J245" s="213">
        <f t="shared" si="169"/>
        <v>96</v>
      </c>
      <c r="K245" s="213">
        <f t="shared" si="169"/>
        <v>96</v>
      </c>
      <c r="L245" s="213">
        <f t="shared" si="169"/>
        <v>96</v>
      </c>
      <c r="M245" s="213">
        <f t="shared" si="169"/>
        <v>96</v>
      </c>
      <c r="N245" s="213">
        <f t="shared" si="169"/>
        <v>96</v>
      </c>
      <c r="O245" s="213">
        <f t="shared" si="169"/>
        <v>96</v>
      </c>
      <c r="P245" s="213">
        <f t="shared" si="169"/>
        <v>96</v>
      </c>
      <c r="Q245" s="213">
        <f t="shared" si="169"/>
        <v>96</v>
      </c>
      <c r="R245" s="213">
        <f t="shared" si="169"/>
        <v>96</v>
      </c>
      <c r="S245" s="214"/>
      <c r="T245" s="214"/>
      <c r="U245" s="214"/>
      <c r="V245" s="213">
        <f>+SUM(D245:U245)</f>
        <v>1344</v>
      </c>
      <c r="W245" s="57">
        <f>+SUMIF($D$213:$U$213,1,$D245:$U245)</f>
        <v>768</v>
      </c>
      <c r="X245" s="57">
        <f>+SUMIF($D$213:$U$213,2,$D245:$U245)</f>
        <v>480</v>
      </c>
      <c r="Y245" s="190">
        <f>+V202</f>
        <v>1145.730096</v>
      </c>
      <c r="Z245" s="26">
        <f>+V245-Y245</f>
        <v>198.269904</v>
      </c>
      <c r="AA245" s="11">
        <f>+Z245/Y245</f>
        <v>0.1730511442</v>
      </c>
      <c r="AD245" s="27"/>
      <c r="AF245" s="27"/>
      <c r="AH245" s="27"/>
    </row>
    <row r="246" ht="15.75" customHeight="1">
      <c r="A246" s="207"/>
      <c r="B246" s="207"/>
      <c r="C246" s="207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57"/>
      <c r="X246" s="27"/>
      <c r="AD246" s="27"/>
      <c r="AF246" s="27"/>
      <c r="AH246" s="27"/>
    </row>
    <row r="247" ht="15.75" customHeight="1">
      <c r="A247" s="207" t="s">
        <v>766</v>
      </c>
      <c r="B247" s="207" t="s">
        <v>459</v>
      </c>
      <c r="C247" s="207" t="s">
        <v>798</v>
      </c>
      <c r="D247" s="213">
        <f t="shared" ref="D247:R247" si="170">+IF(D$213=1,D$238*0.062,0)</f>
        <v>2497.325013</v>
      </c>
      <c r="E247" s="213">
        <f t="shared" si="170"/>
        <v>2482.018257</v>
      </c>
      <c r="F247" s="213">
        <f t="shared" si="170"/>
        <v>0</v>
      </c>
      <c r="G247" s="213">
        <f t="shared" si="170"/>
        <v>0</v>
      </c>
      <c r="H247" s="213">
        <f t="shared" si="170"/>
        <v>2719.227375</v>
      </c>
      <c r="I247" s="213">
        <f t="shared" si="170"/>
        <v>0</v>
      </c>
      <c r="J247" s="213">
        <f t="shared" si="170"/>
        <v>2101.700205</v>
      </c>
      <c r="K247" s="213">
        <f t="shared" si="170"/>
        <v>2493.201883</v>
      </c>
      <c r="L247" s="213">
        <f t="shared" si="170"/>
        <v>0</v>
      </c>
      <c r="M247" s="213">
        <f t="shared" si="170"/>
        <v>2352.833288</v>
      </c>
      <c r="N247" s="213">
        <f t="shared" si="170"/>
        <v>0</v>
      </c>
      <c r="O247" s="213">
        <f t="shared" si="170"/>
        <v>2783.026786</v>
      </c>
      <c r="P247" s="213">
        <f t="shared" si="170"/>
        <v>0</v>
      </c>
      <c r="Q247" s="213">
        <f t="shared" si="170"/>
        <v>0</v>
      </c>
      <c r="R247" s="213">
        <f t="shared" si="170"/>
        <v>2452.061862</v>
      </c>
      <c r="S247" s="214"/>
      <c r="T247" s="214"/>
      <c r="U247" s="214"/>
      <c r="V247" s="213">
        <f t="shared" ref="V247:V252" si="172">+SUM(D247:U247)</f>
        <v>19881.39467</v>
      </c>
      <c r="W247" s="57">
        <f t="shared" ref="W247:W252" si="173">+SUMIF($D$213:$U$213,1,$D247:$U247)</f>
        <v>19881.39467</v>
      </c>
      <c r="X247" s="57">
        <f t="shared" ref="X247:X252" si="174">+SUMIF($D$213:$U$213,2,$D247:$U247)</f>
        <v>0</v>
      </c>
      <c r="Y247" s="190">
        <f t="shared" ref="Y247:Y252" si="175">+V204</f>
        <v>22945.52245</v>
      </c>
      <c r="Z247" s="26">
        <f t="shared" ref="Z247:Z252" si="176">+V247-Y247</f>
        <v>-3064.12778</v>
      </c>
      <c r="AA247" s="11">
        <f t="shared" ref="AA247:AA252" si="177">+Z247/Y247</f>
        <v>-0.1335392466</v>
      </c>
      <c r="AB247" s="8" t="s">
        <v>813</v>
      </c>
      <c r="AD247" s="27"/>
      <c r="AF247" s="27"/>
      <c r="AH247" s="27"/>
    </row>
    <row r="248" ht="15.75" customHeight="1">
      <c r="A248" s="207" t="s">
        <v>767</v>
      </c>
      <c r="B248" s="207" t="s">
        <v>463</v>
      </c>
      <c r="C248" s="207" t="s">
        <v>798</v>
      </c>
      <c r="D248" s="213">
        <f t="shared" ref="D248:R248" si="171">+IF(D$213=1,D$238*0.0145,0)</f>
        <v>584.0518174</v>
      </c>
      <c r="E248" s="213">
        <f t="shared" si="171"/>
        <v>580.4720116</v>
      </c>
      <c r="F248" s="213">
        <f t="shared" si="171"/>
        <v>0</v>
      </c>
      <c r="G248" s="213">
        <f t="shared" si="171"/>
        <v>0</v>
      </c>
      <c r="H248" s="213">
        <f t="shared" si="171"/>
        <v>635.9483378</v>
      </c>
      <c r="I248" s="213">
        <f t="shared" si="171"/>
        <v>0</v>
      </c>
      <c r="J248" s="213">
        <f t="shared" si="171"/>
        <v>491.5266608</v>
      </c>
      <c r="K248" s="213">
        <f t="shared" si="171"/>
        <v>583.0875372</v>
      </c>
      <c r="L248" s="213">
        <f t="shared" si="171"/>
        <v>0</v>
      </c>
      <c r="M248" s="213">
        <f t="shared" si="171"/>
        <v>550.259398</v>
      </c>
      <c r="N248" s="213">
        <f t="shared" si="171"/>
        <v>0</v>
      </c>
      <c r="O248" s="213">
        <f t="shared" si="171"/>
        <v>650.8691676</v>
      </c>
      <c r="P248" s="213">
        <f t="shared" si="171"/>
        <v>0</v>
      </c>
      <c r="Q248" s="213">
        <f t="shared" si="171"/>
        <v>0</v>
      </c>
      <c r="R248" s="213">
        <f t="shared" si="171"/>
        <v>573.4660806</v>
      </c>
      <c r="S248" s="214"/>
      <c r="T248" s="214"/>
      <c r="U248" s="214"/>
      <c r="V248" s="213">
        <f t="shared" si="172"/>
        <v>4649.681011</v>
      </c>
      <c r="W248" s="57">
        <f t="shared" si="173"/>
        <v>4649.681011</v>
      </c>
      <c r="X248" s="57">
        <f t="shared" si="174"/>
        <v>0</v>
      </c>
      <c r="Y248" s="190">
        <f t="shared" si="175"/>
        <v>5366.29154</v>
      </c>
      <c r="Z248" s="26">
        <f t="shared" si="176"/>
        <v>-716.6105293</v>
      </c>
      <c r="AA248" s="11">
        <f t="shared" si="177"/>
        <v>-0.1335392466</v>
      </c>
      <c r="AD248" s="27"/>
      <c r="AF248" s="27"/>
      <c r="AH248" s="27"/>
    </row>
    <row r="249" ht="15.75" customHeight="1">
      <c r="A249" s="207" t="s">
        <v>766</v>
      </c>
      <c r="B249" s="207" t="s">
        <v>461</v>
      </c>
      <c r="C249" s="207" t="s">
        <v>799</v>
      </c>
      <c r="D249" s="213">
        <f t="shared" ref="D249:R249" si="178">+IF(D$213=2,D$238*0.062,0)</f>
        <v>0</v>
      </c>
      <c r="E249" s="213">
        <f t="shared" si="178"/>
        <v>0</v>
      </c>
      <c r="F249" s="213">
        <f t="shared" si="178"/>
        <v>2808.352</v>
      </c>
      <c r="G249" s="213">
        <f t="shared" si="178"/>
        <v>2445.026891</v>
      </c>
      <c r="H249" s="213">
        <f t="shared" si="178"/>
        <v>0</v>
      </c>
      <c r="I249" s="213">
        <f t="shared" si="178"/>
        <v>0</v>
      </c>
      <c r="J249" s="213">
        <f t="shared" si="178"/>
        <v>0</v>
      </c>
      <c r="K249" s="213">
        <f t="shared" si="178"/>
        <v>0</v>
      </c>
      <c r="L249" s="213">
        <f t="shared" si="178"/>
        <v>3621.358744</v>
      </c>
      <c r="M249" s="213">
        <f t="shared" si="178"/>
        <v>0</v>
      </c>
      <c r="N249" s="213">
        <f t="shared" si="178"/>
        <v>3812.938744</v>
      </c>
      <c r="O249" s="213">
        <f t="shared" si="178"/>
        <v>0</v>
      </c>
      <c r="P249" s="213">
        <f t="shared" si="178"/>
        <v>0</v>
      </c>
      <c r="Q249" s="213">
        <f t="shared" si="178"/>
        <v>6320.025436</v>
      </c>
      <c r="R249" s="213">
        <f t="shared" si="178"/>
        <v>0</v>
      </c>
      <c r="S249" s="214"/>
      <c r="T249" s="214"/>
      <c r="U249" s="214"/>
      <c r="V249" s="213">
        <f t="shared" si="172"/>
        <v>19007.70182</v>
      </c>
      <c r="W249" s="57">
        <f t="shared" si="173"/>
        <v>0</v>
      </c>
      <c r="X249" s="57">
        <f t="shared" si="174"/>
        <v>19007.70182</v>
      </c>
      <c r="Y249" s="190">
        <f t="shared" si="175"/>
        <v>15001.17749</v>
      </c>
      <c r="Z249" s="26">
        <f t="shared" si="176"/>
        <v>4006.524328</v>
      </c>
      <c r="AA249" s="11">
        <f t="shared" si="177"/>
        <v>0.2670806563</v>
      </c>
      <c r="AD249" s="27"/>
      <c r="AF249" s="27"/>
      <c r="AH249" s="27"/>
    </row>
    <row r="250" ht="15.75" customHeight="1">
      <c r="A250" s="207" t="s">
        <v>767</v>
      </c>
      <c r="B250" s="207" t="s">
        <v>465</v>
      </c>
      <c r="C250" s="207" t="s">
        <v>799</v>
      </c>
      <c r="D250" s="213">
        <f t="shared" ref="D250:R250" si="179">+IF(D$213=2,D$238*0.0145,0)</f>
        <v>0</v>
      </c>
      <c r="E250" s="213">
        <f t="shared" si="179"/>
        <v>0</v>
      </c>
      <c r="F250" s="213">
        <f t="shared" si="179"/>
        <v>656.792</v>
      </c>
      <c r="G250" s="213">
        <f t="shared" si="179"/>
        <v>571.8208052</v>
      </c>
      <c r="H250" s="213">
        <f t="shared" si="179"/>
        <v>0</v>
      </c>
      <c r="I250" s="213">
        <f t="shared" si="179"/>
        <v>0</v>
      </c>
      <c r="J250" s="213">
        <f t="shared" si="179"/>
        <v>0</v>
      </c>
      <c r="K250" s="213">
        <f t="shared" si="179"/>
        <v>0</v>
      </c>
      <c r="L250" s="213">
        <f t="shared" si="179"/>
        <v>846.930674</v>
      </c>
      <c r="M250" s="213">
        <f t="shared" si="179"/>
        <v>0</v>
      </c>
      <c r="N250" s="213">
        <f t="shared" si="179"/>
        <v>891.735674</v>
      </c>
      <c r="O250" s="213">
        <f t="shared" si="179"/>
        <v>0</v>
      </c>
      <c r="P250" s="213">
        <f t="shared" si="179"/>
        <v>0</v>
      </c>
      <c r="Q250" s="213">
        <f t="shared" si="179"/>
        <v>1478.070465</v>
      </c>
      <c r="R250" s="213">
        <f t="shared" si="179"/>
        <v>0</v>
      </c>
      <c r="S250" s="214"/>
      <c r="T250" s="214"/>
      <c r="U250" s="214"/>
      <c r="V250" s="213">
        <f t="shared" si="172"/>
        <v>4445.349618</v>
      </c>
      <c r="W250" s="57">
        <f t="shared" si="173"/>
        <v>0</v>
      </c>
      <c r="X250" s="57">
        <f t="shared" si="174"/>
        <v>4445.349618</v>
      </c>
      <c r="Y250" s="190">
        <f t="shared" si="175"/>
        <v>3508.339896</v>
      </c>
      <c r="Z250" s="26">
        <f t="shared" si="176"/>
        <v>937.0097219</v>
      </c>
      <c r="AA250" s="11">
        <f t="shared" si="177"/>
        <v>0.2670806563</v>
      </c>
      <c r="AD250" s="27"/>
      <c r="AF250" s="27"/>
      <c r="AH250" s="27"/>
    </row>
    <row r="251" ht="15.75" customHeight="1">
      <c r="A251" s="207" t="s">
        <v>766</v>
      </c>
      <c r="B251" s="207" t="s">
        <v>461</v>
      </c>
      <c r="C251" s="207" t="s">
        <v>800</v>
      </c>
      <c r="D251" s="213">
        <f t="shared" ref="D251:R251" si="180">+IF(D$213=3,D$238*0.062,0)</f>
        <v>0</v>
      </c>
      <c r="E251" s="213">
        <f t="shared" si="180"/>
        <v>0</v>
      </c>
      <c r="F251" s="213">
        <f t="shared" si="180"/>
        <v>0</v>
      </c>
      <c r="G251" s="213">
        <f t="shared" si="180"/>
        <v>0</v>
      </c>
      <c r="H251" s="213">
        <f t="shared" si="180"/>
        <v>0</v>
      </c>
      <c r="I251" s="213">
        <f t="shared" si="180"/>
        <v>0</v>
      </c>
      <c r="J251" s="213">
        <f t="shared" si="180"/>
        <v>0</v>
      </c>
      <c r="K251" s="213">
        <f t="shared" si="180"/>
        <v>0</v>
      </c>
      <c r="L251" s="213">
        <f t="shared" si="180"/>
        <v>0</v>
      </c>
      <c r="M251" s="213">
        <f t="shared" si="180"/>
        <v>0</v>
      </c>
      <c r="N251" s="213">
        <f t="shared" si="180"/>
        <v>0</v>
      </c>
      <c r="O251" s="213">
        <f t="shared" si="180"/>
        <v>0</v>
      </c>
      <c r="P251" s="213">
        <f t="shared" si="180"/>
        <v>0</v>
      </c>
      <c r="Q251" s="213">
        <f t="shared" si="180"/>
        <v>0</v>
      </c>
      <c r="R251" s="213">
        <f t="shared" si="180"/>
        <v>0</v>
      </c>
      <c r="S251" s="214"/>
      <c r="T251" s="214"/>
      <c r="U251" s="214"/>
      <c r="V251" s="213">
        <f t="shared" si="172"/>
        <v>0</v>
      </c>
      <c r="W251" s="57">
        <f t="shared" si="173"/>
        <v>0</v>
      </c>
      <c r="X251" s="57">
        <f t="shared" si="174"/>
        <v>0</v>
      </c>
      <c r="Y251" s="190">
        <f t="shared" si="175"/>
        <v>0</v>
      </c>
      <c r="Z251" s="26">
        <f t="shared" si="176"/>
        <v>0</v>
      </c>
      <c r="AA251" s="11" t="str">
        <f t="shared" si="177"/>
        <v>#DIV/0!</v>
      </c>
      <c r="AD251" s="27"/>
      <c r="AF251" s="27"/>
      <c r="AH251" s="27"/>
    </row>
    <row r="252" ht="15.75" customHeight="1">
      <c r="A252" s="207" t="s">
        <v>767</v>
      </c>
      <c r="B252" s="207" t="s">
        <v>465</v>
      </c>
      <c r="C252" s="207" t="s">
        <v>800</v>
      </c>
      <c r="D252" s="213">
        <f t="shared" ref="D252:R252" si="181">+IF(D$213=3,D$238*0.0145,0)</f>
        <v>0</v>
      </c>
      <c r="E252" s="213">
        <f t="shared" si="181"/>
        <v>0</v>
      </c>
      <c r="F252" s="213">
        <f t="shared" si="181"/>
        <v>0</v>
      </c>
      <c r="G252" s="213">
        <f t="shared" si="181"/>
        <v>0</v>
      </c>
      <c r="H252" s="213">
        <f t="shared" si="181"/>
        <v>0</v>
      </c>
      <c r="I252" s="213">
        <f t="shared" si="181"/>
        <v>0</v>
      </c>
      <c r="J252" s="213">
        <f t="shared" si="181"/>
        <v>0</v>
      </c>
      <c r="K252" s="213">
        <f t="shared" si="181"/>
        <v>0</v>
      </c>
      <c r="L252" s="213">
        <f t="shared" si="181"/>
        <v>0</v>
      </c>
      <c r="M252" s="213">
        <f t="shared" si="181"/>
        <v>0</v>
      </c>
      <c r="N252" s="213">
        <f t="shared" si="181"/>
        <v>0</v>
      </c>
      <c r="O252" s="213">
        <f t="shared" si="181"/>
        <v>0</v>
      </c>
      <c r="P252" s="213">
        <f t="shared" si="181"/>
        <v>0</v>
      </c>
      <c r="Q252" s="213">
        <f t="shared" si="181"/>
        <v>0</v>
      </c>
      <c r="R252" s="213">
        <f t="shared" si="181"/>
        <v>0</v>
      </c>
      <c r="S252" s="214"/>
      <c r="T252" s="214"/>
      <c r="U252" s="214"/>
      <c r="V252" s="213">
        <f t="shared" si="172"/>
        <v>0</v>
      </c>
      <c r="W252" s="57">
        <f t="shared" si="173"/>
        <v>0</v>
      </c>
      <c r="X252" s="57">
        <f t="shared" si="174"/>
        <v>0</v>
      </c>
      <c r="Y252" s="190">
        <f t="shared" si="175"/>
        <v>0</v>
      </c>
      <c r="Z252" s="26">
        <f t="shared" si="176"/>
        <v>0</v>
      </c>
      <c r="AA252" s="11" t="str">
        <f t="shared" si="177"/>
        <v>#DIV/0!</v>
      </c>
      <c r="AD252" s="27"/>
      <c r="AF252" s="27"/>
      <c r="AH252" s="27"/>
    </row>
    <row r="253" ht="15.75" customHeight="1">
      <c r="W253" s="27"/>
      <c r="X253" s="27"/>
      <c r="AD253" s="27"/>
      <c r="AF253" s="27"/>
      <c r="AH253" s="27"/>
    </row>
    <row r="254" ht="15.75" customHeight="1">
      <c r="W254" s="27"/>
      <c r="X254" s="27"/>
      <c r="AD254" s="27"/>
      <c r="AF254" s="27"/>
      <c r="AH254" s="27"/>
    </row>
    <row r="255" ht="15.75" customHeight="1">
      <c r="W255" s="27"/>
      <c r="X255" s="27"/>
      <c r="AD255" s="27"/>
      <c r="AF255" s="27"/>
      <c r="AH255" s="27"/>
    </row>
    <row r="256" ht="15.75" customHeight="1">
      <c r="W256" s="27"/>
      <c r="X256" s="27"/>
      <c r="AD256" s="27"/>
      <c r="AF256" s="27"/>
      <c r="AH256" s="27"/>
    </row>
    <row r="257" ht="15.75" customHeight="1">
      <c r="W257" s="27"/>
      <c r="X257" s="27"/>
      <c r="AD257" s="27"/>
      <c r="AF257" s="27"/>
      <c r="AH257" s="27"/>
    </row>
    <row r="258" ht="15.75" customHeight="1">
      <c r="W258" s="27"/>
      <c r="X258" s="27"/>
      <c r="AD258" s="27"/>
      <c r="AF258" s="27"/>
      <c r="AH258" s="27"/>
    </row>
    <row r="259" ht="15.75" customHeight="1">
      <c r="W259" s="27"/>
      <c r="X259" s="27"/>
      <c r="AD259" s="27"/>
      <c r="AF259" s="27"/>
      <c r="AH259" s="27"/>
    </row>
    <row r="260" ht="15.75" customHeight="1">
      <c r="W260" s="27"/>
      <c r="X260" s="27"/>
      <c r="AD260" s="27"/>
      <c r="AF260" s="27"/>
      <c r="AH260" s="27"/>
    </row>
    <row r="261" ht="15.75" customHeight="1">
      <c r="W261" s="27"/>
      <c r="X261" s="27"/>
      <c r="AD261" s="27"/>
      <c r="AF261" s="27"/>
      <c r="AH261" s="27"/>
    </row>
    <row r="262" ht="15.75" customHeight="1">
      <c r="W262" s="27"/>
      <c r="X262" s="27"/>
      <c r="AD262" s="27"/>
      <c r="AF262" s="27"/>
      <c r="AH262" s="27"/>
    </row>
    <row r="263" ht="15.75" customHeight="1">
      <c r="W263" s="27"/>
      <c r="X263" s="27"/>
      <c r="AD263" s="27"/>
      <c r="AF263" s="27"/>
      <c r="AH263" s="27"/>
    </row>
    <row r="264" ht="15.75" customHeight="1">
      <c r="W264" s="27"/>
      <c r="X264" s="27"/>
      <c r="AD264" s="27"/>
      <c r="AF264" s="27"/>
      <c r="AH264" s="27"/>
    </row>
    <row r="265" ht="15.75" customHeight="1">
      <c r="W265" s="27"/>
      <c r="X265" s="27"/>
      <c r="AD265" s="27"/>
      <c r="AF265" s="27"/>
      <c r="AH265" s="27"/>
    </row>
    <row r="266" ht="15.75" customHeight="1">
      <c r="W266" s="27"/>
      <c r="X266" s="27"/>
      <c r="AD266" s="27"/>
      <c r="AF266" s="27"/>
      <c r="AH266" s="27"/>
    </row>
    <row r="267" ht="15.75" customHeight="1">
      <c r="W267" s="27"/>
      <c r="X267" s="27"/>
      <c r="AD267" s="27"/>
      <c r="AF267" s="27"/>
      <c r="AH267" s="27"/>
    </row>
    <row r="268" ht="15.75" customHeight="1">
      <c r="W268" s="27"/>
      <c r="X268" s="27"/>
      <c r="AD268" s="27"/>
      <c r="AF268" s="27"/>
      <c r="AH268" s="27"/>
    </row>
    <row r="269" ht="15.75" customHeight="1">
      <c r="W269" s="27"/>
      <c r="X269" s="27"/>
      <c r="AD269" s="27"/>
      <c r="AF269" s="27"/>
      <c r="AH269" s="27"/>
    </row>
    <row r="270" ht="15.75" customHeight="1">
      <c r="W270" s="27"/>
      <c r="X270" s="27"/>
      <c r="AD270" s="27"/>
      <c r="AF270" s="27"/>
      <c r="AH270" s="27"/>
    </row>
    <row r="271" ht="15.75" customHeight="1">
      <c r="W271" s="27"/>
      <c r="X271" s="27"/>
      <c r="AD271" s="27"/>
      <c r="AF271" s="27"/>
      <c r="AH271" s="27"/>
    </row>
    <row r="272" ht="15.75" customHeight="1">
      <c r="W272" s="27"/>
      <c r="X272" s="27"/>
      <c r="AD272" s="27"/>
      <c r="AF272" s="27"/>
      <c r="AH272" s="27"/>
    </row>
    <row r="273" ht="15.75" customHeight="1">
      <c r="W273" s="27"/>
      <c r="X273" s="27"/>
      <c r="AD273" s="27"/>
      <c r="AF273" s="27"/>
      <c r="AH273" s="27"/>
    </row>
    <row r="274" ht="15.75" customHeight="1">
      <c r="W274" s="27"/>
      <c r="X274" s="27"/>
      <c r="AD274" s="27"/>
      <c r="AF274" s="27"/>
      <c r="AH274" s="27"/>
    </row>
    <row r="275" ht="15.75" customHeight="1">
      <c r="W275" s="27"/>
      <c r="X275" s="27"/>
      <c r="AD275" s="27"/>
      <c r="AF275" s="27"/>
      <c r="AH275" s="27"/>
    </row>
    <row r="276" ht="15.75" customHeight="1">
      <c r="W276" s="27"/>
      <c r="X276" s="27"/>
      <c r="AD276" s="27"/>
      <c r="AF276" s="27"/>
      <c r="AH276" s="27"/>
    </row>
    <row r="277" ht="15.75" customHeight="1">
      <c r="W277" s="27"/>
      <c r="X277" s="27"/>
      <c r="AD277" s="27"/>
      <c r="AF277" s="27"/>
      <c r="AH277" s="27"/>
    </row>
    <row r="278" ht="15.75" customHeight="1">
      <c r="W278" s="27"/>
      <c r="X278" s="27"/>
      <c r="AD278" s="27"/>
      <c r="AF278" s="27"/>
      <c r="AH278" s="27"/>
    </row>
    <row r="279" ht="15.75" customHeight="1">
      <c r="W279" s="27"/>
      <c r="X279" s="27"/>
      <c r="AD279" s="27"/>
      <c r="AF279" s="27"/>
      <c r="AH279" s="27"/>
    </row>
    <row r="280" ht="15.75" customHeight="1">
      <c r="W280" s="27"/>
      <c r="X280" s="27"/>
      <c r="AD280" s="27"/>
      <c r="AF280" s="27"/>
      <c r="AH280" s="27"/>
    </row>
    <row r="281" ht="15.75" customHeight="1">
      <c r="W281" s="27"/>
      <c r="X281" s="27"/>
      <c r="AD281" s="27"/>
      <c r="AF281" s="27"/>
      <c r="AH281" s="27"/>
    </row>
    <row r="282" ht="15.75" customHeight="1">
      <c r="W282" s="27"/>
      <c r="X282" s="27"/>
      <c r="AD282" s="27"/>
      <c r="AF282" s="27"/>
      <c r="AH282" s="27"/>
    </row>
    <row r="283" ht="15.75" customHeight="1">
      <c r="W283" s="27"/>
      <c r="X283" s="27"/>
      <c r="AD283" s="27"/>
      <c r="AF283" s="27"/>
      <c r="AH283" s="27"/>
    </row>
    <row r="284" ht="15.75" customHeight="1">
      <c r="W284" s="27"/>
      <c r="X284" s="27"/>
      <c r="AD284" s="27"/>
      <c r="AF284" s="27"/>
      <c r="AH284" s="27"/>
    </row>
    <row r="285" ht="15.75" customHeight="1">
      <c r="W285" s="27"/>
      <c r="X285" s="27"/>
      <c r="AD285" s="27"/>
      <c r="AF285" s="27"/>
      <c r="AH285" s="27"/>
    </row>
    <row r="286" ht="15.75" customHeight="1">
      <c r="W286" s="27"/>
      <c r="X286" s="27"/>
      <c r="AD286" s="27"/>
      <c r="AF286" s="27"/>
      <c r="AH286" s="27"/>
    </row>
    <row r="287" ht="15.75" customHeight="1">
      <c r="W287" s="27"/>
      <c r="X287" s="27"/>
      <c r="AD287" s="27"/>
      <c r="AF287" s="27"/>
      <c r="AH287" s="27"/>
    </row>
    <row r="288" ht="15.75" customHeight="1">
      <c r="W288" s="27"/>
      <c r="X288" s="27"/>
      <c r="AD288" s="27"/>
      <c r="AF288" s="27"/>
      <c r="AH288" s="27"/>
    </row>
    <row r="289" ht="15.75" customHeight="1">
      <c r="W289" s="27"/>
      <c r="X289" s="27"/>
      <c r="AD289" s="27"/>
      <c r="AF289" s="27"/>
      <c r="AH289" s="27"/>
    </row>
    <row r="290" ht="15.75" customHeight="1">
      <c r="W290" s="27"/>
      <c r="X290" s="27"/>
      <c r="AD290" s="27"/>
      <c r="AF290" s="27"/>
      <c r="AH290" s="27"/>
    </row>
    <row r="291" ht="15.75" customHeight="1">
      <c r="W291" s="27"/>
      <c r="X291" s="27"/>
      <c r="AD291" s="27"/>
      <c r="AF291" s="27"/>
      <c r="AH291" s="27"/>
    </row>
    <row r="292" ht="15.75" customHeight="1">
      <c r="W292" s="27"/>
      <c r="X292" s="27"/>
      <c r="AD292" s="27"/>
      <c r="AF292" s="27"/>
      <c r="AH292" s="27"/>
    </row>
    <row r="293" ht="15.75" customHeight="1">
      <c r="W293" s="27"/>
      <c r="X293" s="27"/>
      <c r="AD293" s="27"/>
      <c r="AF293" s="27"/>
      <c r="AH293" s="27"/>
    </row>
    <row r="294" ht="15.75" customHeight="1">
      <c r="W294" s="27"/>
      <c r="X294" s="27"/>
      <c r="AD294" s="27"/>
      <c r="AF294" s="27"/>
      <c r="AH294" s="27"/>
    </row>
    <row r="295" ht="15.75" customHeight="1">
      <c r="W295" s="27"/>
      <c r="X295" s="27"/>
      <c r="AD295" s="27"/>
      <c r="AF295" s="27"/>
      <c r="AH295" s="27"/>
    </row>
    <row r="296" ht="15.75" customHeight="1">
      <c r="W296" s="27"/>
      <c r="X296" s="27"/>
      <c r="AD296" s="27"/>
      <c r="AF296" s="27"/>
      <c r="AH296" s="27"/>
    </row>
    <row r="297" ht="15.75" customHeight="1">
      <c r="W297" s="27"/>
      <c r="X297" s="27"/>
      <c r="AD297" s="27"/>
      <c r="AF297" s="27"/>
      <c r="AH297" s="27"/>
    </row>
    <row r="298" ht="15.75" customHeight="1">
      <c r="W298" s="27"/>
      <c r="X298" s="27"/>
      <c r="AD298" s="27"/>
      <c r="AF298" s="27"/>
      <c r="AH298" s="27"/>
    </row>
    <row r="299" ht="15.75" customHeight="1">
      <c r="W299" s="27"/>
      <c r="X299" s="27"/>
      <c r="AD299" s="27"/>
      <c r="AF299" s="27"/>
      <c r="AH299" s="27"/>
    </row>
    <row r="300" ht="15.75" customHeight="1">
      <c r="W300" s="27"/>
      <c r="X300" s="27"/>
      <c r="AD300" s="27"/>
      <c r="AF300" s="27"/>
      <c r="AH300" s="27"/>
    </row>
    <row r="301" ht="15.75" customHeight="1">
      <c r="W301" s="27"/>
      <c r="X301" s="27"/>
      <c r="AD301" s="27"/>
      <c r="AF301" s="27"/>
      <c r="AH301" s="27"/>
    </row>
    <row r="302" ht="15.75" customHeight="1">
      <c r="W302" s="27"/>
      <c r="X302" s="27"/>
      <c r="AD302" s="27"/>
      <c r="AF302" s="27"/>
      <c r="AH302" s="27"/>
    </row>
    <row r="303" ht="15.75" customHeight="1">
      <c r="W303" s="27"/>
      <c r="X303" s="27"/>
      <c r="AD303" s="27"/>
      <c r="AF303" s="27"/>
      <c r="AH303" s="27"/>
    </row>
    <row r="304" ht="15.75" customHeight="1">
      <c r="W304" s="27"/>
      <c r="X304" s="27"/>
      <c r="AD304" s="27"/>
      <c r="AF304" s="27"/>
      <c r="AH304" s="27"/>
    </row>
    <row r="305" ht="15.75" customHeight="1">
      <c r="W305" s="27"/>
      <c r="X305" s="27"/>
      <c r="AD305" s="27"/>
      <c r="AF305" s="27"/>
      <c r="AH305" s="27"/>
    </row>
    <row r="306" ht="15.75" customHeight="1">
      <c r="W306" s="27"/>
      <c r="X306" s="27"/>
      <c r="AD306" s="27"/>
      <c r="AF306" s="27"/>
      <c r="AH306" s="27"/>
    </row>
    <row r="307" ht="15.75" customHeight="1">
      <c r="W307" s="27"/>
      <c r="X307" s="27"/>
      <c r="AD307" s="27"/>
      <c r="AF307" s="27"/>
      <c r="AH307" s="27"/>
    </row>
    <row r="308" ht="15.75" customHeight="1">
      <c r="W308" s="27"/>
      <c r="X308" s="27"/>
      <c r="AD308" s="27"/>
      <c r="AF308" s="27"/>
      <c r="AH308" s="27"/>
    </row>
    <row r="309" ht="15.75" customHeight="1">
      <c r="W309" s="27"/>
      <c r="X309" s="27"/>
      <c r="AD309" s="27"/>
      <c r="AF309" s="27"/>
      <c r="AH309" s="27"/>
    </row>
    <row r="310" ht="15.75" customHeight="1">
      <c r="W310" s="27"/>
      <c r="X310" s="27"/>
      <c r="AD310" s="27"/>
      <c r="AF310" s="27"/>
      <c r="AH310" s="27"/>
    </row>
    <row r="311" ht="15.75" customHeight="1">
      <c r="W311" s="27"/>
      <c r="X311" s="27"/>
      <c r="AD311" s="27"/>
      <c r="AF311" s="27"/>
      <c r="AH311" s="27"/>
    </row>
    <row r="312" ht="15.75" customHeight="1">
      <c r="W312" s="27"/>
      <c r="X312" s="27"/>
      <c r="AD312" s="27"/>
      <c r="AF312" s="27"/>
      <c r="AH312" s="27"/>
    </row>
    <row r="313" ht="15.75" customHeight="1">
      <c r="W313" s="27"/>
      <c r="X313" s="27"/>
      <c r="AD313" s="27"/>
      <c r="AF313" s="27"/>
      <c r="AH313" s="27"/>
    </row>
    <row r="314" ht="15.75" customHeight="1">
      <c r="W314" s="27"/>
      <c r="X314" s="27"/>
      <c r="AD314" s="27"/>
      <c r="AF314" s="27"/>
      <c r="AH314" s="27"/>
    </row>
    <row r="315" ht="15.75" customHeight="1">
      <c r="W315" s="27"/>
      <c r="X315" s="27"/>
      <c r="AD315" s="27"/>
      <c r="AF315" s="27"/>
      <c r="AH315" s="27"/>
    </row>
    <row r="316" ht="15.75" customHeight="1">
      <c r="W316" s="27"/>
      <c r="X316" s="27"/>
      <c r="AD316" s="27"/>
      <c r="AF316" s="27"/>
      <c r="AH316" s="27"/>
    </row>
    <row r="317" ht="15.75" customHeight="1">
      <c r="W317" s="27"/>
      <c r="X317" s="27"/>
      <c r="AD317" s="27"/>
      <c r="AF317" s="27"/>
      <c r="AH317" s="27"/>
    </row>
    <row r="318" ht="15.75" customHeight="1">
      <c r="W318" s="27"/>
      <c r="X318" s="27"/>
      <c r="AD318" s="27"/>
      <c r="AF318" s="27"/>
      <c r="AH318" s="27"/>
    </row>
    <row r="319" ht="15.75" customHeight="1">
      <c r="W319" s="27"/>
      <c r="X319" s="27"/>
      <c r="AD319" s="27"/>
      <c r="AF319" s="27"/>
      <c r="AH319" s="27"/>
    </row>
    <row r="320" ht="15.75" customHeight="1">
      <c r="W320" s="27"/>
      <c r="X320" s="27"/>
      <c r="AD320" s="27"/>
      <c r="AF320" s="27"/>
      <c r="AH320" s="27"/>
    </row>
    <row r="321" ht="15.75" customHeight="1">
      <c r="W321" s="27"/>
      <c r="X321" s="27"/>
      <c r="AD321" s="27"/>
      <c r="AF321" s="27"/>
      <c r="AH321" s="27"/>
    </row>
    <row r="322" ht="15.75" customHeight="1">
      <c r="W322" s="27"/>
      <c r="X322" s="27"/>
      <c r="AD322" s="27"/>
      <c r="AF322" s="27"/>
      <c r="AH322" s="27"/>
    </row>
    <row r="323" ht="15.75" customHeight="1">
      <c r="W323" s="27"/>
      <c r="X323" s="27"/>
      <c r="AD323" s="27"/>
      <c r="AF323" s="27"/>
      <c r="AH323" s="27"/>
    </row>
    <row r="324" ht="15.75" customHeight="1">
      <c r="W324" s="27"/>
      <c r="X324" s="27"/>
      <c r="AD324" s="27"/>
      <c r="AF324" s="27"/>
      <c r="AH324" s="27"/>
    </row>
    <row r="325" ht="15.75" customHeight="1">
      <c r="W325" s="27"/>
      <c r="X325" s="27"/>
      <c r="AD325" s="27"/>
      <c r="AF325" s="27"/>
      <c r="AH325" s="27"/>
    </row>
    <row r="326" ht="15.75" customHeight="1">
      <c r="W326" s="27"/>
      <c r="X326" s="27"/>
      <c r="AD326" s="27"/>
      <c r="AF326" s="27"/>
      <c r="AH326" s="27"/>
    </row>
    <row r="327" ht="15.75" customHeight="1">
      <c r="W327" s="27"/>
      <c r="X327" s="27"/>
      <c r="AD327" s="27"/>
      <c r="AF327" s="27"/>
      <c r="AH327" s="27"/>
    </row>
    <row r="328" ht="15.75" customHeight="1">
      <c r="W328" s="27"/>
      <c r="X328" s="27"/>
      <c r="AD328" s="27"/>
      <c r="AF328" s="27"/>
      <c r="AH328" s="27"/>
    </row>
    <row r="329" ht="15.75" customHeight="1">
      <c r="W329" s="27"/>
      <c r="X329" s="27"/>
      <c r="AD329" s="27"/>
      <c r="AF329" s="27"/>
      <c r="AH329" s="27"/>
    </row>
    <row r="330" ht="15.75" customHeight="1">
      <c r="W330" s="27"/>
      <c r="X330" s="27"/>
      <c r="AD330" s="27"/>
      <c r="AF330" s="27"/>
      <c r="AH330" s="27"/>
    </row>
    <row r="331" ht="15.75" customHeight="1">
      <c r="W331" s="27"/>
      <c r="X331" s="27"/>
      <c r="AD331" s="27"/>
      <c r="AF331" s="27"/>
      <c r="AH331" s="27"/>
    </row>
    <row r="332" ht="15.75" customHeight="1">
      <c r="W332" s="27"/>
      <c r="X332" s="27"/>
      <c r="AD332" s="27"/>
      <c r="AF332" s="27"/>
      <c r="AH332" s="27"/>
    </row>
    <row r="333" ht="15.75" customHeight="1">
      <c r="W333" s="27"/>
      <c r="X333" s="27"/>
      <c r="AD333" s="27"/>
      <c r="AF333" s="27"/>
      <c r="AH333" s="27"/>
    </row>
    <row r="334" ht="15.75" customHeight="1">
      <c r="W334" s="27"/>
      <c r="X334" s="27"/>
      <c r="AD334" s="27"/>
      <c r="AF334" s="27"/>
      <c r="AH334" s="27"/>
    </row>
    <row r="335" ht="15.75" customHeight="1">
      <c r="W335" s="27"/>
      <c r="X335" s="27"/>
      <c r="AD335" s="27"/>
      <c r="AF335" s="27"/>
      <c r="AH335" s="27"/>
    </row>
    <row r="336" ht="15.75" customHeight="1">
      <c r="W336" s="27"/>
      <c r="X336" s="27"/>
      <c r="AD336" s="27"/>
      <c r="AF336" s="27"/>
      <c r="AH336" s="27"/>
    </row>
    <row r="337" ht="15.75" customHeight="1">
      <c r="W337" s="27"/>
      <c r="X337" s="27"/>
      <c r="AD337" s="27"/>
      <c r="AF337" s="27"/>
      <c r="AH337" s="27"/>
    </row>
    <row r="338" ht="15.75" customHeight="1">
      <c r="W338" s="27"/>
      <c r="X338" s="27"/>
      <c r="AD338" s="27"/>
      <c r="AF338" s="27"/>
      <c r="AH338" s="27"/>
    </row>
    <row r="339" ht="15.75" customHeight="1">
      <c r="W339" s="27"/>
      <c r="X339" s="27"/>
      <c r="AD339" s="27"/>
      <c r="AF339" s="27"/>
      <c r="AH339" s="27"/>
    </row>
    <row r="340" ht="15.75" customHeight="1">
      <c r="W340" s="27"/>
      <c r="X340" s="27"/>
      <c r="AD340" s="27"/>
      <c r="AF340" s="27"/>
      <c r="AH340" s="27"/>
    </row>
    <row r="341" ht="15.75" customHeight="1">
      <c r="W341" s="27"/>
      <c r="X341" s="27"/>
      <c r="AD341" s="27"/>
      <c r="AF341" s="27"/>
      <c r="AH341" s="27"/>
    </row>
    <row r="342" ht="15.75" customHeight="1">
      <c r="W342" s="27"/>
      <c r="X342" s="27"/>
      <c r="AD342" s="27"/>
      <c r="AF342" s="27"/>
      <c r="AH342" s="27"/>
    </row>
    <row r="343" ht="15.75" customHeight="1">
      <c r="W343" s="27"/>
      <c r="X343" s="27"/>
      <c r="AD343" s="27"/>
      <c r="AF343" s="27"/>
      <c r="AH343" s="27"/>
    </row>
    <row r="344" ht="15.75" customHeight="1">
      <c r="W344" s="27"/>
      <c r="X344" s="27"/>
      <c r="AD344" s="27"/>
      <c r="AF344" s="27"/>
      <c r="AH344" s="27"/>
    </row>
    <row r="345" ht="15.75" customHeight="1">
      <c r="W345" s="27"/>
      <c r="X345" s="27"/>
      <c r="AD345" s="27"/>
      <c r="AF345" s="27"/>
      <c r="AH345" s="27"/>
    </row>
    <row r="346" ht="15.75" customHeight="1">
      <c r="W346" s="27"/>
      <c r="X346" s="27"/>
      <c r="AD346" s="27"/>
      <c r="AF346" s="27"/>
      <c r="AH346" s="27"/>
    </row>
    <row r="347" ht="15.75" customHeight="1">
      <c r="W347" s="27"/>
      <c r="X347" s="27"/>
      <c r="AD347" s="27"/>
      <c r="AF347" s="27"/>
      <c r="AH347" s="27"/>
    </row>
    <row r="348" ht="15.75" customHeight="1">
      <c r="W348" s="27"/>
      <c r="X348" s="27"/>
      <c r="AD348" s="27"/>
      <c r="AF348" s="27"/>
      <c r="AH348" s="27"/>
    </row>
    <row r="349" ht="15.75" customHeight="1">
      <c r="W349" s="27"/>
      <c r="X349" s="27"/>
      <c r="AD349" s="27"/>
      <c r="AF349" s="27"/>
      <c r="AH349" s="27"/>
    </row>
    <row r="350" ht="15.75" customHeight="1">
      <c r="W350" s="27"/>
      <c r="X350" s="27"/>
      <c r="AD350" s="27"/>
      <c r="AF350" s="27"/>
      <c r="AH350" s="27"/>
    </row>
    <row r="351" ht="15.75" customHeight="1">
      <c r="W351" s="27"/>
      <c r="X351" s="27"/>
      <c r="AD351" s="27"/>
      <c r="AF351" s="27"/>
      <c r="AH351" s="27"/>
    </row>
    <row r="352" ht="15.75" customHeight="1">
      <c r="W352" s="27"/>
      <c r="X352" s="27"/>
      <c r="AD352" s="27"/>
      <c r="AF352" s="27"/>
      <c r="AH352" s="27"/>
    </row>
    <row r="353" ht="15.75" customHeight="1">
      <c r="W353" s="27"/>
      <c r="X353" s="27"/>
      <c r="AD353" s="27"/>
      <c r="AF353" s="27"/>
      <c r="AH353" s="27"/>
    </row>
    <row r="354" ht="15.75" customHeight="1">
      <c r="W354" s="27"/>
      <c r="X354" s="27"/>
      <c r="AD354" s="27"/>
      <c r="AF354" s="27"/>
      <c r="AH354" s="27"/>
    </row>
    <row r="355" ht="15.75" customHeight="1">
      <c r="W355" s="27"/>
      <c r="X355" s="27"/>
      <c r="AD355" s="27"/>
      <c r="AF355" s="27"/>
      <c r="AH355" s="27"/>
    </row>
    <row r="356" ht="15.75" customHeight="1">
      <c r="W356" s="27"/>
      <c r="X356" s="27"/>
      <c r="AD356" s="27"/>
      <c r="AF356" s="27"/>
      <c r="AH356" s="27"/>
    </row>
    <row r="357" ht="15.75" customHeight="1">
      <c r="W357" s="27"/>
      <c r="X357" s="27"/>
      <c r="AD357" s="27"/>
      <c r="AF357" s="27"/>
      <c r="AH357" s="27"/>
    </row>
    <row r="358" ht="15.75" customHeight="1">
      <c r="W358" s="27"/>
      <c r="X358" s="27"/>
      <c r="AD358" s="27"/>
      <c r="AF358" s="27"/>
      <c r="AH358" s="27"/>
    </row>
    <row r="359" ht="15.75" customHeight="1">
      <c r="W359" s="27"/>
      <c r="X359" s="27"/>
      <c r="AD359" s="27"/>
      <c r="AF359" s="27"/>
      <c r="AH359" s="27"/>
    </row>
    <row r="360" ht="15.75" customHeight="1">
      <c r="W360" s="27"/>
      <c r="X360" s="27"/>
      <c r="AD360" s="27"/>
      <c r="AF360" s="27"/>
      <c r="AH360" s="27"/>
    </row>
    <row r="361" ht="15.75" customHeight="1">
      <c r="W361" s="27"/>
      <c r="X361" s="27"/>
      <c r="AD361" s="27"/>
      <c r="AF361" s="27"/>
      <c r="AH361" s="27"/>
    </row>
    <row r="362" ht="15.75" customHeight="1">
      <c r="W362" s="27"/>
      <c r="X362" s="27"/>
      <c r="AD362" s="27"/>
      <c r="AF362" s="27"/>
      <c r="AH362" s="27"/>
    </row>
    <row r="363" ht="15.75" customHeight="1">
      <c r="W363" s="27"/>
      <c r="X363" s="27"/>
      <c r="AD363" s="27"/>
      <c r="AF363" s="27"/>
      <c r="AH363" s="27"/>
    </row>
    <row r="364" ht="15.75" customHeight="1">
      <c r="W364" s="27"/>
      <c r="X364" s="27"/>
      <c r="AD364" s="27"/>
      <c r="AF364" s="27"/>
      <c r="AH364" s="27"/>
    </row>
    <row r="365" ht="15.75" customHeight="1">
      <c r="W365" s="27"/>
      <c r="X365" s="27"/>
      <c r="AD365" s="27"/>
      <c r="AF365" s="27"/>
      <c r="AH365" s="27"/>
    </row>
    <row r="366" ht="15.75" customHeight="1">
      <c r="W366" s="27"/>
      <c r="X366" s="27"/>
      <c r="AD366" s="27"/>
      <c r="AF366" s="27"/>
      <c r="AH366" s="27"/>
    </row>
    <row r="367" ht="15.75" customHeight="1">
      <c r="W367" s="27"/>
      <c r="X367" s="27"/>
      <c r="AD367" s="27"/>
      <c r="AF367" s="27"/>
      <c r="AH367" s="27"/>
    </row>
    <row r="368" ht="15.75" customHeight="1">
      <c r="W368" s="27"/>
      <c r="X368" s="27"/>
      <c r="AD368" s="27"/>
      <c r="AF368" s="27"/>
      <c r="AH368" s="27"/>
    </row>
    <row r="369" ht="15.75" customHeight="1">
      <c r="W369" s="27"/>
      <c r="X369" s="27"/>
      <c r="AD369" s="27"/>
      <c r="AF369" s="27"/>
      <c r="AH369" s="27"/>
    </row>
    <row r="370" ht="15.75" customHeight="1">
      <c r="W370" s="27"/>
      <c r="X370" s="27"/>
      <c r="AD370" s="27"/>
      <c r="AF370" s="27"/>
      <c r="AH370" s="27"/>
    </row>
    <row r="371" ht="15.75" customHeight="1">
      <c r="W371" s="27"/>
      <c r="X371" s="27"/>
      <c r="AD371" s="27"/>
      <c r="AF371" s="27"/>
      <c r="AH371" s="27"/>
    </row>
    <row r="372" ht="15.75" customHeight="1">
      <c r="W372" s="27"/>
      <c r="X372" s="27"/>
      <c r="AD372" s="27"/>
      <c r="AF372" s="27"/>
      <c r="AH372" s="27"/>
    </row>
    <row r="373" ht="15.75" customHeight="1">
      <c r="W373" s="27"/>
      <c r="X373" s="27"/>
      <c r="AD373" s="27"/>
      <c r="AF373" s="27"/>
      <c r="AH373" s="27"/>
    </row>
    <row r="374" ht="15.75" customHeight="1">
      <c r="W374" s="27"/>
      <c r="X374" s="27"/>
      <c r="AD374" s="27"/>
      <c r="AF374" s="27"/>
      <c r="AH374" s="27"/>
    </row>
    <row r="375" ht="15.75" customHeight="1">
      <c r="W375" s="27"/>
      <c r="X375" s="27"/>
      <c r="AD375" s="27"/>
      <c r="AF375" s="27"/>
      <c r="AH375" s="27"/>
    </row>
    <row r="376" ht="15.75" customHeight="1">
      <c r="W376" s="27"/>
      <c r="X376" s="27"/>
      <c r="AD376" s="27"/>
      <c r="AF376" s="27"/>
      <c r="AH376" s="27"/>
    </row>
    <row r="377" ht="15.75" customHeight="1">
      <c r="W377" s="27"/>
      <c r="X377" s="27"/>
      <c r="AD377" s="27"/>
      <c r="AF377" s="27"/>
      <c r="AH377" s="27"/>
    </row>
    <row r="378" ht="15.75" customHeight="1">
      <c r="W378" s="27"/>
      <c r="X378" s="27"/>
      <c r="AD378" s="27"/>
      <c r="AF378" s="27"/>
      <c r="AH378" s="27"/>
    </row>
    <row r="379" ht="15.75" customHeight="1">
      <c r="W379" s="27"/>
      <c r="X379" s="27"/>
      <c r="AD379" s="27"/>
      <c r="AF379" s="27"/>
      <c r="AH379" s="27"/>
    </row>
    <row r="380" ht="15.75" customHeight="1">
      <c r="W380" s="27"/>
      <c r="X380" s="27"/>
      <c r="AD380" s="27"/>
      <c r="AF380" s="27"/>
      <c r="AH380" s="27"/>
    </row>
    <row r="381" ht="15.75" customHeight="1">
      <c r="W381" s="27"/>
      <c r="X381" s="27"/>
      <c r="AD381" s="27"/>
      <c r="AF381" s="27"/>
      <c r="AH381" s="27"/>
    </row>
    <row r="382" ht="15.75" customHeight="1">
      <c r="W382" s="27"/>
      <c r="X382" s="27"/>
      <c r="AD382" s="27"/>
      <c r="AF382" s="27"/>
      <c r="AH382" s="27"/>
    </row>
    <row r="383" ht="15.75" customHeight="1">
      <c r="W383" s="27"/>
      <c r="X383" s="27"/>
      <c r="AD383" s="27"/>
      <c r="AF383" s="27"/>
      <c r="AH383" s="27"/>
    </row>
    <row r="384" ht="15.75" customHeight="1">
      <c r="W384" s="27"/>
      <c r="X384" s="27"/>
      <c r="AD384" s="27"/>
      <c r="AF384" s="27"/>
      <c r="AH384" s="27"/>
    </row>
    <row r="385" ht="15.75" customHeight="1">
      <c r="W385" s="27"/>
      <c r="X385" s="27"/>
      <c r="AD385" s="27"/>
      <c r="AF385" s="27"/>
      <c r="AH385" s="27"/>
    </row>
    <row r="386" ht="15.75" customHeight="1">
      <c r="W386" s="27"/>
      <c r="X386" s="27"/>
      <c r="AD386" s="27"/>
      <c r="AF386" s="27"/>
      <c r="AH386" s="27"/>
    </row>
    <row r="387" ht="15.75" customHeight="1">
      <c r="W387" s="27"/>
      <c r="X387" s="27"/>
      <c r="AD387" s="27"/>
      <c r="AF387" s="27"/>
      <c r="AH387" s="27"/>
    </row>
    <row r="388" ht="15.75" customHeight="1">
      <c r="W388" s="27"/>
      <c r="X388" s="27"/>
      <c r="AD388" s="27"/>
      <c r="AF388" s="27"/>
      <c r="AH388" s="27"/>
    </row>
    <row r="389" ht="15.75" customHeight="1">
      <c r="W389" s="27"/>
      <c r="X389" s="27"/>
      <c r="AD389" s="27"/>
      <c r="AF389" s="27"/>
      <c r="AH389" s="27"/>
    </row>
    <row r="390" ht="15.75" customHeight="1">
      <c r="W390" s="27"/>
      <c r="X390" s="27"/>
      <c r="AD390" s="27"/>
      <c r="AF390" s="27"/>
      <c r="AH390" s="27"/>
    </row>
    <row r="391" ht="15.75" customHeight="1">
      <c r="W391" s="27"/>
      <c r="X391" s="27"/>
      <c r="AD391" s="27"/>
      <c r="AF391" s="27"/>
      <c r="AH391" s="27"/>
    </row>
    <row r="392" ht="15.75" customHeight="1">
      <c r="W392" s="27"/>
      <c r="X392" s="27"/>
      <c r="AD392" s="27"/>
      <c r="AF392" s="27"/>
      <c r="AH392" s="27"/>
    </row>
    <row r="393" ht="15.75" customHeight="1">
      <c r="W393" s="27"/>
      <c r="X393" s="27"/>
      <c r="AD393" s="27"/>
      <c r="AF393" s="27"/>
      <c r="AH393" s="27"/>
    </row>
    <row r="394" ht="15.75" customHeight="1">
      <c r="W394" s="27"/>
      <c r="X394" s="27"/>
      <c r="AD394" s="27"/>
      <c r="AF394" s="27"/>
      <c r="AH394" s="27"/>
    </row>
    <row r="395" ht="15.75" customHeight="1">
      <c r="W395" s="27"/>
      <c r="X395" s="27"/>
      <c r="AD395" s="27"/>
      <c r="AF395" s="27"/>
      <c r="AH395" s="27"/>
    </row>
    <row r="396" ht="15.75" customHeight="1">
      <c r="W396" s="27"/>
      <c r="X396" s="27"/>
      <c r="AD396" s="27"/>
      <c r="AF396" s="27"/>
      <c r="AH396" s="27"/>
    </row>
    <row r="397" ht="15.75" customHeight="1">
      <c r="W397" s="27"/>
      <c r="X397" s="27"/>
      <c r="AD397" s="27"/>
      <c r="AF397" s="27"/>
      <c r="AH397" s="27"/>
    </row>
    <row r="398" ht="15.75" customHeight="1">
      <c r="W398" s="27"/>
      <c r="X398" s="27"/>
      <c r="AD398" s="27"/>
      <c r="AF398" s="27"/>
      <c r="AH398" s="27"/>
    </row>
    <row r="399" ht="15.75" customHeight="1">
      <c r="W399" s="27"/>
      <c r="X399" s="27"/>
      <c r="AD399" s="27"/>
      <c r="AF399" s="27"/>
      <c r="AH399" s="27"/>
    </row>
    <row r="400" ht="15.75" customHeight="1">
      <c r="W400" s="27"/>
      <c r="X400" s="27"/>
      <c r="AD400" s="27"/>
      <c r="AF400" s="27"/>
      <c r="AH400" s="27"/>
    </row>
    <row r="401" ht="15.75" customHeight="1">
      <c r="W401" s="27"/>
      <c r="X401" s="27"/>
      <c r="AD401" s="27"/>
      <c r="AF401" s="27"/>
      <c r="AH401" s="27"/>
    </row>
    <row r="402" ht="15.75" customHeight="1">
      <c r="W402" s="27"/>
      <c r="X402" s="27"/>
      <c r="AD402" s="27"/>
      <c r="AF402" s="27"/>
      <c r="AH402" s="27"/>
    </row>
    <row r="403" ht="15.75" customHeight="1">
      <c r="W403" s="27"/>
      <c r="X403" s="27"/>
      <c r="AD403" s="27"/>
      <c r="AF403" s="27"/>
      <c r="AH403" s="27"/>
    </row>
    <row r="404" ht="15.75" customHeight="1">
      <c r="W404" s="27"/>
      <c r="X404" s="27"/>
      <c r="AD404" s="27"/>
      <c r="AF404" s="27"/>
      <c r="AH404" s="27"/>
    </row>
    <row r="405" ht="15.75" customHeight="1">
      <c r="W405" s="27"/>
      <c r="X405" s="27"/>
      <c r="AD405" s="27"/>
      <c r="AF405" s="27"/>
      <c r="AH405" s="27"/>
    </row>
    <row r="406" ht="15.75" customHeight="1">
      <c r="W406" s="27"/>
      <c r="X406" s="27"/>
      <c r="AD406" s="27"/>
      <c r="AF406" s="27"/>
      <c r="AH406" s="27"/>
    </row>
    <row r="407" ht="15.75" customHeight="1">
      <c r="W407" s="27"/>
      <c r="X407" s="27"/>
      <c r="AD407" s="27"/>
      <c r="AF407" s="27"/>
      <c r="AH407" s="27"/>
    </row>
    <row r="408" ht="15.75" customHeight="1">
      <c r="W408" s="27"/>
      <c r="X408" s="27"/>
      <c r="AD408" s="27"/>
      <c r="AF408" s="27"/>
      <c r="AH408" s="27"/>
    </row>
    <row r="409" ht="15.75" customHeight="1">
      <c r="W409" s="27"/>
      <c r="X409" s="27"/>
      <c r="AD409" s="27"/>
      <c r="AF409" s="27"/>
      <c r="AH409" s="27"/>
    </row>
    <row r="410" ht="15.75" customHeight="1">
      <c r="W410" s="27"/>
      <c r="X410" s="27"/>
      <c r="AD410" s="27"/>
      <c r="AF410" s="27"/>
      <c r="AH410" s="27"/>
    </row>
    <row r="411" ht="15.75" customHeight="1">
      <c r="W411" s="27"/>
      <c r="X411" s="27"/>
      <c r="AD411" s="27"/>
      <c r="AF411" s="27"/>
      <c r="AH411" s="27"/>
    </row>
    <row r="412" ht="15.75" customHeight="1">
      <c r="W412" s="27"/>
      <c r="X412" s="27"/>
      <c r="AD412" s="27"/>
      <c r="AF412" s="27"/>
      <c r="AH412" s="27"/>
    </row>
    <row r="413" ht="15.75" customHeight="1">
      <c r="W413" s="27"/>
      <c r="X413" s="27"/>
      <c r="AD413" s="27"/>
      <c r="AF413" s="27"/>
      <c r="AH413" s="27"/>
    </row>
    <row r="414" ht="15.75" customHeight="1">
      <c r="W414" s="27"/>
      <c r="X414" s="27"/>
      <c r="AD414" s="27"/>
      <c r="AF414" s="27"/>
      <c r="AH414" s="27"/>
    </row>
    <row r="415" ht="15.75" customHeight="1">
      <c r="W415" s="27"/>
      <c r="X415" s="27"/>
      <c r="AD415" s="27"/>
      <c r="AF415" s="27"/>
      <c r="AH415" s="27"/>
    </row>
    <row r="416" ht="15.75" customHeight="1">
      <c r="W416" s="27"/>
      <c r="X416" s="27"/>
      <c r="AD416" s="27"/>
      <c r="AF416" s="27"/>
      <c r="AH416" s="27"/>
    </row>
    <row r="417" ht="15.75" customHeight="1">
      <c r="W417" s="27"/>
      <c r="X417" s="27"/>
      <c r="AD417" s="27"/>
      <c r="AF417" s="27"/>
      <c r="AH417" s="27"/>
    </row>
    <row r="418" ht="15.75" customHeight="1">
      <c r="W418" s="27"/>
      <c r="X418" s="27"/>
      <c r="AD418" s="27"/>
      <c r="AF418" s="27"/>
      <c r="AH418" s="27"/>
    </row>
    <row r="419" ht="15.75" customHeight="1">
      <c r="W419" s="27"/>
      <c r="X419" s="27"/>
      <c r="AD419" s="27"/>
      <c r="AF419" s="27"/>
      <c r="AH419" s="27"/>
    </row>
    <row r="420" ht="15.75" customHeight="1">
      <c r="W420" s="27"/>
      <c r="X420" s="27"/>
      <c r="AD420" s="27"/>
      <c r="AF420" s="27"/>
      <c r="AH420" s="27"/>
    </row>
    <row r="421" ht="15.75" customHeight="1">
      <c r="W421" s="27"/>
      <c r="X421" s="27"/>
      <c r="AD421" s="27"/>
      <c r="AF421" s="27"/>
      <c r="AH421" s="27"/>
    </row>
    <row r="422" ht="15.75" customHeight="1">
      <c r="W422" s="27"/>
      <c r="X422" s="27"/>
      <c r="AD422" s="27"/>
      <c r="AF422" s="27"/>
      <c r="AH422" s="27"/>
    </row>
    <row r="423" ht="15.75" customHeight="1">
      <c r="W423" s="27"/>
      <c r="X423" s="27"/>
      <c r="AD423" s="27"/>
      <c r="AF423" s="27"/>
      <c r="AH423" s="27"/>
    </row>
    <row r="424" ht="15.75" customHeight="1">
      <c r="W424" s="27"/>
      <c r="X424" s="27"/>
      <c r="AD424" s="27"/>
      <c r="AF424" s="27"/>
      <c r="AH424" s="27"/>
    </row>
    <row r="425" ht="15.75" customHeight="1">
      <c r="W425" s="27"/>
      <c r="X425" s="27"/>
      <c r="AD425" s="27"/>
      <c r="AF425" s="27"/>
      <c r="AH425" s="27"/>
    </row>
    <row r="426" ht="15.75" customHeight="1">
      <c r="W426" s="27"/>
      <c r="X426" s="27"/>
      <c r="AD426" s="27"/>
      <c r="AF426" s="27"/>
      <c r="AH426" s="27"/>
    </row>
    <row r="427" ht="15.75" customHeight="1">
      <c r="W427" s="27"/>
      <c r="X427" s="27"/>
      <c r="AD427" s="27"/>
      <c r="AF427" s="27"/>
      <c r="AH427" s="27"/>
    </row>
    <row r="428" ht="15.75" customHeight="1">
      <c r="W428" s="27"/>
      <c r="X428" s="27"/>
      <c r="AD428" s="27"/>
      <c r="AF428" s="27"/>
      <c r="AH428" s="27"/>
    </row>
    <row r="429" ht="15.75" customHeight="1">
      <c r="W429" s="27"/>
      <c r="X429" s="27"/>
      <c r="AD429" s="27"/>
      <c r="AF429" s="27"/>
      <c r="AH429" s="27"/>
    </row>
    <row r="430" ht="15.75" customHeight="1">
      <c r="W430" s="27"/>
      <c r="X430" s="27"/>
      <c r="AD430" s="27"/>
      <c r="AF430" s="27"/>
      <c r="AH430" s="27"/>
    </row>
    <row r="431" ht="15.75" customHeight="1">
      <c r="W431" s="27"/>
      <c r="X431" s="27"/>
      <c r="AD431" s="27"/>
      <c r="AF431" s="27"/>
      <c r="AH431" s="27"/>
    </row>
    <row r="432" ht="15.75" customHeight="1">
      <c r="W432" s="27"/>
      <c r="X432" s="27"/>
      <c r="AD432" s="27"/>
      <c r="AF432" s="27"/>
      <c r="AH432" s="27"/>
    </row>
    <row r="433" ht="15.75" customHeight="1">
      <c r="W433" s="27"/>
      <c r="X433" s="27"/>
      <c r="AD433" s="27"/>
      <c r="AF433" s="27"/>
      <c r="AH433" s="27"/>
    </row>
    <row r="434" ht="15.75" customHeight="1">
      <c r="W434" s="27"/>
      <c r="X434" s="27"/>
      <c r="AD434" s="27"/>
      <c r="AF434" s="27"/>
      <c r="AH434" s="27"/>
    </row>
    <row r="435" ht="15.75" customHeight="1">
      <c r="W435" s="27"/>
      <c r="X435" s="27"/>
      <c r="AD435" s="27"/>
      <c r="AF435" s="27"/>
      <c r="AH435" s="27"/>
    </row>
    <row r="436" ht="15.75" customHeight="1">
      <c r="W436" s="27"/>
      <c r="X436" s="27"/>
      <c r="AD436" s="27"/>
      <c r="AF436" s="27"/>
      <c r="AH436" s="27"/>
    </row>
    <row r="437" ht="15.75" customHeight="1">
      <c r="W437" s="27"/>
      <c r="X437" s="27"/>
      <c r="AD437" s="27"/>
      <c r="AF437" s="27"/>
      <c r="AH437" s="27"/>
    </row>
    <row r="438" ht="15.75" customHeight="1">
      <c r="W438" s="27"/>
      <c r="X438" s="27"/>
      <c r="AD438" s="27"/>
      <c r="AF438" s="27"/>
      <c r="AH438" s="27"/>
    </row>
    <row r="439" ht="15.75" customHeight="1">
      <c r="W439" s="27"/>
      <c r="X439" s="27"/>
      <c r="AD439" s="27"/>
      <c r="AF439" s="27"/>
      <c r="AH439" s="27"/>
    </row>
    <row r="440" ht="15.75" customHeight="1">
      <c r="W440" s="27"/>
      <c r="X440" s="27"/>
      <c r="AD440" s="27"/>
      <c r="AF440" s="27"/>
      <c r="AH440" s="27"/>
    </row>
    <row r="441" ht="15.75" customHeight="1">
      <c r="W441" s="27"/>
      <c r="X441" s="27"/>
      <c r="AD441" s="27"/>
      <c r="AF441" s="27"/>
      <c r="AH441" s="27"/>
    </row>
    <row r="442" ht="15.75" customHeight="1">
      <c r="W442" s="27"/>
      <c r="X442" s="27"/>
      <c r="AD442" s="27"/>
      <c r="AF442" s="27"/>
      <c r="AH442" s="27"/>
    </row>
    <row r="443" ht="15.75" customHeight="1">
      <c r="W443" s="27"/>
      <c r="X443" s="27"/>
      <c r="AD443" s="27"/>
      <c r="AF443" s="27"/>
      <c r="AH443" s="27"/>
    </row>
    <row r="444" ht="15.75" customHeight="1">
      <c r="W444" s="27"/>
      <c r="X444" s="27"/>
      <c r="AD444" s="27"/>
      <c r="AF444" s="27"/>
      <c r="AH444" s="27"/>
    </row>
    <row r="445" ht="15.75" customHeight="1">
      <c r="W445" s="27"/>
      <c r="X445" s="27"/>
      <c r="AD445" s="27"/>
      <c r="AF445" s="27"/>
      <c r="AH445" s="27"/>
    </row>
    <row r="446" ht="15.75" customHeight="1">
      <c r="W446" s="27"/>
      <c r="X446" s="27"/>
      <c r="AD446" s="27"/>
      <c r="AF446" s="27"/>
      <c r="AH446" s="27"/>
    </row>
    <row r="447" ht="15.75" customHeight="1">
      <c r="W447" s="27"/>
      <c r="X447" s="27"/>
      <c r="AD447" s="27"/>
      <c r="AF447" s="27"/>
      <c r="AH447" s="27"/>
    </row>
    <row r="448" ht="15.75" customHeight="1">
      <c r="W448" s="27"/>
      <c r="X448" s="27"/>
      <c r="AD448" s="27"/>
      <c r="AF448" s="27"/>
      <c r="AH448" s="27"/>
    </row>
    <row r="449" ht="15.75" customHeight="1">
      <c r="W449" s="27"/>
      <c r="X449" s="27"/>
      <c r="AD449" s="27"/>
      <c r="AF449" s="27"/>
      <c r="AH449" s="27"/>
    </row>
    <row r="450" ht="15.75" customHeight="1">
      <c r="W450" s="27"/>
      <c r="X450" s="27"/>
      <c r="AD450" s="27"/>
      <c r="AF450" s="27"/>
      <c r="AH450" s="27"/>
    </row>
    <row r="451" ht="15.75" customHeight="1">
      <c r="W451" s="27"/>
      <c r="X451" s="27"/>
      <c r="AD451" s="27"/>
      <c r="AF451" s="27"/>
      <c r="AH451" s="27"/>
    </row>
    <row r="452" ht="15.75" customHeight="1">
      <c r="W452" s="27"/>
      <c r="X452" s="27"/>
      <c r="AD452" s="27"/>
      <c r="AF452" s="27"/>
      <c r="AH452" s="27"/>
    </row>
    <row r="453" ht="15.75" customHeight="1">
      <c r="W453" s="27"/>
      <c r="X453" s="27"/>
      <c r="AD453" s="27"/>
      <c r="AF453" s="27"/>
      <c r="AH453" s="27"/>
    </row>
    <row r="454" ht="15.75" customHeight="1">
      <c r="W454" s="27"/>
      <c r="X454" s="27"/>
      <c r="AD454" s="27"/>
      <c r="AF454" s="27"/>
      <c r="AH454" s="27"/>
    </row>
    <row r="455" ht="15.75" customHeight="1">
      <c r="W455" s="27"/>
      <c r="X455" s="27"/>
      <c r="AD455" s="27"/>
      <c r="AF455" s="27"/>
      <c r="AH455" s="27"/>
    </row>
    <row r="456" ht="15.75" customHeight="1">
      <c r="W456" s="27"/>
      <c r="X456" s="27"/>
      <c r="AD456" s="27"/>
      <c r="AF456" s="27"/>
      <c r="AH456" s="27"/>
    </row>
    <row r="457" ht="15.75" customHeight="1">
      <c r="W457" s="27"/>
      <c r="X457" s="27"/>
      <c r="AD457" s="27"/>
      <c r="AF457" s="27"/>
      <c r="AH457" s="27"/>
    </row>
    <row r="458" ht="15.75" customHeight="1">
      <c r="W458" s="27"/>
      <c r="X458" s="27"/>
      <c r="AD458" s="27"/>
      <c r="AF458" s="27"/>
      <c r="AH458" s="27"/>
    </row>
    <row r="459" ht="15.75" customHeight="1">
      <c r="W459" s="27"/>
      <c r="X459" s="27"/>
      <c r="AD459" s="27"/>
      <c r="AF459" s="27"/>
      <c r="AH459" s="27"/>
    </row>
    <row r="460" ht="15.75" customHeight="1">
      <c r="W460" s="27"/>
      <c r="X460" s="27"/>
      <c r="AD460" s="27"/>
      <c r="AF460" s="27"/>
      <c r="AH460" s="27"/>
    </row>
    <row r="461" ht="15.75" customHeight="1">
      <c r="W461" s="27"/>
      <c r="X461" s="27"/>
      <c r="AD461" s="27"/>
      <c r="AF461" s="27"/>
      <c r="AH461" s="27"/>
    </row>
    <row r="462" ht="15.75" customHeight="1">
      <c r="W462" s="27"/>
      <c r="X462" s="27"/>
      <c r="AD462" s="27"/>
      <c r="AF462" s="27"/>
      <c r="AH462" s="27"/>
    </row>
    <row r="463" ht="15.75" customHeight="1">
      <c r="W463" s="27"/>
      <c r="X463" s="27"/>
      <c r="AD463" s="27"/>
      <c r="AF463" s="27"/>
      <c r="AH463" s="27"/>
    </row>
    <row r="464" ht="15.75" customHeight="1">
      <c r="W464" s="27"/>
      <c r="X464" s="27"/>
      <c r="AD464" s="27"/>
      <c r="AF464" s="27"/>
      <c r="AH464" s="27"/>
    </row>
    <row r="465" ht="15.75" customHeight="1">
      <c r="W465" s="27"/>
      <c r="X465" s="27"/>
      <c r="AD465" s="27"/>
      <c r="AF465" s="27"/>
      <c r="AH465" s="27"/>
    </row>
    <row r="466" ht="15.75" customHeight="1">
      <c r="W466" s="27"/>
      <c r="X466" s="27"/>
      <c r="AD466" s="27"/>
      <c r="AF466" s="27"/>
      <c r="AH466" s="27"/>
    </row>
    <row r="467" ht="15.75" customHeight="1">
      <c r="W467" s="27"/>
      <c r="X467" s="27"/>
      <c r="AD467" s="27"/>
      <c r="AF467" s="27"/>
      <c r="AH467" s="27"/>
    </row>
    <row r="468" ht="15.75" customHeight="1">
      <c r="W468" s="27"/>
      <c r="X468" s="27"/>
      <c r="AD468" s="27"/>
      <c r="AF468" s="27"/>
      <c r="AH468" s="27"/>
    </row>
    <row r="469" ht="15.75" customHeight="1">
      <c r="W469" s="27"/>
      <c r="X469" s="27"/>
      <c r="AD469" s="27"/>
      <c r="AF469" s="27"/>
      <c r="AH469" s="27"/>
    </row>
    <row r="470" ht="15.75" customHeight="1">
      <c r="W470" s="27"/>
      <c r="X470" s="27"/>
      <c r="AD470" s="27"/>
      <c r="AF470" s="27"/>
      <c r="AH470" s="27"/>
    </row>
    <row r="471" ht="15.75" customHeight="1">
      <c r="W471" s="27"/>
      <c r="X471" s="27"/>
      <c r="AD471" s="27"/>
      <c r="AF471" s="27"/>
      <c r="AH471" s="27"/>
    </row>
    <row r="472" ht="15.75" customHeight="1">
      <c r="W472" s="27"/>
      <c r="X472" s="27"/>
      <c r="AD472" s="27"/>
      <c r="AF472" s="27"/>
      <c r="AH472" s="27"/>
    </row>
    <row r="473" ht="15.75" customHeight="1">
      <c r="W473" s="27"/>
      <c r="X473" s="27"/>
      <c r="AD473" s="27"/>
      <c r="AF473" s="27"/>
      <c r="AH473" s="27"/>
    </row>
    <row r="474" ht="15.75" customHeight="1">
      <c r="W474" s="27"/>
      <c r="X474" s="27"/>
      <c r="AD474" s="27"/>
      <c r="AF474" s="27"/>
      <c r="AH474" s="27"/>
    </row>
    <row r="475" ht="15.75" customHeight="1">
      <c r="W475" s="27"/>
      <c r="X475" s="27"/>
      <c r="AD475" s="27"/>
      <c r="AF475" s="27"/>
      <c r="AH475" s="27"/>
    </row>
    <row r="476" ht="15.75" customHeight="1">
      <c r="W476" s="27"/>
      <c r="X476" s="27"/>
      <c r="AD476" s="27"/>
      <c r="AF476" s="27"/>
      <c r="AH476" s="27"/>
    </row>
    <row r="477" ht="15.75" customHeight="1">
      <c r="W477" s="27"/>
      <c r="X477" s="27"/>
      <c r="AD477" s="27"/>
      <c r="AF477" s="27"/>
      <c r="AH477" s="27"/>
    </row>
    <row r="478" ht="15.75" customHeight="1">
      <c r="W478" s="27"/>
      <c r="X478" s="27"/>
      <c r="AD478" s="27"/>
      <c r="AF478" s="27"/>
      <c r="AH478" s="27"/>
    </row>
    <row r="479" ht="15.75" customHeight="1">
      <c r="W479" s="27"/>
      <c r="X479" s="27"/>
      <c r="AD479" s="27"/>
      <c r="AF479" s="27"/>
      <c r="AH479" s="27"/>
    </row>
    <row r="480" ht="15.75" customHeight="1">
      <c r="W480" s="27"/>
      <c r="X480" s="27"/>
      <c r="AD480" s="27"/>
      <c r="AF480" s="27"/>
      <c r="AH480" s="27"/>
    </row>
    <row r="481" ht="15.75" customHeight="1">
      <c r="W481" s="27"/>
      <c r="X481" s="27"/>
      <c r="AD481" s="27"/>
      <c r="AF481" s="27"/>
      <c r="AH481" s="27"/>
    </row>
    <row r="482" ht="15.75" customHeight="1">
      <c r="W482" s="27"/>
      <c r="X482" s="27"/>
      <c r="AD482" s="27"/>
      <c r="AF482" s="27"/>
      <c r="AH482" s="27"/>
    </row>
    <row r="483" ht="15.75" customHeight="1">
      <c r="W483" s="27"/>
      <c r="X483" s="27"/>
      <c r="AD483" s="27"/>
      <c r="AF483" s="27"/>
      <c r="AH483" s="27"/>
    </row>
    <row r="484" ht="15.75" customHeight="1">
      <c r="W484" s="27"/>
      <c r="X484" s="27"/>
      <c r="AD484" s="27"/>
      <c r="AF484" s="27"/>
      <c r="AH484" s="27"/>
    </row>
    <row r="485" ht="15.75" customHeight="1">
      <c r="W485" s="27"/>
      <c r="X485" s="27"/>
      <c r="AD485" s="27"/>
      <c r="AF485" s="27"/>
      <c r="AH485" s="27"/>
    </row>
    <row r="486" ht="15.75" customHeight="1">
      <c r="W486" s="27"/>
      <c r="X486" s="27"/>
      <c r="AD486" s="27"/>
      <c r="AF486" s="27"/>
      <c r="AH486" s="27"/>
    </row>
    <row r="487" ht="15.75" customHeight="1">
      <c r="W487" s="27"/>
      <c r="X487" s="27"/>
      <c r="AD487" s="27"/>
      <c r="AF487" s="27"/>
      <c r="AH487" s="27"/>
    </row>
    <row r="488" ht="15.75" customHeight="1">
      <c r="W488" s="27"/>
      <c r="X488" s="27"/>
      <c r="AD488" s="27"/>
      <c r="AF488" s="27"/>
      <c r="AH488" s="27"/>
    </row>
    <row r="489" ht="15.75" customHeight="1">
      <c r="W489" s="27"/>
      <c r="X489" s="27"/>
      <c r="AD489" s="27"/>
      <c r="AF489" s="27"/>
      <c r="AH489" s="27"/>
    </row>
    <row r="490" ht="15.75" customHeight="1">
      <c r="W490" s="27"/>
      <c r="X490" s="27"/>
      <c r="AD490" s="27"/>
      <c r="AF490" s="27"/>
      <c r="AH490" s="27"/>
    </row>
    <row r="491" ht="15.75" customHeight="1">
      <c r="W491" s="27"/>
      <c r="X491" s="27"/>
      <c r="AD491" s="27"/>
      <c r="AF491" s="27"/>
      <c r="AH491" s="27"/>
    </row>
    <row r="492" ht="15.75" customHeight="1">
      <c r="W492" s="27"/>
      <c r="X492" s="27"/>
      <c r="AD492" s="27"/>
      <c r="AF492" s="27"/>
      <c r="AH492" s="27"/>
    </row>
    <row r="493" ht="15.75" customHeight="1">
      <c r="W493" s="27"/>
      <c r="X493" s="27"/>
      <c r="AD493" s="27"/>
      <c r="AF493" s="27"/>
      <c r="AH493" s="27"/>
    </row>
    <row r="494" ht="15.75" customHeight="1">
      <c r="W494" s="27"/>
      <c r="X494" s="27"/>
      <c r="AD494" s="27"/>
      <c r="AF494" s="27"/>
      <c r="AH494" s="27"/>
    </row>
    <row r="495" ht="15.75" customHeight="1">
      <c r="W495" s="27"/>
      <c r="X495" s="27"/>
      <c r="AD495" s="27"/>
      <c r="AF495" s="27"/>
      <c r="AH495" s="27"/>
    </row>
    <row r="496" ht="15.75" customHeight="1">
      <c r="W496" s="27"/>
      <c r="X496" s="27"/>
      <c r="AD496" s="27"/>
      <c r="AF496" s="27"/>
      <c r="AH496" s="27"/>
    </row>
    <row r="497" ht="15.75" customHeight="1">
      <c r="W497" s="27"/>
      <c r="X497" s="27"/>
      <c r="AD497" s="27"/>
      <c r="AF497" s="27"/>
      <c r="AH497" s="27"/>
    </row>
    <row r="498" ht="15.75" customHeight="1">
      <c r="W498" s="27"/>
      <c r="X498" s="27"/>
      <c r="AD498" s="27"/>
      <c r="AF498" s="27"/>
      <c r="AH498" s="27"/>
    </row>
    <row r="499" ht="15.75" customHeight="1">
      <c r="W499" s="27"/>
      <c r="X499" s="27"/>
      <c r="AD499" s="27"/>
      <c r="AF499" s="27"/>
      <c r="AH499" s="27"/>
    </row>
    <row r="500" ht="15.75" customHeight="1">
      <c r="W500" s="27"/>
      <c r="X500" s="27"/>
      <c r="AD500" s="27"/>
      <c r="AF500" s="27"/>
      <c r="AH500" s="27"/>
    </row>
    <row r="501" ht="15.75" customHeight="1">
      <c r="W501" s="27"/>
      <c r="X501" s="27"/>
      <c r="AD501" s="27"/>
      <c r="AF501" s="27"/>
      <c r="AH501" s="27"/>
    </row>
    <row r="502" ht="15.75" customHeight="1">
      <c r="W502" s="27"/>
      <c r="X502" s="27"/>
      <c r="AD502" s="27"/>
      <c r="AF502" s="27"/>
      <c r="AH502" s="27"/>
    </row>
    <row r="503" ht="15.75" customHeight="1">
      <c r="W503" s="27"/>
      <c r="X503" s="27"/>
      <c r="AD503" s="27"/>
      <c r="AF503" s="27"/>
      <c r="AH503" s="27"/>
    </row>
    <row r="504" ht="15.75" customHeight="1">
      <c r="W504" s="27"/>
      <c r="X504" s="27"/>
      <c r="AD504" s="27"/>
      <c r="AF504" s="27"/>
      <c r="AH504" s="27"/>
    </row>
    <row r="505" ht="15.75" customHeight="1">
      <c r="W505" s="27"/>
      <c r="X505" s="27"/>
      <c r="AD505" s="27"/>
      <c r="AF505" s="27"/>
      <c r="AH505" s="27"/>
    </row>
    <row r="506" ht="15.75" customHeight="1">
      <c r="W506" s="27"/>
      <c r="X506" s="27"/>
      <c r="AD506" s="27"/>
      <c r="AF506" s="27"/>
      <c r="AH506" s="27"/>
    </row>
    <row r="507" ht="15.75" customHeight="1">
      <c r="W507" s="27"/>
      <c r="X507" s="27"/>
      <c r="AD507" s="27"/>
      <c r="AF507" s="27"/>
      <c r="AH507" s="27"/>
    </row>
    <row r="508" ht="15.75" customHeight="1">
      <c r="W508" s="27"/>
      <c r="X508" s="27"/>
      <c r="AD508" s="27"/>
      <c r="AF508" s="27"/>
      <c r="AH508" s="27"/>
    </row>
    <row r="509" ht="15.75" customHeight="1">
      <c r="W509" s="27"/>
      <c r="X509" s="27"/>
      <c r="AD509" s="27"/>
      <c r="AF509" s="27"/>
      <c r="AH509" s="27"/>
    </row>
    <row r="510" ht="15.75" customHeight="1">
      <c r="W510" s="27"/>
      <c r="X510" s="27"/>
      <c r="AD510" s="27"/>
      <c r="AF510" s="27"/>
      <c r="AH510" s="27"/>
    </row>
    <row r="511" ht="15.75" customHeight="1">
      <c r="W511" s="27"/>
      <c r="X511" s="27"/>
      <c r="AD511" s="27"/>
      <c r="AF511" s="27"/>
      <c r="AH511" s="27"/>
    </row>
    <row r="512" ht="15.75" customHeight="1">
      <c r="W512" s="27"/>
      <c r="X512" s="27"/>
      <c r="AD512" s="27"/>
      <c r="AF512" s="27"/>
      <c r="AH512" s="27"/>
    </row>
    <row r="513" ht="15.75" customHeight="1">
      <c r="W513" s="27"/>
      <c r="X513" s="27"/>
      <c r="AD513" s="27"/>
      <c r="AF513" s="27"/>
      <c r="AH513" s="27"/>
    </row>
    <row r="514" ht="15.75" customHeight="1">
      <c r="W514" s="27"/>
      <c r="X514" s="27"/>
      <c r="AD514" s="27"/>
      <c r="AF514" s="27"/>
      <c r="AH514" s="27"/>
    </row>
    <row r="515" ht="15.75" customHeight="1">
      <c r="W515" s="27"/>
      <c r="X515" s="27"/>
      <c r="AD515" s="27"/>
      <c r="AF515" s="27"/>
      <c r="AH515" s="27"/>
    </row>
    <row r="516" ht="15.75" customHeight="1">
      <c r="W516" s="27"/>
      <c r="X516" s="27"/>
      <c r="AD516" s="27"/>
      <c r="AF516" s="27"/>
      <c r="AH516" s="27"/>
    </row>
    <row r="517" ht="15.75" customHeight="1">
      <c r="W517" s="27"/>
      <c r="X517" s="27"/>
      <c r="AD517" s="27"/>
      <c r="AF517" s="27"/>
      <c r="AH517" s="27"/>
    </row>
    <row r="518" ht="15.75" customHeight="1">
      <c r="W518" s="27"/>
      <c r="X518" s="27"/>
      <c r="AD518" s="27"/>
      <c r="AF518" s="27"/>
      <c r="AH518" s="27"/>
    </row>
    <row r="519" ht="15.75" customHeight="1">
      <c r="W519" s="27"/>
      <c r="X519" s="27"/>
      <c r="AD519" s="27"/>
      <c r="AF519" s="27"/>
      <c r="AH519" s="27"/>
    </row>
    <row r="520" ht="15.75" customHeight="1">
      <c r="W520" s="27"/>
      <c r="X520" s="27"/>
      <c r="AD520" s="27"/>
      <c r="AF520" s="27"/>
      <c r="AH520" s="27"/>
    </row>
    <row r="521" ht="15.75" customHeight="1">
      <c r="W521" s="27"/>
      <c r="X521" s="27"/>
      <c r="AD521" s="27"/>
      <c r="AF521" s="27"/>
      <c r="AH521" s="27"/>
    </row>
    <row r="522" ht="15.75" customHeight="1">
      <c r="W522" s="27"/>
      <c r="X522" s="27"/>
      <c r="AD522" s="27"/>
      <c r="AF522" s="27"/>
      <c r="AH522" s="27"/>
    </row>
    <row r="523" ht="15.75" customHeight="1">
      <c r="W523" s="27"/>
      <c r="X523" s="27"/>
      <c r="AD523" s="27"/>
      <c r="AF523" s="27"/>
      <c r="AH523" s="27"/>
    </row>
    <row r="524" ht="15.75" customHeight="1">
      <c r="W524" s="27"/>
      <c r="X524" s="27"/>
      <c r="AD524" s="27"/>
      <c r="AF524" s="27"/>
      <c r="AH524" s="27"/>
    </row>
    <row r="525" ht="15.75" customHeight="1">
      <c r="W525" s="27"/>
      <c r="X525" s="27"/>
      <c r="AD525" s="27"/>
      <c r="AF525" s="27"/>
      <c r="AH525" s="27"/>
    </row>
    <row r="526" ht="15.75" customHeight="1">
      <c r="W526" s="27"/>
      <c r="X526" s="27"/>
      <c r="AD526" s="27"/>
      <c r="AF526" s="27"/>
      <c r="AH526" s="27"/>
    </row>
    <row r="527" ht="15.75" customHeight="1">
      <c r="W527" s="27"/>
      <c r="X527" s="27"/>
      <c r="AD527" s="27"/>
      <c r="AF527" s="27"/>
      <c r="AH527" s="27"/>
    </row>
    <row r="528" ht="15.75" customHeight="1">
      <c r="W528" s="27"/>
      <c r="X528" s="27"/>
      <c r="AD528" s="27"/>
      <c r="AF528" s="27"/>
      <c r="AH528" s="27"/>
    </row>
    <row r="529" ht="15.75" customHeight="1">
      <c r="W529" s="27"/>
      <c r="X529" s="27"/>
      <c r="AD529" s="27"/>
      <c r="AF529" s="27"/>
      <c r="AH529" s="27"/>
    </row>
    <row r="530" ht="15.75" customHeight="1">
      <c r="W530" s="27"/>
      <c r="X530" s="27"/>
      <c r="AD530" s="27"/>
      <c r="AF530" s="27"/>
      <c r="AH530" s="27"/>
    </row>
    <row r="531" ht="15.75" customHeight="1">
      <c r="W531" s="27"/>
      <c r="X531" s="27"/>
      <c r="AD531" s="27"/>
      <c r="AF531" s="27"/>
      <c r="AH531" s="27"/>
    </row>
    <row r="532" ht="15.75" customHeight="1">
      <c r="W532" s="27"/>
      <c r="X532" s="27"/>
      <c r="AD532" s="27"/>
      <c r="AF532" s="27"/>
      <c r="AH532" s="27"/>
    </row>
    <row r="533" ht="15.75" customHeight="1">
      <c r="W533" s="27"/>
      <c r="X533" s="27"/>
      <c r="AD533" s="27"/>
      <c r="AF533" s="27"/>
      <c r="AH533" s="27"/>
    </row>
    <row r="534" ht="15.75" customHeight="1">
      <c r="W534" s="27"/>
      <c r="X534" s="27"/>
      <c r="AD534" s="27"/>
      <c r="AF534" s="27"/>
      <c r="AH534" s="27"/>
    </row>
    <row r="535" ht="15.75" customHeight="1">
      <c r="W535" s="27"/>
      <c r="X535" s="27"/>
      <c r="AD535" s="27"/>
      <c r="AF535" s="27"/>
      <c r="AH535" s="27"/>
    </row>
    <row r="536" ht="15.75" customHeight="1">
      <c r="W536" s="27"/>
      <c r="X536" s="27"/>
      <c r="AD536" s="27"/>
      <c r="AF536" s="27"/>
      <c r="AH536" s="27"/>
    </row>
    <row r="537" ht="15.75" customHeight="1">
      <c r="W537" s="27"/>
      <c r="X537" s="27"/>
      <c r="AD537" s="27"/>
      <c r="AF537" s="27"/>
      <c r="AH537" s="27"/>
    </row>
    <row r="538" ht="15.75" customHeight="1">
      <c r="W538" s="27"/>
      <c r="X538" s="27"/>
      <c r="AD538" s="27"/>
      <c r="AF538" s="27"/>
      <c r="AH538" s="27"/>
    </row>
    <row r="539" ht="15.75" customHeight="1">
      <c r="W539" s="27"/>
      <c r="X539" s="27"/>
      <c r="AD539" s="27"/>
      <c r="AF539" s="27"/>
      <c r="AH539" s="27"/>
    </row>
    <row r="540" ht="15.75" customHeight="1">
      <c r="W540" s="27"/>
      <c r="X540" s="27"/>
      <c r="AD540" s="27"/>
      <c r="AF540" s="27"/>
      <c r="AH540" s="27"/>
    </row>
    <row r="541" ht="15.75" customHeight="1">
      <c r="W541" s="27"/>
      <c r="X541" s="27"/>
      <c r="AD541" s="27"/>
      <c r="AF541" s="27"/>
      <c r="AH541" s="27"/>
    </row>
    <row r="542" ht="15.75" customHeight="1">
      <c r="W542" s="27"/>
      <c r="X542" s="27"/>
      <c r="AD542" s="27"/>
      <c r="AF542" s="27"/>
      <c r="AH542" s="27"/>
    </row>
    <row r="543" ht="15.75" customHeight="1">
      <c r="W543" s="27"/>
      <c r="X543" s="27"/>
      <c r="AD543" s="27"/>
      <c r="AF543" s="27"/>
      <c r="AH543" s="27"/>
    </row>
    <row r="544" ht="15.75" customHeight="1">
      <c r="W544" s="27"/>
      <c r="X544" s="27"/>
      <c r="AD544" s="27"/>
      <c r="AF544" s="27"/>
      <c r="AH544" s="27"/>
    </row>
    <row r="545" ht="15.75" customHeight="1">
      <c r="W545" s="27"/>
      <c r="X545" s="27"/>
      <c r="AD545" s="27"/>
      <c r="AF545" s="27"/>
      <c r="AH545" s="27"/>
    </row>
    <row r="546" ht="15.75" customHeight="1">
      <c r="W546" s="27"/>
      <c r="X546" s="27"/>
      <c r="AD546" s="27"/>
      <c r="AF546" s="27"/>
      <c r="AH546" s="27"/>
    </row>
    <row r="547" ht="15.75" customHeight="1">
      <c r="W547" s="27"/>
      <c r="X547" s="27"/>
      <c r="AD547" s="27"/>
      <c r="AF547" s="27"/>
      <c r="AH547" s="27"/>
    </row>
    <row r="548" ht="15.75" customHeight="1">
      <c r="W548" s="27"/>
      <c r="X548" s="27"/>
      <c r="AD548" s="27"/>
      <c r="AF548" s="27"/>
      <c r="AH548" s="27"/>
    </row>
    <row r="549" ht="15.75" customHeight="1">
      <c r="W549" s="27"/>
      <c r="X549" s="27"/>
      <c r="AD549" s="27"/>
      <c r="AF549" s="27"/>
      <c r="AH549" s="27"/>
    </row>
    <row r="550" ht="15.75" customHeight="1">
      <c r="W550" s="27"/>
      <c r="X550" s="27"/>
      <c r="AD550" s="27"/>
      <c r="AF550" s="27"/>
      <c r="AH550" s="27"/>
    </row>
    <row r="551" ht="15.75" customHeight="1">
      <c r="W551" s="27"/>
      <c r="X551" s="27"/>
      <c r="AD551" s="27"/>
      <c r="AF551" s="27"/>
      <c r="AH551" s="27"/>
    </row>
    <row r="552" ht="15.75" customHeight="1">
      <c r="W552" s="27"/>
      <c r="X552" s="27"/>
      <c r="AD552" s="27"/>
      <c r="AF552" s="27"/>
      <c r="AH552" s="27"/>
    </row>
    <row r="553" ht="15.75" customHeight="1">
      <c r="W553" s="27"/>
      <c r="X553" s="27"/>
      <c r="AD553" s="27"/>
      <c r="AF553" s="27"/>
      <c r="AH553" s="27"/>
    </row>
    <row r="554" ht="15.75" customHeight="1">
      <c r="W554" s="27"/>
      <c r="X554" s="27"/>
      <c r="AD554" s="27"/>
      <c r="AF554" s="27"/>
      <c r="AH554" s="27"/>
    </row>
    <row r="555" ht="15.75" customHeight="1">
      <c r="W555" s="27"/>
      <c r="X555" s="27"/>
      <c r="AD555" s="27"/>
      <c r="AF555" s="27"/>
      <c r="AH555" s="27"/>
    </row>
    <row r="556" ht="15.75" customHeight="1">
      <c r="W556" s="27"/>
      <c r="X556" s="27"/>
      <c r="AD556" s="27"/>
      <c r="AF556" s="27"/>
      <c r="AH556" s="27"/>
    </row>
    <row r="557" ht="15.75" customHeight="1">
      <c r="W557" s="27"/>
      <c r="X557" s="27"/>
      <c r="AD557" s="27"/>
      <c r="AF557" s="27"/>
      <c r="AH557" s="27"/>
    </row>
    <row r="558" ht="15.75" customHeight="1">
      <c r="W558" s="27"/>
      <c r="X558" s="27"/>
      <c r="AD558" s="27"/>
      <c r="AF558" s="27"/>
      <c r="AH558" s="27"/>
    </row>
    <row r="559" ht="15.75" customHeight="1">
      <c r="W559" s="27"/>
      <c r="X559" s="27"/>
      <c r="AD559" s="27"/>
      <c r="AF559" s="27"/>
      <c r="AH559" s="27"/>
    </row>
    <row r="560" ht="15.75" customHeight="1">
      <c r="W560" s="27"/>
      <c r="X560" s="27"/>
      <c r="AD560" s="27"/>
      <c r="AF560" s="27"/>
      <c r="AH560" s="27"/>
    </row>
    <row r="561" ht="15.75" customHeight="1">
      <c r="W561" s="27"/>
      <c r="X561" s="27"/>
      <c r="AD561" s="27"/>
      <c r="AF561" s="27"/>
      <c r="AH561" s="27"/>
    </row>
    <row r="562" ht="15.75" customHeight="1">
      <c r="W562" s="27"/>
      <c r="X562" s="27"/>
      <c r="AD562" s="27"/>
      <c r="AF562" s="27"/>
      <c r="AH562" s="27"/>
    </row>
    <row r="563" ht="15.75" customHeight="1">
      <c r="W563" s="27"/>
      <c r="X563" s="27"/>
      <c r="AD563" s="27"/>
      <c r="AF563" s="27"/>
      <c r="AH563" s="27"/>
    </row>
    <row r="564" ht="15.75" customHeight="1">
      <c r="W564" s="27"/>
      <c r="X564" s="27"/>
      <c r="AD564" s="27"/>
      <c r="AF564" s="27"/>
      <c r="AH564" s="27"/>
    </row>
    <row r="565" ht="15.75" customHeight="1">
      <c r="W565" s="27"/>
      <c r="X565" s="27"/>
      <c r="AD565" s="27"/>
      <c r="AF565" s="27"/>
      <c r="AH565" s="27"/>
    </row>
    <row r="566" ht="15.75" customHeight="1">
      <c r="W566" s="27"/>
      <c r="X566" s="27"/>
      <c r="AD566" s="27"/>
      <c r="AF566" s="27"/>
      <c r="AH566" s="27"/>
    </row>
    <row r="567" ht="15.75" customHeight="1">
      <c r="W567" s="27"/>
      <c r="X567" s="27"/>
      <c r="AD567" s="27"/>
      <c r="AF567" s="27"/>
      <c r="AH567" s="27"/>
    </row>
    <row r="568" ht="15.75" customHeight="1">
      <c r="W568" s="27"/>
      <c r="X568" s="27"/>
      <c r="AD568" s="27"/>
      <c r="AF568" s="27"/>
      <c r="AH568" s="27"/>
    </row>
    <row r="569" ht="15.75" customHeight="1">
      <c r="W569" s="27"/>
      <c r="X569" s="27"/>
      <c r="AD569" s="27"/>
      <c r="AF569" s="27"/>
      <c r="AH569" s="27"/>
    </row>
    <row r="570" ht="15.75" customHeight="1">
      <c r="W570" s="27"/>
      <c r="X570" s="27"/>
      <c r="AD570" s="27"/>
      <c r="AF570" s="27"/>
      <c r="AH570" s="27"/>
    </row>
    <row r="571" ht="15.75" customHeight="1">
      <c r="W571" s="27"/>
      <c r="X571" s="27"/>
      <c r="AD571" s="27"/>
      <c r="AF571" s="27"/>
      <c r="AH571" s="27"/>
    </row>
    <row r="572" ht="15.75" customHeight="1">
      <c r="W572" s="27"/>
      <c r="X572" s="27"/>
      <c r="AD572" s="27"/>
      <c r="AF572" s="27"/>
      <c r="AH572" s="27"/>
    </row>
    <row r="573" ht="15.75" customHeight="1">
      <c r="W573" s="27"/>
      <c r="X573" s="27"/>
      <c r="AD573" s="27"/>
      <c r="AF573" s="27"/>
      <c r="AH573" s="27"/>
    </row>
    <row r="574" ht="15.75" customHeight="1">
      <c r="W574" s="27"/>
      <c r="X574" s="27"/>
      <c r="AD574" s="27"/>
      <c r="AF574" s="27"/>
      <c r="AH574" s="27"/>
    </row>
    <row r="575" ht="15.75" customHeight="1">
      <c r="W575" s="27"/>
      <c r="X575" s="27"/>
      <c r="AD575" s="27"/>
      <c r="AF575" s="27"/>
      <c r="AH575" s="27"/>
    </row>
    <row r="576" ht="15.75" customHeight="1">
      <c r="W576" s="27"/>
      <c r="X576" s="27"/>
      <c r="AD576" s="27"/>
      <c r="AF576" s="27"/>
      <c r="AH576" s="27"/>
    </row>
    <row r="577" ht="15.75" customHeight="1">
      <c r="W577" s="27"/>
      <c r="X577" s="27"/>
      <c r="AD577" s="27"/>
      <c r="AF577" s="27"/>
      <c r="AH577" s="27"/>
    </row>
    <row r="578" ht="15.75" customHeight="1">
      <c r="W578" s="27"/>
      <c r="X578" s="27"/>
      <c r="AD578" s="27"/>
      <c r="AF578" s="27"/>
      <c r="AH578" s="27"/>
    </row>
    <row r="579" ht="15.75" customHeight="1">
      <c r="W579" s="27"/>
      <c r="X579" s="27"/>
      <c r="AD579" s="27"/>
      <c r="AF579" s="27"/>
      <c r="AH579" s="27"/>
    </row>
    <row r="580" ht="15.75" customHeight="1">
      <c r="W580" s="27"/>
      <c r="X580" s="27"/>
      <c r="AD580" s="27"/>
      <c r="AF580" s="27"/>
      <c r="AH580" s="27"/>
    </row>
    <row r="581" ht="15.75" customHeight="1">
      <c r="W581" s="27"/>
      <c r="X581" s="27"/>
      <c r="AD581" s="27"/>
      <c r="AF581" s="27"/>
      <c r="AH581" s="27"/>
    </row>
    <row r="582" ht="15.75" customHeight="1">
      <c r="W582" s="27"/>
      <c r="X582" s="27"/>
      <c r="AD582" s="27"/>
      <c r="AF582" s="27"/>
      <c r="AH582" s="27"/>
    </row>
    <row r="583" ht="15.75" customHeight="1">
      <c r="W583" s="27"/>
      <c r="X583" s="27"/>
      <c r="AD583" s="27"/>
      <c r="AF583" s="27"/>
      <c r="AH583" s="27"/>
    </row>
    <row r="584" ht="15.75" customHeight="1">
      <c r="W584" s="27"/>
      <c r="X584" s="27"/>
      <c r="AD584" s="27"/>
      <c r="AF584" s="27"/>
      <c r="AH584" s="27"/>
    </row>
    <row r="585" ht="15.75" customHeight="1">
      <c r="W585" s="27"/>
      <c r="X585" s="27"/>
      <c r="AD585" s="27"/>
      <c r="AF585" s="27"/>
      <c r="AH585" s="27"/>
    </row>
    <row r="586" ht="15.75" customHeight="1">
      <c r="W586" s="27"/>
      <c r="X586" s="27"/>
      <c r="AD586" s="27"/>
      <c r="AF586" s="27"/>
      <c r="AH586" s="27"/>
    </row>
    <row r="587" ht="15.75" customHeight="1">
      <c r="W587" s="27"/>
      <c r="X587" s="27"/>
      <c r="AD587" s="27"/>
      <c r="AF587" s="27"/>
      <c r="AH587" s="27"/>
    </row>
    <row r="588" ht="15.75" customHeight="1">
      <c r="W588" s="27"/>
      <c r="X588" s="27"/>
      <c r="AD588" s="27"/>
      <c r="AF588" s="27"/>
      <c r="AH588" s="27"/>
    </row>
    <row r="589" ht="15.75" customHeight="1">
      <c r="W589" s="27"/>
      <c r="X589" s="27"/>
      <c r="AD589" s="27"/>
      <c r="AF589" s="27"/>
      <c r="AH589" s="27"/>
    </row>
    <row r="590" ht="15.75" customHeight="1">
      <c r="W590" s="27"/>
      <c r="X590" s="27"/>
      <c r="AD590" s="27"/>
      <c r="AF590" s="27"/>
      <c r="AH590" s="27"/>
    </row>
    <row r="591" ht="15.75" customHeight="1">
      <c r="W591" s="27"/>
      <c r="X591" s="27"/>
      <c r="AD591" s="27"/>
      <c r="AF591" s="27"/>
      <c r="AH591" s="27"/>
    </row>
    <row r="592" ht="15.75" customHeight="1">
      <c r="W592" s="27"/>
      <c r="X592" s="27"/>
      <c r="AD592" s="27"/>
      <c r="AF592" s="27"/>
      <c r="AH592" s="27"/>
    </row>
    <row r="593" ht="15.75" customHeight="1">
      <c r="W593" s="27"/>
      <c r="X593" s="27"/>
      <c r="AD593" s="27"/>
      <c r="AF593" s="27"/>
      <c r="AH593" s="27"/>
    </row>
    <row r="594" ht="15.75" customHeight="1">
      <c r="W594" s="27"/>
      <c r="X594" s="27"/>
      <c r="AD594" s="27"/>
      <c r="AF594" s="27"/>
      <c r="AH594" s="27"/>
    </row>
    <row r="595" ht="15.75" customHeight="1">
      <c r="W595" s="27"/>
      <c r="X595" s="27"/>
      <c r="AD595" s="27"/>
      <c r="AF595" s="27"/>
      <c r="AH595" s="27"/>
    </row>
    <row r="596" ht="15.75" customHeight="1">
      <c r="W596" s="27"/>
      <c r="X596" s="27"/>
      <c r="AD596" s="27"/>
      <c r="AF596" s="27"/>
      <c r="AH596" s="27"/>
    </row>
    <row r="597" ht="15.75" customHeight="1">
      <c r="W597" s="27"/>
      <c r="X597" s="27"/>
      <c r="AD597" s="27"/>
      <c r="AF597" s="27"/>
      <c r="AH597" s="27"/>
    </row>
    <row r="598" ht="15.75" customHeight="1">
      <c r="W598" s="27"/>
      <c r="X598" s="27"/>
      <c r="AD598" s="27"/>
      <c r="AF598" s="27"/>
      <c r="AH598" s="27"/>
    </row>
    <row r="599" ht="15.75" customHeight="1">
      <c r="W599" s="27"/>
      <c r="X599" s="27"/>
      <c r="AD599" s="27"/>
      <c r="AF599" s="27"/>
      <c r="AH599" s="27"/>
    </row>
    <row r="600" ht="15.75" customHeight="1">
      <c r="W600" s="27"/>
      <c r="X600" s="27"/>
      <c r="AD600" s="27"/>
      <c r="AF600" s="27"/>
      <c r="AH600" s="27"/>
    </row>
    <row r="601" ht="15.75" customHeight="1">
      <c r="W601" s="27"/>
      <c r="X601" s="27"/>
      <c r="AD601" s="27"/>
      <c r="AF601" s="27"/>
      <c r="AH601" s="27"/>
    </row>
    <row r="602" ht="15.75" customHeight="1">
      <c r="W602" s="27"/>
      <c r="X602" s="27"/>
      <c r="AD602" s="27"/>
      <c r="AF602" s="27"/>
      <c r="AH602" s="27"/>
    </row>
    <row r="603" ht="15.75" customHeight="1">
      <c r="W603" s="27"/>
      <c r="X603" s="27"/>
      <c r="AD603" s="27"/>
      <c r="AF603" s="27"/>
      <c r="AH603" s="27"/>
    </row>
    <row r="604" ht="15.75" customHeight="1">
      <c r="W604" s="27"/>
      <c r="X604" s="27"/>
      <c r="AD604" s="27"/>
      <c r="AF604" s="27"/>
      <c r="AH604" s="27"/>
    </row>
    <row r="605" ht="15.75" customHeight="1">
      <c r="W605" s="27"/>
      <c r="X605" s="27"/>
      <c r="AD605" s="27"/>
      <c r="AF605" s="27"/>
      <c r="AH605" s="27"/>
    </row>
    <row r="606" ht="15.75" customHeight="1">
      <c r="W606" s="27"/>
      <c r="X606" s="27"/>
      <c r="AD606" s="27"/>
      <c r="AF606" s="27"/>
      <c r="AH606" s="27"/>
    </row>
    <row r="607" ht="15.75" customHeight="1">
      <c r="W607" s="27"/>
      <c r="X607" s="27"/>
      <c r="AD607" s="27"/>
      <c r="AF607" s="27"/>
      <c r="AH607" s="27"/>
    </row>
    <row r="608" ht="15.75" customHeight="1">
      <c r="W608" s="27"/>
      <c r="X608" s="27"/>
      <c r="AD608" s="27"/>
      <c r="AF608" s="27"/>
      <c r="AH608" s="27"/>
    </row>
    <row r="609" ht="15.75" customHeight="1">
      <c r="W609" s="27"/>
      <c r="X609" s="27"/>
      <c r="AD609" s="27"/>
      <c r="AF609" s="27"/>
      <c r="AH609" s="27"/>
    </row>
    <row r="610" ht="15.75" customHeight="1">
      <c r="W610" s="27"/>
      <c r="X610" s="27"/>
      <c r="AD610" s="27"/>
      <c r="AF610" s="27"/>
      <c r="AH610" s="27"/>
    </row>
    <row r="611" ht="15.75" customHeight="1">
      <c r="W611" s="27"/>
      <c r="X611" s="27"/>
      <c r="AD611" s="27"/>
      <c r="AF611" s="27"/>
      <c r="AH611" s="27"/>
    </row>
    <row r="612" ht="15.75" customHeight="1">
      <c r="W612" s="27"/>
      <c r="X612" s="27"/>
      <c r="AD612" s="27"/>
      <c r="AF612" s="27"/>
      <c r="AH612" s="27"/>
    </row>
    <row r="613" ht="15.75" customHeight="1">
      <c r="W613" s="27"/>
      <c r="X613" s="27"/>
      <c r="AD613" s="27"/>
      <c r="AF613" s="27"/>
      <c r="AH613" s="27"/>
    </row>
    <row r="614" ht="15.75" customHeight="1">
      <c r="W614" s="27"/>
      <c r="X614" s="27"/>
      <c r="AD614" s="27"/>
      <c r="AF614" s="27"/>
      <c r="AH614" s="27"/>
    </row>
    <row r="615" ht="15.75" customHeight="1">
      <c r="W615" s="27"/>
      <c r="X615" s="27"/>
      <c r="AD615" s="27"/>
      <c r="AF615" s="27"/>
      <c r="AH615" s="27"/>
    </row>
    <row r="616" ht="15.75" customHeight="1">
      <c r="W616" s="27"/>
      <c r="X616" s="27"/>
      <c r="AD616" s="27"/>
      <c r="AF616" s="27"/>
      <c r="AH616" s="27"/>
    </row>
    <row r="617" ht="15.75" customHeight="1">
      <c r="W617" s="27"/>
      <c r="X617" s="27"/>
      <c r="AD617" s="27"/>
      <c r="AF617" s="27"/>
      <c r="AH617" s="27"/>
    </row>
    <row r="618" ht="15.75" customHeight="1">
      <c r="W618" s="27"/>
      <c r="X618" s="27"/>
      <c r="AD618" s="27"/>
      <c r="AF618" s="27"/>
      <c r="AH618" s="27"/>
    </row>
    <row r="619" ht="15.75" customHeight="1">
      <c r="W619" s="27"/>
      <c r="X619" s="27"/>
      <c r="AD619" s="27"/>
      <c r="AF619" s="27"/>
      <c r="AH619" s="27"/>
    </row>
    <row r="620" ht="15.75" customHeight="1">
      <c r="W620" s="27"/>
      <c r="X620" s="27"/>
      <c r="AD620" s="27"/>
      <c r="AF620" s="27"/>
      <c r="AH620" s="27"/>
    </row>
    <row r="621" ht="15.75" customHeight="1">
      <c r="W621" s="27"/>
      <c r="X621" s="27"/>
      <c r="AD621" s="27"/>
      <c r="AF621" s="27"/>
      <c r="AH621" s="27"/>
    </row>
    <row r="622" ht="15.75" customHeight="1">
      <c r="W622" s="27"/>
      <c r="X622" s="27"/>
      <c r="AD622" s="27"/>
      <c r="AF622" s="27"/>
      <c r="AH622" s="27"/>
    </row>
    <row r="623" ht="15.75" customHeight="1">
      <c r="W623" s="27"/>
      <c r="X623" s="27"/>
      <c r="AD623" s="27"/>
      <c r="AF623" s="27"/>
      <c r="AH623" s="27"/>
    </row>
    <row r="624" ht="15.75" customHeight="1">
      <c r="W624" s="27"/>
      <c r="X624" s="27"/>
      <c r="AD624" s="27"/>
      <c r="AF624" s="27"/>
      <c r="AH624" s="27"/>
    </row>
    <row r="625" ht="15.75" customHeight="1">
      <c r="W625" s="27"/>
      <c r="X625" s="27"/>
      <c r="AD625" s="27"/>
      <c r="AF625" s="27"/>
      <c r="AH625" s="27"/>
    </row>
    <row r="626" ht="15.75" customHeight="1">
      <c r="W626" s="27"/>
      <c r="X626" s="27"/>
      <c r="AD626" s="27"/>
      <c r="AF626" s="27"/>
      <c r="AH626" s="27"/>
    </row>
    <row r="627" ht="15.75" customHeight="1">
      <c r="W627" s="27"/>
      <c r="X627" s="27"/>
      <c r="AD627" s="27"/>
      <c r="AF627" s="27"/>
      <c r="AH627" s="27"/>
    </row>
    <row r="628" ht="15.75" customHeight="1">
      <c r="W628" s="27"/>
      <c r="X628" s="27"/>
      <c r="AD628" s="27"/>
      <c r="AF628" s="27"/>
      <c r="AH628" s="27"/>
    </row>
    <row r="629" ht="15.75" customHeight="1">
      <c r="W629" s="27"/>
      <c r="X629" s="27"/>
      <c r="AD629" s="27"/>
      <c r="AF629" s="27"/>
      <c r="AH629" s="27"/>
    </row>
    <row r="630" ht="15.75" customHeight="1">
      <c r="W630" s="27"/>
      <c r="X630" s="27"/>
      <c r="AD630" s="27"/>
      <c r="AF630" s="27"/>
      <c r="AH630" s="27"/>
    </row>
    <row r="631" ht="15.75" customHeight="1">
      <c r="W631" s="27"/>
      <c r="X631" s="27"/>
      <c r="AD631" s="27"/>
      <c r="AF631" s="27"/>
      <c r="AH631" s="27"/>
    </row>
    <row r="632" ht="15.75" customHeight="1">
      <c r="W632" s="27"/>
      <c r="X632" s="27"/>
      <c r="AD632" s="27"/>
      <c r="AF632" s="27"/>
      <c r="AH632" s="27"/>
    </row>
    <row r="633" ht="15.75" customHeight="1">
      <c r="W633" s="27"/>
      <c r="X633" s="27"/>
      <c r="AD633" s="27"/>
      <c r="AF633" s="27"/>
      <c r="AH633" s="27"/>
    </row>
    <row r="634" ht="15.75" customHeight="1">
      <c r="W634" s="27"/>
      <c r="X634" s="27"/>
      <c r="AD634" s="27"/>
      <c r="AF634" s="27"/>
      <c r="AH634" s="27"/>
    </row>
    <row r="635" ht="15.75" customHeight="1">
      <c r="W635" s="27"/>
      <c r="X635" s="27"/>
      <c r="AD635" s="27"/>
      <c r="AF635" s="27"/>
      <c r="AH635" s="27"/>
    </row>
    <row r="636" ht="15.75" customHeight="1">
      <c r="W636" s="27"/>
      <c r="X636" s="27"/>
      <c r="AD636" s="27"/>
      <c r="AF636" s="27"/>
      <c r="AH636" s="27"/>
    </row>
    <row r="637" ht="15.75" customHeight="1">
      <c r="W637" s="27"/>
      <c r="X637" s="27"/>
      <c r="AD637" s="27"/>
      <c r="AF637" s="27"/>
      <c r="AH637" s="27"/>
    </row>
    <row r="638" ht="15.75" customHeight="1">
      <c r="W638" s="27"/>
      <c r="X638" s="27"/>
      <c r="AD638" s="27"/>
      <c r="AF638" s="27"/>
      <c r="AH638" s="27"/>
    </row>
    <row r="639" ht="15.75" customHeight="1">
      <c r="W639" s="27"/>
      <c r="X639" s="27"/>
      <c r="AD639" s="27"/>
      <c r="AF639" s="27"/>
      <c r="AH639" s="27"/>
    </row>
    <row r="640" ht="15.75" customHeight="1">
      <c r="W640" s="27"/>
      <c r="X640" s="27"/>
      <c r="AD640" s="27"/>
      <c r="AF640" s="27"/>
      <c r="AH640" s="27"/>
    </row>
    <row r="641" ht="15.75" customHeight="1">
      <c r="W641" s="27"/>
      <c r="X641" s="27"/>
      <c r="AD641" s="27"/>
      <c r="AF641" s="27"/>
      <c r="AH641" s="27"/>
    </row>
    <row r="642" ht="15.75" customHeight="1">
      <c r="W642" s="27"/>
      <c r="X642" s="27"/>
      <c r="AD642" s="27"/>
      <c r="AF642" s="27"/>
      <c r="AH642" s="27"/>
    </row>
    <row r="643" ht="15.75" customHeight="1">
      <c r="W643" s="27"/>
      <c r="X643" s="27"/>
      <c r="AD643" s="27"/>
      <c r="AF643" s="27"/>
      <c r="AH643" s="27"/>
    </row>
    <row r="644" ht="15.75" customHeight="1">
      <c r="W644" s="27"/>
      <c r="X644" s="27"/>
      <c r="AD644" s="27"/>
      <c r="AF644" s="27"/>
      <c r="AH644" s="27"/>
    </row>
    <row r="645" ht="15.75" customHeight="1">
      <c r="W645" s="27"/>
      <c r="X645" s="27"/>
      <c r="AD645" s="27"/>
      <c r="AF645" s="27"/>
      <c r="AH645" s="27"/>
    </row>
    <row r="646" ht="15.75" customHeight="1">
      <c r="W646" s="27"/>
      <c r="X646" s="27"/>
      <c r="AD646" s="27"/>
      <c r="AF646" s="27"/>
      <c r="AH646" s="27"/>
    </row>
    <row r="647" ht="15.75" customHeight="1">
      <c r="W647" s="27"/>
      <c r="X647" s="27"/>
      <c r="AD647" s="27"/>
      <c r="AF647" s="27"/>
      <c r="AH647" s="27"/>
    </row>
    <row r="648" ht="15.75" customHeight="1">
      <c r="W648" s="27"/>
      <c r="X648" s="27"/>
      <c r="AD648" s="27"/>
      <c r="AF648" s="27"/>
      <c r="AH648" s="27"/>
    </row>
    <row r="649" ht="15.75" customHeight="1">
      <c r="W649" s="27"/>
      <c r="X649" s="27"/>
      <c r="AD649" s="27"/>
      <c r="AF649" s="27"/>
      <c r="AH649" s="27"/>
    </row>
    <row r="650" ht="15.75" customHeight="1">
      <c r="W650" s="27"/>
      <c r="X650" s="27"/>
      <c r="AD650" s="27"/>
      <c r="AF650" s="27"/>
      <c r="AH650" s="27"/>
    </row>
    <row r="651" ht="15.75" customHeight="1">
      <c r="W651" s="27"/>
      <c r="X651" s="27"/>
      <c r="AD651" s="27"/>
      <c r="AF651" s="27"/>
      <c r="AH651" s="27"/>
    </row>
    <row r="652" ht="15.75" customHeight="1">
      <c r="W652" s="27"/>
      <c r="X652" s="27"/>
      <c r="AD652" s="27"/>
      <c r="AF652" s="27"/>
      <c r="AH652" s="27"/>
    </row>
    <row r="653" ht="15.75" customHeight="1">
      <c r="W653" s="27"/>
      <c r="X653" s="27"/>
      <c r="AD653" s="27"/>
      <c r="AF653" s="27"/>
      <c r="AH653" s="27"/>
    </row>
    <row r="654" ht="15.75" customHeight="1">
      <c r="W654" s="27"/>
      <c r="X654" s="27"/>
      <c r="AD654" s="27"/>
      <c r="AF654" s="27"/>
      <c r="AH654" s="27"/>
    </row>
    <row r="655" ht="15.75" customHeight="1">
      <c r="W655" s="27"/>
      <c r="X655" s="27"/>
      <c r="AD655" s="27"/>
      <c r="AF655" s="27"/>
      <c r="AH655" s="27"/>
    </row>
    <row r="656" ht="15.75" customHeight="1">
      <c r="W656" s="27"/>
      <c r="X656" s="27"/>
      <c r="AD656" s="27"/>
      <c r="AF656" s="27"/>
      <c r="AH656" s="27"/>
    </row>
    <row r="657" ht="15.75" customHeight="1">
      <c r="W657" s="27"/>
      <c r="X657" s="27"/>
      <c r="AD657" s="27"/>
      <c r="AF657" s="27"/>
      <c r="AH657" s="27"/>
    </row>
    <row r="658" ht="15.75" customHeight="1">
      <c r="W658" s="27"/>
      <c r="X658" s="27"/>
      <c r="AD658" s="27"/>
      <c r="AF658" s="27"/>
      <c r="AH658" s="27"/>
    </row>
    <row r="659" ht="15.75" customHeight="1">
      <c r="W659" s="27"/>
      <c r="X659" s="27"/>
      <c r="AD659" s="27"/>
      <c r="AF659" s="27"/>
      <c r="AH659" s="27"/>
    </row>
    <row r="660" ht="15.75" customHeight="1">
      <c r="W660" s="27"/>
      <c r="X660" s="27"/>
      <c r="AD660" s="27"/>
      <c r="AF660" s="27"/>
      <c r="AH660" s="27"/>
    </row>
    <row r="661" ht="15.75" customHeight="1">
      <c r="W661" s="27"/>
      <c r="X661" s="27"/>
      <c r="AD661" s="27"/>
      <c r="AF661" s="27"/>
      <c r="AH661" s="27"/>
    </row>
    <row r="662" ht="15.75" customHeight="1">
      <c r="W662" s="27"/>
      <c r="X662" s="27"/>
      <c r="AD662" s="27"/>
      <c r="AF662" s="27"/>
      <c r="AH662" s="27"/>
    </row>
    <row r="663" ht="15.75" customHeight="1">
      <c r="W663" s="27"/>
      <c r="X663" s="27"/>
      <c r="AD663" s="27"/>
      <c r="AF663" s="27"/>
      <c r="AH663" s="27"/>
    </row>
    <row r="664" ht="15.75" customHeight="1">
      <c r="W664" s="27"/>
      <c r="X664" s="27"/>
      <c r="AD664" s="27"/>
      <c r="AF664" s="27"/>
      <c r="AH664" s="27"/>
    </row>
    <row r="665" ht="15.75" customHeight="1">
      <c r="W665" s="27"/>
      <c r="X665" s="27"/>
      <c r="AD665" s="27"/>
      <c r="AF665" s="27"/>
      <c r="AH665" s="27"/>
    </row>
    <row r="666" ht="15.75" customHeight="1">
      <c r="W666" s="27"/>
      <c r="X666" s="27"/>
      <c r="AD666" s="27"/>
      <c r="AF666" s="27"/>
      <c r="AH666" s="27"/>
    </row>
    <row r="667" ht="15.75" customHeight="1">
      <c r="W667" s="27"/>
      <c r="X667" s="27"/>
      <c r="AD667" s="27"/>
      <c r="AF667" s="27"/>
      <c r="AH667" s="27"/>
    </row>
    <row r="668" ht="15.75" customHeight="1">
      <c r="W668" s="27"/>
      <c r="X668" s="27"/>
      <c r="AD668" s="27"/>
      <c r="AF668" s="27"/>
      <c r="AH668" s="27"/>
    </row>
    <row r="669" ht="15.75" customHeight="1">
      <c r="W669" s="27"/>
      <c r="X669" s="27"/>
      <c r="AD669" s="27"/>
      <c r="AF669" s="27"/>
      <c r="AH669" s="27"/>
    </row>
    <row r="670" ht="15.75" customHeight="1">
      <c r="W670" s="27"/>
      <c r="X670" s="27"/>
      <c r="AD670" s="27"/>
      <c r="AF670" s="27"/>
      <c r="AH670" s="27"/>
    </row>
    <row r="671" ht="15.75" customHeight="1">
      <c r="W671" s="27"/>
      <c r="X671" s="27"/>
      <c r="AD671" s="27"/>
      <c r="AF671" s="27"/>
      <c r="AH671" s="27"/>
    </row>
    <row r="672" ht="15.75" customHeight="1">
      <c r="W672" s="27"/>
      <c r="X672" s="27"/>
      <c r="AD672" s="27"/>
      <c r="AF672" s="27"/>
      <c r="AH672" s="27"/>
    </row>
    <row r="673" ht="15.75" customHeight="1">
      <c r="W673" s="27"/>
      <c r="X673" s="27"/>
      <c r="AD673" s="27"/>
      <c r="AF673" s="27"/>
      <c r="AH673" s="27"/>
    </row>
    <row r="674" ht="15.75" customHeight="1">
      <c r="W674" s="27"/>
      <c r="X674" s="27"/>
      <c r="AD674" s="27"/>
      <c r="AF674" s="27"/>
      <c r="AH674" s="27"/>
    </row>
    <row r="675" ht="15.75" customHeight="1">
      <c r="W675" s="27"/>
      <c r="X675" s="27"/>
      <c r="AD675" s="27"/>
      <c r="AF675" s="27"/>
      <c r="AH675" s="27"/>
    </row>
    <row r="676" ht="15.75" customHeight="1">
      <c r="W676" s="27"/>
      <c r="X676" s="27"/>
      <c r="AD676" s="27"/>
      <c r="AF676" s="27"/>
      <c r="AH676" s="27"/>
    </row>
    <row r="677" ht="15.75" customHeight="1">
      <c r="W677" s="27"/>
      <c r="X677" s="27"/>
      <c r="AD677" s="27"/>
      <c r="AF677" s="27"/>
      <c r="AH677" s="27"/>
    </row>
    <row r="678" ht="15.75" customHeight="1">
      <c r="W678" s="27"/>
      <c r="X678" s="27"/>
      <c r="AD678" s="27"/>
      <c r="AF678" s="27"/>
      <c r="AH678" s="27"/>
    </row>
    <row r="679" ht="15.75" customHeight="1">
      <c r="W679" s="27"/>
      <c r="X679" s="27"/>
      <c r="AD679" s="27"/>
      <c r="AF679" s="27"/>
      <c r="AH679" s="27"/>
    </row>
    <row r="680" ht="15.75" customHeight="1">
      <c r="W680" s="27"/>
      <c r="X680" s="27"/>
      <c r="AD680" s="27"/>
      <c r="AF680" s="27"/>
      <c r="AH680" s="27"/>
    </row>
    <row r="681" ht="15.75" customHeight="1">
      <c r="W681" s="27"/>
      <c r="X681" s="27"/>
      <c r="AD681" s="27"/>
      <c r="AF681" s="27"/>
      <c r="AH681" s="27"/>
    </row>
    <row r="682" ht="15.75" customHeight="1">
      <c r="W682" s="27"/>
      <c r="X682" s="27"/>
      <c r="AD682" s="27"/>
      <c r="AF682" s="27"/>
      <c r="AH682" s="27"/>
    </row>
    <row r="683" ht="15.75" customHeight="1">
      <c r="W683" s="27"/>
      <c r="X683" s="27"/>
      <c r="AD683" s="27"/>
      <c r="AF683" s="27"/>
      <c r="AH683" s="27"/>
    </row>
    <row r="684" ht="15.75" customHeight="1">
      <c r="W684" s="27"/>
      <c r="X684" s="27"/>
      <c r="AD684" s="27"/>
      <c r="AF684" s="27"/>
      <c r="AH684" s="27"/>
    </row>
    <row r="685" ht="15.75" customHeight="1">
      <c r="W685" s="27"/>
      <c r="X685" s="27"/>
      <c r="AD685" s="27"/>
      <c r="AF685" s="27"/>
      <c r="AH685" s="27"/>
    </row>
    <row r="686" ht="15.75" customHeight="1">
      <c r="W686" s="27"/>
      <c r="X686" s="27"/>
      <c r="AD686" s="27"/>
      <c r="AF686" s="27"/>
      <c r="AH686" s="27"/>
    </row>
    <row r="687" ht="15.75" customHeight="1">
      <c r="W687" s="27"/>
      <c r="X687" s="27"/>
      <c r="AD687" s="27"/>
      <c r="AF687" s="27"/>
      <c r="AH687" s="27"/>
    </row>
    <row r="688" ht="15.75" customHeight="1">
      <c r="W688" s="27"/>
      <c r="X688" s="27"/>
      <c r="AD688" s="27"/>
      <c r="AF688" s="27"/>
      <c r="AH688" s="27"/>
    </row>
    <row r="689" ht="15.75" customHeight="1">
      <c r="W689" s="27"/>
      <c r="X689" s="27"/>
      <c r="AD689" s="27"/>
      <c r="AF689" s="27"/>
      <c r="AH689" s="27"/>
    </row>
    <row r="690" ht="15.75" customHeight="1">
      <c r="W690" s="27"/>
      <c r="X690" s="27"/>
      <c r="AD690" s="27"/>
      <c r="AF690" s="27"/>
      <c r="AH690" s="27"/>
    </row>
    <row r="691" ht="15.75" customHeight="1">
      <c r="W691" s="27"/>
      <c r="X691" s="27"/>
      <c r="AD691" s="27"/>
      <c r="AF691" s="27"/>
      <c r="AH691" s="27"/>
    </row>
    <row r="692" ht="15.75" customHeight="1">
      <c r="W692" s="27"/>
      <c r="X692" s="27"/>
      <c r="AD692" s="27"/>
      <c r="AF692" s="27"/>
      <c r="AH692" s="27"/>
    </row>
    <row r="693" ht="15.75" customHeight="1">
      <c r="W693" s="27"/>
      <c r="X693" s="27"/>
      <c r="AD693" s="27"/>
      <c r="AF693" s="27"/>
      <c r="AH693" s="27"/>
    </row>
    <row r="694" ht="15.75" customHeight="1">
      <c r="W694" s="27"/>
      <c r="X694" s="27"/>
      <c r="AD694" s="27"/>
      <c r="AF694" s="27"/>
      <c r="AH694" s="27"/>
    </row>
    <row r="695" ht="15.75" customHeight="1">
      <c r="W695" s="27"/>
      <c r="X695" s="27"/>
      <c r="AD695" s="27"/>
      <c r="AF695" s="27"/>
      <c r="AH695" s="27"/>
    </row>
    <row r="696" ht="15.75" customHeight="1">
      <c r="W696" s="27"/>
      <c r="X696" s="27"/>
      <c r="AD696" s="27"/>
      <c r="AF696" s="27"/>
      <c r="AH696" s="27"/>
    </row>
    <row r="697" ht="15.75" customHeight="1">
      <c r="W697" s="27"/>
      <c r="X697" s="27"/>
      <c r="AD697" s="27"/>
      <c r="AF697" s="27"/>
      <c r="AH697" s="27"/>
    </row>
    <row r="698" ht="15.75" customHeight="1">
      <c r="W698" s="27"/>
      <c r="X698" s="27"/>
      <c r="AD698" s="27"/>
      <c r="AF698" s="27"/>
      <c r="AH698" s="27"/>
    </row>
    <row r="699" ht="15.75" customHeight="1">
      <c r="W699" s="27"/>
      <c r="X699" s="27"/>
      <c r="AD699" s="27"/>
      <c r="AF699" s="27"/>
      <c r="AH699" s="27"/>
    </row>
    <row r="700" ht="15.75" customHeight="1">
      <c r="W700" s="27"/>
      <c r="X700" s="27"/>
      <c r="AD700" s="27"/>
      <c r="AF700" s="27"/>
      <c r="AH700" s="27"/>
    </row>
    <row r="701" ht="15.75" customHeight="1">
      <c r="W701" s="27"/>
      <c r="X701" s="27"/>
      <c r="AD701" s="27"/>
      <c r="AF701" s="27"/>
      <c r="AH701" s="27"/>
    </row>
    <row r="702" ht="15.75" customHeight="1">
      <c r="W702" s="27"/>
      <c r="X702" s="27"/>
      <c r="AD702" s="27"/>
      <c r="AF702" s="27"/>
      <c r="AH702" s="27"/>
    </row>
    <row r="703" ht="15.75" customHeight="1">
      <c r="W703" s="27"/>
      <c r="X703" s="27"/>
      <c r="AD703" s="27"/>
      <c r="AF703" s="27"/>
      <c r="AH703" s="27"/>
    </row>
    <row r="704" ht="15.75" customHeight="1">
      <c r="W704" s="27"/>
      <c r="X704" s="27"/>
      <c r="AD704" s="27"/>
      <c r="AF704" s="27"/>
      <c r="AH704" s="27"/>
    </row>
    <row r="705" ht="15.75" customHeight="1">
      <c r="W705" s="27"/>
      <c r="X705" s="27"/>
      <c r="AD705" s="27"/>
      <c r="AF705" s="27"/>
      <c r="AH705" s="27"/>
    </row>
    <row r="706" ht="15.75" customHeight="1">
      <c r="W706" s="27"/>
      <c r="X706" s="27"/>
      <c r="AD706" s="27"/>
      <c r="AF706" s="27"/>
      <c r="AH706" s="27"/>
    </row>
    <row r="707" ht="15.75" customHeight="1">
      <c r="W707" s="27"/>
      <c r="X707" s="27"/>
      <c r="AD707" s="27"/>
      <c r="AF707" s="27"/>
      <c r="AH707" s="27"/>
    </row>
    <row r="708" ht="15.75" customHeight="1">
      <c r="W708" s="27"/>
      <c r="X708" s="27"/>
      <c r="AD708" s="27"/>
      <c r="AF708" s="27"/>
      <c r="AH708" s="27"/>
    </row>
    <row r="709" ht="15.75" customHeight="1">
      <c r="W709" s="27"/>
      <c r="X709" s="27"/>
      <c r="AD709" s="27"/>
      <c r="AF709" s="27"/>
      <c r="AH709" s="27"/>
    </row>
    <row r="710" ht="15.75" customHeight="1">
      <c r="W710" s="27"/>
      <c r="X710" s="27"/>
      <c r="AD710" s="27"/>
      <c r="AF710" s="27"/>
      <c r="AH710" s="27"/>
    </row>
    <row r="711" ht="15.75" customHeight="1">
      <c r="W711" s="27"/>
      <c r="X711" s="27"/>
      <c r="AD711" s="27"/>
      <c r="AF711" s="27"/>
      <c r="AH711" s="27"/>
    </row>
    <row r="712" ht="15.75" customHeight="1">
      <c r="W712" s="27"/>
      <c r="X712" s="27"/>
      <c r="AD712" s="27"/>
      <c r="AF712" s="27"/>
      <c r="AH712" s="27"/>
    </row>
    <row r="713" ht="15.75" customHeight="1">
      <c r="W713" s="27"/>
      <c r="X713" s="27"/>
      <c r="AD713" s="27"/>
      <c r="AF713" s="27"/>
      <c r="AH713" s="27"/>
    </row>
    <row r="714" ht="15.75" customHeight="1">
      <c r="W714" s="27"/>
      <c r="X714" s="27"/>
      <c r="AD714" s="27"/>
      <c r="AF714" s="27"/>
      <c r="AH714" s="27"/>
    </row>
    <row r="715" ht="15.75" customHeight="1">
      <c r="W715" s="27"/>
      <c r="X715" s="27"/>
      <c r="AD715" s="27"/>
      <c r="AF715" s="27"/>
      <c r="AH715" s="27"/>
    </row>
    <row r="716" ht="15.75" customHeight="1">
      <c r="W716" s="27"/>
      <c r="X716" s="27"/>
      <c r="AD716" s="27"/>
      <c r="AF716" s="27"/>
      <c r="AH716" s="27"/>
    </row>
    <row r="717" ht="15.75" customHeight="1">
      <c r="W717" s="27"/>
      <c r="X717" s="27"/>
      <c r="AD717" s="27"/>
      <c r="AF717" s="27"/>
      <c r="AH717" s="27"/>
    </row>
    <row r="718" ht="15.75" customHeight="1">
      <c r="W718" s="27"/>
      <c r="X718" s="27"/>
      <c r="AD718" s="27"/>
      <c r="AF718" s="27"/>
      <c r="AH718" s="27"/>
    </row>
    <row r="719" ht="15.75" customHeight="1">
      <c r="W719" s="27"/>
      <c r="X719" s="27"/>
      <c r="AD719" s="27"/>
      <c r="AF719" s="27"/>
      <c r="AH719" s="27"/>
    </row>
    <row r="720" ht="15.75" customHeight="1">
      <c r="W720" s="27"/>
      <c r="X720" s="27"/>
      <c r="AD720" s="27"/>
      <c r="AF720" s="27"/>
      <c r="AH720" s="27"/>
    </row>
    <row r="721" ht="15.75" customHeight="1">
      <c r="W721" s="27"/>
      <c r="X721" s="27"/>
      <c r="AD721" s="27"/>
      <c r="AF721" s="27"/>
      <c r="AH721" s="27"/>
    </row>
    <row r="722" ht="15.75" customHeight="1">
      <c r="W722" s="27"/>
      <c r="X722" s="27"/>
      <c r="AD722" s="27"/>
      <c r="AF722" s="27"/>
      <c r="AH722" s="27"/>
    </row>
    <row r="723" ht="15.75" customHeight="1">
      <c r="W723" s="27"/>
      <c r="X723" s="27"/>
      <c r="AD723" s="27"/>
      <c r="AF723" s="27"/>
      <c r="AH723" s="27"/>
    </row>
    <row r="724" ht="15.75" customHeight="1">
      <c r="W724" s="27"/>
      <c r="X724" s="27"/>
      <c r="AD724" s="27"/>
      <c r="AF724" s="27"/>
      <c r="AH724" s="27"/>
    </row>
    <row r="725" ht="15.75" customHeight="1">
      <c r="W725" s="27"/>
      <c r="X725" s="27"/>
      <c r="AD725" s="27"/>
      <c r="AF725" s="27"/>
      <c r="AH725" s="27"/>
    </row>
    <row r="726" ht="15.75" customHeight="1">
      <c r="W726" s="27"/>
      <c r="X726" s="27"/>
      <c r="AD726" s="27"/>
      <c r="AF726" s="27"/>
      <c r="AH726" s="27"/>
    </row>
    <row r="727" ht="15.75" customHeight="1">
      <c r="W727" s="27"/>
      <c r="X727" s="27"/>
      <c r="AD727" s="27"/>
      <c r="AF727" s="27"/>
      <c r="AH727" s="27"/>
    </row>
    <row r="728" ht="15.75" customHeight="1">
      <c r="W728" s="27"/>
      <c r="X728" s="27"/>
      <c r="AD728" s="27"/>
      <c r="AF728" s="27"/>
      <c r="AH728" s="27"/>
    </row>
    <row r="729" ht="15.75" customHeight="1">
      <c r="W729" s="27"/>
      <c r="X729" s="27"/>
      <c r="AD729" s="27"/>
      <c r="AF729" s="27"/>
      <c r="AH729" s="27"/>
    </row>
    <row r="730" ht="15.75" customHeight="1">
      <c r="W730" s="27"/>
      <c r="X730" s="27"/>
      <c r="AD730" s="27"/>
      <c r="AF730" s="27"/>
      <c r="AH730" s="27"/>
    </row>
    <row r="731" ht="15.75" customHeight="1">
      <c r="W731" s="27"/>
      <c r="X731" s="27"/>
      <c r="AD731" s="27"/>
      <c r="AF731" s="27"/>
      <c r="AH731" s="27"/>
    </row>
    <row r="732" ht="15.75" customHeight="1">
      <c r="W732" s="27"/>
      <c r="X732" s="27"/>
      <c r="AD732" s="27"/>
      <c r="AF732" s="27"/>
      <c r="AH732" s="27"/>
    </row>
    <row r="733" ht="15.75" customHeight="1">
      <c r="W733" s="27"/>
      <c r="X733" s="27"/>
      <c r="AD733" s="27"/>
      <c r="AF733" s="27"/>
      <c r="AH733" s="27"/>
    </row>
    <row r="734" ht="15.75" customHeight="1">
      <c r="W734" s="27"/>
      <c r="X734" s="27"/>
      <c r="AD734" s="27"/>
      <c r="AF734" s="27"/>
      <c r="AH734" s="27"/>
    </row>
    <row r="735" ht="15.75" customHeight="1">
      <c r="W735" s="27"/>
      <c r="X735" s="27"/>
      <c r="AD735" s="27"/>
      <c r="AF735" s="27"/>
      <c r="AH735" s="27"/>
    </row>
    <row r="736" ht="15.75" customHeight="1">
      <c r="W736" s="27"/>
      <c r="X736" s="27"/>
      <c r="AD736" s="27"/>
      <c r="AF736" s="27"/>
      <c r="AH736" s="27"/>
    </row>
    <row r="737" ht="15.75" customHeight="1">
      <c r="W737" s="27"/>
      <c r="X737" s="27"/>
      <c r="AD737" s="27"/>
      <c r="AF737" s="27"/>
      <c r="AH737" s="27"/>
    </row>
    <row r="738" ht="15.75" customHeight="1">
      <c r="W738" s="27"/>
      <c r="X738" s="27"/>
      <c r="AD738" s="27"/>
      <c r="AF738" s="27"/>
      <c r="AH738" s="27"/>
    </row>
    <row r="739" ht="15.75" customHeight="1">
      <c r="W739" s="27"/>
      <c r="X739" s="27"/>
      <c r="AD739" s="27"/>
      <c r="AF739" s="27"/>
      <c r="AH739" s="27"/>
    </row>
    <row r="740" ht="15.75" customHeight="1">
      <c r="W740" s="27"/>
      <c r="X740" s="27"/>
      <c r="AD740" s="27"/>
      <c r="AF740" s="27"/>
      <c r="AH740" s="27"/>
    </row>
    <row r="741" ht="15.75" customHeight="1">
      <c r="W741" s="27"/>
      <c r="X741" s="27"/>
      <c r="AD741" s="27"/>
      <c r="AF741" s="27"/>
      <c r="AH741" s="27"/>
    </row>
    <row r="742" ht="15.75" customHeight="1">
      <c r="W742" s="27"/>
      <c r="X742" s="27"/>
      <c r="AD742" s="27"/>
      <c r="AF742" s="27"/>
      <c r="AH742" s="27"/>
    </row>
    <row r="743" ht="15.75" customHeight="1">
      <c r="W743" s="27"/>
      <c r="X743" s="27"/>
      <c r="AD743" s="27"/>
      <c r="AF743" s="27"/>
      <c r="AH743" s="27"/>
    </row>
    <row r="744" ht="15.75" customHeight="1">
      <c r="W744" s="27"/>
      <c r="X744" s="27"/>
      <c r="AD744" s="27"/>
      <c r="AF744" s="27"/>
      <c r="AH744" s="27"/>
    </row>
    <row r="745" ht="15.75" customHeight="1">
      <c r="W745" s="27"/>
      <c r="X745" s="27"/>
      <c r="AD745" s="27"/>
      <c r="AF745" s="27"/>
      <c r="AH745" s="27"/>
    </row>
    <row r="746" ht="15.75" customHeight="1">
      <c r="W746" s="27"/>
      <c r="X746" s="27"/>
      <c r="AD746" s="27"/>
      <c r="AF746" s="27"/>
      <c r="AH746" s="27"/>
    </row>
    <row r="747" ht="15.75" customHeight="1">
      <c r="W747" s="27"/>
      <c r="X747" s="27"/>
      <c r="AD747" s="27"/>
      <c r="AF747" s="27"/>
      <c r="AH747" s="27"/>
    </row>
    <row r="748" ht="15.75" customHeight="1">
      <c r="W748" s="27"/>
      <c r="X748" s="27"/>
      <c r="AD748" s="27"/>
      <c r="AF748" s="27"/>
      <c r="AH748" s="27"/>
    </row>
    <row r="749" ht="15.75" customHeight="1">
      <c r="W749" s="27"/>
      <c r="X749" s="27"/>
      <c r="AD749" s="27"/>
      <c r="AF749" s="27"/>
      <c r="AH749" s="27"/>
    </row>
    <row r="750" ht="15.75" customHeight="1">
      <c r="W750" s="27"/>
      <c r="X750" s="27"/>
      <c r="AD750" s="27"/>
      <c r="AF750" s="27"/>
      <c r="AH750" s="27"/>
    </row>
    <row r="751" ht="15.75" customHeight="1">
      <c r="W751" s="27"/>
      <c r="X751" s="27"/>
      <c r="AD751" s="27"/>
      <c r="AF751" s="27"/>
      <c r="AH751" s="27"/>
    </row>
    <row r="752" ht="15.75" customHeight="1">
      <c r="W752" s="27"/>
      <c r="X752" s="27"/>
      <c r="AD752" s="27"/>
      <c r="AF752" s="27"/>
      <c r="AH752" s="27"/>
    </row>
    <row r="753" ht="15.75" customHeight="1">
      <c r="W753" s="27"/>
      <c r="X753" s="27"/>
      <c r="AD753" s="27"/>
      <c r="AF753" s="27"/>
      <c r="AH753" s="27"/>
    </row>
    <row r="754" ht="15.75" customHeight="1">
      <c r="W754" s="27"/>
      <c r="X754" s="27"/>
      <c r="AD754" s="27"/>
      <c r="AF754" s="27"/>
      <c r="AH754" s="27"/>
    </row>
    <row r="755" ht="15.75" customHeight="1">
      <c r="W755" s="27"/>
      <c r="X755" s="27"/>
      <c r="AD755" s="27"/>
      <c r="AF755" s="27"/>
      <c r="AH755" s="27"/>
    </row>
    <row r="756" ht="15.75" customHeight="1">
      <c r="W756" s="27"/>
      <c r="X756" s="27"/>
      <c r="AD756" s="27"/>
      <c r="AF756" s="27"/>
      <c r="AH756" s="27"/>
    </row>
    <row r="757" ht="15.75" customHeight="1">
      <c r="W757" s="27"/>
      <c r="X757" s="27"/>
      <c r="AD757" s="27"/>
      <c r="AF757" s="27"/>
      <c r="AH757" s="27"/>
    </row>
    <row r="758" ht="15.75" customHeight="1">
      <c r="W758" s="27"/>
      <c r="X758" s="27"/>
      <c r="AD758" s="27"/>
      <c r="AF758" s="27"/>
      <c r="AH758" s="27"/>
    </row>
    <row r="759" ht="15.75" customHeight="1">
      <c r="W759" s="27"/>
      <c r="X759" s="27"/>
      <c r="AD759" s="27"/>
      <c r="AF759" s="27"/>
      <c r="AH759" s="27"/>
    </row>
    <row r="760" ht="15.75" customHeight="1">
      <c r="W760" s="27"/>
      <c r="X760" s="27"/>
      <c r="AD760" s="27"/>
      <c r="AF760" s="27"/>
      <c r="AH760" s="27"/>
    </row>
    <row r="761" ht="15.75" customHeight="1">
      <c r="W761" s="27"/>
      <c r="X761" s="27"/>
      <c r="AD761" s="27"/>
      <c r="AF761" s="27"/>
      <c r="AH761" s="27"/>
    </row>
    <row r="762" ht="15.75" customHeight="1">
      <c r="W762" s="27"/>
      <c r="X762" s="27"/>
      <c r="AD762" s="27"/>
      <c r="AF762" s="27"/>
      <c r="AH762" s="27"/>
    </row>
    <row r="763" ht="15.75" customHeight="1">
      <c r="W763" s="27"/>
      <c r="X763" s="27"/>
      <c r="AD763" s="27"/>
      <c r="AF763" s="27"/>
      <c r="AH763" s="27"/>
    </row>
    <row r="764" ht="15.75" customHeight="1">
      <c r="W764" s="27"/>
      <c r="X764" s="27"/>
      <c r="AD764" s="27"/>
      <c r="AF764" s="27"/>
      <c r="AH764" s="27"/>
    </row>
    <row r="765" ht="15.75" customHeight="1">
      <c r="W765" s="27"/>
      <c r="X765" s="27"/>
      <c r="AD765" s="27"/>
      <c r="AF765" s="27"/>
      <c r="AH765" s="27"/>
    </row>
    <row r="766" ht="15.75" customHeight="1">
      <c r="W766" s="27"/>
      <c r="X766" s="27"/>
      <c r="AD766" s="27"/>
      <c r="AF766" s="27"/>
      <c r="AH766" s="27"/>
    </row>
    <row r="767" ht="15.75" customHeight="1">
      <c r="W767" s="27"/>
      <c r="X767" s="27"/>
      <c r="AD767" s="27"/>
      <c r="AF767" s="27"/>
      <c r="AH767" s="27"/>
    </row>
    <row r="768" ht="15.75" customHeight="1">
      <c r="W768" s="27"/>
      <c r="X768" s="27"/>
      <c r="AD768" s="27"/>
      <c r="AF768" s="27"/>
      <c r="AH768" s="27"/>
    </row>
    <row r="769" ht="15.75" customHeight="1">
      <c r="W769" s="27"/>
      <c r="X769" s="27"/>
      <c r="AD769" s="27"/>
      <c r="AF769" s="27"/>
      <c r="AH769" s="27"/>
    </row>
    <row r="770" ht="15.75" customHeight="1">
      <c r="W770" s="27"/>
      <c r="X770" s="27"/>
      <c r="AD770" s="27"/>
      <c r="AF770" s="27"/>
      <c r="AH770" s="27"/>
    </row>
    <row r="771" ht="15.75" customHeight="1">
      <c r="W771" s="27"/>
      <c r="X771" s="27"/>
      <c r="AD771" s="27"/>
      <c r="AF771" s="27"/>
      <c r="AH771" s="27"/>
    </row>
    <row r="772" ht="15.75" customHeight="1">
      <c r="W772" s="27"/>
      <c r="X772" s="27"/>
      <c r="AD772" s="27"/>
      <c r="AF772" s="27"/>
      <c r="AH772" s="27"/>
    </row>
    <row r="773" ht="15.75" customHeight="1">
      <c r="W773" s="27"/>
      <c r="X773" s="27"/>
      <c r="AD773" s="27"/>
      <c r="AF773" s="27"/>
      <c r="AH773" s="27"/>
    </row>
    <row r="774" ht="15.75" customHeight="1">
      <c r="W774" s="27"/>
      <c r="X774" s="27"/>
      <c r="AD774" s="27"/>
      <c r="AF774" s="27"/>
      <c r="AH774" s="27"/>
    </row>
    <row r="775" ht="15.75" customHeight="1">
      <c r="W775" s="27"/>
      <c r="X775" s="27"/>
      <c r="AD775" s="27"/>
      <c r="AF775" s="27"/>
      <c r="AH775" s="27"/>
    </row>
    <row r="776" ht="15.75" customHeight="1">
      <c r="W776" s="27"/>
      <c r="X776" s="27"/>
      <c r="AD776" s="27"/>
      <c r="AF776" s="27"/>
      <c r="AH776" s="27"/>
    </row>
    <row r="777" ht="15.75" customHeight="1">
      <c r="W777" s="27"/>
      <c r="X777" s="27"/>
      <c r="AD777" s="27"/>
      <c r="AF777" s="27"/>
      <c r="AH777" s="27"/>
    </row>
    <row r="778" ht="15.75" customHeight="1">
      <c r="W778" s="27"/>
      <c r="X778" s="27"/>
      <c r="AD778" s="27"/>
      <c r="AF778" s="27"/>
      <c r="AH778" s="27"/>
    </row>
    <row r="779" ht="15.75" customHeight="1">
      <c r="W779" s="27"/>
      <c r="X779" s="27"/>
      <c r="AD779" s="27"/>
      <c r="AF779" s="27"/>
      <c r="AH779" s="27"/>
    </row>
    <row r="780" ht="15.75" customHeight="1">
      <c r="W780" s="27"/>
      <c r="X780" s="27"/>
      <c r="AD780" s="27"/>
      <c r="AF780" s="27"/>
      <c r="AH780" s="27"/>
    </row>
    <row r="781" ht="15.75" customHeight="1">
      <c r="W781" s="27"/>
      <c r="X781" s="27"/>
      <c r="AD781" s="27"/>
      <c r="AF781" s="27"/>
      <c r="AH781" s="27"/>
    </row>
    <row r="782" ht="15.75" customHeight="1">
      <c r="W782" s="27"/>
      <c r="X782" s="27"/>
      <c r="AD782" s="27"/>
      <c r="AF782" s="27"/>
      <c r="AH782" s="27"/>
    </row>
    <row r="783" ht="15.75" customHeight="1">
      <c r="W783" s="27"/>
      <c r="X783" s="27"/>
      <c r="AD783" s="27"/>
      <c r="AF783" s="27"/>
      <c r="AH783" s="27"/>
    </row>
    <row r="784" ht="15.75" customHeight="1">
      <c r="W784" s="27"/>
      <c r="X784" s="27"/>
      <c r="AD784" s="27"/>
      <c r="AF784" s="27"/>
      <c r="AH784" s="27"/>
    </row>
    <row r="785" ht="15.75" customHeight="1">
      <c r="W785" s="27"/>
      <c r="X785" s="27"/>
      <c r="AD785" s="27"/>
      <c r="AF785" s="27"/>
      <c r="AH785" s="27"/>
    </row>
    <row r="786" ht="15.75" customHeight="1">
      <c r="W786" s="27"/>
      <c r="X786" s="27"/>
      <c r="AD786" s="27"/>
      <c r="AF786" s="27"/>
      <c r="AH786" s="27"/>
    </row>
    <row r="787" ht="15.75" customHeight="1">
      <c r="W787" s="27"/>
      <c r="X787" s="27"/>
      <c r="AD787" s="27"/>
      <c r="AF787" s="27"/>
      <c r="AH787" s="27"/>
    </row>
    <row r="788" ht="15.75" customHeight="1">
      <c r="W788" s="27"/>
      <c r="X788" s="27"/>
      <c r="AD788" s="27"/>
      <c r="AF788" s="27"/>
      <c r="AH788" s="27"/>
    </row>
    <row r="789" ht="15.75" customHeight="1">
      <c r="W789" s="27"/>
      <c r="X789" s="27"/>
      <c r="AD789" s="27"/>
      <c r="AF789" s="27"/>
      <c r="AH789" s="27"/>
    </row>
    <row r="790" ht="15.75" customHeight="1">
      <c r="W790" s="27"/>
      <c r="X790" s="27"/>
      <c r="AD790" s="27"/>
      <c r="AF790" s="27"/>
      <c r="AH790" s="27"/>
    </row>
    <row r="791" ht="15.75" customHeight="1">
      <c r="W791" s="27"/>
      <c r="X791" s="27"/>
      <c r="AD791" s="27"/>
      <c r="AF791" s="27"/>
      <c r="AH791" s="27"/>
    </row>
    <row r="792" ht="15.75" customHeight="1">
      <c r="W792" s="27"/>
      <c r="X792" s="27"/>
      <c r="AD792" s="27"/>
      <c r="AF792" s="27"/>
      <c r="AH792" s="27"/>
    </row>
    <row r="793" ht="15.75" customHeight="1">
      <c r="W793" s="27"/>
      <c r="X793" s="27"/>
      <c r="AD793" s="27"/>
      <c r="AF793" s="27"/>
      <c r="AH793" s="27"/>
    </row>
    <row r="794" ht="15.75" customHeight="1">
      <c r="W794" s="27"/>
      <c r="X794" s="27"/>
      <c r="AD794" s="27"/>
      <c r="AF794" s="27"/>
      <c r="AH794" s="27"/>
    </row>
    <row r="795" ht="15.75" customHeight="1">
      <c r="W795" s="27"/>
      <c r="X795" s="27"/>
      <c r="AD795" s="27"/>
      <c r="AF795" s="27"/>
      <c r="AH795" s="27"/>
    </row>
    <row r="796" ht="15.75" customHeight="1">
      <c r="W796" s="27"/>
      <c r="X796" s="27"/>
      <c r="AD796" s="27"/>
      <c r="AF796" s="27"/>
      <c r="AH796" s="27"/>
    </row>
    <row r="797" ht="15.75" customHeight="1">
      <c r="W797" s="27"/>
      <c r="X797" s="27"/>
      <c r="AD797" s="27"/>
      <c r="AF797" s="27"/>
      <c r="AH797" s="27"/>
    </row>
    <row r="798" ht="15.75" customHeight="1">
      <c r="W798" s="27"/>
      <c r="X798" s="27"/>
      <c r="AD798" s="27"/>
      <c r="AF798" s="27"/>
      <c r="AH798" s="27"/>
    </row>
    <row r="799" ht="15.75" customHeight="1">
      <c r="W799" s="27"/>
      <c r="X799" s="27"/>
      <c r="AD799" s="27"/>
      <c r="AF799" s="27"/>
      <c r="AH799" s="27"/>
    </row>
    <row r="800" ht="15.75" customHeight="1">
      <c r="W800" s="27"/>
      <c r="X800" s="27"/>
      <c r="AD800" s="27"/>
      <c r="AF800" s="27"/>
      <c r="AH800" s="27"/>
    </row>
    <row r="801" ht="15.75" customHeight="1">
      <c r="W801" s="27"/>
      <c r="X801" s="27"/>
      <c r="AD801" s="27"/>
      <c r="AF801" s="27"/>
      <c r="AH801" s="27"/>
    </row>
    <row r="802" ht="15.75" customHeight="1">
      <c r="W802" s="27"/>
      <c r="X802" s="27"/>
      <c r="AD802" s="27"/>
      <c r="AF802" s="27"/>
      <c r="AH802" s="27"/>
    </row>
    <row r="803" ht="15.75" customHeight="1">
      <c r="W803" s="27"/>
      <c r="X803" s="27"/>
      <c r="AD803" s="27"/>
      <c r="AF803" s="27"/>
      <c r="AH803" s="27"/>
    </row>
    <row r="804" ht="15.75" customHeight="1">
      <c r="W804" s="27"/>
      <c r="X804" s="27"/>
      <c r="AD804" s="27"/>
      <c r="AF804" s="27"/>
      <c r="AH804" s="27"/>
    </row>
    <row r="805" ht="15.75" customHeight="1">
      <c r="W805" s="27"/>
      <c r="X805" s="27"/>
      <c r="AD805" s="27"/>
      <c r="AF805" s="27"/>
      <c r="AH805" s="27"/>
    </row>
    <row r="806" ht="15.75" customHeight="1">
      <c r="W806" s="27"/>
      <c r="X806" s="27"/>
      <c r="AD806" s="27"/>
      <c r="AF806" s="27"/>
      <c r="AH806" s="27"/>
    </row>
    <row r="807" ht="15.75" customHeight="1">
      <c r="W807" s="27"/>
      <c r="X807" s="27"/>
      <c r="AD807" s="27"/>
      <c r="AF807" s="27"/>
      <c r="AH807" s="27"/>
    </row>
    <row r="808" ht="15.75" customHeight="1">
      <c r="W808" s="27"/>
      <c r="X808" s="27"/>
      <c r="AD808" s="27"/>
      <c r="AF808" s="27"/>
      <c r="AH808" s="27"/>
    </row>
    <row r="809" ht="15.75" customHeight="1">
      <c r="W809" s="27"/>
      <c r="X809" s="27"/>
      <c r="AD809" s="27"/>
      <c r="AF809" s="27"/>
      <c r="AH809" s="27"/>
    </row>
    <row r="810" ht="15.75" customHeight="1">
      <c r="W810" s="27"/>
      <c r="X810" s="27"/>
      <c r="AD810" s="27"/>
      <c r="AF810" s="27"/>
      <c r="AH810" s="27"/>
    </row>
    <row r="811" ht="15.75" customHeight="1">
      <c r="W811" s="27"/>
      <c r="X811" s="27"/>
      <c r="AD811" s="27"/>
      <c r="AF811" s="27"/>
      <c r="AH811" s="27"/>
    </row>
    <row r="812" ht="15.75" customHeight="1">
      <c r="W812" s="27"/>
      <c r="X812" s="27"/>
      <c r="AD812" s="27"/>
      <c r="AF812" s="27"/>
      <c r="AH812" s="27"/>
    </row>
    <row r="813" ht="15.75" customHeight="1">
      <c r="W813" s="27"/>
      <c r="X813" s="27"/>
      <c r="AD813" s="27"/>
      <c r="AF813" s="27"/>
      <c r="AH813" s="27"/>
    </row>
    <row r="814" ht="15.75" customHeight="1">
      <c r="W814" s="27"/>
      <c r="X814" s="27"/>
      <c r="AD814" s="27"/>
      <c r="AF814" s="27"/>
      <c r="AH814" s="27"/>
    </row>
    <row r="815" ht="15.75" customHeight="1">
      <c r="W815" s="27"/>
      <c r="X815" s="27"/>
      <c r="AD815" s="27"/>
      <c r="AF815" s="27"/>
      <c r="AH815" s="27"/>
    </row>
    <row r="816" ht="15.75" customHeight="1">
      <c r="W816" s="27"/>
      <c r="X816" s="27"/>
      <c r="AD816" s="27"/>
      <c r="AF816" s="27"/>
      <c r="AH816" s="27"/>
    </row>
    <row r="817" ht="15.75" customHeight="1">
      <c r="W817" s="27"/>
      <c r="X817" s="27"/>
      <c r="AD817" s="27"/>
      <c r="AF817" s="27"/>
      <c r="AH817" s="27"/>
    </row>
    <row r="818" ht="15.75" customHeight="1">
      <c r="W818" s="27"/>
      <c r="X818" s="27"/>
      <c r="AD818" s="27"/>
      <c r="AF818" s="27"/>
      <c r="AH818" s="27"/>
    </row>
    <row r="819" ht="15.75" customHeight="1">
      <c r="W819" s="27"/>
      <c r="X819" s="27"/>
      <c r="AD819" s="27"/>
      <c r="AF819" s="27"/>
      <c r="AH819" s="27"/>
    </row>
    <row r="820" ht="15.75" customHeight="1">
      <c r="W820" s="27"/>
      <c r="X820" s="27"/>
      <c r="AD820" s="27"/>
      <c r="AF820" s="27"/>
      <c r="AH820" s="27"/>
    </row>
    <row r="821" ht="15.75" customHeight="1">
      <c r="W821" s="27"/>
      <c r="X821" s="27"/>
      <c r="AD821" s="27"/>
      <c r="AF821" s="27"/>
      <c r="AH821" s="27"/>
    </row>
    <row r="822" ht="15.75" customHeight="1">
      <c r="W822" s="27"/>
      <c r="X822" s="27"/>
      <c r="AD822" s="27"/>
      <c r="AF822" s="27"/>
      <c r="AH822" s="27"/>
    </row>
    <row r="823" ht="15.75" customHeight="1">
      <c r="W823" s="27"/>
      <c r="X823" s="27"/>
      <c r="AD823" s="27"/>
      <c r="AF823" s="27"/>
      <c r="AH823" s="27"/>
    </row>
    <row r="824" ht="15.75" customHeight="1">
      <c r="W824" s="27"/>
      <c r="X824" s="27"/>
      <c r="AD824" s="27"/>
      <c r="AF824" s="27"/>
      <c r="AH824" s="27"/>
    </row>
    <row r="825" ht="15.75" customHeight="1">
      <c r="W825" s="27"/>
      <c r="X825" s="27"/>
      <c r="AD825" s="27"/>
      <c r="AF825" s="27"/>
      <c r="AH825" s="27"/>
    </row>
    <row r="826" ht="15.75" customHeight="1">
      <c r="W826" s="27"/>
      <c r="X826" s="27"/>
      <c r="AD826" s="27"/>
      <c r="AF826" s="27"/>
      <c r="AH826" s="27"/>
    </row>
    <row r="827" ht="15.75" customHeight="1">
      <c r="W827" s="27"/>
      <c r="X827" s="27"/>
      <c r="AD827" s="27"/>
      <c r="AF827" s="27"/>
      <c r="AH827" s="27"/>
    </row>
    <row r="828" ht="15.75" customHeight="1">
      <c r="W828" s="27"/>
      <c r="X828" s="27"/>
      <c r="AD828" s="27"/>
      <c r="AF828" s="27"/>
      <c r="AH828" s="27"/>
    </row>
    <row r="829" ht="15.75" customHeight="1">
      <c r="W829" s="27"/>
      <c r="X829" s="27"/>
      <c r="AD829" s="27"/>
      <c r="AF829" s="27"/>
      <c r="AH829" s="27"/>
    </row>
    <row r="830" ht="15.75" customHeight="1">
      <c r="W830" s="27"/>
      <c r="X830" s="27"/>
      <c r="AD830" s="27"/>
      <c r="AF830" s="27"/>
      <c r="AH830" s="27"/>
    </row>
    <row r="831" ht="15.75" customHeight="1">
      <c r="W831" s="27"/>
      <c r="X831" s="27"/>
      <c r="AD831" s="27"/>
      <c r="AF831" s="27"/>
      <c r="AH831" s="27"/>
    </row>
    <row r="832" ht="15.75" customHeight="1">
      <c r="W832" s="27"/>
      <c r="X832" s="27"/>
      <c r="AD832" s="27"/>
      <c r="AF832" s="27"/>
      <c r="AH832" s="27"/>
    </row>
    <row r="833" ht="15.75" customHeight="1">
      <c r="W833" s="27"/>
      <c r="X833" s="27"/>
      <c r="AD833" s="27"/>
      <c r="AF833" s="27"/>
      <c r="AH833" s="27"/>
    </row>
    <row r="834" ht="15.75" customHeight="1">
      <c r="W834" s="27"/>
      <c r="X834" s="27"/>
      <c r="AD834" s="27"/>
      <c r="AF834" s="27"/>
      <c r="AH834" s="27"/>
    </row>
    <row r="835" ht="15.75" customHeight="1">
      <c r="W835" s="27"/>
      <c r="X835" s="27"/>
      <c r="AD835" s="27"/>
      <c r="AF835" s="27"/>
      <c r="AH835" s="27"/>
    </row>
    <row r="836" ht="15.75" customHeight="1">
      <c r="W836" s="27"/>
      <c r="X836" s="27"/>
      <c r="AD836" s="27"/>
      <c r="AF836" s="27"/>
      <c r="AH836" s="27"/>
    </row>
    <row r="837" ht="15.75" customHeight="1">
      <c r="W837" s="27"/>
      <c r="X837" s="27"/>
      <c r="AD837" s="27"/>
      <c r="AF837" s="27"/>
      <c r="AH837" s="27"/>
    </row>
    <row r="838" ht="15.75" customHeight="1">
      <c r="W838" s="27"/>
      <c r="X838" s="27"/>
      <c r="AD838" s="27"/>
      <c r="AF838" s="27"/>
      <c r="AH838" s="27"/>
    </row>
    <row r="839" ht="15.75" customHeight="1">
      <c r="W839" s="27"/>
      <c r="X839" s="27"/>
      <c r="AD839" s="27"/>
      <c r="AF839" s="27"/>
      <c r="AH839" s="27"/>
    </row>
    <row r="840" ht="15.75" customHeight="1">
      <c r="W840" s="27"/>
      <c r="X840" s="27"/>
      <c r="AD840" s="27"/>
      <c r="AF840" s="27"/>
      <c r="AH840" s="27"/>
    </row>
    <row r="841" ht="15.75" customHeight="1">
      <c r="W841" s="27"/>
      <c r="X841" s="27"/>
      <c r="AD841" s="27"/>
      <c r="AF841" s="27"/>
      <c r="AH841" s="27"/>
    </row>
    <row r="842" ht="15.75" customHeight="1">
      <c r="W842" s="27"/>
      <c r="X842" s="27"/>
      <c r="AD842" s="27"/>
      <c r="AF842" s="27"/>
      <c r="AH842" s="27"/>
    </row>
    <row r="843" ht="15.75" customHeight="1">
      <c r="W843" s="27"/>
      <c r="X843" s="27"/>
      <c r="AD843" s="27"/>
      <c r="AF843" s="27"/>
      <c r="AH843" s="27"/>
    </row>
    <row r="844" ht="15.75" customHeight="1">
      <c r="W844" s="27"/>
      <c r="X844" s="27"/>
      <c r="AD844" s="27"/>
      <c r="AF844" s="27"/>
      <c r="AH844" s="27"/>
    </row>
    <row r="845" ht="15.75" customHeight="1">
      <c r="W845" s="27"/>
      <c r="X845" s="27"/>
      <c r="AD845" s="27"/>
      <c r="AF845" s="27"/>
      <c r="AH845" s="27"/>
    </row>
    <row r="846" ht="15.75" customHeight="1">
      <c r="W846" s="27"/>
      <c r="X846" s="27"/>
      <c r="AD846" s="27"/>
      <c r="AF846" s="27"/>
      <c r="AH846" s="27"/>
    </row>
    <row r="847" ht="15.75" customHeight="1">
      <c r="W847" s="27"/>
      <c r="X847" s="27"/>
      <c r="AD847" s="27"/>
      <c r="AF847" s="27"/>
      <c r="AH847" s="27"/>
    </row>
    <row r="848" ht="15.75" customHeight="1">
      <c r="W848" s="27"/>
      <c r="X848" s="27"/>
      <c r="AD848" s="27"/>
      <c r="AF848" s="27"/>
      <c r="AH848" s="27"/>
    </row>
    <row r="849" ht="15.75" customHeight="1">
      <c r="W849" s="27"/>
      <c r="X849" s="27"/>
      <c r="AD849" s="27"/>
      <c r="AF849" s="27"/>
      <c r="AH849" s="27"/>
    </row>
    <row r="850" ht="15.75" customHeight="1">
      <c r="W850" s="27"/>
      <c r="X850" s="27"/>
      <c r="AD850" s="27"/>
      <c r="AF850" s="27"/>
      <c r="AH850" s="27"/>
    </row>
    <row r="851" ht="15.75" customHeight="1">
      <c r="W851" s="27"/>
      <c r="X851" s="27"/>
      <c r="AD851" s="27"/>
      <c r="AF851" s="27"/>
      <c r="AH851" s="27"/>
    </row>
    <row r="852" ht="15.75" customHeight="1">
      <c r="W852" s="27"/>
      <c r="X852" s="27"/>
      <c r="AD852" s="27"/>
      <c r="AF852" s="27"/>
      <c r="AH852" s="27"/>
    </row>
    <row r="853" ht="15.75" customHeight="1">
      <c r="W853" s="27"/>
      <c r="X853" s="27"/>
      <c r="AD853" s="27"/>
      <c r="AF853" s="27"/>
      <c r="AH853" s="27"/>
    </row>
    <row r="854" ht="15.75" customHeight="1">
      <c r="W854" s="27"/>
      <c r="X854" s="27"/>
      <c r="AD854" s="27"/>
      <c r="AF854" s="27"/>
      <c r="AH854" s="27"/>
    </row>
    <row r="855" ht="15.75" customHeight="1">
      <c r="W855" s="27"/>
      <c r="X855" s="27"/>
      <c r="AD855" s="27"/>
      <c r="AF855" s="27"/>
      <c r="AH855" s="27"/>
    </row>
    <row r="856" ht="15.75" customHeight="1">
      <c r="W856" s="27"/>
      <c r="X856" s="27"/>
      <c r="AD856" s="27"/>
      <c r="AF856" s="27"/>
      <c r="AH856" s="27"/>
    </row>
    <row r="857" ht="15.75" customHeight="1">
      <c r="W857" s="27"/>
      <c r="X857" s="27"/>
      <c r="AD857" s="27"/>
      <c r="AF857" s="27"/>
      <c r="AH857" s="27"/>
    </row>
    <row r="858" ht="15.75" customHeight="1">
      <c r="W858" s="27"/>
      <c r="X858" s="27"/>
      <c r="AD858" s="27"/>
      <c r="AF858" s="27"/>
      <c r="AH858" s="27"/>
    </row>
    <row r="859" ht="15.75" customHeight="1">
      <c r="W859" s="27"/>
      <c r="X859" s="27"/>
      <c r="AD859" s="27"/>
      <c r="AF859" s="27"/>
      <c r="AH859" s="27"/>
    </row>
    <row r="860" ht="15.75" customHeight="1">
      <c r="W860" s="27"/>
      <c r="X860" s="27"/>
      <c r="AD860" s="27"/>
      <c r="AF860" s="27"/>
      <c r="AH860" s="27"/>
    </row>
    <row r="861" ht="15.75" customHeight="1">
      <c r="W861" s="27"/>
      <c r="X861" s="27"/>
      <c r="AD861" s="27"/>
      <c r="AF861" s="27"/>
      <c r="AH861" s="27"/>
    </row>
    <row r="862" ht="15.75" customHeight="1">
      <c r="W862" s="27"/>
      <c r="X862" s="27"/>
      <c r="AD862" s="27"/>
      <c r="AF862" s="27"/>
      <c r="AH862" s="27"/>
    </row>
    <row r="863" ht="15.75" customHeight="1">
      <c r="W863" s="27"/>
      <c r="X863" s="27"/>
      <c r="AD863" s="27"/>
      <c r="AF863" s="27"/>
      <c r="AH863" s="27"/>
    </row>
    <row r="864" ht="15.75" customHeight="1">
      <c r="W864" s="27"/>
      <c r="X864" s="27"/>
      <c r="AD864" s="27"/>
      <c r="AF864" s="27"/>
      <c r="AH864" s="27"/>
    </row>
    <row r="865" ht="15.75" customHeight="1">
      <c r="W865" s="27"/>
      <c r="X865" s="27"/>
      <c r="AD865" s="27"/>
      <c r="AF865" s="27"/>
      <c r="AH865" s="27"/>
    </row>
    <row r="866" ht="15.75" customHeight="1">
      <c r="W866" s="27"/>
      <c r="X866" s="27"/>
      <c r="AD866" s="27"/>
      <c r="AF866" s="27"/>
      <c r="AH866" s="27"/>
    </row>
    <row r="867" ht="15.75" customHeight="1">
      <c r="W867" s="27"/>
      <c r="X867" s="27"/>
      <c r="AD867" s="27"/>
      <c r="AF867" s="27"/>
      <c r="AH867" s="27"/>
    </row>
    <row r="868" ht="15.75" customHeight="1">
      <c r="W868" s="27"/>
      <c r="X868" s="27"/>
      <c r="AD868" s="27"/>
      <c r="AF868" s="27"/>
      <c r="AH868" s="27"/>
    </row>
    <row r="869" ht="15.75" customHeight="1">
      <c r="W869" s="27"/>
      <c r="X869" s="27"/>
      <c r="AD869" s="27"/>
      <c r="AF869" s="27"/>
      <c r="AH869" s="27"/>
    </row>
    <row r="870" ht="15.75" customHeight="1">
      <c r="W870" s="27"/>
      <c r="X870" s="27"/>
      <c r="AD870" s="27"/>
      <c r="AF870" s="27"/>
      <c r="AH870" s="27"/>
    </row>
    <row r="871" ht="15.75" customHeight="1">
      <c r="W871" s="27"/>
      <c r="X871" s="27"/>
      <c r="AD871" s="27"/>
      <c r="AF871" s="27"/>
      <c r="AH871" s="27"/>
    </row>
    <row r="872" ht="15.75" customHeight="1">
      <c r="W872" s="27"/>
      <c r="X872" s="27"/>
      <c r="AD872" s="27"/>
      <c r="AF872" s="27"/>
      <c r="AH872" s="27"/>
    </row>
    <row r="873" ht="15.75" customHeight="1">
      <c r="W873" s="27"/>
      <c r="X873" s="27"/>
      <c r="AD873" s="27"/>
      <c r="AF873" s="27"/>
      <c r="AH873" s="27"/>
    </row>
    <row r="874" ht="15.75" customHeight="1">
      <c r="W874" s="27"/>
      <c r="X874" s="27"/>
      <c r="AD874" s="27"/>
      <c r="AF874" s="27"/>
      <c r="AH874" s="27"/>
    </row>
    <row r="875" ht="15.75" customHeight="1">
      <c r="W875" s="27"/>
      <c r="X875" s="27"/>
      <c r="AD875" s="27"/>
      <c r="AF875" s="27"/>
      <c r="AH875" s="27"/>
    </row>
    <row r="876" ht="15.75" customHeight="1">
      <c r="W876" s="27"/>
      <c r="X876" s="27"/>
      <c r="AD876" s="27"/>
      <c r="AF876" s="27"/>
      <c r="AH876" s="27"/>
    </row>
    <row r="877" ht="15.75" customHeight="1">
      <c r="W877" s="27"/>
      <c r="X877" s="27"/>
      <c r="AD877" s="27"/>
      <c r="AF877" s="27"/>
      <c r="AH877" s="27"/>
    </row>
    <row r="878" ht="15.75" customHeight="1">
      <c r="W878" s="27"/>
      <c r="X878" s="27"/>
      <c r="AD878" s="27"/>
      <c r="AF878" s="27"/>
      <c r="AH878" s="27"/>
    </row>
    <row r="879" ht="15.75" customHeight="1">
      <c r="W879" s="27"/>
      <c r="X879" s="27"/>
      <c r="AD879" s="27"/>
      <c r="AF879" s="27"/>
      <c r="AH879" s="27"/>
    </row>
    <row r="880" ht="15.75" customHeight="1">
      <c r="W880" s="27"/>
      <c r="X880" s="27"/>
      <c r="AD880" s="27"/>
      <c r="AF880" s="27"/>
      <c r="AH880" s="27"/>
    </row>
    <row r="881" ht="15.75" customHeight="1">
      <c r="W881" s="27"/>
      <c r="X881" s="27"/>
      <c r="AD881" s="27"/>
      <c r="AF881" s="27"/>
      <c r="AH881" s="27"/>
    </row>
    <row r="882" ht="15.75" customHeight="1">
      <c r="W882" s="27"/>
      <c r="X882" s="27"/>
      <c r="AD882" s="27"/>
      <c r="AF882" s="27"/>
      <c r="AH882" s="27"/>
    </row>
    <row r="883" ht="15.75" customHeight="1">
      <c r="W883" s="27"/>
      <c r="X883" s="27"/>
      <c r="AD883" s="27"/>
      <c r="AF883" s="27"/>
      <c r="AH883" s="27"/>
    </row>
    <row r="884" ht="15.75" customHeight="1">
      <c r="W884" s="27"/>
      <c r="X884" s="27"/>
      <c r="AD884" s="27"/>
      <c r="AF884" s="27"/>
      <c r="AH884" s="27"/>
    </row>
    <row r="885" ht="15.75" customHeight="1">
      <c r="W885" s="27"/>
      <c r="X885" s="27"/>
      <c r="AD885" s="27"/>
      <c r="AF885" s="27"/>
      <c r="AH885" s="27"/>
    </row>
    <row r="886" ht="15.75" customHeight="1">
      <c r="W886" s="27"/>
      <c r="X886" s="27"/>
      <c r="AD886" s="27"/>
      <c r="AF886" s="27"/>
      <c r="AH886" s="27"/>
    </row>
    <row r="887" ht="15.75" customHeight="1">
      <c r="W887" s="27"/>
      <c r="X887" s="27"/>
      <c r="AD887" s="27"/>
      <c r="AF887" s="27"/>
      <c r="AH887" s="27"/>
    </row>
    <row r="888" ht="15.75" customHeight="1">
      <c r="W888" s="27"/>
      <c r="X888" s="27"/>
      <c r="AD888" s="27"/>
      <c r="AF888" s="27"/>
      <c r="AH888" s="27"/>
    </row>
    <row r="889" ht="15.75" customHeight="1">
      <c r="W889" s="27"/>
      <c r="X889" s="27"/>
      <c r="AD889" s="27"/>
      <c r="AF889" s="27"/>
      <c r="AH889" s="27"/>
    </row>
    <row r="890" ht="15.75" customHeight="1">
      <c r="W890" s="27"/>
      <c r="X890" s="27"/>
      <c r="AD890" s="27"/>
      <c r="AF890" s="27"/>
      <c r="AH890" s="27"/>
    </row>
    <row r="891" ht="15.75" customHeight="1">
      <c r="W891" s="27"/>
      <c r="X891" s="27"/>
      <c r="AD891" s="27"/>
      <c r="AF891" s="27"/>
      <c r="AH891" s="27"/>
    </row>
    <row r="892" ht="15.75" customHeight="1">
      <c r="W892" s="27"/>
      <c r="X892" s="27"/>
      <c r="AD892" s="27"/>
      <c r="AF892" s="27"/>
      <c r="AH892" s="27"/>
    </row>
    <row r="893" ht="15.75" customHeight="1">
      <c r="W893" s="27"/>
      <c r="X893" s="27"/>
      <c r="AD893" s="27"/>
      <c r="AF893" s="27"/>
      <c r="AH893" s="27"/>
    </row>
    <row r="894" ht="15.75" customHeight="1">
      <c r="W894" s="27"/>
      <c r="X894" s="27"/>
      <c r="AD894" s="27"/>
      <c r="AF894" s="27"/>
      <c r="AH894" s="27"/>
    </row>
    <row r="895" ht="15.75" customHeight="1">
      <c r="W895" s="27"/>
      <c r="X895" s="27"/>
      <c r="AD895" s="27"/>
      <c r="AF895" s="27"/>
      <c r="AH895" s="27"/>
    </row>
    <row r="896" ht="15.75" customHeight="1">
      <c r="W896" s="27"/>
      <c r="X896" s="27"/>
      <c r="AD896" s="27"/>
      <c r="AF896" s="27"/>
      <c r="AH896" s="27"/>
    </row>
    <row r="897" ht="15.75" customHeight="1">
      <c r="W897" s="27"/>
      <c r="X897" s="27"/>
      <c r="AD897" s="27"/>
      <c r="AF897" s="27"/>
      <c r="AH897" s="27"/>
    </row>
    <row r="898" ht="15.75" customHeight="1">
      <c r="W898" s="27"/>
      <c r="X898" s="27"/>
      <c r="AD898" s="27"/>
      <c r="AF898" s="27"/>
      <c r="AH898" s="27"/>
    </row>
    <row r="899" ht="15.75" customHeight="1">
      <c r="W899" s="27"/>
      <c r="X899" s="27"/>
      <c r="AD899" s="27"/>
      <c r="AF899" s="27"/>
      <c r="AH899" s="27"/>
    </row>
    <row r="900" ht="15.75" customHeight="1">
      <c r="W900" s="27"/>
      <c r="X900" s="27"/>
      <c r="AD900" s="27"/>
      <c r="AF900" s="27"/>
      <c r="AH900" s="27"/>
    </row>
    <row r="901" ht="15.75" customHeight="1">
      <c r="W901" s="27"/>
      <c r="X901" s="27"/>
      <c r="AD901" s="27"/>
      <c r="AF901" s="27"/>
      <c r="AH901" s="27"/>
    </row>
    <row r="902" ht="15.75" customHeight="1">
      <c r="W902" s="27"/>
      <c r="X902" s="27"/>
      <c r="AD902" s="27"/>
      <c r="AF902" s="27"/>
      <c r="AH902" s="27"/>
    </row>
    <row r="903" ht="15.75" customHeight="1">
      <c r="W903" s="27"/>
      <c r="X903" s="27"/>
      <c r="AD903" s="27"/>
      <c r="AF903" s="27"/>
      <c r="AH903" s="27"/>
    </row>
    <row r="904" ht="15.75" customHeight="1">
      <c r="W904" s="27"/>
      <c r="X904" s="27"/>
      <c r="AD904" s="27"/>
      <c r="AF904" s="27"/>
      <c r="AH904" s="27"/>
    </row>
    <row r="905" ht="15.75" customHeight="1">
      <c r="W905" s="27"/>
      <c r="X905" s="27"/>
      <c r="AD905" s="27"/>
      <c r="AF905" s="27"/>
      <c r="AH905" s="27"/>
    </row>
    <row r="906" ht="15.75" customHeight="1">
      <c r="W906" s="27"/>
      <c r="X906" s="27"/>
      <c r="AD906" s="27"/>
      <c r="AF906" s="27"/>
      <c r="AH906" s="27"/>
    </row>
    <row r="907" ht="15.75" customHeight="1">
      <c r="W907" s="27"/>
      <c r="X907" s="27"/>
      <c r="AD907" s="27"/>
      <c r="AF907" s="27"/>
      <c r="AH907" s="27"/>
    </row>
    <row r="908" ht="15.75" customHeight="1">
      <c r="W908" s="27"/>
      <c r="X908" s="27"/>
      <c r="AD908" s="27"/>
      <c r="AF908" s="27"/>
      <c r="AH908" s="27"/>
    </row>
    <row r="909" ht="15.75" customHeight="1">
      <c r="W909" s="27"/>
      <c r="X909" s="27"/>
      <c r="AD909" s="27"/>
      <c r="AF909" s="27"/>
      <c r="AH909" s="27"/>
    </row>
    <row r="910" ht="15.75" customHeight="1">
      <c r="W910" s="27"/>
      <c r="X910" s="27"/>
      <c r="AD910" s="27"/>
      <c r="AF910" s="27"/>
      <c r="AH910" s="27"/>
    </row>
    <row r="911" ht="15.75" customHeight="1">
      <c r="W911" s="27"/>
      <c r="X911" s="27"/>
      <c r="AD911" s="27"/>
      <c r="AF911" s="27"/>
      <c r="AH911" s="27"/>
    </row>
    <row r="912" ht="15.75" customHeight="1">
      <c r="W912" s="27"/>
      <c r="X912" s="27"/>
      <c r="AD912" s="27"/>
      <c r="AF912" s="27"/>
      <c r="AH912" s="27"/>
    </row>
    <row r="913" ht="15.75" customHeight="1">
      <c r="W913" s="27"/>
      <c r="X913" s="27"/>
      <c r="AD913" s="27"/>
      <c r="AF913" s="27"/>
      <c r="AH913" s="27"/>
    </row>
    <row r="914" ht="15.75" customHeight="1">
      <c r="W914" s="27"/>
      <c r="X914" s="27"/>
      <c r="AD914" s="27"/>
      <c r="AF914" s="27"/>
      <c r="AH914" s="27"/>
    </row>
    <row r="915" ht="15.75" customHeight="1">
      <c r="W915" s="27"/>
      <c r="X915" s="27"/>
      <c r="AD915" s="27"/>
      <c r="AF915" s="27"/>
      <c r="AH915" s="27"/>
    </row>
    <row r="916" ht="15.75" customHeight="1">
      <c r="W916" s="27"/>
      <c r="X916" s="27"/>
      <c r="AD916" s="27"/>
      <c r="AF916" s="27"/>
      <c r="AH916" s="27"/>
    </row>
    <row r="917" ht="15.75" customHeight="1">
      <c r="W917" s="27"/>
      <c r="X917" s="27"/>
      <c r="AD917" s="27"/>
      <c r="AF917" s="27"/>
      <c r="AH917" s="27"/>
    </row>
    <row r="918" ht="15.75" customHeight="1">
      <c r="W918" s="27"/>
      <c r="X918" s="27"/>
      <c r="AD918" s="27"/>
      <c r="AF918" s="27"/>
      <c r="AH918" s="27"/>
    </row>
    <row r="919" ht="15.75" customHeight="1">
      <c r="W919" s="27"/>
      <c r="X919" s="27"/>
      <c r="AD919" s="27"/>
      <c r="AF919" s="27"/>
      <c r="AH919" s="27"/>
    </row>
    <row r="920" ht="15.75" customHeight="1">
      <c r="W920" s="27"/>
      <c r="X920" s="27"/>
      <c r="AD920" s="27"/>
      <c r="AF920" s="27"/>
      <c r="AH920" s="27"/>
    </row>
    <row r="921" ht="15.75" customHeight="1">
      <c r="W921" s="27"/>
      <c r="X921" s="27"/>
      <c r="AD921" s="27"/>
      <c r="AF921" s="27"/>
      <c r="AH921" s="27"/>
    </row>
    <row r="922" ht="15.75" customHeight="1">
      <c r="W922" s="27"/>
      <c r="X922" s="27"/>
      <c r="AD922" s="27"/>
      <c r="AF922" s="27"/>
      <c r="AH922" s="27"/>
    </row>
    <row r="923" ht="15.75" customHeight="1">
      <c r="W923" s="27"/>
      <c r="X923" s="27"/>
      <c r="AD923" s="27"/>
      <c r="AF923" s="27"/>
      <c r="AH923" s="27"/>
    </row>
    <row r="924" ht="15.75" customHeight="1">
      <c r="W924" s="27"/>
      <c r="X924" s="27"/>
      <c r="AD924" s="27"/>
      <c r="AF924" s="27"/>
      <c r="AH924" s="27"/>
    </row>
    <row r="925" ht="15.75" customHeight="1">
      <c r="W925" s="27"/>
      <c r="X925" s="27"/>
      <c r="AD925" s="27"/>
      <c r="AF925" s="27"/>
      <c r="AH925" s="27"/>
    </row>
    <row r="926" ht="15.75" customHeight="1">
      <c r="W926" s="27"/>
      <c r="X926" s="27"/>
      <c r="AD926" s="27"/>
      <c r="AF926" s="27"/>
      <c r="AH926" s="27"/>
    </row>
    <row r="927" ht="15.75" customHeight="1">
      <c r="W927" s="27"/>
      <c r="X927" s="27"/>
      <c r="AD927" s="27"/>
      <c r="AF927" s="27"/>
      <c r="AH927" s="27"/>
    </row>
    <row r="928" ht="15.75" customHeight="1">
      <c r="W928" s="27"/>
      <c r="X928" s="27"/>
      <c r="AD928" s="27"/>
      <c r="AF928" s="27"/>
      <c r="AH928" s="27"/>
    </row>
    <row r="929" ht="15.75" customHeight="1">
      <c r="W929" s="27"/>
      <c r="X929" s="27"/>
      <c r="AD929" s="27"/>
      <c r="AF929" s="27"/>
      <c r="AH929" s="27"/>
    </row>
    <row r="930" ht="15.75" customHeight="1">
      <c r="W930" s="27"/>
      <c r="X930" s="27"/>
      <c r="AD930" s="27"/>
      <c r="AF930" s="27"/>
      <c r="AH930" s="27"/>
    </row>
    <row r="931" ht="15.75" customHeight="1">
      <c r="W931" s="27"/>
      <c r="X931" s="27"/>
      <c r="AD931" s="27"/>
      <c r="AF931" s="27"/>
      <c r="AH931" s="27"/>
    </row>
    <row r="932" ht="15.75" customHeight="1">
      <c r="W932" s="27"/>
      <c r="X932" s="27"/>
      <c r="AD932" s="27"/>
      <c r="AF932" s="27"/>
      <c r="AH932" s="27"/>
    </row>
    <row r="933" ht="15.75" customHeight="1">
      <c r="W933" s="27"/>
      <c r="X933" s="27"/>
      <c r="AD933" s="27"/>
      <c r="AF933" s="27"/>
      <c r="AH933" s="27"/>
    </row>
    <row r="934" ht="15.75" customHeight="1">
      <c r="W934" s="27"/>
      <c r="X934" s="27"/>
      <c r="AD934" s="27"/>
      <c r="AF934" s="27"/>
      <c r="AH934" s="27"/>
    </row>
    <row r="935" ht="15.75" customHeight="1">
      <c r="W935" s="27"/>
      <c r="X935" s="27"/>
      <c r="AD935" s="27"/>
      <c r="AF935" s="27"/>
      <c r="AH935" s="27"/>
    </row>
    <row r="936" ht="15.75" customHeight="1">
      <c r="W936" s="27"/>
      <c r="X936" s="27"/>
      <c r="AD936" s="27"/>
      <c r="AF936" s="27"/>
      <c r="AH936" s="27"/>
    </row>
    <row r="937" ht="15.75" customHeight="1">
      <c r="W937" s="27"/>
      <c r="X937" s="27"/>
      <c r="AD937" s="27"/>
      <c r="AF937" s="27"/>
      <c r="AH937" s="27"/>
    </row>
    <row r="938" ht="15.75" customHeight="1">
      <c r="W938" s="27"/>
      <c r="X938" s="27"/>
      <c r="AD938" s="27"/>
      <c r="AF938" s="27"/>
      <c r="AH938" s="27"/>
    </row>
    <row r="939" ht="15.75" customHeight="1">
      <c r="W939" s="27"/>
      <c r="X939" s="27"/>
      <c r="AD939" s="27"/>
      <c r="AF939" s="27"/>
      <c r="AH939" s="27"/>
    </row>
    <row r="940" ht="15.75" customHeight="1">
      <c r="W940" s="27"/>
      <c r="X940" s="27"/>
      <c r="AD940" s="27"/>
      <c r="AF940" s="27"/>
      <c r="AH940" s="27"/>
    </row>
    <row r="941" ht="15.75" customHeight="1">
      <c r="W941" s="27"/>
      <c r="X941" s="27"/>
      <c r="AD941" s="27"/>
      <c r="AF941" s="27"/>
      <c r="AH941" s="27"/>
    </row>
    <row r="942" ht="15.75" customHeight="1">
      <c r="W942" s="27"/>
      <c r="X942" s="27"/>
      <c r="AD942" s="27"/>
      <c r="AF942" s="27"/>
      <c r="AH942" s="27"/>
    </row>
    <row r="943" ht="15.75" customHeight="1">
      <c r="W943" s="27"/>
      <c r="X943" s="27"/>
      <c r="AD943" s="27"/>
      <c r="AF943" s="27"/>
      <c r="AH943" s="27"/>
    </row>
    <row r="944" ht="15.75" customHeight="1">
      <c r="W944" s="27"/>
      <c r="X944" s="27"/>
      <c r="AD944" s="27"/>
      <c r="AF944" s="27"/>
      <c r="AH944" s="27"/>
    </row>
    <row r="945" ht="15.75" customHeight="1">
      <c r="W945" s="27"/>
      <c r="X945" s="27"/>
      <c r="AD945" s="27"/>
      <c r="AF945" s="27"/>
      <c r="AH945" s="27"/>
    </row>
    <row r="946" ht="15.75" customHeight="1">
      <c r="W946" s="27"/>
      <c r="X946" s="27"/>
      <c r="AD946" s="27"/>
      <c r="AF946" s="27"/>
      <c r="AH946" s="27"/>
    </row>
    <row r="947" ht="15.75" customHeight="1">
      <c r="W947" s="27"/>
      <c r="X947" s="27"/>
      <c r="AD947" s="27"/>
      <c r="AF947" s="27"/>
      <c r="AH947" s="27"/>
    </row>
    <row r="948" ht="15.75" customHeight="1">
      <c r="W948" s="27"/>
      <c r="X948" s="27"/>
      <c r="AD948" s="27"/>
      <c r="AF948" s="27"/>
      <c r="AH948" s="27"/>
    </row>
    <row r="949" ht="15.75" customHeight="1">
      <c r="W949" s="27"/>
      <c r="X949" s="27"/>
      <c r="AD949" s="27"/>
      <c r="AF949" s="27"/>
      <c r="AH949" s="27"/>
    </row>
    <row r="950" ht="15.75" customHeight="1">
      <c r="W950" s="27"/>
      <c r="X950" s="27"/>
      <c r="AD950" s="27"/>
      <c r="AF950" s="27"/>
      <c r="AH950" s="27"/>
    </row>
    <row r="951" ht="15.75" customHeight="1">
      <c r="W951" s="27"/>
      <c r="X951" s="27"/>
      <c r="AD951" s="27"/>
      <c r="AF951" s="27"/>
      <c r="AH951" s="27"/>
    </row>
    <row r="952" ht="15.75" customHeight="1">
      <c r="W952" s="27"/>
      <c r="X952" s="27"/>
      <c r="AD952" s="27"/>
      <c r="AF952" s="27"/>
      <c r="AH952" s="27"/>
    </row>
    <row r="953" ht="15.75" customHeight="1">
      <c r="W953" s="27"/>
      <c r="X953" s="27"/>
      <c r="AD953" s="27"/>
      <c r="AF953" s="27"/>
      <c r="AH953" s="27"/>
    </row>
    <row r="954" ht="15.75" customHeight="1">
      <c r="W954" s="27"/>
      <c r="X954" s="27"/>
      <c r="AD954" s="27"/>
      <c r="AF954" s="27"/>
      <c r="AH954" s="27"/>
    </row>
    <row r="955" ht="15.75" customHeight="1">
      <c r="W955" s="27"/>
      <c r="X955" s="27"/>
      <c r="AD955" s="27"/>
      <c r="AF955" s="27"/>
      <c r="AH955" s="27"/>
    </row>
    <row r="956" ht="15.75" customHeight="1">
      <c r="W956" s="27"/>
      <c r="X956" s="27"/>
      <c r="AD956" s="27"/>
      <c r="AF956" s="27"/>
      <c r="AH956" s="27"/>
    </row>
    <row r="957" ht="15.75" customHeight="1">
      <c r="W957" s="27"/>
      <c r="X957" s="27"/>
      <c r="AD957" s="27"/>
      <c r="AF957" s="27"/>
      <c r="AH957" s="27"/>
    </row>
    <row r="958" ht="15.75" customHeight="1">
      <c r="W958" s="27"/>
      <c r="X958" s="27"/>
      <c r="AD958" s="27"/>
      <c r="AF958" s="27"/>
      <c r="AH958" s="27"/>
    </row>
    <row r="959" ht="15.75" customHeight="1">
      <c r="W959" s="27"/>
      <c r="X959" s="27"/>
      <c r="AD959" s="27"/>
      <c r="AF959" s="27"/>
      <c r="AH959" s="27"/>
    </row>
    <row r="960" ht="15.75" customHeight="1">
      <c r="W960" s="27"/>
      <c r="X960" s="27"/>
      <c r="AD960" s="27"/>
      <c r="AF960" s="27"/>
      <c r="AH960" s="27"/>
    </row>
    <row r="961" ht="15.75" customHeight="1">
      <c r="W961" s="27"/>
      <c r="X961" s="27"/>
      <c r="AD961" s="27"/>
      <c r="AF961" s="27"/>
      <c r="AH961" s="27"/>
    </row>
    <row r="962" ht="15.75" customHeight="1">
      <c r="W962" s="27"/>
      <c r="X962" s="27"/>
      <c r="AD962" s="27"/>
      <c r="AF962" s="27"/>
      <c r="AH962" s="27"/>
    </row>
    <row r="963" ht="15.75" customHeight="1">
      <c r="W963" s="27"/>
      <c r="X963" s="27"/>
      <c r="AD963" s="27"/>
      <c r="AF963" s="27"/>
      <c r="AH963" s="27"/>
    </row>
    <row r="964" ht="15.75" customHeight="1">
      <c r="W964" s="27"/>
      <c r="X964" s="27"/>
      <c r="AD964" s="27"/>
      <c r="AF964" s="27"/>
      <c r="AH964" s="27"/>
    </row>
    <row r="965" ht="15.75" customHeight="1">
      <c r="W965" s="27"/>
      <c r="X965" s="27"/>
      <c r="AD965" s="27"/>
      <c r="AF965" s="27"/>
      <c r="AH965" s="27"/>
    </row>
    <row r="966" ht="15.75" customHeight="1">
      <c r="W966" s="27"/>
      <c r="X966" s="27"/>
      <c r="AD966" s="27"/>
      <c r="AF966" s="27"/>
      <c r="AH966" s="27"/>
    </row>
    <row r="967" ht="15.75" customHeight="1">
      <c r="W967" s="27"/>
      <c r="X967" s="27"/>
      <c r="AD967" s="27"/>
      <c r="AF967" s="27"/>
      <c r="AH967" s="27"/>
    </row>
    <row r="968" ht="15.75" customHeight="1">
      <c r="W968" s="27"/>
      <c r="X968" s="27"/>
      <c r="AD968" s="27"/>
      <c r="AF968" s="27"/>
      <c r="AH968" s="27"/>
    </row>
    <row r="969" ht="15.75" customHeight="1">
      <c r="W969" s="27"/>
      <c r="X969" s="27"/>
      <c r="AD969" s="27"/>
      <c r="AF969" s="27"/>
      <c r="AH969" s="27"/>
    </row>
    <row r="970" ht="15.75" customHeight="1">
      <c r="W970" s="27"/>
      <c r="X970" s="27"/>
      <c r="AD970" s="27"/>
      <c r="AF970" s="27"/>
      <c r="AH970" s="27"/>
    </row>
    <row r="971" ht="15.75" customHeight="1">
      <c r="W971" s="27"/>
      <c r="X971" s="27"/>
      <c r="AD971" s="27"/>
      <c r="AF971" s="27"/>
      <c r="AH971" s="27"/>
    </row>
    <row r="972" ht="15.75" customHeight="1">
      <c r="W972" s="27"/>
      <c r="X972" s="27"/>
      <c r="AD972" s="27"/>
      <c r="AF972" s="27"/>
      <c r="AH972" s="27"/>
    </row>
    <row r="973" ht="15.75" customHeight="1">
      <c r="W973" s="27"/>
      <c r="X973" s="27"/>
      <c r="AD973" s="27"/>
      <c r="AF973" s="27"/>
      <c r="AH973" s="27"/>
    </row>
    <row r="974" ht="15.75" customHeight="1">
      <c r="W974" s="27"/>
      <c r="X974" s="27"/>
      <c r="AD974" s="27"/>
      <c r="AF974" s="27"/>
      <c r="AH974" s="27"/>
    </row>
    <row r="975" ht="15.75" customHeight="1">
      <c r="W975" s="27"/>
      <c r="X975" s="27"/>
      <c r="AD975" s="27"/>
      <c r="AF975" s="27"/>
      <c r="AH975" s="27"/>
    </row>
    <row r="976" ht="15.75" customHeight="1">
      <c r="W976" s="27"/>
      <c r="X976" s="27"/>
      <c r="AD976" s="27"/>
      <c r="AF976" s="27"/>
      <c r="AH976" s="27"/>
    </row>
    <row r="977" ht="15.75" customHeight="1">
      <c r="W977" s="27"/>
      <c r="X977" s="27"/>
      <c r="AD977" s="27"/>
      <c r="AF977" s="27"/>
      <c r="AH977" s="27"/>
    </row>
    <row r="978" ht="15.75" customHeight="1">
      <c r="W978" s="27"/>
      <c r="X978" s="27"/>
      <c r="AD978" s="27"/>
      <c r="AF978" s="27"/>
      <c r="AH978" s="27"/>
    </row>
    <row r="979" ht="15.75" customHeight="1">
      <c r="W979" s="27"/>
      <c r="X979" s="27"/>
      <c r="AD979" s="27"/>
      <c r="AF979" s="27"/>
      <c r="AH979" s="27"/>
    </row>
    <row r="980" ht="15.75" customHeight="1">
      <c r="W980" s="27"/>
      <c r="X980" s="27"/>
      <c r="AD980" s="27"/>
      <c r="AF980" s="27"/>
      <c r="AH980" s="27"/>
    </row>
    <row r="981" ht="15.75" customHeight="1">
      <c r="W981" s="27"/>
      <c r="X981" s="27"/>
      <c r="AD981" s="27"/>
      <c r="AF981" s="27"/>
      <c r="AH981" s="27"/>
    </row>
    <row r="982" ht="15.75" customHeight="1">
      <c r="W982" s="27"/>
      <c r="X982" s="27"/>
      <c r="AD982" s="27"/>
      <c r="AF982" s="27"/>
      <c r="AH982" s="27"/>
    </row>
    <row r="983" ht="15.75" customHeight="1">
      <c r="W983" s="27"/>
      <c r="X983" s="27"/>
      <c r="AD983" s="27"/>
      <c r="AF983" s="27"/>
      <c r="AH983" s="27"/>
    </row>
    <row r="984" ht="15.75" customHeight="1">
      <c r="W984" s="27"/>
      <c r="X984" s="27"/>
      <c r="AD984" s="27"/>
      <c r="AF984" s="27"/>
      <c r="AH984" s="27"/>
    </row>
    <row r="985" ht="15.75" customHeight="1">
      <c r="W985" s="27"/>
      <c r="X985" s="27"/>
      <c r="AD985" s="27"/>
      <c r="AF985" s="27"/>
      <c r="AH985" s="27"/>
    </row>
    <row r="986" ht="15.75" customHeight="1">
      <c r="W986" s="27"/>
      <c r="X986" s="27"/>
      <c r="AD986" s="27"/>
      <c r="AF986" s="27"/>
      <c r="AH986" s="27"/>
    </row>
    <row r="987" ht="15.75" customHeight="1">
      <c r="W987" s="27"/>
      <c r="X987" s="27"/>
      <c r="AD987" s="27"/>
      <c r="AF987" s="27"/>
      <c r="AH987" s="27"/>
    </row>
    <row r="988" ht="15.75" customHeight="1">
      <c r="W988" s="27"/>
      <c r="X988" s="27"/>
      <c r="AD988" s="27"/>
      <c r="AF988" s="27"/>
      <c r="AH988" s="27"/>
    </row>
    <row r="989" ht="15.75" customHeight="1">
      <c r="W989" s="27"/>
      <c r="X989" s="27"/>
      <c r="AD989" s="27"/>
      <c r="AF989" s="27"/>
      <c r="AH989" s="27"/>
    </row>
    <row r="990" ht="15.75" customHeight="1">
      <c r="W990" s="27"/>
      <c r="X990" s="27"/>
      <c r="AD990" s="27"/>
      <c r="AF990" s="27"/>
      <c r="AH990" s="27"/>
    </row>
    <row r="991" ht="15.75" customHeight="1">
      <c r="W991" s="27"/>
      <c r="X991" s="27"/>
      <c r="AD991" s="27"/>
      <c r="AF991" s="27"/>
      <c r="AH991" s="27"/>
    </row>
    <row r="992" ht="15.75" customHeight="1">
      <c r="W992" s="27"/>
      <c r="X992" s="27"/>
      <c r="AD992" s="27"/>
      <c r="AF992" s="27"/>
      <c r="AH992" s="27"/>
    </row>
    <row r="993" ht="15.75" customHeight="1">
      <c r="W993" s="27"/>
      <c r="X993" s="27"/>
      <c r="AD993" s="27"/>
      <c r="AF993" s="27"/>
      <c r="AH993" s="27"/>
    </row>
    <row r="994" ht="15.75" customHeight="1">
      <c r="W994" s="27"/>
      <c r="X994" s="27"/>
      <c r="AD994" s="27"/>
      <c r="AF994" s="27"/>
      <c r="AH994" s="27"/>
    </row>
    <row r="995" ht="15.75" customHeight="1">
      <c r="W995" s="27"/>
      <c r="X995" s="27"/>
      <c r="AD995" s="27"/>
      <c r="AF995" s="27"/>
      <c r="AH995" s="27"/>
    </row>
    <row r="996" ht="15.75" customHeight="1">
      <c r="W996" s="27"/>
      <c r="X996" s="27"/>
      <c r="AD996" s="27"/>
      <c r="AF996" s="27"/>
      <c r="AH996" s="27"/>
    </row>
    <row r="997" ht="15.75" customHeight="1">
      <c r="W997" s="27"/>
      <c r="X997" s="27"/>
      <c r="AD997" s="27"/>
      <c r="AF997" s="27"/>
      <c r="AH997" s="27"/>
    </row>
    <row r="998" ht="15.75" customHeight="1">
      <c r="W998" s="27"/>
      <c r="X998" s="27"/>
      <c r="AD998" s="27"/>
      <c r="AF998" s="27"/>
      <c r="AH998" s="27"/>
    </row>
    <row r="999" ht="15.75" customHeight="1">
      <c r="W999" s="27"/>
      <c r="X999" s="27"/>
      <c r="AD999" s="27"/>
      <c r="AF999" s="27"/>
      <c r="AH999" s="27"/>
    </row>
    <row r="1000" ht="15.75" customHeight="1">
      <c r="W1000" s="27"/>
      <c r="X1000" s="27"/>
      <c r="AD1000" s="27"/>
      <c r="AF1000" s="27"/>
      <c r="AH1000" s="27"/>
    </row>
  </sheetData>
  <printOptions/>
  <pageMargins bottom="0.25" footer="0.0" header="0.0" left="0.2" right="0.2" top="0.63"/>
  <pageSetup orientation="landscape"/>
  <headerFooter>
    <oddHeader>&amp;CEmployee Salary Breakdown 2019-20&amp;R&amp;D</oddHeader>
    <oddFooter>&amp;R&amp;P of </oddFooter>
  </headerFooter>
  <rowBreaks count="4" manualBreakCount="4">
    <brk id="48" man="1"/>
    <brk id="210" man="1"/>
    <brk id="168" man="1"/>
    <brk id="90" man="1"/>
  </rowBreaks>
  <colBreaks count="1" manualBreakCount="1">
    <brk id="22" man="1"/>
  </colBreaks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2016-04-11T21:46:25Z</dcterms:created>
  <dc:creator>Carey F Reynolds</dc:creator>
</cp:coreProperties>
</file>