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bpope\Documents\Cul2vate\2021\"/>
    </mc:Choice>
  </mc:AlternateContent>
  <bookViews>
    <workbookView xWindow="240" yWindow="360" windowWidth="20265" windowHeight="7785" tabRatio="808" activeTab="2"/>
  </bookViews>
  <sheets>
    <sheet name="Cover" sheetId="29" r:id="rId1"/>
    <sheet name="Notes Open" sheetId="20" r:id="rId2"/>
    <sheet name="Overview" sheetId="6" r:id="rId3"/>
    <sheet name="HistoricalView" sheetId="38" r:id="rId4"/>
    <sheet name="Revenue" sheetId="3" r:id="rId5"/>
    <sheet name="Rev Trend" sheetId="26" r:id="rId6"/>
    <sheet name="Geographic" sheetId="22" r:id="rId7"/>
    <sheet name="RCC" sheetId="43" r:id="rId8"/>
    <sheet name="CapEx" sheetId="4" r:id="rId9"/>
    <sheet name="Wages" sheetId="41" r:id="rId10"/>
    <sheet name="COGS" sheetId="5" r:id="rId11"/>
    <sheet name="Taxes" sheetId="30" r:id="rId12"/>
    <sheet name="Travel Input" sheetId="31" r:id="rId13"/>
    <sheet name="Travel Output" sheetId="32" r:id="rId14"/>
    <sheet name="Insurance" sheetId="12" r:id="rId15"/>
    <sheet name="Cash Bal" sheetId="42" r:id="rId16"/>
    <sheet name="GRAPHS" sheetId="36" r:id="rId17"/>
    <sheet name="Cash Balance" sheetId="27" r:id="rId18"/>
    <sheet name="HISTORICAL" sheetId="37" r:id="rId19"/>
    <sheet name="Sept 2019 TTM" sheetId="33" r:id="rId20"/>
    <sheet name="TTM Oct 2019" sheetId="34" r:id="rId21"/>
    <sheet name="Rev Detail TTM Oct 2019" sheetId="35" r:id="rId22"/>
    <sheet name="Oct TTM" sheetId="24" r:id="rId23"/>
    <sheet name="Oct CF" sheetId="25" r:id="rId24"/>
    <sheet name="CropBox" sheetId="23" r:id="rId25"/>
  </sheets>
  <definedNames>
    <definedName name="_xlnm.Print_Area" localSheetId="8">CapEx!$A$1:$F$34</definedName>
    <definedName name="_xlnm.Print_Area" localSheetId="0">Cover!$A$1:$G$24</definedName>
    <definedName name="_xlnm.Print_Area" localSheetId="6">Geographic!$A$1:$J$47</definedName>
    <definedName name="_xlnm.Print_Area" localSheetId="2">Overview!$A$1:$F$26</definedName>
    <definedName name="_xlnm.Print_Area" localSheetId="7">RCC!$A$1:$F$16</definedName>
    <definedName name="_xlnm.Print_Area" localSheetId="5">'Rev Trend'!$B$10:$N$40</definedName>
    <definedName name="_xlnm.Print_Area" localSheetId="4">Revenue!$A$1:$Q$42</definedName>
    <definedName name="_xlnm.Print_Titles" localSheetId="8">CapEx!$1:$1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F54" i="38" l="1"/>
  <c r="AE54" i="38"/>
  <c r="AA54" i="38"/>
  <c r="AA127" i="38" l="1"/>
  <c r="AE127" i="38"/>
  <c r="AF127" i="38"/>
  <c r="AG127" i="38"/>
  <c r="AH127" i="38"/>
  <c r="AI127" i="38"/>
  <c r="AJ127" i="38"/>
  <c r="AK127" i="38" s="1"/>
  <c r="AL127" i="38" s="1"/>
  <c r="AM127" i="38" s="1"/>
  <c r="AN127" i="38" s="1"/>
  <c r="AD127" i="38"/>
  <c r="AC127" i="38"/>
  <c r="L5" i="43" l="1"/>
  <c r="L4" i="43"/>
  <c r="M4" i="43"/>
  <c r="M3" i="43"/>
  <c r="L3" i="43"/>
  <c r="C8" i="43"/>
  <c r="C4" i="43"/>
  <c r="C5" i="43"/>
  <c r="M5" i="43" l="1"/>
  <c r="C15" i="43"/>
  <c r="C9" i="43"/>
  <c r="C6" i="43"/>
  <c r="B29" i="43"/>
  <c r="C14" i="43" l="1"/>
  <c r="C16" i="43" s="1"/>
  <c r="Z23" i="38"/>
  <c r="Z11" i="38"/>
  <c r="D6" i="6"/>
  <c r="E6" i="6"/>
  <c r="Z125" i="38"/>
  <c r="Z63" i="38"/>
  <c r="Z33" i="38"/>
  <c r="Z32" i="38"/>
  <c r="Z27" i="38"/>
  <c r="E5" i="6"/>
  <c r="AD120" i="38"/>
  <c r="AE120" i="38"/>
  <c r="AF120" i="38"/>
  <c r="AG120" i="38"/>
  <c r="AH120" i="38"/>
  <c r="AI120" i="38"/>
  <c r="AJ120" i="38"/>
  <c r="AK120" i="38"/>
  <c r="AL120" i="38"/>
  <c r="AM120" i="38"/>
  <c r="AN120" i="38"/>
  <c r="AC120" i="38"/>
  <c r="AA120" i="38"/>
  <c r="AD86" i="38" l="1"/>
  <c r="AE86" i="38"/>
  <c r="AF86" i="38"/>
  <c r="AG86" i="38"/>
  <c r="AH86" i="38"/>
  <c r="AI86" i="38"/>
  <c r="AJ86" i="38"/>
  <c r="AK86" i="38"/>
  <c r="AL86" i="38"/>
  <c r="AM86" i="38"/>
  <c r="AN86" i="38"/>
  <c r="AD87" i="38"/>
  <c r="AE87" i="38"/>
  <c r="AF87" i="38"/>
  <c r="AG87" i="38"/>
  <c r="AB87" i="38" s="1"/>
  <c r="AH87" i="38"/>
  <c r="AI87" i="38"/>
  <c r="AJ87" i="38"/>
  <c r="AK87" i="38"/>
  <c r="AL87" i="38"/>
  <c r="AM87" i="38"/>
  <c r="AN87" i="38"/>
  <c r="AD88" i="38"/>
  <c r="AD90" i="38" s="1"/>
  <c r="AE88" i="38"/>
  <c r="AF88" i="38"/>
  <c r="AG88" i="38"/>
  <c r="AH88" i="38"/>
  <c r="AI88" i="38"/>
  <c r="AJ88" i="38"/>
  <c r="AK88" i="38"/>
  <c r="AL88" i="38"/>
  <c r="AM88" i="38"/>
  <c r="AN88" i="38"/>
  <c r="AD89" i="38"/>
  <c r="AE89" i="38"/>
  <c r="AF89" i="38"/>
  <c r="AG89" i="38"/>
  <c r="AH89" i="38"/>
  <c r="AI89" i="38"/>
  <c r="AB89" i="38" s="1"/>
  <c r="AJ89" i="38"/>
  <c r="AK89" i="38"/>
  <c r="AL89" i="38"/>
  <c r="AM89" i="38"/>
  <c r="AN89" i="38"/>
  <c r="AC89" i="38"/>
  <c r="AA89" i="38"/>
  <c r="AC88" i="38"/>
  <c r="AB88" i="38" s="1"/>
  <c r="AA88" i="38"/>
  <c r="AC87" i="38"/>
  <c r="AA87" i="38"/>
  <c r="AC86" i="38"/>
  <c r="AA86" i="38"/>
  <c r="R9" i="12"/>
  <c r="F9" i="12"/>
  <c r="C4" i="41"/>
  <c r="C5" i="41"/>
  <c r="C14" i="41"/>
  <c r="E16" i="12"/>
  <c r="O7" i="12"/>
  <c r="M10" i="12"/>
  <c r="AA37" i="38"/>
  <c r="AB37" i="38" s="1"/>
  <c r="G5" i="5"/>
  <c r="E5" i="5"/>
  <c r="G23" i="5"/>
  <c r="G6" i="5"/>
  <c r="G7" i="5"/>
  <c r="G8" i="5"/>
  <c r="G9" i="5"/>
  <c r="G10" i="5"/>
  <c r="G11" i="5"/>
  <c r="G12" i="5"/>
  <c r="G13" i="5"/>
  <c r="G15" i="5"/>
  <c r="G16" i="5"/>
  <c r="G17" i="5"/>
  <c r="G18" i="5"/>
  <c r="G19" i="5"/>
  <c r="G20" i="5"/>
  <c r="G21" i="5"/>
  <c r="G22" i="5"/>
  <c r="G25" i="5"/>
  <c r="AA33" i="38"/>
  <c r="AA61" i="38" s="1"/>
  <c r="AA55" i="38"/>
  <c r="AA57" i="38" s="1"/>
  <c r="AA109" i="38"/>
  <c r="AA110" i="38"/>
  <c r="AA111" i="38"/>
  <c r="AA112" i="38"/>
  <c r="F15" i="6"/>
  <c r="F34" i="4"/>
  <c r="F20" i="6"/>
  <c r="E34" i="4"/>
  <c r="F21" i="6"/>
  <c r="F8" i="6"/>
  <c r="F9" i="6"/>
  <c r="H36" i="4"/>
  <c r="D10" i="42"/>
  <c r="S7" i="4"/>
  <c r="S35" i="4"/>
  <c r="S8" i="4"/>
  <c r="S9" i="4"/>
  <c r="S10" i="4"/>
  <c r="S11" i="4"/>
  <c r="S12" i="4"/>
  <c r="S13" i="4"/>
  <c r="S14" i="4"/>
  <c r="S15" i="4"/>
  <c r="S16" i="4"/>
  <c r="S17" i="4"/>
  <c r="S18" i="4"/>
  <c r="S19" i="4"/>
  <c r="S20" i="4"/>
  <c r="S21" i="4"/>
  <c r="S22" i="4"/>
  <c r="S23" i="4"/>
  <c r="S24" i="4"/>
  <c r="S25" i="4"/>
  <c r="S26" i="4"/>
  <c r="S27" i="4"/>
  <c r="S28" i="4"/>
  <c r="S29" i="4"/>
  <c r="T7" i="4"/>
  <c r="T8" i="4"/>
  <c r="T9" i="4"/>
  <c r="T10" i="4"/>
  <c r="T11" i="4"/>
  <c r="T12" i="4"/>
  <c r="T13" i="4"/>
  <c r="T14" i="4"/>
  <c r="T15" i="4"/>
  <c r="T16" i="4"/>
  <c r="T17" i="4"/>
  <c r="T18" i="4"/>
  <c r="T19" i="4"/>
  <c r="T20" i="4"/>
  <c r="T21" i="4"/>
  <c r="T22" i="4"/>
  <c r="T23" i="4"/>
  <c r="T24" i="4"/>
  <c r="T25" i="4"/>
  <c r="T27" i="4"/>
  <c r="T28" i="4"/>
  <c r="T6" i="4"/>
  <c r="T29" i="4"/>
  <c r="I34" i="4"/>
  <c r="E7" i="42"/>
  <c r="G34" i="4"/>
  <c r="C7" i="42"/>
  <c r="AC33" i="38"/>
  <c r="AC109" i="38"/>
  <c r="AC110" i="38"/>
  <c r="AC111" i="38"/>
  <c r="AC112" i="38"/>
  <c r="C5" i="42"/>
  <c r="H34" i="4"/>
  <c r="D7" i="42"/>
  <c r="AD33" i="38"/>
  <c r="AD109" i="38"/>
  <c r="AD110" i="38"/>
  <c r="AD111" i="38"/>
  <c r="AD112" i="38"/>
  <c r="D5" i="42"/>
  <c r="D6" i="42"/>
  <c r="AE33" i="38"/>
  <c r="AE16" i="38"/>
  <c r="AE109" i="38"/>
  <c r="AE110" i="38"/>
  <c r="AE111" i="38"/>
  <c r="AE112" i="38"/>
  <c r="E5" i="42"/>
  <c r="J34" i="4"/>
  <c r="F7" i="42"/>
  <c r="AF33" i="38"/>
  <c r="AF16" i="38"/>
  <c r="AF27" i="38" s="1"/>
  <c r="AF109" i="38"/>
  <c r="AF110" i="38"/>
  <c r="AF111" i="38"/>
  <c r="AF112" i="38"/>
  <c r="F5" i="42"/>
  <c r="K34" i="4"/>
  <c r="G7" i="42"/>
  <c r="AG33" i="38"/>
  <c r="AG16" i="38"/>
  <c r="AG27" i="38" s="1"/>
  <c r="AG109" i="38"/>
  <c r="AG110" i="38"/>
  <c r="AG111" i="38"/>
  <c r="AG112" i="38"/>
  <c r="G5" i="42"/>
  <c r="L34" i="4"/>
  <c r="H7" i="42"/>
  <c r="AH33" i="38"/>
  <c r="AH16" i="38"/>
  <c r="H6" i="26" s="1"/>
  <c r="AH109" i="38"/>
  <c r="AH110" i="38"/>
  <c r="AH111" i="38"/>
  <c r="AH112" i="38"/>
  <c r="H5" i="42"/>
  <c r="AI33" i="38"/>
  <c r="AI16" i="38"/>
  <c r="I6" i="26" s="1"/>
  <c r="AI109" i="38"/>
  <c r="AI110" i="38"/>
  <c r="AI111" i="38"/>
  <c r="AI112" i="38"/>
  <c r="I5" i="42"/>
  <c r="AJ33" i="38"/>
  <c r="AJ109" i="38"/>
  <c r="AJ110" i="38"/>
  <c r="AJ111" i="38"/>
  <c r="AJ112" i="38"/>
  <c r="J5" i="42"/>
  <c r="AK33" i="38"/>
  <c r="AK109" i="38"/>
  <c r="AK110" i="38"/>
  <c r="AK111" i="38"/>
  <c r="AK112" i="38"/>
  <c r="K5" i="42"/>
  <c r="AL33" i="38"/>
  <c r="AL109" i="38"/>
  <c r="AL110" i="38"/>
  <c r="AL111" i="38"/>
  <c r="AL112" i="38"/>
  <c r="L5" i="42"/>
  <c r="AM33" i="38"/>
  <c r="AM109" i="38"/>
  <c r="AM110" i="38"/>
  <c r="AM111" i="38"/>
  <c r="AM112" i="38"/>
  <c r="M5" i="42"/>
  <c r="AN33" i="38"/>
  <c r="AN109" i="38"/>
  <c r="AN110" i="38"/>
  <c r="AN111" i="38"/>
  <c r="AN112" i="38"/>
  <c r="N5" i="42"/>
  <c r="E57" i="3"/>
  <c r="E58" i="3"/>
  <c r="E59" i="3"/>
  <c r="E53" i="3"/>
  <c r="E72" i="3"/>
  <c r="F10" i="30"/>
  <c r="G10" i="30"/>
  <c r="H10" i="30"/>
  <c r="I10" i="30"/>
  <c r="J10" i="30"/>
  <c r="K10" i="30"/>
  <c r="L10" i="30"/>
  <c r="M10" i="30"/>
  <c r="N10" i="30"/>
  <c r="D8" i="30"/>
  <c r="E8" i="30"/>
  <c r="F8" i="30"/>
  <c r="G8" i="30"/>
  <c r="H8" i="30"/>
  <c r="I8" i="30"/>
  <c r="J8" i="30"/>
  <c r="K8" i="30"/>
  <c r="L8" i="30"/>
  <c r="M8" i="30"/>
  <c r="N8" i="30"/>
  <c r="C8" i="30"/>
  <c r="C5" i="30"/>
  <c r="D5" i="30"/>
  <c r="E5" i="30"/>
  <c r="F39" i="30"/>
  <c r="G39" i="30"/>
  <c r="H39" i="30"/>
  <c r="I39" i="30"/>
  <c r="F40" i="30"/>
  <c r="G40" i="30"/>
  <c r="H40" i="30"/>
  <c r="I40" i="30"/>
  <c r="F41" i="30"/>
  <c r="G41" i="30"/>
  <c r="H41" i="30"/>
  <c r="I41" i="30"/>
  <c r="N20" i="30"/>
  <c r="N21" i="30"/>
  <c r="N22" i="30"/>
  <c r="C32" i="30"/>
  <c r="D32" i="30"/>
  <c r="E32" i="30"/>
  <c r="F32" i="30"/>
  <c r="G32" i="30"/>
  <c r="H32" i="30"/>
  <c r="B32" i="30"/>
  <c r="C33" i="30"/>
  <c r="D33" i="30"/>
  <c r="E33" i="30"/>
  <c r="F33" i="30"/>
  <c r="G33" i="30"/>
  <c r="H33" i="30"/>
  <c r="B33" i="30"/>
  <c r="C34" i="30"/>
  <c r="D34" i="30"/>
  <c r="E34" i="30"/>
  <c r="F34" i="30"/>
  <c r="G34" i="30"/>
  <c r="H34" i="30"/>
  <c r="B34" i="30"/>
  <c r="C35" i="30"/>
  <c r="D35" i="30"/>
  <c r="E35" i="30"/>
  <c r="F35" i="30"/>
  <c r="G35" i="30"/>
  <c r="H35" i="30"/>
  <c r="B35" i="30"/>
  <c r="C36" i="30"/>
  <c r="D36" i="30"/>
  <c r="E36" i="30"/>
  <c r="F36" i="30"/>
  <c r="G36" i="30"/>
  <c r="H36" i="30"/>
  <c r="B36" i="30"/>
  <c r="C37" i="30"/>
  <c r="D37" i="30"/>
  <c r="E37" i="30"/>
  <c r="F37" i="30"/>
  <c r="G37" i="30"/>
  <c r="H37" i="30"/>
  <c r="B37" i="30"/>
  <c r="O29" i="30"/>
  <c r="C29" i="30"/>
  <c r="O30" i="30"/>
  <c r="C30" i="30"/>
  <c r="D30" i="30"/>
  <c r="E30" i="30"/>
  <c r="O31" i="30"/>
  <c r="C31" i="30"/>
  <c r="B28" i="30"/>
  <c r="O28" i="30"/>
  <c r="B22" i="30"/>
  <c r="C22" i="30"/>
  <c r="B23" i="30"/>
  <c r="C23" i="30"/>
  <c r="D23" i="30"/>
  <c r="G23" i="30"/>
  <c r="AJ16" i="38"/>
  <c r="J6" i="26" s="1"/>
  <c r="H14" i="22"/>
  <c r="H15" i="22"/>
  <c r="H16" i="22"/>
  <c r="H17" i="22"/>
  <c r="H18" i="22"/>
  <c r="H19" i="22"/>
  <c r="H20" i="22"/>
  <c r="H21" i="22"/>
  <c r="H22" i="22"/>
  <c r="H23" i="22"/>
  <c r="H24" i="22"/>
  <c r="H25" i="22"/>
  <c r="H26" i="22"/>
  <c r="H27" i="22"/>
  <c r="H28" i="22"/>
  <c r="H29" i="22"/>
  <c r="H30" i="22"/>
  <c r="H31" i="22"/>
  <c r="H32" i="22"/>
  <c r="H33" i="22"/>
  <c r="H34" i="22"/>
  <c r="H35" i="22"/>
  <c r="H36" i="22"/>
  <c r="H13" i="22"/>
  <c r="C8" i="41"/>
  <c r="AA64" i="38"/>
  <c r="AA59" i="38"/>
  <c r="G26" i="5" s="1"/>
  <c r="W23" i="41"/>
  <c r="E64" i="3"/>
  <c r="C7" i="41"/>
  <c r="F17" i="22"/>
  <c r="G17" i="22"/>
  <c r="H6" i="41"/>
  <c r="B7" i="30"/>
  <c r="I7" i="30"/>
  <c r="B5" i="30"/>
  <c r="B6" i="30"/>
  <c r="C6" i="30"/>
  <c r="T8" i="31"/>
  <c r="T11" i="31"/>
  <c r="U8" i="31"/>
  <c r="U11" i="31"/>
  <c r="C5" i="32"/>
  <c r="O8" i="31"/>
  <c r="O11" i="31"/>
  <c r="C6" i="32"/>
  <c r="P8" i="31"/>
  <c r="P11" i="31"/>
  <c r="C10" i="32"/>
  <c r="R8" i="31"/>
  <c r="R11" i="31"/>
  <c r="C7" i="32"/>
  <c r="S8" i="31"/>
  <c r="S11" i="31"/>
  <c r="C8" i="32"/>
  <c r="Q8" i="31"/>
  <c r="Q11" i="31"/>
  <c r="C11" i="32"/>
  <c r="V8" i="31"/>
  <c r="V11" i="31"/>
  <c r="C9" i="32"/>
  <c r="G36" i="4"/>
  <c r="C10" i="42"/>
  <c r="AD27" i="38"/>
  <c r="T18" i="31"/>
  <c r="T21" i="31"/>
  <c r="U18" i="31"/>
  <c r="U21" i="31"/>
  <c r="E5" i="32"/>
  <c r="O18" i="31"/>
  <c r="O21" i="31"/>
  <c r="E6" i="32"/>
  <c r="P18" i="31"/>
  <c r="P21" i="31"/>
  <c r="E10" i="32"/>
  <c r="R18" i="31"/>
  <c r="R21" i="31"/>
  <c r="E7" i="32"/>
  <c r="S18" i="31"/>
  <c r="S21" i="31"/>
  <c r="E8" i="32"/>
  <c r="Q18" i="31"/>
  <c r="Q21" i="31"/>
  <c r="E11" i="32"/>
  <c r="V18" i="31"/>
  <c r="V21" i="31"/>
  <c r="E9" i="32"/>
  <c r="I36" i="4"/>
  <c r="E10" i="42"/>
  <c r="F7" i="30"/>
  <c r="F5" i="30"/>
  <c r="F6" i="30"/>
  <c r="J36" i="4"/>
  <c r="F10" i="42"/>
  <c r="G7" i="30"/>
  <c r="G5" i="30"/>
  <c r="G6" i="30"/>
  <c r="G9" i="30"/>
  <c r="G11" i="30"/>
  <c r="AG95" i="38"/>
  <c r="K36" i="4"/>
  <c r="G10" i="42"/>
  <c r="G8" i="3"/>
  <c r="H8" i="3"/>
  <c r="I8" i="3"/>
  <c r="G15" i="3"/>
  <c r="G37" i="3"/>
  <c r="H37" i="3"/>
  <c r="H5" i="30"/>
  <c r="H6" i="30"/>
  <c r="L36" i="4"/>
  <c r="H10" i="42"/>
  <c r="I5" i="30"/>
  <c r="I6" i="30"/>
  <c r="M36" i="4"/>
  <c r="I10" i="42"/>
  <c r="J7" i="30"/>
  <c r="J5" i="30"/>
  <c r="J6" i="30"/>
  <c r="N36" i="4"/>
  <c r="J10" i="42"/>
  <c r="K5" i="30"/>
  <c r="K6" i="30"/>
  <c r="O36" i="4"/>
  <c r="K10" i="42"/>
  <c r="AL9" i="38"/>
  <c r="L7" i="30"/>
  <c r="L9" i="30"/>
  <c r="L11" i="30"/>
  <c r="AL95" i="38"/>
  <c r="L5" i="30"/>
  <c r="L6" i="30"/>
  <c r="P36" i="4"/>
  <c r="L10" i="42"/>
  <c r="M5" i="30"/>
  <c r="M6" i="30"/>
  <c r="Q36" i="4"/>
  <c r="M10" i="42"/>
  <c r="N5" i="30"/>
  <c r="N6" i="30"/>
  <c r="R36" i="4"/>
  <c r="N10" i="42"/>
  <c r="D3" i="26"/>
  <c r="E3" i="26"/>
  <c r="F3" i="26"/>
  <c r="G3" i="26"/>
  <c r="H3" i="26"/>
  <c r="I3" i="26"/>
  <c r="J3" i="26"/>
  <c r="K3" i="26"/>
  <c r="L3" i="26"/>
  <c r="M3" i="26"/>
  <c r="N3" i="26"/>
  <c r="D4" i="26"/>
  <c r="E4" i="26"/>
  <c r="F4" i="26"/>
  <c r="G4" i="26"/>
  <c r="H4" i="26"/>
  <c r="I4" i="26"/>
  <c r="J4" i="26"/>
  <c r="K4" i="26"/>
  <c r="L4" i="26"/>
  <c r="M4" i="26"/>
  <c r="N4" i="26"/>
  <c r="D5" i="26"/>
  <c r="E5" i="26"/>
  <c r="F5" i="26"/>
  <c r="G5" i="26"/>
  <c r="H5" i="26"/>
  <c r="I5" i="26"/>
  <c r="J5" i="26"/>
  <c r="K5" i="26"/>
  <c r="L5" i="26"/>
  <c r="M5" i="26"/>
  <c r="N5" i="26"/>
  <c r="D6" i="26"/>
  <c r="F6" i="26"/>
  <c r="G6" i="26"/>
  <c r="K6" i="26"/>
  <c r="L6" i="26"/>
  <c r="M6" i="26"/>
  <c r="N6" i="26"/>
  <c r="D8" i="26"/>
  <c r="E8" i="26"/>
  <c r="F8" i="26"/>
  <c r="G8" i="26"/>
  <c r="H8" i="26"/>
  <c r="I8" i="26"/>
  <c r="J8" i="26"/>
  <c r="K8" i="26"/>
  <c r="L8" i="26"/>
  <c r="M8" i="26"/>
  <c r="N8" i="26"/>
  <c r="C8" i="26"/>
  <c r="C5" i="26"/>
  <c r="C4" i="26"/>
  <c r="C3" i="26"/>
  <c r="O5" i="32"/>
  <c r="O6" i="32"/>
  <c r="O10" i="32"/>
  <c r="O7" i="32"/>
  <c r="O8" i="32"/>
  <c r="O11" i="32"/>
  <c r="O9" i="32"/>
  <c r="AA60" i="38"/>
  <c r="G36" i="5"/>
  <c r="H32" i="3"/>
  <c r="L32" i="3"/>
  <c r="M32" i="3"/>
  <c r="P8" i="3"/>
  <c r="AA11" i="38"/>
  <c r="F6" i="6" s="1"/>
  <c r="E70" i="3"/>
  <c r="AA16" i="38"/>
  <c r="F7" i="6" s="1"/>
  <c r="I8" i="22" s="1"/>
  <c r="J8" i="22" s="1"/>
  <c r="F19" i="22"/>
  <c r="J19" i="22" s="1"/>
  <c r="G19" i="22"/>
  <c r="F24" i="22"/>
  <c r="G24" i="22"/>
  <c r="F33" i="22"/>
  <c r="G33" i="22"/>
  <c r="F36" i="22"/>
  <c r="G36" i="22"/>
  <c r="J36" i="22" s="1"/>
  <c r="F13" i="22"/>
  <c r="G13" i="22"/>
  <c r="J13" i="22"/>
  <c r="F15" i="22"/>
  <c r="G15" i="22"/>
  <c r="F16" i="22"/>
  <c r="J16" i="22" s="1"/>
  <c r="G16" i="22"/>
  <c r="F18" i="22"/>
  <c r="G18" i="22"/>
  <c r="J18" i="22" s="1"/>
  <c r="F21" i="22"/>
  <c r="G21" i="22"/>
  <c r="F22" i="22"/>
  <c r="G22" i="22"/>
  <c r="F25" i="22"/>
  <c r="G25" i="22"/>
  <c r="F26" i="22"/>
  <c r="G26" i="22"/>
  <c r="F27" i="22"/>
  <c r="G27" i="22"/>
  <c r="F28" i="22"/>
  <c r="G28" i="22"/>
  <c r="F29" i="22"/>
  <c r="G29" i="22"/>
  <c r="J29" i="22"/>
  <c r="F30" i="22"/>
  <c r="J30" i="22" s="1"/>
  <c r="G30" i="22"/>
  <c r="F31" i="22"/>
  <c r="G31" i="22"/>
  <c r="G32" i="22"/>
  <c r="F35" i="22"/>
  <c r="G35" i="22"/>
  <c r="J35" i="22" s="1"/>
  <c r="D44" i="22"/>
  <c r="G44" i="22" s="1"/>
  <c r="D51" i="22"/>
  <c r="F51" i="22" s="1"/>
  <c r="E25" i="5"/>
  <c r="E26" i="5"/>
  <c r="E6" i="5"/>
  <c r="E7" i="5"/>
  <c r="E8" i="5"/>
  <c r="E9" i="5"/>
  <c r="E10" i="5"/>
  <c r="E11" i="5"/>
  <c r="E12" i="5"/>
  <c r="E13" i="5"/>
  <c r="E14" i="5"/>
  <c r="E15" i="5"/>
  <c r="E16" i="5"/>
  <c r="E17" i="5"/>
  <c r="E18" i="5"/>
  <c r="E19" i="5"/>
  <c r="E20" i="5"/>
  <c r="E21" i="5"/>
  <c r="E22" i="5"/>
  <c r="E4" i="5"/>
  <c r="AC16" i="38"/>
  <c r="C6" i="26" s="1"/>
  <c r="E9" i="3"/>
  <c r="G9" i="3"/>
  <c r="H9" i="3"/>
  <c r="E12" i="3"/>
  <c r="K12" i="3"/>
  <c r="E13" i="3"/>
  <c r="G13" i="3"/>
  <c r="H13" i="3"/>
  <c r="L13" i="3"/>
  <c r="E14" i="3"/>
  <c r="G14" i="3"/>
  <c r="H14" i="3"/>
  <c r="E16" i="3"/>
  <c r="G16" i="3"/>
  <c r="H16" i="3"/>
  <c r="E17" i="3"/>
  <c r="E18" i="3"/>
  <c r="G18" i="3"/>
  <c r="H18" i="3"/>
  <c r="L18" i="3"/>
  <c r="M18" i="3"/>
  <c r="E19" i="3"/>
  <c r="G19" i="3"/>
  <c r="H19" i="3"/>
  <c r="E20" i="3"/>
  <c r="G20" i="3"/>
  <c r="H20" i="3"/>
  <c r="E21" i="3"/>
  <c r="K21" i="3"/>
  <c r="E22" i="3"/>
  <c r="G22" i="3"/>
  <c r="H22" i="3"/>
  <c r="L22" i="3"/>
  <c r="E23" i="3"/>
  <c r="G23" i="3"/>
  <c r="H23" i="3"/>
  <c r="L23" i="3"/>
  <c r="M23" i="3"/>
  <c r="E24" i="3"/>
  <c r="G24" i="3"/>
  <c r="H24" i="3"/>
  <c r="E25" i="3"/>
  <c r="K25" i="3"/>
  <c r="E26" i="3"/>
  <c r="G26" i="3"/>
  <c r="E27" i="3"/>
  <c r="G27" i="3"/>
  <c r="H27" i="3"/>
  <c r="L27" i="3"/>
  <c r="M27" i="3"/>
  <c r="E28" i="3"/>
  <c r="G28" i="3"/>
  <c r="H28" i="3"/>
  <c r="E29" i="3"/>
  <c r="K29" i="3"/>
  <c r="E30" i="3"/>
  <c r="G30" i="3"/>
  <c r="H30" i="3"/>
  <c r="E31" i="3"/>
  <c r="G31" i="3"/>
  <c r="E33" i="3"/>
  <c r="G33" i="3"/>
  <c r="H33" i="3"/>
  <c r="E34" i="3"/>
  <c r="E35" i="3"/>
  <c r="G35" i="3"/>
  <c r="H35" i="3"/>
  <c r="E36" i="3"/>
  <c r="G36" i="3"/>
  <c r="E38" i="3"/>
  <c r="G38" i="3"/>
  <c r="E39" i="3"/>
  <c r="K39" i="3"/>
  <c r="G39" i="3"/>
  <c r="H39" i="3"/>
  <c r="L39" i="3"/>
  <c r="E32" i="3"/>
  <c r="E11" i="3"/>
  <c r="G11" i="3"/>
  <c r="H11" i="3"/>
  <c r="E15" i="3"/>
  <c r="P15" i="3"/>
  <c r="E37" i="3"/>
  <c r="P37" i="3"/>
  <c r="E8" i="3"/>
  <c r="E7" i="3"/>
  <c r="G7" i="3"/>
  <c r="E10" i="3"/>
  <c r="U17" i="41"/>
  <c r="D19" i="41"/>
  <c r="J19" i="41"/>
  <c r="K19" i="41"/>
  <c r="L19" i="41"/>
  <c r="M19" i="41"/>
  <c r="N19" i="41"/>
  <c r="O19" i="41"/>
  <c r="P19" i="41"/>
  <c r="Q19" i="41"/>
  <c r="R19" i="41"/>
  <c r="S19" i="41"/>
  <c r="C20" i="41"/>
  <c r="E20" i="41"/>
  <c r="J20" i="41"/>
  <c r="K20" i="41"/>
  <c r="L20" i="41"/>
  <c r="M20" i="41"/>
  <c r="N20" i="41"/>
  <c r="O20" i="41"/>
  <c r="P20" i="41"/>
  <c r="Q20" i="41"/>
  <c r="R20" i="41"/>
  <c r="S20" i="41"/>
  <c r="E21" i="41"/>
  <c r="E22" i="41"/>
  <c r="E23" i="41"/>
  <c r="J21" i="41"/>
  <c r="K21" i="41"/>
  <c r="L21" i="41"/>
  <c r="M21" i="41"/>
  <c r="N21" i="41"/>
  <c r="O21" i="41"/>
  <c r="P21" i="41"/>
  <c r="Q21" i="41"/>
  <c r="R21" i="41"/>
  <c r="S21" i="41"/>
  <c r="J22" i="41"/>
  <c r="K22" i="41"/>
  <c r="L22" i="41"/>
  <c r="M22" i="41"/>
  <c r="N22" i="41"/>
  <c r="O22" i="41"/>
  <c r="P22" i="41"/>
  <c r="Q22" i="41"/>
  <c r="R22" i="41"/>
  <c r="S22" i="41"/>
  <c r="J23" i="41"/>
  <c r="K23" i="41"/>
  <c r="L23" i="41"/>
  <c r="M23" i="41"/>
  <c r="N23" i="41"/>
  <c r="O23" i="41"/>
  <c r="P23" i="41"/>
  <c r="Q23" i="41"/>
  <c r="R23" i="41"/>
  <c r="S23" i="41"/>
  <c r="J24" i="41"/>
  <c r="K24" i="41"/>
  <c r="L24" i="41"/>
  <c r="M24" i="41"/>
  <c r="N24" i="41"/>
  <c r="O24" i="41"/>
  <c r="P24" i="41"/>
  <c r="Q24" i="41"/>
  <c r="R24" i="41"/>
  <c r="S24" i="41"/>
  <c r="C3" i="41"/>
  <c r="D3" i="41"/>
  <c r="D4" i="41"/>
  <c r="D5" i="41"/>
  <c r="G5" i="41"/>
  <c r="G6" i="41"/>
  <c r="E8" i="41"/>
  <c r="A23" i="22"/>
  <c r="A35" i="22"/>
  <c r="A36" i="22"/>
  <c r="A34" i="22"/>
  <c r="A33" i="22"/>
  <c r="A32" i="22"/>
  <c r="A30" i="22"/>
  <c r="A31" i="22"/>
  <c r="A25" i="22"/>
  <c r="A26" i="22"/>
  <c r="A27" i="22"/>
  <c r="A28" i="22"/>
  <c r="A29" i="22"/>
  <c r="A24" i="22"/>
  <c r="A21" i="22"/>
  <c r="A22" i="22"/>
  <c r="A19" i="22"/>
  <c r="A20" i="22"/>
  <c r="A17" i="22"/>
  <c r="A18" i="22"/>
  <c r="A16" i="22"/>
  <c r="A15" i="22"/>
  <c r="A14" i="22"/>
  <c r="A13" i="22"/>
  <c r="G24" i="30"/>
  <c r="G21" i="30"/>
  <c r="AA97" i="38"/>
  <c r="AB108" i="38"/>
  <c r="AB96" i="38"/>
  <c r="AN90" i="38"/>
  <c r="AF90" i="38"/>
  <c r="AB73" i="38"/>
  <c r="Z126" i="38"/>
  <c r="Z124" i="38"/>
  <c r="Z122" i="38"/>
  <c r="Z110" i="38"/>
  <c r="Z103" i="38"/>
  <c r="AL103" i="38" s="1"/>
  <c r="Z93" i="38"/>
  <c r="Z85" i="38"/>
  <c r="Z74" i="38"/>
  <c r="Z73" i="38"/>
  <c r="Z71" i="38"/>
  <c r="Z70" i="38"/>
  <c r="Z55" i="38"/>
  <c r="AN55" i="38" s="1"/>
  <c r="Z47" i="38"/>
  <c r="Z43" i="38"/>
  <c r="Z38" i="38"/>
  <c r="Z34" i="38"/>
  <c r="Z31" i="38"/>
  <c r="Z30" i="38"/>
  <c r="Z26" i="38"/>
  <c r="Z10" i="38"/>
  <c r="Z8" i="38"/>
  <c r="AB63" i="38"/>
  <c r="AB66" i="38"/>
  <c r="AB67" i="38"/>
  <c r="AB70" i="38"/>
  <c r="AB71" i="38"/>
  <c r="AB74" i="38"/>
  <c r="AB85" i="38"/>
  <c r="AB97" i="38"/>
  <c r="AB105" i="38"/>
  <c r="AB114" i="38"/>
  <c r="AB122" i="38"/>
  <c r="AB124" i="38"/>
  <c r="AB126" i="38"/>
  <c r="AB127" i="38"/>
  <c r="AB8" i="38"/>
  <c r="AB9" i="38"/>
  <c r="AB10" i="38"/>
  <c r="AL11" i="38"/>
  <c r="AB12" i="38"/>
  <c r="AB14" i="38"/>
  <c r="AC15" i="38"/>
  <c r="AG15" i="38"/>
  <c r="AH15" i="38"/>
  <c r="AI15" i="38"/>
  <c r="AJ15" i="38"/>
  <c r="AB17" i="38"/>
  <c r="AB18" i="38"/>
  <c r="AB19" i="38"/>
  <c r="AB20" i="38"/>
  <c r="AB24" i="38"/>
  <c r="AB25" i="38"/>
  <c r="AB26" i="38"/>
  <c r="AC27" i="38"/>
  <c r="AN27" i="38"/>
  <c r="AB28" i="38"/>
  <c r="AB29" i="38"/>
  <c r="AB30" i="38"/>
  <c r="AB31" i="38"/>
  <c r="AB32" i="38"/>
  <c r="AB34" i="38"/>
  <c r="AB38" i="38"/>
  <c r="AB43" i="38"/>
  <c r="AB47" i="38"/>
  <c r="AJ35" i="38"/>
  <c r="AJ36" i="38"/>
  <c r="AD23" i="38"/>
  <c r="D7" i="26" s="1"/>
  <c r="AE23" i="38"/>
  <c r="E7" i="26" s="1"/>
  <c r="AF23" i="38"/>
  <c r="F7" i="26" s="1"/>
  <c r="AG23" i="38"/>
  <c r="G7" i="26" s="1"/>
  <c r="AN23" i="38"/>
  <c r="N7" i="26" s="1"/>
  <c r="AC23" i="38"/>
  <c r="C7" i="26" s="1"/>
  <c r="AN15" i="38"/>
  <c r="AM15" i="38"/>
  <c r="AL15" i="38"/>
  <c r="AK15" i="38"/>
  <c r="AF15" i="38"/>
  <c r="AE15" i="38"/>
  <c r="AD15" i="38"/>
  <c r="AA13" i="38"/>
  <c r="AN11" i="38"/>
  <c r="AM11" i="38"/>
  <c r="AK11" i="38"/>
  <c r="AJ11" i="38"/>
  <c r="AI11" i="38"/>
  <c r="AH11" i="38"/>
  <c r="AG11" i="38"/>
  <c r="AF11" i="38"/>
  <c r="AE11" i="38"/>
  <c r="AD11" i="38"/>
  <c r="AB11" i="38" s="1"/>
  <c r="AC11" i="38"/>
  <c r="U24" i="41"/>
  <c r="U20" i="41"/>
  <c r="U23" i="41"/>
  <c r="U21" i="41"/>
  <c r="U22" i="41"/>
  <c r="U19" i="41"/>
  <c r="F20" i="41"/>
  <c r="E25" i="41"/>
  <c r="E24" i="41"/>
  <c r="F19" i="41"/>
  <c r="D20" i="41"/>
  <c r="D21" i="41"/>
  <c r="D22" i="41"/>
  <c r="D23" i="41"/>
  <c r="D24" i="41"/>
  <c r="C21" i="41"/>
  <c r="E6" i="41"/>
  <c r="E9" i="41"/>
  <c r="H3" i="41"/>
  <c r="D6" i="41"/>
  <c r="H5" i="41"/>
  <c r="I6" i="41"/>
  <c r="C10" i="41"/>
  <c r="AA129" i="38"/>
  <c r="E130" i="38"/>
  <c r="V129" i="38"/>
  <c r="U129" i="38"/>
  <c r="T129" i="38"/>
  <c r="R129" i="38"/>
  <c r="Q129" i="38"/>
  <c r="P129" i="38"/>
  <c r="O129" i="38"/>
  <c r="M129" i="38"/>
  <c r="L129" i="38"/>
  <c r="J129" i="38"/>
  <c r="I129" i="38"/>
  <c r="I130" i="38" s="1"/>
  <c r="H129" i="38"/>
  <c r="G129" i="38"/>
  <c r="F129" i="38"/>
  <c r="E129" i="38"/>
  <c r="D129" i="38"/>
  <c r="C129" i="38"/>
  <c r="B129" i="38"/>
  <c r="W128" i="38"/>
  <c r="X128" i="38"/>
  <c r="S128" i="38"/>
  <c r="N128" i="38"/>
  <c r="K128" i="38"/>
  <c r="Z128" i="38" s="1"/>
  <c r="K129" i="38"/>
  <c r="Y127" i="38"/>
  <c r="D15" i="6" s="1"/>
  <c r="W127" i="38"/>
  <c r="X127" i="38" s="1"/>
  <c r="S127" i="38"/>
  <c r="Z127" i="38" s="1"/>
  <c r="E15" i="6" s="1"/>
  <c r="Y126" i="38"/>
  <c r="X126" i="38"/>
  <c r="AA125" i="38"/>
  <c r="AA130" i="38" s="1"/>
  <c r="T125" i="38"/>
  <c r="T130" i="38" s="1"/>
  <c r="R125" i="38"/>
  <c r="R130" i="38" s="1"/>
  <c r="Q125" i="38"/>
  <c r="Q130" i="38" s="1"/>
  <c r="O125" i="38"/>
  <c r="O130" i="38" s="1"/>
  <c r="N125" i="38"/>
  <c r="L125" i="38"/>
  <c r="L130" i="38" s="1"/>
  <c r="K125" i="38"/>
  <c r="I125" i="38"/>
  <c r="G125" i="38"/>
  <c r="G130" i="38" s="1"/>
  <c r="F125" i="38"/>
  <c r="F130" i="38" s="1"/>
  <c r="E125" i="38"/>
  <c r="C125" i="38"/>
  <c r="C130" i="38" s="1"/>
  <c r="B125" i="38"/>
  <c r="Y124" i="38"/>
  <c r="W124" i="38"/>
  <c r="X124" i="38" s="1"/>
  <c r="U124" i="38"/>
  <c r="U125" i="38"/>
  <c r="U130" i="38" s="1"/>
  <c r="V123" i="38"/>
  <c r="S123" i="38"/>
  <c r="S125" i="38"/>
  <c r="P123" i="38"/>
  <c r="M123" i="38"/>
  <c r="J123" i="38"/>
  <c r="J125" i="38"/>
  <c r="J130" i="38" s="1"/>
  <c r="H123" i="38"/>
  <c r="H125" i="38" s="1"/>
  <c r="H130" i="38" s="1"/>
  <c r="G123" i="38"/>
  <c r="D123" i="38"/>
  <c r="D125" i="38" s="1"/>
  <c r="D130" i="38" s="1"/>
  <c r="Y122" i="38"/>
  <c r="X122" i="38"/>
  <c r="Y118" i="38"/>
  <c r="W118" i="38"/>
  <c r="X118" i="38" s="1"/>
  <c r="N118" i="38"/>
  <c r="B118" i="38"/>
  <c r="AA117" i="38"/>
  <c r="U117" i="38"/>
  <c r="T117" i="38"/>
  <c r="R117" i="38"/>
  <c r="P117" i="38"/>
  <c r="O117" i="38"/>
  <c r="N117" i="38"/>
  <c r="M117" i="38"/>
  <c r="J117" i="38"/>
  <c r="H117" i="38"/>
  <c r="G117" i="38"/>
  <c r="F117" i="38"/>
  <c r="F120" i="38" s="1"/>
  <c r="D117" i="38"/>
  <c r="B117" i="38"/>
  <c r="V116" i="38"/>
  <c r="V117" i="38" s="1"/>
  <c r="S116" i="38"/>
  <c r="S117" i="38"/>
  <c r="Q116" i="38"/>
  <c r="Q117" i="38"/>
  <c r="L116" i="38"/>
  <c r="Z116" i="38" s="1"/>
  <c r="AE116" i="38" s="1"/>
  <c r="I116" i="38"/>
  <c r="I117" i="38" s="1"/>
  <c r="E116" i="38"/>
  <c r="W116" i="38" s="1"/>
  <c r="X116" i="38" s="1"/>
  <c r="Y115" i="38"/>
  <c r="O115" i="38"/>
  <c r="K115" i="38"/>
  <c r="E115" i="38"/>
  <c r="C115" i="38"/>
  <c r="P114" i="38"/>
  <c r="Z114" i="38" s="1"/>
  <c r="D114" i="38"/>
  <c r="V113" i="38"/>
  <c r="T113" i="38"/>
  <c r="S113" i="38"/>
  <c r="R113" i="38"/>
  <c r="Q113" i="38"/>
  <c r="P113" i="38"/>
  <c r="O113" i="38"/>
  <c r="L113" i="38"/>
  <c r="J113" i="38"/>
  <c r="I113" i="38"/>
  <c r="G113" i="38"/>
  <c r="F113" i="38"/>
  <c r="D113" i="38"/>
  <c r="Y112" i="38"/>
  <c r="U112" i="38"/>
  <c r="W112" i="38" s="1"/>
  <c r="X112" i="38" s="1"/>
  <c r="N112" i="38"/>
  <c r="M112" i="38"/>
  <c r="K112" i="38"/>
  <c r="H112" i="38"/>
  <c r="C112" i="38"/>
  <c r="N111" i="38"/>
  <c r="M111" i="38"/>
  <c r="K111" i="38"/>
  <c r="Z111" i="38" s="1"/>
  <c r="E111" i="38"/>
  <c r="E113" i="38" s="1"/>
  <c r="C111" i="38"/>
  <c r="M110" i="38"/>
  <c r="K110" i="38"/>
  <c r="H110" i="38"/>
  <c r="H113" i="38"/>
  <c r="C110" i="38"/>
  <c r="B110" i="38"/>
  <c r="Y110" i="38" s="1"/>
  <c r="N109" i="38"/>
  <c r="N113" i="38" s="1"/>
  <c r="M109" i="38"/>
  <c r="K109" i="38"/>
  <c r="Z109" i="38" s="1"/>
  <c r="C109" i="38"/>
  <c r="B109" i="38"/>
  <c r="Y108" i="38"/>
  <c r="U108" i="38"/>
  <c r="S107" i="38"/>
  <c r="R107" i="38"/>
  <c r="Q107" i="38"/>
  <c r="O107" i="38"/>
  <c r="L107" i="38"/>
  <c r="H107" i="38"/>
  <c r="G107" i="38"/>
  <c r="F107" i="38"/>
  <c r="D107" i="38"/>
  <c r="Y107" i="38" s="1"/>
  <c r="P106" i="38"/>
  <c r="Z106" i="38" s="1"/>
  <c r="I106" i="38"/>
  <c r="Y106" i="38" s="1"/>
  <c r="U105" i="38"/>
  <c r="T105" i="38"/>
  <c r="S105" i="38"/>
  <c r="R105" i="38"/>
  <c r="Q105" i="38"/>
  <c r="P105" i="38"/>
  <c r="O105" i="38"/>
  <c r="N105" i="38"/>
  <c r="L105" i="38"/>
  <c r="K105" i="38"/>
  <c r="T104" i="38"/>
  <c r="S104" i="38"/>
  <c r="R104" i="38"/>
  <c r="Q104" i="38"/>
  <c r="P104" i="38"/>
  <c r="O104" i="38"/>
  <c r="N104" i="38"/>
  <c r="K104" i="38"/>
  <c r="J104" i="38"/>
  <c r="I104" i="38"/>
  <c r="H104" i="38"/>
  <c r="G104" i="38"/>
  <c r="F104" i="38"/>
  <c r="E104" i="38"/>
  <c r="D104" i="38"/>
  <c r="C104" i="38"/>
  <c r="W103" i="38"/>
  <c r="X103" i="38" s="1"/>
  <c r="U103" i="38"/>
  <c r="N103" i="38"/>
  <c r="J103" i="38"/>
  <c r="I103" i="38"/>
  <c r="G103" i="38"/>
  <c r="Y103" i="38"/>
  <c r="U102" i="38"/>
  <c r="T102" i="38"/>
  <c r="R102" i="38"/>
  <c r="P102" i="38"/>
  <c r="O102" i="38"/>
  <c r="N102" i="38"/>
  <c r="L102" i="38"/>
  <c r="K102" i="38"/>
  <c r="J102" i="38"/>
  <c r="Y102" i="38" s="1"/>
  <c r="I102" i="38"/>
  <c r="G102" i="38"/>
  <c r="D102" i="38"/>
  <c r="C102" i="38"/>
  <c r="P101" i="38"/>
  <c r="O101" i="38"/>
  <c r="K101" i="38"/>
  <c r="Z101" i="38" s="1"/>
  <c r="AM101" i="38" s="1"/>
  <c r="V100" i="38"/>
  <c r="U100" i="38"/>
  <c r="T100" i="38"/>
  <c r="S100" i="38"/>
  <c r="R100" i="38"/>
  <c r="Q100" i="38"/>
  <c r="P100" i="38"/>
  <c r="O100" i="38"/>
  <c r="N100" i="38"/>
  <c r="L100" i="38"/>
  <c r="K100" i="38"/>
  <c r="J100" i="38"/>
  <c r="I100" i="38"/>
  <c r="G100" i="38"/>
  <c r="F100" i="38"/>
  <c r="D100" i="38"/>
  <c r="C100" i="38"/>
  <c r="B100" i="38"/>
  <c r="K99" i="38"/>
  <c r="W99" i="38" s="1"/>
  <c r="X99" i="38" s="1"/>
  <c r="K98" i="38"/>
  <c r="Z98" i="38" s="1"/>
  <c r="AF98" i="38" s="1"/>
  <c r="F98" i="38"/>
  <c r="D98" i="38"/>
  <c r="V97" i="38"/>
  <c r="U97" i="38"/>
  <c r="T97" i="38"/>
  <c r="R97" i="38"/>
  <c r="Q97" i="38"/>
  <c r="P97" i="38"/>
  <c r="N97" i="38"/>
  <c r="H97" i="38"/>
  <c r="G97" i="38"/>
  <c r="F97" i="38"/>
  <c r="E97" i="38"/>
  <c r="D97" i="38"/>
  <c r="W97" i="38" s="1"/>
  <c r="X97" i="38" s="1"/>
  <c r="C97" i="38"/>
  <c r="Y96" i="38"/>
  <c r="T96" i="38"/>
  <c r="Z96" i="38" s="1"/>
  <c r="V95" i="38"/>
  <c r="U95" i="38"/>
  <c r="T95" i="38"/>
  <c r="S95" i="38"/>
  <c r="R95" i="38"/>
  <c r="Q95" i="38"/>
  <c r="P95" i="38"/>
  <c r="O95" i="38"/>
  <c r="N95" i="38"/>
  <c r="M95" i="38"/>
  <c r="L95" i="38"/>
  <c r="K95" i="38"/>
  <c r="J95" i="38"/>
  <c r="I95" i="38"/>
  <c r="H95" i="38"/>
  <c r="G95" i="38"/>
  <c r="F95" i="38"/>
  <c r="E95" i="38"/>
  <c r="D95" i="38"/>
  <c r="C95" i="38"/>
  <c r="B95" i="38"/>
  <c r="V94" i="38"/>
  <c r="U94" i="38"/>
  <c r="T94" i="38"/>
  <c r="S94" i="38"/>
  <c r="R94" i="38"/>
  <c r="P94" i="38"/>
  <c r="O94" i="38"/>
  <c r="N94" i="38"/>
  <c r="N120" i="38" s="1"/>
  <c r="L94" i="38"/>
  <c r="K94" i="38"/>
  <c r="J94" i="38"/>
  <c r="I94" i="38"/>
  <c r="G94" i="38"/>
  <c r="F94" i="38"/>
  <c r="D94" i="38"/>
  <c r="C94" i="38"/>
  <c r="W94" i="38" s="1"/>
  <c r="X94" i="38" s="1"/>
  <c r="B94" i="38"/>
  <c r="K93" i="38"/>
  <c r="J93" i="38"/>
  <c r="F93" i="38"/>
  <c r="V92" i="38"/>
  <c r="U92" i="38"/>
  <c r="T92" i="38"/>
  <c r="S92" i="38"/>
  <c r="R92" i="38"/>
  <c r="P92" i="38"/>
  <c r="O92" i="38"/>
  <c r="N92" i="38"/>
  <c r="M92" i="38"/>
  <c r="L92" i="38"/>
  <c r="K92" i="38"/>
  <c r="Z92" i="38" s="1"/>
  <c r="J92" i="38"/>
  <c r="I92" i="38"/>
  <c r="H92" i="38"/>
  <c r="G92" i="38"/>
  <c r="F92" i="38"/>
  <c r="E92" i="38"/>
  <c r="D92" i="38"/>
  <c r="C92" i="38"/>
  <c r="B92" i="38"/>
  <c r="V91" i="38"/>
  <c r="S91" i="38"/>
  <c r="R91" i="38"/>
  <c r="P91" i="38"/>
  <c r="W91" i="38" s="1"/>
  <c r="X91" i="38" s="1"/>
  <c r="M91" i="38"/>
  <c r="Z91" i="38" s="1"/>
  <c r="J91" i="38"/>
  <c r="G91" i="38"/>
  <c r="Y91" i="38" s="1"/>
  <c r="AA90" i="38"/>
  <c r="V90" i="38"/>
  <c r="K90" i="38"/>
  <c r="I90" i="38"/>
  <c r="C90" i="38"/>
  <c r="U89" i="38"/>
  <c r="U90" i="38" s="1"/>
  <c r="M89" i="38"/>
  <c r="H89" i="38"/>
  <c r="S88" i="38"/>
  <c r="Z88" i="38" s="1"/>
  <c r="J88" i="38"/>
  <c r="G88" i="38"/>
  <c r="T87" i="38"/>
  <c r="T90" i="38" s="1"/>
  <c r="S87" i="38"/>
  <c r="S90" i="38" s="1"/>
  <c r="R87" i="38"/>
  <c r="Q87" i="38"/>
  <c r="Q90" i="38" s="1"/>
  <c r="P87" i="38"/>
  <c r="P90" i="38" s="1"/>
  <c r="N87" i="38"/>
  <c r="N90" i="38"/>
  <c r="M87" i="38"/>
  <c r="M90" i="38" s="1"/>
  <c r="L87" i="38"/>
  <c r="H87" i="38"/>
  <c r="G87" i="38"/>
  <c r="F87" i="38"/>
  <c r="F90" i="38" s="1"/>
  <c r="E87" i="38"/>
  <c r="E90" i="38"/>
  <c r="D87" i="38"/>
  <c r="D90" i="38"/>
  <c r="B87" i="38"/>
  <c r="T86" i="38"/>
  <c r="R86" i="38"/>
  <c r="R90" i="38" s="1"/>
  <c r="O86" i="38"/>
  <c r="J86" i="38"/>
  <c r="Y86" i="38" s="1"/>
  <c r="C86" i="38"/>
  <c r="J85" i="38"/>
  <c r="Y85" i="38"/>
  <c r="V84" i="38"/>
  <c r="U84" i="38"/>
  <c r="T84" i="38"/>
  <c r="S84" i="38"/>
  <c r="R84" i="38"/>
  <c r="Q84" i="38"/>
  <c r="P84" i="38"/>
  <c r="O84" i="38"/>
  <c r="N84" i="38"/>
  <c r="M84" i="38"/>
  <c r="L84" i="38"/>
  <c r="K84" i="38"/>
  <c r="J84" i="38"/>
  <c r="I84" i="38"/>
  <c r="H84" i="38"/>
  <c r="G84" i="38"/>
  <c r="F84" i="38"/>
  <c r="D84" i="38"/>
  <c r="C84" i="38"/>
  <c r="Y84" i="38" s="1"/>
  <c r="B84" i="38"/>
  <c r="S83" i="38"/>
  <c r="Z83" i="38" s="1"/>
  <c r="AG83" i="38" s="1"/>
  <c r="C83" i="38"/>
  <c r="B83" i="38"/>
  <c r="V82" i="38"/>
  <c r="N82" i="38"/>
  <c r="L82" i="38"/>
  <c r="K82" i="38"/>
  <c r="J82" i="38"/>
  <c r="I82" i="38"/>
  <c r="S81" i="38"/>
  <c r="Z81" i="38" s="1"/>
  <c r="F81" i="38"/>
  <c r="R80" i="38"/>
  <c r="Z80" i="38" s="1"/>
  <c r="D80" i="38"/>
  <c r="Y80" i="38" s="1"/>
  <c r="T79" i="38"/>
  <c r="Q79" i="38"/>
  <c r="P79" i="38"/>
  <c r="O79" i="38"/>
  <c r="L79" i="38"/>
  <c r="Z79" i="38" s="1"/>
  <c r="AJ79" i="38" s="1"/>
  <c r="G79" i="38"/>
  <c r="D79" i="38"/>
  <c r="C79" i="38"/>
  <c r="Y79" i="38" s="1"/>
  <c r="V78" i="38"/>
  <c r="U78" i="38"/>
  <c r="T78" i="38"/>
  <c r="S78" i="38"/>
  <c r="R78" i="38"/>
  <c r="Q78" i="38"/>
  <c r="P78" i="38"/>
  <c r="Z78" i="38" s="1"/>
  <c r="O78" i="38"/>
  <c r="N78" i="38"/>
  <c r="M78" i="38"/>
  <c r="L78" i="38"/>
  <c r="K78" i="38"/>
  <c r="J78" i="38"/>
  <c r="I78" i="38"/>
  <c r="H78" i="38"/>
  <c r="G78" i="38"/>
  <c r="F78" i="38"/>
  <c r="E78" i="38"/>
  <c r="D78" i="38"/>
  <c r="C78" i="38"/>
  <c r="B78" i="38"/>
  <c r="Y77" i="38"/>
  <c r="W77" i="38"/>
  <c r="X77" i="38" s="1"/>
  <c r="S77" i="38"/>
  <c r="Q77" i="38"/>
  <c r="Z77" i="38" s="1"/>
  <c r="AF77" i="38" s="1"/>
  <c r="V76" i="38"/>
  <c r="Q76" i="38"/>
  <c r="P76" i="38"/>
  <c r="O76" i="38"/>
  <c r="L76" i="38"/>
  <c r="K76" i="38"/>
  <c r="Z76" i="38" s="1"/>
  <c r="H76" i="38"/>
  <c r="G76" i="38"/>
  <c r="F76" i="38"/>
  <c r="D76" i="38"/>
  <c r="C76" i="38"/>
  <c r="O75" i="38"/>
  <c r="N75" i="38"/>
  <c r="L75" i="38"/>
  <c r="Y74" i="38"/>
  <c r="W74" i="38"/>
  <c r="X74" i="38" s="1"/>
  <c r="I74" i="38"/>
  <c r="W73" i="38"/>
  <c r="X73" i="38" s="1"/>
  <c r="D73" i="38"/>
  <c r="Y73" i="38" s="1"/>
  <c r="V72" i="38"/>
  <c r="Q72" i="38"/>
  <c r="P72" i="38"/>
  <c r="O72" i="38"/>
  <c r="N72" i="38"/>
  <c r="M72" i="38"/>
  <c r="L72" i="38"/>
  <c r="K72" i="38"/>
  <c r="J72" i="38"/>
  <c r="I72" i="38"/>
  <c r="G72" i="38"/>
  <c r="F72" i="38"/>
  <c r="E72" i="38"/>
  <c r="D72" i="38"/>
  <c r="Y72" i="38" s="1"/>
  <c r="C72" i="38"/>
  <c r="B72" i="38"/>
  <c r="W71" i="38"/>
  <c r="X71" i="38" s="1"/>
  <c r="I71" i="38"/>
  <c r="Y71" i="38"/>
  <c r="H70" i="38"/>
  <c r="D69" i="38"/>
  <c r="AA68" i="38"/>
  <c r="AB68" i="38" s="1"/>
  <c r="V68" i="38"/>
  <c r="U68" i="38"/>
  <c r="T68" i="38"/>
  <c r="S68" i="38"/>
  <c r="R68" i="38"/>
  <c r="R69" i="38" s="1"/>
  <c r="Q68" i="38"/>
  <c r="P68" i="38"/>
  <c r="P69" i="38" s="1"/>
  <c r="P120" i="38" s="1"/>
  <c r="O68" i="38"/>
  <c r="N68" i="38"/>
  <c r="D68" i="38"/>
  <c r="M67" i="38"/>
  <c r="Z67" i="38" s="1"/>
  <c r="Y67" i="38"/>
  <c r="M66" i="38"/>
  <c r="L66" i="38"/>
  <c r="L68" i="38" s="1"/>
  <c r="K66" i="38"/>
  <c r="K68" i="38"/>
  <c r="J66" i="38"/>
  <c r="J68" i="38"/>
  <c r="I66" i="38"/>
  <c r="I68" i="38"/>
  <c r="I69" i="38" s="1"/>
  <c r="I120" i="38" s="1"/>
  <c r="H66" i="38"/>
  <c r="H68" i="38" s="1"/>
  <c r="H69" i="38" s="1"/>
  <c r="H120" i="38" s="1"/>
  <c r="G66" i="38"/>
  <c r="G68" i="38"/>
  <c r="F66" i="38"/>
  <c r="F68" i="38" s="1"/>
  <c r="E66" i="38"/>
  <c r="E68" i="38" s="1"/>
  <c r="D66" i="38"/>
  <c r="C66" i="38"/>
  <c r="Y66" i="38" s="1"/>
  <c r="B66" i="38"/>
  <c r="M65" i="38"/>
  <c r="Z65" i="38" s="1"/>
  <c r="V64" i="38"/>
  <c r="U64" i="38"/>
  <c r="U69" i="38"/>
  <c r="T64" i="38"/>
  <c r="T69" i="38" s="1"/>
  <c r="T120" i="38" s="1"/>
  <c r="S64" i="38"/>
  <c r="S69" i="38" s="1"/>
  <c r="S120" i="38" s="1"/>
  <c r="R64" i="38"/>
  <c r="Q64" i="38"/>
  <c r="Q69" i="38" s="1"/>
  <c r="Q120" i="38" s="1"/>
  <c r="P64" i="38"/>
  <c r="O64" i="38"/>
  <c r="O69" i="38"/>
  <c r="N64" i="38"/>
  <c r="M64" i="38"/>
  <c r="L64" i="38"/>
  <c r="L69" i="38" s="1"/>
  <c r="K64" i="38"/>
  <c r="J64" i="38"/>
  <c r="J69" i="38"/>
  <c r="I64" i="38"/>
  <c r="H64" i="38"/>
  <c r="G64" i="38"/>
  <c r="G69" i="38"/>
  <c r="F64" i="38"/>
  <c r="E64" i="38"/>
  <c r="E69" i="38" s="1"/>
  <c r="D64" i="38"/>
  <c r="C64" i="38"/>
  <c r="B64" i="38"/>
  <c r="Y63" i="38"/>
  <c r="X63" i="38"/>
  <c r="V60" i="38"/>
  <c r="J60" i="38"/>
  <c r="H60" i="38"/>
  <c r="G60" i="38"/>
  <c r="F60" i="38"/>
  <c r="W60" i="38" s="1"/>
  <c r="X60" i="38" s="1"/>
  <c r="V59" i="38"/>
  <c r="U59" i="38"/>
  <c r="T59" i="38"/>
  <c r="S59" i="38"/>
  <c r="S60" i="38" s="1"/>
  <c r="R59" i="38"/>
  <c r="R60" i="38"/>
  <c r="Q59" i="38"/>
  <c r="Q60" i="38" s="1"/>
  <c r="P59" i="38"/>
  <c r="P60" i="38" s="1"/>
  <c r="O59" i="38"/>
  <c r="N59" i="38"/>
  <c r="N60" i="38" s="1"/>
  <c r="M59" i="38"/>
  <c r="M60" i="38" s="1"/>
  <c r="L59" i="38"/>
  <c r="L60" i="38" s="1"/>
  <c r="K59" i="38"/>
  <c r="J59" i="38"/>
  <c r="I59" i="38"/>
  <c r="H59" i="38"/>
  <c r="G59" i="38"/>
  <c r="F59" i="38"/>
  <c r="E59" i="38"/>
  <c r="E60" i="38"/>
  <c r="D59" i="38"/>
  <c r="D60" i="38"/>
  <c r="C59" i="38"/>
  <c r="B59" i="38"/>
  <c r="U58" i="38"/>
  <c r="U60" i="38" s="1"/>
  <c r="T58" i="38"/>
  <c r="T60" i="38" s="1"/>
  <c r="S58" i="38"/>
  <c r="O58" i="38"/>
  <c r="O60" i="38" s="1"/>
  <c r="K58" i="38"/>
  <c r="K60" i="38" s="1"/>
  <c r="I58" i="38"/>
  <c r="I60" i="38" s="1"/>
  <c r="F58" i="38"/>
  <c r="C58" i="38"/>
  <c r="B58" i="38"/>
  <c r="T57" i="38"/>
  <c r="M57" i="38"/>
  <c r="K57" i="38"/>
  <c r="H57" i="38"/>
  <c r="B57" i="38"/>
  <c r="Y56" i="38"/>
  <c r="V56" i="38"/>
  <c r="U56" i="38"/>
  <c r="U57" i="38" s="1"/>
  <c r="Q56" i="38"/>
  <c r="P56" i="38"/>
  <c r="O56" i="38"/>
  <c r="Z56" i="38" s="1"/>
  <c r="V55" i="38"/>
  <c r="V57" i="38" s="1"/>
  <c r="S55" i="38"/>
  <c r="S57" i="38" s="1"/>
  <c r="R55" i="38"/>
  <c r="R57" i="38" s="1"/>
  <c r="Q55" i="38"/>
  <c r="P55" i="38"/>
  <c r="P57" i="38" s="1"/>
  <c r="N55" i="38"/>
  <c r="N57" i="38"/>
  <c r="L55" i="38"/>
  <c r="L57" i="38" s="1"/>
  <c r="J55" i="38"/>
  <c r="J57" i="38" s="1"/>
  <c r="I55" i="38"/>
  <c r="I57" i="38" s="1"/>
  <c r="H55" i="38"/>
  <c r="G55" i="38"/>
  <c r="G57" i="38"/>
  <c r="F55" i="38"/>
  <c r="F57" i="38" s="1"/>
  <c r="E55" i="38"/>
  <c r="E57" i="38"/>
  <c r="D55" i="38"/>
  <c r="D57" i="38" s="1"/>
  <c r="C55" i="38"/>
  <c r="V54" i="38"/>
  <c r="U54" i="38"/>
  <c r="T54" i="38"/>
  <c r="S54" i="38"/>
  <c r="R54" i="38"/>
  <c r="Q54" i="38"/>
  <c r="P54" i="38"/>
  <c r="O54" i="38"/>
  <c r="N54" i="38"/>
  <c r="L54" i="38"/>
  <c r="J54" i="38"/>
  <c r="H54" i="38"/>
  <c r="F54" i="38"/>
  <c r="E54" i="38"/>
  <c r="D54" i="38"/>
  <c r="B54" i="38"/>
  <c r="Y53" i="38"/>
  <c r="O53" i="38"/>
  <c r="Z53" i="38" s="1"/>
  <c r="Y52" i="38"/>
  <c r="P52" i="38"/>
  <c r="O52" i="38"/>
  <c r="Z52" i="38" s="1"/>
  <c r="D52" i="38"/>
  <c r="C52" i="38"/>
  <c r="W52" i="38" s="1"/>
  <c r="X52" i="38" s="1"/>
  <c r="V51" i="38"/>
  <c r="U51" i="38"/>
  <c r="T51" i="38"/>
  <c r="Q51" i="38"/>
  <c r="AF51" i="38" s="1"/>
  <c r="P51" i="38"/>
  <c r="Z51" i="38" s="1"/>
  <c r="AE51" i="38" s="1"/>
  <c r="H51" i="38"/>
  <c r="G51" i="38"/>
  <c r="C51" i="38"/>
  <c r="Y51" i="38" s="1"/>
  <c r="T50" i="38"/>
  <c r="S50" i="38"/>
  <c r="R50" i="38"/>
  <c r="Q50" i="38"/>
  <c r="P50" i="38"/>
  <c r="O50" i="38"/>
  <c r="N50" i="38"/>
  <c r="L50" i="38"/>
  <c r="K50" i="38"/>
  <c r="Z50" i="38" s="1"/>
  <c r="AH50" i="38" s="1"/>
  <c r="J50" i="38"/>
  <c r="I50" i="38"/>
  <c r="H50" i="38"/>
  <c r="G50" i="38"/>
  <c r="F50" i="38"/>
  <c r="E50" i="38"/>
  <c r="D50" i="38"/>
  <c r="C50" i="38"/>
  <c r="B50" i="38"/>
  <c r="Y50" i="38" s="1"/>
  <c r="S49" i="38"/>
  <c r="R49" i="38"/>
  <c r="Q49" i="38"/>
  <c r="P49" i="38"/>
  <c r="H49" i="38"/>
  <c r="G49" i="38"/>
  <c r="F49" i="38"/>
  <c r="D49" i="38"/>
  <c r="C49" i="38"/>
  <c r="Y49" i="38" s="1"/>
  <c r="V48" i="38"/>
  <c r="S48" i="38"/>
  <c r="R48" i="38"/>
  <c r="Q48" i="38"/>
  <c r="P48" i="38"/>
  <c r="O48" i="38"/>
  <c r="N48" i="38"/>
  <c r="H48" i="38"/>
  <c r="G48" i="38"/>
  <c r="F48" i="38"/>
  <c r="W48" i="38" s="1"/>
  <c r="X48" i="38" s="1"/>
  <c r="D48" i="38"/>
  <c r="B48" i="38"/>
  <c r="N47" i="38"/>
  <c r="J47" i="38"/>
  <c r="F47" i="38"/>
  <c r="E47" i="38"/>
  <c r="D47" i="38"/>
  <c r="C47" i="38"/>
  <c r="B47" i="38"/>
  <c r="AA46" i="38"/>
  <c r="V46" i="38"/>
  <c r="U46" i="38"/>
  <c r="R46" i="38"/>
  <c r="C46" i="38"/>
  <c r="U45" i="38"/>
  <c r="T45" i="38"/>
  <c r="S45" i="38"/>
  <c r="R45" i="38"/>
  <c r="Q45" i="38"/>
  <c r="P45" i="38"/>
  <c r="P46" i="38" s="1"/>
  <c r="P61" i="38" s="1"/>
  <c r="O45" i="38"/>
  <c r="O46" i="38" s="1"/>
  <c r="O61" i="38" s="1"/>
  <c r="N45" i="38"/>
  <c r="N46" i="38" s="1"/>
  <c r="N61" i="38" s="1"/>
  <c r="M45" i="38"/>
  <c r="M46" i="38" s="1"/>
  <c r="L45" i="38"/>
  <c r="K45" i="38"/>
  <c r="K46" i="38" s="1"/>
  <c r="J45" i="38"/>
  <c r="J46" i="38" s="1"/>
  <c r="I45" i="38"/>
  <c r="I46" i="38"/>
  <c r="H45" i="38"/>
  <c r="H46" i="38" s="1"/>
  <c r="E45" i="38"/>
  <c r="W45" i="38" s="1"/>
  <c r="X45" i="38" s="1"/>
  <c r="D45" i="38"/>
  <c r="C45" i="38"/>
  <c r="B45" i="38"/>
  <c r="T44" i="38"/>
  <c r="T46" i="38" s="1"/>
  <c r="S44" i="38"/>
  <c r="S46" i="38" s="1"/>
  <c r="S61" i="38" s="1"/>
  <c r="R44" i="38"/>
  <c r="Q44" i="38"/>
  <c r="P44" i="38"/>
  <c r="O44" i="38"/>
  <c r="N44" i="38"/>
  <c r="L44" i="38"/>
  <c r="L46" i="38" s="1"/>
  <c r="L61" i="38" s="1"/>
  <c r="J44" i="38"/>
  <c r="I44" i="38"/>
  <c r="H44" i="38"/>
  <c r="G44" i="38"/>
  <c r="G46" i="38" s="1"/>
  <c r="F44" i="38"/>
  <c r="F46" i="38"/>
  <c r="E44" i="38"/>
  <c r="E46" i="38" s="1"/>
  <c r="D44" i="38"/>
  <c r="D46" i="38"/>
  <c r="Y43" i="38"/>
  <c r="W43" i="38"/>
  <c r="X43" i="38" s="1"/>
  <c r="U42" i="38"/>
  <c r="R42" i="38"/>
  <c r="L42" i="38"/>
  <c r="Z42" i="38" s="1"/>
  <c r="G42" i="38"/>
  <c r="F42" i="38"/>
  <c r="D42" i="38"/>
  <c r="Y42" i="38" s="1"/>
  <c r="B42" i="38"/>
  <c r="V41" i="38"/>
  <c r="T41" i="38"/>
  <c r="S41" i="38"/>
  <c r="Q41" i="38"/>
  <c r="L41" i="38"/>
  <c r="Z41" i="38" s="1"/>
  <c r="AL41" i="38" s="1"/>
  <c r="G41" i="38"/>
  <c r="F41" i="38"/>
  <c r="D41" i="38"/>
  <c r="R40" i="38"/>
  <c r="Q40" i="38"/>
  <c r="L40" i="38"/>
  <c r="K40" i="38"/>
  <c r="Z40" i="38" s="1"/>
  <c r="V39" i="38"/>
  <c r="T39" i="38"/>
  <c r="S39" i="38"/>
  <c r="R39" i="38"/>
  <c r="Q39" i="38"/>
  <c r="P39" i="38"/>
  <c r="N39" i="38"/>
  <c r="Z39" i="38" s="1"/>
  <c r="I39" i="38"/>
  <c r="H39" i="38"/>
  <c r="G39" i="38"/>
  <c r="F39" i="38"/>
  <c r="E39" i="38"/>
  <c r="D39" i="38"/>
  <c r="C39" i="38"/>
  <c r="B39" i="38"/>
  <c r="Y38" i="38"/>
  <c r="W38" i="38"/>
  <c r="X38" i="38" s="1"/>
  <c r="C38" i="38"/>
  <c r="B38" i="38"/>
  <c r="AA36" i="38"/>
  <c r="G4" i="5" s="1"/>
  <c r="U36" i="38"/>
  <c r="P36" i="38"/>
  <c r="M36" i="38"/>
  <c r="G36" i="38"/>
  <c r="D36" i="38"/>
  <c r="C36" i="38"/>
  <c r="B36" i="38"/>
  <c r="V35" i="38"/>
  <c r="V36" i="38"/>
  <c r="T35" i="38"/>
  <c r="T36" i="38" s="1"/>
  <c r="S35" i="38"/>
  <c r="S36" i="38" s="1"/>
  <c r="R35" i="38"/>
  <c r="R36" i="38"/>
  <c r="R61" i="38" s="1"/>
  <c r="Q35" i="38"/>
  <c r="Q36" i="38" s="1"/>
  <c r="P35" i="38"/>
  <c r="O35" i="38"/>
  <c r="O36" i="38"/>
  <c r="N35" i="38"/>
  <c r="N36" i="38"/>
  <c r="L35" i="38"/>
  <c r="L36" i="38" s="1"/>
  <c r="K35" i="38"/>
  <c r="Z35" i="38" s="1"/>
  <c r="AG35" i="38" s="1"/>
  <c r="AG36" i="38" s="1"/>
  <c r="J35" i="38"/>
  <c r="J36" i="38" s="1"/>
  <c r="I35" i="38"/>
  <c r="I36" i="38"/>
  <c r="H35" i="38"/>
  <c r="H36" i="38" s="1"/>
  <c r="F35" i="38"/>
  <c r="F36" i="38"/>
  <c r="E35" i="38"/>
  <c r="E36" i="38" s="1"/>
  <c r="D35" i="38"/>
  <c r="C35" i="38"/>
  <c r="B35" i="38"/>
  <c r="Y34" i="38"/>
  <c r="W34" i="38"/>
  <c r="X34" i="38" s="1"/>
  <c r="V33" i="38"/>
  <c r="U33" i="38"/>
  <c r="T33" i="38"/>
  <c r="S33" i="38"/>
  <c r="R33" i="38"/>
  <c r="Q33" i="38"/>
  <c r="P33" i="38"/>
  <c r="O33" i="38"/>
  <c r="N33" i="38"/>
  <c r="M33" i="38"/>
  <c r="M61" i="38" s="1"/>
  <c r="L33" i="38"/>
  <c r="K33" i="38"/>
  <c r="J33" i="38"/>
  <c r="I33" i="38"/>
  <c r="H33" i="38"/>
  <c r="G33" i="38"/>
  <c r="F33" i="38"/>
  <c r="F61" i="38" s="1"/>
  <c r="E33" i="38"/>
  <c r="D33" i="38"/>
  <c r="C33" i="38"/>
  <c r="B33" i="38"/>
  <c r="W33" i="38" s="1"/>
  <c r="X33" i="38" s="1"/>
  <c r="V32" i="38"/>
  <c r="V61" i="38"/>
  <c r="U32" i="38"/>
  <c r="U61" i="38" s="1"/>
  <c r="S32" i="38"/>
  <c r="R32" i="38"/>
  <c r="Q32" i="38"/>
  <c r="P32" i="38"/>
  <c r="O32" i="38"/>
  <c r="N32" i="38"/>
  <c r="M32" i="38"/>
  <c r="L32" i="38"/>
  <c r="K32" i="38"/>
  <c r="J32" i="38"/>
  <c r="J61" i="38" s="1"/>
  <c r="I32" i="38"/>
  <c r="I61" i="38" s="1"/>
  <c r="H32" i="38"/>
  <c r="H61" i="38" s="1"/>
  <c r="G32" i="38"/>
  <c r="G61" i="38"/>
  <c r="F32" i="38"/>
  <c r="E32" i="38"/>
  <c r="E61" i="38" s="1"/>
  <c r="D32" i="38"/>
  <c r="C32" i="38"/>
  <c r="B32" i="38"/>
  <c r="Y31" i="38"/>
  <c r="U31" i="38"/>
  <c r="T31" i="38"/>
  <c r="Y30" i="38"/>
  <c r="W30" i="38"/>
  <c r="X30" i="38" s="1"/>
  <c r="Y29" i="38"/>
  <c r="N29" i="38"/>
  <c r="Z29" i="38" s="1"/>
  <c r="Y26" i="38"/>
  <c r="W26" i="38"/>
  <c r="X26" i="38" s="1"/>
  <c r="C26" i="38"/>
  <c r="Y25" i="38"/>
  <c r="U25" i="38"/>
  <c r="Z25" i="38" s="1"/>
  <c r="W24" i="38"/>
  <c r="X24" i="38" s="1"/>
  <c r="S24" i="38"/>
  <c r="Z24" i="38" s="1"/>
  <c r="H24" i="38"/>
  <c r="Y24" i="38" s="1"/>
  <c r="R23" i="38"/>
  <c r="Q23" i="38"/>
  <c r="P23" i="38"/>
  <c r="O23" i="38"/>
  <c r="N23" i="38"/>
  <c r="L23" i="38"/>
  <c r="E23" i="38"/>
  <c r="D23" i="38"/>
  <c r="C23" i="38"/>
  <c r="B23" i="38"/>
  <c r="V22" i="38"/>
  <c r="V23" i="38" s="1"/>
  <c r="U22" i="38"/>
  <c r="T22" i="38"/>
  <c r="M22" i="38"/>
  <c r="Z22" i="38" s="1"/>
  <c r="M23" i="38"/>
  <c r="I22" i="38"/>
  <c r="H22" i="38"/>
  <c r="G22" i="38"/>
  <c r="G23" i="38"/>
  <c r="F22" i="38"/>
  <c r="Y22" i="38" s="1"/>
  <c r="B22" i="38"/>
  <c r="W22" i="38" s="1"/>
  <c r="X22" i="38" s="1"/>
  <c r="V21" i="38"/>
  <c r="U21" i="38"/>
  <c r="T21" i="38"/>
  <c r="S21" i="38"/>
  <c r="K21" i="38"/>
  <c r="J21" i="38"/>
  <c r="J23" i="38" s="1"/>
  <c r="I21" i="38"/>
  <c r="I23" i="38"/>
  <c r="H21" i="38"/>
  <c r="H23" i="38"/>
  <c r="G21" i="38"/>
  <c r="F21" i="38"/>
  <c r="F23" i="38" s="1"/>
  <c r="Y20" i="38"/>
  <c r="V20" i="38"/>
  <c r="U20" i="38"/>
  <c r="U23" i="38"/>
  <c r="T20" i="38"/>
  <c r="S20" i="38"/>
  <c r="Z20" i="38" s="1"/>
  <c r="K19" i="38"/>
  <c r="Z19" i="38" s="1"/>
  <c r="B19" i="38"/>
  <c r="Y19" i="38"/>
  <c r="O18" i="38"/>
  <c r="M18" i="38"/>
  <c r="W18" i="38" s="1"/>
  <c r="X18" i="38" s="1"/>
  <c r="K18" i="38"/>
  <c r="I18" i="38"/>
  <c r="H18" i="38"/>
  <c r="F18" i="38"/>
  <c r="E18" i="38"/>
  <c r="C18" i="38"/>
  <c r="B18" i="38"/>
  <c r="L17" i="38"/>
  <c r="K17" i="38"/>
  <c r="Z17" i="38" s="1"/>
  <c r="H17" i="38"/>
  <c r="W17" i="38" s="1"/>
  <c r="X17" i="38" s="1"/>
  <c r="F17" i="38"/>
  <c r="V16" i="38"/>
  <c r="U16" i="38"/>
  <c r="T16" i="38"/>
  <c r="R16" i="38"/>
  <c r="Q16" i="38"/>
  <c r="O16" i="38"/>
  <c r="N16" i="38"/>
  <c r="M16" i="38"/>
  <c r="I16" i="38"/>
  <c r="F16" i="38"/>
  <c r="C16" i="38"/>
  <c r="Y16" i="38" s="1"/>
  <c r="D7" i="6" s="1"/>
  <c r="S14" i="38"/>
  <c r="Z14" i="38" s="1"/>
  <c r="G14" i="38"/>
  <c r="F14" i="38"/>
  <c r="Y14" i="38" s="1"/>
  <c r="V13" i="38"/>
  <c r="U13" i="38"/>
  <c r="T13" i="38"/>
  <c r="S13" i="38"/>
  <c r="R13" i="38"/>
  <c r="Q13" i="38"/>
  <c r="P13" i="38"/>
  <c r="O13" i="38"/>
  <c r="N13" i="38"/>
  <c r="M13" i="38"/>
  <c r="L13" i="38"/>
  <c r="K13" i="38"/>
  <c r="Z13" i="38" s="1"/>
  <c r="J13" i="38"/>
  <c r="I13" i="38"/>
  <c r="H13" i="38"/>
  <c r="G13" i="38"/>
  <c r="F13" i="38"/>
  <c r="E13" i="38"/>
  <c r="D13" i="38"/>
  <c r="C13" i="38"/>
  <c r="W13" i="38" s="1"/>
  <c r="X13" i="38" s="1"/>
  <c r="B13" i="38"/>
  <c r="V12" i="38"/>
  <c r="U12" i="38"/>
  <c r="T12" i="38"/>
  <c r="S12" i="38"/>
  <c r="R12" i="38"/>
  <c r="Q12" i="38"/>
  <c r="P12" i="38"/>
  <c r="O12" i="38"/>
  <c r="N12" i="38"/>
  <c r="M12" i="38"/>
  <c r="L12" i="38"/>
  <c r="K12" i="38"/>
  <c r="J12" i="38"/>
  <c r="J15" i="38" s="1"/>
  <c r="I12" i="38"/>
  <c r="H12" i="38"/>
  <c r="G12" i="38"/>
  <c r="F12" i="38"/>
  <c r="E12" i="38"/>
  <c r="D12" i="38"/>
  <c r="C12" i="38"/>
  <c r="B12" i="38"/>
  <c r="Y12" i="38" s="1"/>
  <c r="U11" i="38"/>
  <c r="T11" i="38"/>
  <c r="S11" i="38"/>
  <c r="S15" i="38" s="1"/>
  <c r="R11" i="38"/>
  <c r="Q11" i="38"/>
  <c r="P11" i="38"/>
  <c r="O11" i="38"/>
  <c r="I11" i="38"/>
  <c r="H11" i="38"/>
  <c r="W11" i="38" s="1"/>
  <c r="X11" i="38" s="1"/>
  <c r="G11" i="38"/>
  <c r="F11" i="38"/>
  <c r="E11" i="38"/>
  <c r="D11" i="38"/>
  <c r="C11" i="38"/>
  <c r="B11" i="38"/>
  <c r="Y10" i="38"/>
  <c r="W10" i="38"/>
  <c r="X10" i="38" s="1"/>
  <c r="H10" i="38"/>
  <c r="V9" i="38"/>
  <c r="V11" i="38" s="1"/>
  <c r="P9" i="38"/>
  <c r="N9" i="38"/>
  <c r="N11" i="38" s="1"/>
  <c r="N15" i="38" s="1"/>
  <c r="N27" i="38" s="1"/>
  <c r="M9" i="38"/>
  <c r="M11" i="38" s="1"/>
  <c r="L9" i="38"/>
  <c r="K9" i="38"/>
  <c r="K11" i="38" s="1"/>
  <c r="J9" i="38"/>
  <c r="J11" i="38"/>
  <c r="F8" i="38"/>
  <c r="B8" i="38"/>
  <c r="Y8" i="38" s="1"/>
  <c r="V7" i="38"/>
  <c r="U7" i="38"/>
  <c r="U15" i="38" s="1"/>
  <c r="U27" i="38" s="1"/>
  <c r="U62" i="38" s="1"/>
  <c r="T7" i="38"/>
  <c r="T15" i="38" s="1"/>
  <c r="T27" i="38" s="1"/>
  <c r="S7" i="38"/>
  <c r="R7" i="38"/>
  <c r="R15" i="38"/>
  <c r="R27" i="38" s="1"/>
  <c r="R62" i="38" s="1"/>
  <c r="Q7" i="38"/>
  <c r="Q15" i="38" s="1"/>
  <c r="Q27" i="38" s="1"/>
  <c r="P7" i="38"/>
  <c r="P15" i="38" s="1"/>
  <c r="P27" i="38" s="1"/>
  <c r="P62" i="38" s="1"/>
  <c r="P121" i="38" s="1"/>
  <c r="O7" i="38"/>
  <c r="O15" i="38"/>
  <c r="O27" i="38"/>
  <c r="O62" i="38" s="1"/>
  <c r="O121" i="38" s="1"/>
  <c r="O131" i="38" s="1"/>
  <c r="N7" i="38"/>
  <c r="M7" i="38"/>
  <c r="M15" i="38" s="1"/>
  <c r="M27" i="38" s="1"/>
  <c r="M62" i="38" s="1"/>
  <c r="M121" i="38" s="1"/>
  <c r="L7" i="38"/>
  <c r="K7" i="38"/>
  <c r="J7" i="38"/>
  <c r="I7" i="38"/>
  <c r="I15" i="38" s="1"/>
  <c r="I27" i="38" s="1"/>
  <c r="H7" i="38"/>
  <c r="H15" i="38" s="1"/>
  <c r="H27" i="38" s="1"/>
  <c r="H62" i="38" s="1"/>
  <c r="H121" i="38" s="1"/>
  <c r="H131" i="38" s="1"/>
  <c r="G7" i="38"/>
  <c r="G15" i="38"/>
  <c r="G27" i="38" s="1"/>
  <c r="G62" i="38" s="1"/>
  <c r="G121" i="38" s="1"/>
  <c r="G131" i="38" s="1"/>
  <c r="F7" i="38"/>
  <c r="F15" i="38" s="1"/>
  <c r="F27" i="38" s="1"/>
  <c r="F62" i="38" s="1"/>
  <c r="F121" i="38" s="1"/>
  <c r="F131" i="38" s="1"/>
  <c r="E7" i="38"/>
  <c r="E15" i="38" s="1"/>
  <c r="E27" i="38" s="1"/>
  <c r="E62" i="38" s="1"/>
  <c r="D7" i="38"/>
  <c r="D15" i="38" s="1"/>
  <c r="D27" i="38" s="1"/>
  <c r="D62" i="38" s="1"/>
  <c r="C7" i="38"/>
  <c r="B7" i="38"/>
  <c r="B15" i="38" s="1"/>
  <c r="V4" i="38"/>
  <c r="U4" i="38"/>
  <c r="T4" i="38"/>
  <c r="S4" i="38"/>
  <c r="R4" i="38"/>
  <c r="Q4" i="38"/>
  <c r="P4" i="38"/>
  <c r="O4" i="38"/>
  <c r="N4" i="38"/>
  <c r="M4" i="38"/>
  <c r="L4" i="38"/>
  <c r="K4" i="38"/>
  <c r="J4" i="38"/>
  <c r="I4" i="38"/>
  <c r="H4" i="38"/>
  <c r="G4" i="38"/>
  <c r="F4" i="38"/>
  <c r="E4" i="38"/>
  <c r="D4" i="38"/>
  <c r="C4" i="38"/>
  <c r="B4" i="38"/>
  <c r="F21" i="41"/>
  <c r="C22" i="41"/>
  <c r="E26" i="41"/>
  <c r="F25" i="41"/>
  <c r="K69" i="38"/>
  <c r="O120" i="38"/>
  <c r="Y58" i="38"/>
  <c r="W58" i="38"/>
  <c r="X58" i="38" s="1"/>
  <c r="Y88" i="38"/>
  <c r="G90" i="38"/>
  <c r="G120" i="38"/>
  <c r="W88" i="38"/>
  <c r="X88" i="38" s="1"/>
  <c r="T23" i="38"/>
  <c r="W25" i="38"/>
  <c r="X25" i="38" s="1"/>
  <c r="W40" i="38"/>
  <c r="X40" i="38" s="1"/>
  <c r="W85" i="38"/>
  <c r="X85" i="38" s="1"/>
  <c r="W96" i="38"/>
  <c r="X96" i="38" s="1"/>
  <c r="Y98" i="38"/>
  <c r="W98" i="38"/>
  <c r="X98" i="38" s="1"/>
  <c r="Y116" i="38"/>
  <c r="Y9" i="38"/>
  <c r="W21" i="38"/>
  <c r="X21" i="38" s="1"/>
  <c r="D61" i="38"/>
  <c r="T32" i="38"/>
  <c r="T61" i="38" s="1"/>
  <c r="Y45" i="38"/>
  <c r="W59" i="38"/>
  <c r="X59" i="38" s="1"/>
  <c r="B60" i="38"/>
  <c r="W79" i="38"/>
  <c r="X79" i="38"/>
  <c r="W100" i="38"/>
  <c r="X100" i="38" s="1"/>
  <c r="W102" i="38"/>
  <c r="X102" i="38" s="1"/>
  <c r="S129" i="38"/>
  <c r="S130" i="38" s="1"/>
  <c r="Y129" i="38"/>
  <c r="L11" i="38"/>
  <c r="L15" i="38" s="1"/>
  <c r="L27" i="38" s="1"/>
  <c r="L62" i="38" s="1"/>
  <c r="W49" i="38"/>
  <c r="X49" i="38" s="1"/>
  <c r="W51" i="38"/>
  <c r="X51" i="38" s="1"/>
  <c r="C60" i="38"/>
  <c r="M69" i="38"/>
  <c r="M120" i="38"/>
  <c r="Y75" i="38"/>
  <c r="W104" i="38"/>
  <c r="X104" i="38" s="1"/>
  <c r="Y105" i="38"/>
  <c r="W115" i="38"/>
  <c r="X115" i="38" s="1"/>
  <c r="C117" i="38"/>
  <c r="W19" i="38"/>
  <c r="X19" i="38" s="1"/>
  <c r="W20" i="38"/>
  <c r="X20" i="38"/>
  <c r="Y21" i="38"/>
  <c r="K23" i="38"/>
  <c r="W29" i="38"/>
  <c r="X29" i="38" s="1"/>
  <c r="B46" i="38"/>
  <c r="B61" i="38"/>
  <c r="F69" i="38"/>
  <c r="N69" i="38"/>
  <c r="V69" i="38"/>
  <c r="V120" i="38"/>
  <c r="Y81" i="38"/>
  <c r="W81" i="38"/>
  <c r="X81" i="38" s="1"/>
  <c r="H90" i="38"/>
  <c r="Y89" i="38"/>
  <c r="J90" i="38"/>
  <c r="J120" i="38"/>
  <c r="W8" i="38"/>
  <c r="X8" i="38" s="1"/>
  <c r="W31" i="38"/>
  <c r="X31" i="38" s="1"/>
  <c r="W41" i="38"/>
  <c r="X41" i="38" s="1"/>
  <c r="Y76" i="38"/>
  <c r="W76" i="38"/>
  <c r="X76" i="38" s="1"/>
  <c r="Y78" i="38"/>
  <c r="O90" i="38"/>
  <c r="Y104" i="38"/>
  <c r="W105" i="38"/>
  <c r="X105" i="38" s="1"/>
  <c r="M113" i="38"/>
  <c r="W67" i="38"/>
  <c r="X67" i="38" s="1"/>
  <c r="M68" i="38"/>
  <c r="W72" i="38"/>
  <c r="X72" i="38" s="1"/>
  <c r="Y83" i="38"/>
  <c r="W83" i="38"/>
  <c r="X83" i="38" s="1"/>
  <c r="Y87" i="38"/>
  <c r="W50" i="38"/>
  <c r="X50" i="38" s="1"/>
  <c r="W55" i="38"/>
  <c r="X55" i="38" s="1"/>
  <c r="O57" i="38"/>
  <c r="W56" i="38"/>
  <c r="X56" i="38" s="1"/>
  <c r="B68" i="38"/>
  <c r="Y70" i="38"/>
  <c r="W70" i="38"/>
  <c r="X70" i="38" s="1"/>
  <c r="B90" i="38"/>
  <c r="Y32" i="38"/>
  <c r="W78" i="38"/>
  <c r="X78" i="38" s="1"/>
  <c r="W86" i="38"/>
  <c r="X86" i="38" s="1"/>
  <c r="Y128" i="38"/>
  <c r="M25" i="41"/>
  <c r="M29" i="41"/>
  <c r="N25" i="41"/>
  <c r="O25" i="41"/>
  <c r="P25" i="41"/>
  <c r="I25" i="41"/>
  <c r="Q25" i="41"/>
  <c r="Q29" i="41"/>
  <c r="T25" i="41"/>
  <c r="T29" i="41"/>
  <c r="J25" i="41"/>
  <c r="J29" i="41"/>
  <c r="R25" i="41"/>
  <c r="R29" i="41"/>
  <c r="K25" i="41"/>
  <c r="K29" i="41"/>
  <c r="S25" i="41"/>
  <c r="S29" i="41"/>
  <c r="L25" i="41"/>
  <c r="L29" i="41"/>
  <c r="F26" i="41"/>
  <c r="N26" i="41"/>
  <c r="O26" i="41"/>
  <c r="P26" i="41"/>
  <c r="E27" i="41"/>
  <c r="F22" i="41"/>
  <c r="C23" i="41"/>
  <c r="W32" i="38"/>
  <c r="X32" i="38" s="1"/>
  <c r="B69" i="38"/>
  <c r="U26" i="41"/>
  <c r="U25" i="41"/>
  <c r="I29" i="41"/>
  <c r="C24" i="41"/>
  <c r="F24" i="41"/>
  <c r="F23" i="41"/>
  <c r="F27" i="41"/>
  <c r="N27" i="41"/>
  <c r="O27" i="41"/>
  <c r="P27" i="41"/>
  <c r="E28" i="41"/>
  <c r="H38" i="22"/>
  <c r="U27" i="41"/>
  <c r="O28" i="41"/>
  <c r="O29" i="41"/>
  <c r="P28" i="41"/>
  <c r="P29" i="41"/>
  <c r="N28" i="41"/>
  <c r="U28" i="41"/>
  <c r="U29" i="41"/>
  <c r="F28" i="41"/>
  <c r="F29" i="41"/>
  <c r="D22" i="6"/>
  <c r="H29" i="41"/>
  <c r="G25" i="41"/>
  <c r="N29" i="41"/>
  <c r="U7" i="4"/>
  <c r="V7" i="4"/>
  <c r="U8" i="4"/>
  <c r="V8" i="4"/>
  <c r="U10" i="4"/>
  <c r="V10" i="4"/>
  <c r="U12" i="4"/>
  <c r="V12" i="4"/>
  <c r="U13" i="4"/>
  <c r="V13" i="4"/>
  <c r="U14" i="4"/>
  <c r="V14" i="4"/>
  <c r="U15" i="4"/>
  <c r="V15" i="4"/>
  <c r="U17" i="4"/>
  <c r="V17" i="4"/>
  <c r="U19" i="4"/>
  <c r="V19" i="4"/>
  <c r="U20" i="4"/>
  <c r="V20" i="4"/>
  <c r="U21" i="4"/>
  <c r="V21" i="4"/>
  <c r="U22" i="4"/>
  <c r="V22" i="4"/>
  <c r="U27" i="4"/>
  <c r="V27" i="4"/>
  <c r="U28" i="4"/>
  <c r="V28" i="4"/>
  <c r="U29" i="4"/>
  <c r="V29" i="4"/>
  <c r="U30" i="4"/>
  <c r="V30" i="4"/>
  <c r="U31" i="4"/>
  <c r="V31" i="4"/>
  <c r="U32" i="4"/>
  <c r="V32" i="4"/>
  <c r="U33" i="4"/>
  <c r="V33" i="4"/>
  <c r="V6" i="4"/>
  <c r="U6" i="4"/>
  <c r="H35" i="4"/>
  <c r="J35" i="4"/>
  <c r="K35" i="4"/>
  <c r="L35" i="4"/>
  <c r="M35" i="4"/>
  <c r="N35" i="4"/>
  <c r="O35" i="4"/>
  <c r="P35" i="4"/>
  <c r="Q35" i="4"/>
  <c r="R35" i="4"/>
  <c r="S30" i="4"/>
  <c r="S31" i="4"/>
  <c r="S32" i="4"/>
  <c r="S33" i="4"/>
  <c r="M34" i="4"/>
  <c r="I7" i="42"/>
  <c r="N34" i="4"/>
  <c r="J7" i="42"/>
  <c r="O34" i="4"/>
  <c r="K7" i="42"/>
  <c r="P34" i="4"/>
  <c r="L7" i="42"/>
  <c r="Q34" i="4"/>
  <c r="M7" i="42"/>
  <c r="R34" i="4"/>
  <c r="N7" i="42"/>
  <c r="U23" i="4"/>
  <c r="V23" i="4"/>
  <c r="U18" i="4"/>
  <c r="V18" i="4"/>
  <c r="G35" i="4"/>
  <c r="U24" i="4"/>
  <c r="V24" i="4"/>
  <c r="U9" i="4"/>
  <c r="V9" i="4"/>
  <c r="I35" i="4"/>
  <c r="U11" i="4"/>
  <c r="V11" i="4"/>
  <c r="U25" i="4"/>
  <c r="V25" i="4"/>
  <c r="U16" i="4"/>
  <c r="V16" i="4"/>
  <c r="C34" i="4"/>
  <c r="U34" i="4"/>
  <c r="AA7" i="34"/>
  <c r="I561" i="35"/>
  <c r="X85" i="34"/>
  <c r="T85" i="34"/>
  <c r="L85" i="34"/>
  <c r="H85" i="34"/>
  <c r="D85" i="34"/>
  <c r="Y84" i="34"/>
  <c r="W84" i="34"/>
  <c r="V84" i="34"/>
  <c r="U84" i="34"/>
  <c r="T84" i="34"/>
  <c r="S84" i="34"/>
  <c r="R84" i="34"/>
  <c r="Q84" i="34"/>
  <c r="P84" i="34"/>
  <c r="O84" i="34"/>
  <c r="N84" i="34"/>
  <c r="M84" i="34"/>
  <c r="L84" i="34"/>
  <c r="K84" i="34"/>
  <c r="J84" i="34"/>
  <c r="I84" i="34"/>
  <c r="H84" i="34"/>
  <c r="G84" i="34"/>
  <c r="F84" i="34"/>
  <c r="E84" i="34"/>
  <c r="D84" i="34"/>
  <c r="C84" i="34"/>
  <c r="B84" i="34"/>
  <c r="Z84" i="34"/>
  <c r="Z83" i="34"/>
  <c r="X83" i="34"/>
  <c r="X84" i="34"/>
  <c r="V83" i="34"/>
  <c r="Y81" i="34"/>
  <c r="Y85" i="34"/>
  <c r="X81" i="34"/>
  <c r="T81" i="34"/>
  <c r="R81" i="34"/>
  <c r="R85" i="34"/>
  <c r="Q81" i="34"/>
  <c r="Q85" i="34"/>
  <c r="N81" i="34"/>
  <c r="N85" i="34"/>
  <c r="M81" i="34"/>
  <c r="L81" i="34"/>
  <c r="I81" i="34"/>
  <c r="I85" i="34"/>
  <c r="H81" i="34"/>
  <c r="F81" i="34"/>
  <c r="F85" i="34"/>
  <c r="E81" i="34"/>
  <c r="C81" i="34"/>
  <c r="C85" i="34"/>
  <c r="B81" i="34"/>
  <c r="B85" i="34"/>
  <c r="Y80" i="34"/>
  <c r="W80" i="34"/>
  <c r="W81" i="34"/>
  <c r="W85" i="34"/>
  <c r="V80" i="34"/>
  <c r="V81" i="34"/>
  <c r="V85" i="34"/>
  <c r="U80" i="34"/>
  <c r="U81" i="34"/>
  <c r="U85" i="34"/>
  <c r="S80" i="34"/>
  <c r="S81" i="34"/>
  <c r="S85" i="34"/>
  <c r="R80" i="34"/>
  <c r="Q80" i="34"/>
  <c r="P80" i="34"/>
  <c r="P81" i="34"/>
  <c r="P85" i="34"/>
  <c r="O80" i="34"/>
  <c r="O81" i="34"/>
  <c r="O85" i="34"/>
  <c r="M80" i="34"/>
  <c r="K80" i="34"/>
  <c r="K81" i="34"/>
  <c r="K85" i="34"/>
  <c r="J80" i="34"/>
  <c r="J81" i="34"/>
  <c r="J85" i="34"/>
  <c r="I80" i="34"/>
  <c r="G80" i="34"/>
  <c r="G81" i="34"/>
  <c r="G85" i="34"/>
  <c r="D80" i="34"/>
  <c r="D81" i="34"/>
  <c r="E77" i="34"/>
  <c r="C77" i="34"/>
  <c r="Z76" i="34"/>
  <c r="Y76" i="34"/>
  <c r="W76" i="34"/>
  <c r="U76" i="34"/>
  <c r="S76" i="34"/>
  <c r="Q76" i="34"/>
  <c r="O76" i="34"/>
  <c r="M76" i="34"/>
  <c r="K76" i="34"/>
  <c r="I76" i="34"/>
  <c r="G76" i="34"/>
  <c r="F76" i="34"/>
  <c r="Y75" i="34"/>
  <c r="X75" i="34"/>
  <c r="W75" i="34"/>
  <c r="U75" i="34"/>
  <c r="T75" i="34"/>
  <c r="S75" i="34"/>
  <c r="Q75" i="34"/>
  <c r="O75" i="34"/>
  <c r="M75" i="34"/>
  <c r="L75" i="34"/>
  <c r="K75" i="34"/>
  <c r="I75" i="34"/>
  <c r="H75" i="34"/>
  <c r="Z75" i="34"/>
  <c r="G75" i="34"/>
  <c r="B75" i="34"/>
  <c r="J74" i="34"/>
  <c r="Z74" i="34"/>
  <c r="X73" i="34"/>
  <c r="R73" i="34"/>
  <c r="L73" i="34"/>
  <c r="H73" i="34"/>
  <c r="Z73" i="34"/>
  <c r="F73" i="34"/>
  <c r="B73" i="34"/>
  <c r="Y72" i="34"/>
  <c r="W72" i="34"/>
  <c r="U72" i="34"/>
  <c r="S72" i="34"/>
  <c r="R72" i="34"/>
  <c r="Q72" i="34"/>
  <c r="P72" i="34"/>
  <c r="O72" i="34"/>
  <c r="N72" i="34"/>
  <c r="M72" i="34"/>
  <c r="K72" i="34"/>
  <c r="J72" i="34"/>
  <c r="I72" i="34"/>
  <c r="G72" i="34"/>
  <c r="Y71" i="34"/>
  <c r="W71" i="34"/>
  <c r="U71" i="34"/>
  <c r="T71" i="34"/>
  <c r="Z71" i="34"/>
  <c r="S71" i="34"/>
  <c r="Q71" i="34"/>
  <c r="O71" i="34"/>
  <c r="M71" i="34"/>
  <c r="K71" i="34"/>
  <c r="I71" i="34"/>
  <c r="G71" i="34"/>
  <c r="X70" i="34"/>
  <c r="Z70" i="34"/>
  <c r="Y69" i="34"/>
  <c r="X69" i="34"/>
  <c r="W69" i="34"/>
  <c r="V69" i="34"/>
  <c r="U69" i="34"/>
  <c r="T69" i="34"/>
  <c r="S69" i="34"/>
  <c r="R69" i="34"/>
  <c r="Q69" i="34"/>
  <c r="P69" i="34"/>
  <c r="O69" i="34"/>
  <c r="N69" i="34"/>
  <c r="M69" i="34"/>
  <c r="L69" i="34"/>
  <c r="K69" i="34"/>
  <c r="J69" i="34"/>
  <c r="I69" i="34"/>
  <c r="H69" i="34"/>
  <c r="G69" i="34"/>
  <c r="D69" i="34"/>
  <c r="Z69" i="34"/>
  <c r="B69" i="34"/>
  <c r="V68" i="34"/>
  <c r="T68" i="34"/>
  <c r="Z68" i="34"/>
  <c r="P68" i="34"/>
  <c r="Y67" i="34"/>
  <c r="X67" i="34"/>
  <c r="W67" i="34"/>
  <c r="V67" i="34"/>
  <c r="U67" i="34"/>
  <c r="T67" i="34"/>
  <c r="S67" i="34"/>
  <c r="Q67" i="34"/>
  <c r="P67" i="34"/>
  <c r="O67" i="34"/>
  <c r="M67" i="34"/>
  <c r="K67" i="34"/>
  <c r="J67" i="34"/>
  <c r="I67" i="34"/>
  <c r="H67" i="34"/>
  <c r="G67" i="34"/>
  <c r="B67" i="34"/>
  <c r="Z66" i="34"/>
  <c r="Y66" i="34"/>
  <c r="X66" i="34"/>
  <c r="W66" i="34"/>
  <c r="U66" i="34"/>
  <c r="S66" i="34"/>
  <c r="Q66" i="34"/>
  <c r="O66" i="34"/>
  <c r="M66" i="34"/>
  <c r="K66" i="34"/>
  <c r="I66" i="34"/>
  <c r="G66" i="34"/>
  <c r="Y65" i="34"/>
  <c r="X65" i="34"/>
  <c r="W65" i="34"/>
  <c r="V65" i="34"/>
  <c r="U65" i="34"/>
  <c r="T65" i="34"/>
  <c r="S65" i="34"/>
  <c r="Q65" i="34"/>
  <c r="P65" i="34"/>
  <c r="O65" i="34"/>
  <c r="N65" i="34"/>
  <c r="M65" i="34"/>
  <c r="K65" i="34"/>
  <c r="J65" i="34"/>
  <c r="I65" i="34"/>
  <c r="H65" i="34"/>
  <c r="Z65" i="34"/>
  <c r="G65" i="34"/>
  <c r="F65" i="34"/>
  <c r="B65" i="34"/>
  <c r="Z64" i="34"/>
  <c r="Y64" i="34"/>
  <c r="X64" i="34"/>
  <c r="W64" i="34"/>
  <c r="U64" i="34"/>
  <c r="S64" i="34"/>
  <c r="Q64" i="34"/>
  <c r="O64" i="34"/>
  <c r="M64" i="34"/>
  <c r="K64" i="34"/>
  <c r="I64" i="34"/>
  <c r="G64" i="34"/>
  <c r="Y63" i="34"/>
  <c r="X63" i="34"/>
  <c r="W63" i="34"/>
  <c r="U63" i="34"/>
  <c r="S63" i="34"/>
  <c r="Q63" i="34"/>
  <c r="O63" i="34"/>
  <c r="N63" i="34"/>
  <c r="Z63" i="34"/>
  <c r="M63" i="34"/>
  <c r="K63" i="34"/>
  <c r="J63" i="34"/>
  <c r="I63" i="34"/>
  <c r="G63" i="34"/>
  <c r="B63" i="34"/>
  <c r="Y62" i="34"/>
  <c r="W62" i="34"/>
  <c r="U62" i="34"/>
  <c r="S62" i="34"/>
  <c r="R62" i="34"/>
  <c r="Q62" i="34"/>
  <c r="P62" i="34"/>
  <c r="O62" i="34"/>
  <c r="N62" i="34"/>
  <c r="M62" i="34"/>
  <c r="L62" i="34"/>
  <c r="K62" i="34"/>
  <c r="J62" i="34"/>
  <c r="I62" i="34"/>
  <c r="H62" i="34"/>
  <c r="G62" i="34"/>
  <c r="D62" i="34"/>
  <c r="Z62" i="34"/>
  <c r="B62" i="34"/>
  <c r="Y61" i="34"/>
  <c r="X61" i="34"/>
  <c r="W61" i="34"/>
  <c r="V61" i="34"/>
  <c r="U61" i="34"/>
  <c r="T61" i="34"/>
  <c r="S61" i="34"/>
  <c r="R61" i="34"/>
  <c r="Q61" i="34"/>
  <c r="P61" i="34"/>
  <c r="O61" i="34"/>
  <c r="N61" i="34"/>
  <c r="M61" i="34"/>
  <c r="L61" i="34"/>
  <c r="K61" i="34"/>
  <c r="J61" i="34"/>
  <c r="I61" i="34"/>
  <c r="H61" i="34"/>
  <c r="G61" i="34"/>
  <c r="F61" i="34"/>
  <c r="D61" i="34"/>
  <c r="B61" i="34"/>
  <c r="B60" i="34"/>
  <c r="Z60" i="34"/>
  <c r="Y59" i="34"/>
  <c r="X59" i="34"/>
  <c r="W59" i="34"/>
  <c r="V59" i="34"/>
  <c r="U59" i="34"/>
  <c r="T59" i="34"/>
  <c r="S59" i="34"/>
  <c r="Q59" i="34"/>
  <c r="P59" i="34"/>
  <c r="O59" i="34"/>
  <c r="N59" i="34"/>
  <c r="M59" i="34"/>
  <c r="K59" i="34"/>
  <c r="J59" i="34"/>
  <c r="I59" i="34"/>
  <c r="H59" i="34"/>
  <c r="G59" i="34"/>
  <c r="F59" i="34"/>
  <c r="D59" i="34"/>
  <c r="B59" i="34"/>
  <c r="Z59" i="34"/>
  <c r="Z58" i="34"/>
  <c r="Y58" i="34"/>
  <c r="X58" i="34"/>
  <c r="W58" i="34"/>
  <c r="V58" i="34"/>
  <c r="U58" i="34"/>
  <c r="S58" i="34"/>
  <c r="Q58" i="34"/>
  <c r="O58" i="34"/>
  <c r="N58" i="34"/>
  <c r="M58" i="34"/>
  <c r="K58" i="34"/>
  <c r="I58" i="34"/>
  <c r="G58" i="34"/>
  <c r="B58" i="34"/>
  <c r="Y57" i="34"/>
  <c r="X57" i="34"/>
  <c r="W57" i="34"/>
  <c r="V57" i="34"/>
  <c r="U57" i="34"/>
  <c r="T57" i="34"/>
  <c r="S57" i="34"/>
  <c r="R57" i="34"/>
  <c r="Q57" i="34"/>
  <c r="P57" i="34"/>
  <c r="O57" i="34"/>
  <c r="N57" i="34"/>
  <c r="M57" i="34"/>
  <c r="L57" i="34"/>
  <c r="K57" i="34"/>
  <c r="J57" i="34"/>
  <c r="I57" i="34"/>
  <c r="H57" i="34"/>
  <c r="G57" i="34"/>
  <c r="F57" i="34"/>
  <c r="D57" i="34"/>
  <c r="Z57" i="34"/>
  <c r="B57" i="34"/>
  <c r="Y56" i="34"/>
  <c r="W56" i="34"/>
  <c r="U56" i="34"/>
  <c r="S56" i="34"/>
  <c r="Q56" i="34"/>
  <c r="P56" i="34"/>
  <c r="O56" i="34"/>
  <c r="M56" i="34"/>
  <c r="K56" i="34"/>
  <c r="I56" i="34"/>
  <c r="G56" i="34"/>
  <c r="B56" i="34"/>
  <c r="Y55" i="34"/>
  <c r="W55" i="34"/>
  <c r="V55" i="34"/>
  <c r="U55" i="34"/>
  <c r="S55" i="34"/>
  <c r="R55" i="34"/>
  <c r="Q55" i="34"/>
  <c r="P55" i="34"/>
  <c r="O55" i="34"/>
  <c r="N55" i="34"/>
  <c r="M55" i="34"/>
  <c r="L55" i="34"/>
  <c r="L77" i="34"/>
  <c r="K55" i="34"/>
  <c r="J55" i="34"/>
  <c r="I55" i="34"/>
  <c r="H55" i="34"/>
  <c r="G55" i="34"/>
  <c r="F55" i="34"/>
  <c r="D55" i="34"/>
  <c r="B55" i="34"/>
  <c r="Z55" i="34"/>
  <c r="Y54" i="34"/>
  <c r="X54" i="34"/>
  <c r="W54" i="34"/>
  <c r="V54" i="34"/>
  <c r="U54" i="34"/>
  <c r="T54" i="34"/>
  <c r="S54" i="34"/>
  <c r="R54" i="34"/>
  <c r="Q54" i="34"/>
  <c r="P54" i="34"/>
  <c r="O54" i="34"/>
  <c r="N54" i="34"/>
  <c r="M54" i="34"/>
  <c r="K54" i="34"/>
  <c r="J54" i="34"/>
  <c r="I54" i="34"/>
  <c r="H54" i="34"/>
  <c r="G54" i="34"/>
  <c r="F54" i="34"/>
  <c r="D54" i="34"/>
  <c r="Z54" i="34"/>
  <c r="B54" i="34"/>
  <c r="H53" i="34"/>
  <c r="F53" i="34"/>
  <c r="Z53" i="34"/>
  <c r="X52" i="34"/>
  <c r="V52" i="34"/>
  <c r="T52" i="34"/>
  <c r="B52" i="34"/>
  <c r="Z51" i="34"/>
  <c r="Y51" i="34"/>
  <c r="W51" i="34"/>
  <c r="U51" i="34"/>
  <c r="S51" i="34"/>
  <c r="Q51" i="34"/>
  <c r="O51" i="34"/>
  <c r="N51" i="34"/>
  <c r="M51" i="34"/>
  <c r="K51" i="34"/>
  <c r="I51" i="34"/>
  <c r="G51" i="34"/>
  <c r="Y50" i="34"/>
  <c r="W50" i="34"/>
  <c r="U50" i="34"/>
  <c r="S50" i="34"/>
  <c r="Q50" i="34"/>
  <c r="O50" i="34"/>
  <c r="O77" i="34"/>
  <c r="M50" i="34"/>
  <c r="L50" i="34"/>
  <c r="Z50" i="34"/>
  <c r="K50" i="34"/>
  <c r="I50" i="34"/>
  <c r="G50" i="34"/>
  <c r="J49" i="34"/>
  <c r="D49" i="34"/>
  <c r="Z49" i="34"/>
  <c r="Y48" i="34"/>
  <c r="W48" i="34"/>
  <c r="U48" i="34"/>
  <c r="S48" i="34"/>
  <c r="Q48" i="34"/>
  <c r="P48" i="34"/>
  <c r="O48" i="34"/>
  <c r="M48" i="34"/>
  <c r="K48" i="34"/>
  <c r="J48" i="34"/>
  <c r="I48" i="34"/>
  <c r="H48" i="34"/>
  <c r="G48" i="34"/>
  <c r="B48" i="34"/>
  <c r="Z48" i="34"/>
  <c r="Y47" i="34"/>
  <c r="X47" i="34"/>
  <c r="W47" i="34"/>
  <c r="V47" i="34"/>
  <c r="U47" i="34"/>
  <c r="T47" i="34"/>
  <c r="S47" i="34"/>
  <c r="R47" i="34"/>
  <c r="Q47" i="34"/>
  <c r="P47" i="34"/>
  <c r="O47" i="34"/>
  <c r="N47" i="34"/>
  <c r="M47" i="34"/>
  <c r="L47" i="34"/>
  <c r="K47" i="34"/>
  <c r="J47" i="34"/>
  <c r="I47" i="34"/>
  <c r="H47" i="34"/>
  <c r="G47" i="34"/>
  <c r="F47" i="34"/>
  <c r="Z47" i="34"/>
  <c r="D47" i="34"/>
  <c r="B47" i="34"/>
  <c r="Y46" i="34"/>
  <c r="X46" i="34"/>
  <c r="W46" i="34"/>
  <c r="U46" i="34"/>
  <c r="S46" i="34"/>
  <c r="R46" i="34"/>
  <c r="Q46" i="34"/>
  <c r="P46" i="34"/>
  <c r="O46" i="34"/>
  <c r="N46" i="34"/>
  <c r="M46" i="34"/>
  <c r="K46" i="34"/>
  <c r="J46" i="34"/>
  <c r="I46" i="34"/>
  <c r="H46" i="34"/>
  <c r="G46" i="34"/>
  <c r="B46" i="34"/>
  <c r="Z46" i="34"/>
  <c r="T45" i="34"/>
  <c r="Z45" i="34"/>
  <c r="Y44" i="34"/>
  <c r="W44" i="34"/>
  <c r="U44" i="34"/>
  <c r="S44" i="34"/>
  <c r="Q44" i="34"/>
  <c r="O44" i="34"/>
  <c r="M44" i="34"/>
  <c r="K44" i="34"/>
  <c r="K77" i="34"/>
  <c r="I44" i="34"/>
  <c r="G44" i="34"/>
  <c r="D44" i="34"/>
  <c r="B44" i="34"/>
  <c r="Z44" i="34"/>
  <c r="Z43" i="34"/>
  <c r="Y43" i="34"/>
  <c r="W43" i="34"/>
  <c r="U43" i="34"/>
  <c r="S43" i="34"/>
  <c r="Q43" i="34"/>
  <c r="O43" i="34"/>
  <c r="M43" i="34"/>
  <c r="K43" i="34"/>
  <c r="J43" i="34"/>
  <c r="I43" i="34"/>
  <c r="G43" i="34"/>
  <c r="G77" i="34"/>
  <c r="Y42" i="34"/>
  <c r="X42" i="34"/>
  <c r="W42" i="34"/>
  <c r="V42" i="34"/>
  <c r="U42" i="34"/>
  <c r="T42" i="34"/>
  <c r="S42" i="34"/>
  <c r="Q42" i="34"/>
  <c r="P42" i="34"/>
  <c r="O42" i="34"/>
  <c r="N42" i="34"/>
  <c r="M42" i="34"/>
  <c r="L42" i="34"/>
  <c r="K42" i="34"/>
  <c r="J42" i="34"/>
  <c r="I42" i="34"/>
  <c r="H42" i="34"/>
  <c r="G42" i="34"/>
  <c r="F42" i="34"/>
  <c r="D42" i="34"/>
  <c r="Z42" i="34"/>
  <c r="B42" i="34"/>
  <c r="Y41" i="34"/>
  <c r="W41" i="34"/>
  <c r="U41" i="34"/>
  <c r="T41" i="34"/>
  <c r="Z41" i="34"/>
  <c r="S41" i="34"/>
  <c r="S77" i="34"/>
  <c r="Q41" i="34"/>
  <c r="O41" i="34"/>
  <c r="M41" i="34"/>
  <c r="K41" i="34"/>
  <c r="I41" i="34"/>
  <c r="G41" i="34"/>
  <c r="Y40" i="34"/>
  <c r="W40" i="34"/>
  <c r="W77" i="34"/>
  <c r="U40" i="34"/>
  <c r="S40" i="34"/>
  <c r="R40" i="34"/>
  <c r="Q40" i="34"/>
  <c r="O40" i="34"/>
  <c r="M40" i="34"/>
  <c r="K40" i="34"/>
  <c r="I40" i="34"/>
  <c r="G40" i="34"/>
  <c r="B40" i="34"/>
  <c r="Z40" i="34"/>
  <c r="Y39" i="34"/>
  <c r="X39" i="34"/>
  <c r="W39" i="34"/>
  <c r="V39" i="34"/>
  <c r="U39" i="34"/>
  <c r="T39" i="34"/>
  <c r="S39" i="34"/>
  <c r="R39" i="34"/>
  <c r="Q39" i="34"/>
  <c r="P39" i="34"/>
  <c r="O39" i="34"/>
  <c r="N39" i="34"/>
  <c r="M39" i="34"/>
  <c r="L39" i="34"/>
  <c r="K39" i="34"/>
  <c r="J39" i="34"/>
  <c r="I39" i="34"/>
  <c r="H39" i="34"/>
  <c r="G39" i="34"/>
  <c r="F39" i="34"/>
  <c r="D39" i="34"/>
  <c r="Z39" i="34"/>
  <c r="B39" i="34"/>
  <c r="B77" i="34"/>
  <c r="E36" i="34"/>
  <c r="E37" i="34"/>
  <c r="E78" i="34"/>
  <c r="C36" i="34"/>
  <c r="Y35" i="34"/>
  <c r="X35" i="34"/>
  <c r="W35" i="34"/>
  <c r="V35" i="34"/>
  <c r="U35" i="34"/>
  <c r="T35" i="34"/>
  <c r="S35" i="34"/>
  <c r="R35" i="34"/>
  <c r="Q35" i="34"/>
  <c r="P35" i="34"/>
  <c r="O35" i="34"/>
  <c r="N35" i="34"/>
  <c r="M35" i="34"/>
  <c r="L35" i="34"/>
  <c r="K35" i="34"/>
  <c r="J35" i="34"/>
  <c r="I35" i="34"/>
  <c r="H35" i="34"/>
  <c r="G35" i="34"/>
  <c r="F35" i="34"/>
  <c r="Z35" i="34"/>
  <c r="D35" i="34"/>
  <c r="B35" i="34"/>
  <c r="Z34" i="34"/>
  <c r="Y34" i="34"/>
  <c r="W34" i="34"/>
  <c r="U34" i="34"/>
  <c r="S34" i="34"/>
  <c r="Q34" i="34"/>
  <c r="O34" i="34"/>
  <c r="M34" i="34"/>
  <c r="K34" i="34"/>
  <c r="I34" i="34"/>
  <c r="G34" i="34"/>
  <c r="Y33" i="34"/>
  <c r="W33" i="34"/>
  <c r="V33" i="34"/>
  <c r="U33" i="34"/>
  <c r="T33" i="34"/>
  <c r="S33" i="34"/>
  <c r="R33" i="34"/>
  <c r="Q33" i="34"/>
  <c r="P33" i="34"/>
  <c r="O33" i="34"/>
  <c r="N33" i="34"/>
  <c r="M33" i="34"/>
  <c r="L33" i="34"/>
  <c r="K33" i="34"/>
  <c r="J33" i="34"/>
  <c r="I33" i="34"/>
  <c r="H33" i="34"/>
  <c r="Z33" i="34"/>
  <c r="G33" i="34"/>
  <c r="Y32" i="34"/>
  <c r="W32" i="34"/>
  <c r="V32" i="34"/>
  <c r="U32" i="34"/>
  <c r="S32" i="34"/>
  <c r="R32" i="34"/>
  <c r="Q32" i="34"/>
  <c r="O32" i="34"/>
  <c r="N32" i="34"/>
  <c r="M32" i="34"/>
  <c r="L32" i="34"/>
  <c r="K32" i="34"/>
  <c r="J32" i="34"/>
  <c r="I32" i="34"/>
  <c r="G32" i="34"/>
  <c r="F32" i="34"/>
  <c r="D32" i="34"/>
  <c r="B32" i="34"/>
  <c r="Z32" i="34"/>
  <c r="Y31" i="34"/>
  <c r="W31" i="34"/>
  <c r="U31" i="34"/>
  <c r="S31" i="34"/>
  <c r="Q31" i="34"/>
  <c r="O31" i="34"/>
  <c r="M31" i="34"/>
  <c r="K31" i="34"/>
  <c r="J31" i="34"/>
  <c r="I31" i="34"/>
  <c r="H31" i="34"/>
  <c r="Z31" i="34"/>
  <c r="G31" i="34"/>
  <c r="D31" i="34"/>
  <c r="B31" i="34"/>
  <c r="Y30" i="34"/>
  <c r="W30" i="34"/>
  <c r="U30" i="34"/>
  <c r="S30" i="34"/>
  <c r="R30" i="34"/>
  <c r="Q30" i="34"/>
  <c r="P30" i="34"/>
  <c r="O30" i="34"/>
  <c r="M30" i="34"/>
  <c r="K30" i="34"/>
  <c r="I30" i="34"/>
  <c r="H30" i="34"/>
  <c r="Z30" i="34"/>
  <c r="G30" i="34"/>
  <c r="Y29" i="34"/>
  <c r="X29" i="34"/>
  <c r="W29" i="34"/>
  <c r="V29" i="34"/>
  <c r="U29" i="34"/>
  <c r="T29" i="34"/>
  <c r="S29" i="34"/>
  <c r="R29" i="34"/>
  <c r="Q29" i="34"/>
  <c r="P29" i="34"/>
  <c r="O29" i="34"/>
  <c r="N29" i="34"/>
  <c r="M29" i="34"/>
  <c r="L29" i="34"/>
  <c r="K29" i="34"/>
  <c r="J29" i="34"/>
  <c r="I29" i="34"/>
  <c r="H29" i="34"/>
  <c r="G29" i="34"/>
  <c r="F29" i="34"/>
  <c r="B29" i="34"/>
  <c r="Y28" i="34"/>
  <c r="W28" i="34"/>
  <c r="U28" i="34"/>
  <c r="S28" i="34"/>
  <c r="R28" i="34"/>
  <c r="Q28" i="34"/>
  <c r="P28" i="34"/>
  <c r="O28" i="34"/>
  <c r="N28" i="34"/>
  <c r="M28" i="34"/>
  <c r="K28" i="34"/>
  <c r="J28" i="34"/>
  <c r="Z28" i="34"/>
  <c r="I28" i="34"/>
  <c r="H28" i="34"/>
  <c r="G28" i="34"/>
  <c r="Y27" i="34"/>
  <c r="W27" i="34"/>
  <c r="U27" i="34"/>
  <c r="S27" i="34"/>
  <c r="R27" i="34"/>
  <c r="Q27" i="34"/>
  <c r="P27" i="34"/>
  <c r="O27" i="34"/>
  <c r="N27" i="34"/>
  <c r="M27" i="34"/>
  <c r="K27" i="34"/>
  <c r="J27" i="34"/>
  <c r="I27" i="34"/>
  <c r="G27" i="34"/>
  <c r="F27" i="34"/>
  <c r="D27" i="34"/>
  <c r="Z27" i="34"/>
  <c r="Y26" i="34"/>
  <c r="W26" i="34"/>
  <c r="V26" i="34"/>
  <c r="U26" i="34"/>
  <c r="S26" i="34"/>
  <c r="Q26" i="34"/>
  <c r="O26" i="34"/>
  <c r="N26" i="34"/>
  <c r="M26" i="34"/>
  <c r="L26" i="34"/>
  <c r="K26" i="34"/>
  <c r="J26" i="34"/>
  <c r="I26" i="34"/>
  <c r="H26" i="34"/>
  <c r="G26" i="34"/>
  <c r="F26" i="34"/>
  <c r="Z26" i="34"/>
  <c r="D26" i="34"/>
  <c r="B26" i="34"/>
  <c r="Y25" i="34"/>
  <c r="X25" i="34"/>
  <c r="W25" i="34"/>
  <c r="V25" i="34"/>
  <c r="V36" i="34"/>
  <c r="U25" i="34"/>
  <c r="T25" i="34"/>
  <c r="S25" i="34"/>
  <c r="R25" i="34"/>
  <c r="Q25" i="34"/>
  <c r="P25" i="34"/>
  <c r="O25" i="34"/>
  <c r="N25" i="34"/>
  <c r="M25" i="34"/>
  <c r="L25" i="34"/>
  <c r="K25" i="34"/>
  <c r="J25" i="34"/>
  <c r="I25" i="34"/>
  <c r="H25" i="34"/>
  <c r="G25" i="34"/>
  <c r="F25" i="34"/>
  <c r="D25" i="34"/>
  <c r="Z25" i="34"/>
  <c r="B25" i="34"/>
  <c r="Y24" i="34"/>
  <c r="W24" i="34"/>
  <c r="U24" i="34"/>
  <c r="S24" i="34"/>
  <c r="Q24" i="34"/>
  <c r="P24" i="34"/>
  <c r="O24" i="34"/>
  <c r="N24" i="34"/>
  <c r="M24" i="34"/>
  <c r="K24" i="34"/>
  <c r="J24" i="34"/>
  <c r="I24" i="34"/>
  <c r="G24" i="34"/>
  <c r="F24" i="34"/>
  <c r="Z24" i="34"/>
  <c r="Y23" i="34"/>
  <c r="W23" i="34"/>
  <c r="U23" i="34"/>
  <c r="S23" i="34"/>
  <c r="Q23" i="34"/>
  <c r="P23" i="34"/>
  <c r="O23" i="34"/>
  <c r="N23" i="34"/>
  <c r="M23" i="34"/>
  <c r="K23" i="34"/>
  <c r="J23" i="34"/>
  <c r="I23" i="34"/>
  <c r="G23" i="34"/>
  <c r="B23" i="34"/>
  <c r="Z23" i="34"/>
  <c r="Z22" i="34"/>
  <c r="X22" i="34"/>
  <c r="Y21" i="34"/>
  <c r="W21" i="34"/>
  <c r="U21" i="34"/>
  <c r="T21" i="34"/>
  <c r="S21" i="34"/>
  <c r="R21" i="34"/>
  <c r="Q21" i="34"/>
  <c r="P21" i="34"/>
  <c r="O21" i="34"/>
  <c r="N21" i="34"/>
  <c r="M21" i="34"/>
  <c r="L21" i="34"/>
  <c r="K21" i="34"/>
  <c r="J21" i="34"/>
  <c r="I21" i="34"/>
  <c r="H21" i="34"/>
  <c r="G21" i="34"/>
  <c r="F21" i="34"/>
  <c r="D21" i="34"/>
  <c r="B21" i="34"/>
  <c r="Z21" i="34"/>
  <c r="Y20" i="34"/>
  <c r="W20" i="34"/>
  <c r="U20" i="34"/>
  <c r="S20" i="34"/>
  <c r="Q20" i="34"/>
  <c r="O20" i="34"/>
  <c r="M20" i="34"/>
  <c r="K20" i="34"/>
  <c r="I20" i="34"/>
  <c r="H20" i="34"/>
  <c r="G20" i="34"/>
  <c r="F20" i="34"/>
  <c r="Z20" i="34"/>
  <c r="Y19" i="34"/>
  <c r="W19" i="34"/>
  <c r="U19" i="34"/>
  <c r="U36" i="34"/>
  <c r="S19" i="34"/>
  <c r="Q19" i="34"/>
  <c r="O19" i="34"/>
  <c r="M19" i="34"/>
  <c r="M36" i="34"/>
  <c r="K19" i="34"/>
  <c r="I19" i="34"/>
  <c r="G19" i="34"/>
  <c r="B19" i="34"/>
  <c r="Z19" i="34"/>
  <c r="Y18" i="34"/>
  <c r="X18" i="34"/>
  <c r="W18" i="34"/>
  <c r="V18" i="34"/>
  <c r="U18" i="34"/>
  <c r="T18" i="34"/>
  <c r="S18" i="34"/>
  <c r="R18" i="34"/>
  <c r="R36" i="34"/>
  <c r="Q18" i="34"/>
  <c r="O18" i="34"/>
  <c r="N18" i="34"/>
  <c r="N36" i="34"/>
  <c r="M18" i="34"/>
  <c r="L18" i="34"/>
  <c r="K18" i="34"/>
  <c r="J18" i="34"/>
  <c r="J36" i="34"/>
  <c r="I18" i="34"/>
  <c r="H18" i="34"/>
  <c r="G18" i="34"/>
  <c r="F18" i="34"/>
  <c r="F36" i="34"/>
  <c r="D18" i="34"/>
  <c r="Z18" i="34"/>
  <c r="B18" i="34"/>
  <c r="Y17" i="34"/>
  <c r="Y36" i="34"/>
  <c r="X17" i="34"/>
  <c r="X36" i="34"/>
  <c r="W17" i="34"/>
  <c r="V17" i="34"/>
  <c r="U17" i="34"/>
  <c r="T17" i="34"/>
  <c r="S17" i="34"/>
  <c r="R17" i="34"/>
  <c r="Q17" i="34"/>
  <c r="Q36" i="34"/>
  <c r="P17" i="34"/>
  <c r="P36" i="34"/>
  <c r="O17" i="34"/>
  <c r="N17" i="34"/>
  <c r="M17" i="34"/>
  <c r="L17" i="34"/>
  <c r="L36" i="34"/>
  <c r="K17" i="34"/>
  <c r="J17" i="34"/>
  <c r="I17" i="34"/>
  <c r="I36" i="34"/>
  <c r="H17" i="34"/>
  <c r="H36" i="34"/>
  <c r="G17" i="34"/>
  <c r="F17" i="34"/>
  <c r="D17" i="34"/>
  <c r="B17" i="34"/>
  <c r="Z17" i="34"/>
  <c r="T16" i="34"/>
  <c r="V14" i="34"/>
  <c r="N14" i="34"/>
  <c r="J14" i="34"/>
  <c r="I14" i="34"/>
  <c r="E14" i="34"/>
  <c r="C14" i="34"/>
  <c r="C37" i="34"/>
  <c r="B14" i="34"/>
  <c r="Z13" i="34"/>
  <c r="P13" i="34"/>
  <c r="H13" i="34"/>
  <c r="D13" i="34"/>
  <c r="Z12" i="34"/>
  <c r="R12" i="34"/>
  <c r="B12" i="34"/>
  <c r="Y11" i="34"/>
  <c r="X11" i="34"/>
  <c r="W11" i="34"/>
  <c r="V11" i="34"/>
  <c r="U11" i="34"/>
  <c r="T11" i="34"/>
  <c r="S11" i="34"/>
  <c r="R11" i="34"/>
  <c r="Q11" i="34"/>
  <c r="P11" i="34"/>
  <c r="O11" i="34"/>
  <c r="N11" i="34"/>
  <c r="M11" i="34"/>
  <c r="K11" i="34"/>
  <c r="I11" i="34"/>
  <c r="G11" i="34"/>
  <c r="F11" i="34"/>
  <c r="Z11" i="34"/>
  <c r="D11" i="34"/>
  <c r="B11" i="34"/>
  <c r="Y10" i="34"/>
  <c r="X10" i="34"/>
  <c r="W10" i="34"/>
  <c r="U10" i="34"/>
  <c r="U14" i="34"/>
  <c r="U37" i="34"/>
  <c r="T10" i="34"/>
  <c r="S10" i="34"/>
  <c r="R10" i="34"/>
  <c r="Q10" i="34"/>
  <c r="Q14" i="34"/>
  <c r="O10" i="34"/>
  <c r="N10" i="34"/>
  <c r="M10" i="34"/>
  <c r="L10" i="34"/>
  <c r="K10" i="34"/>
  <c r="I10" i="34"/>
  <c r="H10" i="34"/>
  <c r="G10" i="34"/>
  <c r="F10" i="34"/>
  <c r="Z10" i="34"/>
  <c r="B10" i="34"/>
  <c r="X9" i="34"/>
  <c r="R9" i="34"/>
  <c r="R14" i="34"/>
  <c r="R37" i="34"/>
  <c r="N9" i="34"/>
  <c r="B9" i="34"/>
  <c r="Y8" i="34"/>
  <c r="Y14" i="34"/>
  <c r="W8" i="34"/>
  <c r="U8" i="34"/>
  <c r="T8" i="34"/>
  <c r="S8" i="34"/>
  <c r="Q8" i="34"/>
  <c r="O8" i="34"/>
  <c r="N8" i="34"/>
  <c r="M8" i="34"/>
  <c r="M14" i="34"/>
  <c r="M37" i="34"/>
  <c r="K8" i="34"/>
  <c r="I8" i="34"/>
  <c r="H8" i="34"/>
  <c r="Z8" i="34"/>
  <c r="G8" i="34"/>
  <c r="Y7" i="34"/>
  <c r="X7" i="34"/>
  <c r="X14" i="34"/>
  <c r="X37" i="34"/>
  <c r="W7" i="34"/>
  <c r="W14" i="34"/>
  <c r="V7" i="34"/>
  <c r="U7" i="34"/>
  <c r="T7" i="34"/>
  <c r="S7" i="34"/>
  <c r="R7" i="34"/>
  <c r="Q7" i="34"/>
  <c r="P7" i="34"/>
  <c r="P14" i="34"/>
  <c r="P37" i="34"/>
  <c r="O7" i="34"/>
  <c r="N7" i="34"/>
  <c r="M7" i="34"/>
  <c r="L7" i="34"/>
  <c r="K7" i="34"/>
  <c r="J7" i="34"/>
  <c r="I7" i="34"/>
  <c r="H7" i="34"/>
  <c r="H14" i="34"/>
  <c r="H37" i="34"/>
  <c r="G7" i="34"/>
  <c r="F7" i="34"/>
  <c r="D7" i="34"/>
  <c r="D14" i="34"/>
  <c r="B7" i="34"/>
  <c r="Z7" i="34"/>
  <c r="R78" i="34"/>
  <c r="R86" i="34"/>
  <c r="Q37" i="34"/>
  <c r="Q78" i="34"/>
  <c r="Q86" i="34"/>
  <c r="P78" i="34"/>
  <c r="P86" i="34"/>
  <c r="Y37" i="34"/>
  <c r="I37" i="34"/>
  <c r="I78" i="34"/>
  <c r="I86" i="34"/>
  <c r="F14" i="34"/>
  <c r="F37" i="34"/>
  <c r="V37" i="34"/>
  <c r="D36" i="34"/>
  <c r="D37" i="34"/>
  <c r="D78" i="34"/>
  <c r="D86" i="34"/>
  <c r="I77" i="34"/>
  <c r="Q77" i="34"/>
  <c r="U77" i="34"/>
  <c r="U78" i="34"/>
  <c r="U86" i="34"/>
  <c r="E85" i="34"/>
  <c r="E86" i="34"/>
  <c r="G14" i="34"/>
  <c r="K14" i="34"/>
  <c r="O14" i="34"/>
  <c r="S14" i="34"/>
  <c r="C78" i="34"/>
  <c r="C86" i="34"/>
  <c r="J37" i="34"/>
  <c r="Z29" i="34"/>
  <c r="B36" i="34"/>
  <c r="F77" i="34"/>
  <c r="J77" i="34"/>
  <c r="N77" i="34"/>
  <c r="R77" i="34"/>
  <c r="V77" i="34"/>
  <c r="Z52" i="34"/>
  <c r="Z67" i="34"/>
  <c r="Z72" i="34"/>
  <c r="Z80" i="34"/>
  <c r="M85" i="34"/>
  <c r="N37" i="34"/>
  <c r="B37" i="34"/>
  <c r="D77" i="34"/>
  <c r="M77" i="34"/>
  <c r="M78" i="34"/>
  <c r="M86" i="34"/>
  <c r="Y77" i="34"/>
  <c r="L14" i="34"/>
  <c r="L37" i="34"/>
  <c r="L78" i="34"/>
  <c r="L86" i="34"/>
  <c r="T14" i="34"/>
  <c r="Z9" i="34"/>
  <c r="T36" i="34"/>
  <c r="G36" i="34"/>
  <c r="K36" i="34"/>
  <c r="O36" i="34"/>
  <c r="S36" i="34"/>
  <c r="W36" i="34"/>
  <c r="W37" i="34"/>
  <c r="W78" i="34"/>
  <c r="W86" i="34"/>
  <c r="P77" i="34"/>
  <c r="T77" i="34"/>
  <c r="H77" i="34"/>
  <c r="H78" i="34"/>
  <c r="H86" i="34"/>
  <c r="Z56" i="34"/>
  <c r="Z61" i="34"/>
  <c r="X77" i="34"/>
  <c r="X78" i="34"/>
  <c r="X86" i="34"/>
  <c r="Z85" i="34"/>
  <c r="Z81" i="34"/>
  <c r="Z16" i="34"/>
  <c r="R8" i="12"/>
  <c r="I11" i="12"/>
  <c r="C39" i="5"/>
  <c r="J78" i="34"/>
  <c r="J86" i="34"/>
  <c r="Z77" i="34"/>
  <c r="Y78" i="34"/>
  <c r="Y86" i="34"/>
  <c r="T37" i="34"/>
  <c r="T78" i="34"/>
  <c r="T86" i="34"/>
  <c r="K37" i="34"/>
  <c r="K78" i="34"/>
  <c r="K86" i="34"/>
  <c r="V78" i="34"/>
  <c r="V86" i="34"/>
  <c r="Z14" i="34"/>
  <c r="N78" i="34"/>
  <c r="N86" i="34"/>
  <c r="S37" i="34"/>
  <c r="S78" i="34"/>
  <c r="S86" i="34"/>
  <c r="O37" i="34"/>
  <c r="O78" i="34"/>
  <c r="O86" i="34"/>
  <c r="B78" i="34"/>
  <c r="Z36" i="34"/>
  <c r="G37" i="34"/>
  <c r="G78" i="34"/>
  <c r="G86" i="34"/>
  <c r="F78" i="34"/>
  <c r="F86" i="34"/>
  <c r="O9" i="3"/>
  <c r="N21" i="3"/>
  <c r="K24" i="3"/>
  <c r="N24" i="3"/>
  <c r="O32" i="3"/>
  <c r="K8" i="3"/>
  <c r="N8" i="3"/>
  <c r="B30" i="5"/>
  <c r="B31" i="5"/>
  <c r="B32" i="5"/>
  <c r="B33" i="5"/>
  <c r="B34" i="5"/>
  <c r="B35" i="5"/>
  <c r="B36" i="5"/>
  <c r="N34" i="3"/>
  <c r="N35" i="3"/>
  <c r="N36" i="3"/>
  <c r="N37" i="3"/>
  <c r="N38" i="3"/>
  <c r="N39" i="3"/>
  <c r="K38" i="3"/>
  <c r="K37" i="3"/>
  <c r="K36" i="3"/>
  <c r="K35" i="3"/>
  <c r="K33" i="3"/>
  <c r="Z37" i="34"/>
  <c r="B86" i="34"/>
  <c r="Z86" i="34"/>
  <c r="Z78" i="34"/>
  <c r="O35" i="3"/>
  <c r="Q35" i="3"/>
  <c r="P35" i="3"/>
  <c r="P33" i="3"/>
  <c r="P39" i="3"/>
  <c r="AD131" i="33"/>
  <c r="N131" i="33"/>
  <c r="AH130" i="33"/>
  <c r="AH131" i="33"/>
  <c r="AG130" i="33"/>
  <c r="AF130" i="33"/>
  <c r="AE130" i="33"/>
  <c r="AD130" i="33"/>
  <c r="AC130" i="33"/>
  <c r="AB130" i="33"/>
  <c r="AA130" i="33"/>
  <c r="Z130" i="33"/>
  <c r="Z131" i="33"/>
  <c r="Y130" i="33"/>
  <c r="X130" i="33"/>
  <c r="W130" i="33"/>
  <c r="V130" i="33"/>
  <c r="U130" i="33"/>
  <c r="T130" i="33"/>
  <c r="S130" i="33"/>
  <c r="R130" i="33"/>
  <c r="R131" i="33"/>
  <c r="Q130" i="33"/>
  <c r="P130" i="33"/>
  <c r="O130" i="33"/>
  <c r="N130" i="33"/>
  <c r="AJ130" i="33"/>
  <c r="L130" i="33"/>
  <c r="K130" i="33"/>
  <c r="J130" i="33"/>
  <c r="I130" i="33"/>
  <c r="H130" i="33"/>
  <c r="G130" i="33"/>
  <c r="F130" i="33"/>
  <c r="F131" i="33"/>
  <c r="E130" i="33"/>
  <c r="D130" i="33"/>
  <c r="C130" i="33"/>
  <c r="B130" i="33"/>
  <c r="AJ129" i="33"/>
  <c r="AI129" i="33"/>
  <c r="AH129" i="33"/>
  <c r="AK129" i="33"/>
  <c r="AK128" i="33"/>
  <c r="AJ128" i="33"/>
  <c r="M128" i="33"/>
  <c r="AK127" i="33"/>
  <c r="AJ127" i="33"/>
  <c r="AI127" i="33"/>
  <c r="AH126" i="33"/>
  <c r="AG126" i="33"/>
  <c r="AG131" i="33"/>
  <c r="AD126" i="33"/>
  <c r="AC126" i="33"/>
  <c r="AC131" i="33"/>
  <c r="AA126" i="33"/>
  <c r="AA131" i="33"/>
  <c r="Z126" i="33"/>
  <c r="Y126" i="33"/>
  <c r="X126" i="33"/>
  <c r="X131" i="33"/>
  <c r="W126" i="33"/>
  <c r="W131" i="33"/>
  <c r="U126" i="33"/>
  <c r="U131" i="33"/>
  <c r="T126" i="33"/>
  <c r="T131" i="33"/>
  <c r="R126" i="33"/>
  <c r="Q126" i="33"/>
  <c r="Q131" i="33"/>
  <c r="O126" i="33"/>
  <c r="O131" i="33"/>
  <c r="N126" i="33"/>
  <c r="AJ126" i="33"/>
  <c r="M126" i="33"/>
  <c r="L126" i="33"/>
  <c r="L131" i="33"/>
  <c r="K126" i="33"/>
  <c r="K131" i="33"/>
  <c r="I126" i="33"/>
  <c r="I131" i="33"/>
  <c r="H126" i="33"/>
  <c r="H131" i="33"/>
  <c r="F126" i="33"/>
  <c r="E126" i="33"/>
  <c r="E131" i="33"/>
  <c r="C126" i="33"/>
  <c r="C131" i="33"/>
  <c r="B126" i="33"/>
  <c r="AF125" i="33"/>
  <c r="AF126" i="33"/>
  <c r="AF131" i="33"/>
  <c r="AE125" i="33"/>
  <c r="AB125" i="33"/>
  <c r="AB126" i="33"/>
  <c r="AB131" i="33"/>
  <c r="Y125" i="33"/>
  <c r="V125" i="33"/>
  <c r="V126" i="33"/>
  <c r="S125" i="33"/>
  <c r="S126" i="33"/>
  <c r="S131" i="33"/>
  <c r="P125" i="33"/>
  <c r="P126" i="33"/>
  <c r="P131" i="33"/>
  <c r="M125" i="33"/>
  <c r="J125" i="33"/>
  <c r="J126" i="33"/>
  <c r="J131" i="33"/>
  <c r="G125" i="33"/>
  <c r="G126" i="33"/>
  <c r="G131" i="33"/>
  <c r="D125" i="33"/>
  <c r="D126" i="33"/>
  <c r="D131" i="33"/>
  <c r="AK124" i="33"/>
  <c r="AJ124" i="33"/>
  <c r="AI124" i="33"/>
  <c r="Z121" i="33"/>
  <c r="AK121" i="33"/>
  <c r="N121" i="33"/>
  <c r="AJ121" i="33"/>
  <c r="M121" i="33"/>
  <c r="B121" i="33"/>
  <c r="AI121" i="33"/>
  <c r="AH120" i="33"/>
  <c r="AG120" i="33"/>
  <c r="AF120" i="33"/>
  <c r="AE120" i="33"/>
  <c r="AD120" i="33"/>
  <c r="AB120" i="33"/>
  <c r="Z120" i="33"/>
  <c r="Y120" i="33"/>
  <c r="U120" i="33"/>
  <c r="T120" i="33"/>
  <c r="S120" i="33"/>
  <c r="Q120" i="33"/>
  <c r="O120" i="33"/>
  <c r="N120" i="33"/>
  <c r="M120" i="33"/>
  <c r="L120" i="33"/>
  <c r="K120" i="33"/>
  <c r="J120" i="33"/>
  <c r="I120" i="33"/>
  <c r="H120" i="33"/>
  <c r="G120" i="33"/>
  <c r="E120" i="33"/>
  <c r="D120" i="33"/>
  <c r="C120" i="33"/>
  <c r="B120" i="33"/>
  <c r="AJ119" i="33"/>
  <c r="AI119" i="33"/>
  <c r="AG119" i="33"/>
  <c r="AC119" i="33"/>
  <c r="AK119" i="33"/>
  <c r="AC118" i="33"/>
  <c r="AC120" i="33"/>
  <c r="AA118" i="33"/>
  <c r="AK118" i="33"/>
  <c r="X118" i="33"/>
  <c r="X120" i="33"/>
  <c r="W118" i="33"/>
  <c r="W120" i="33"/>
  <c r="V118" i="33"/>
  <c r="V120" i="33"/>
  <c r="R118" i="33"/>
  <c r="R120" i="33"/>
  <c r="Q118" i="33"/>
  <c r="P118" i="33"/>
  <c r="P120" i="33"/>
  <c r="F118" i="33"/>
  <c r="AK117" i="33"/>
  <c r="AI117" i="33"/>
  <c r="O117" i="33"/>
  <c r="AJ117" i="33"/>
  <c r="AJ116" i="33"/>
  <c r="AI116" i="33"/>
  <c r="AB116" i="33"/>
  <c r="AK116" i="33"/>
  <c r="AH115" i="33"/>
  <c r="AG115" i="33"/>
  <c r="AE115" i="33"/>
  <c r="AD115" i="33"/>
  <c r="AB115" i="33"/>
  <c r="Z115" i="33"/>
  <c r="Y115" i="33"/>
  <c r="W115" i="33"/>
  <c r="V115" i="33"/>
  <c r="T115" i="33"/>
  <c r="S115" i="33"/>
  <c r="R115" i="33"/>
  <c r="Q115" i="33"/>
  <c r="P115" i="33"/>
  <c r="O115" i="33"/>
  <c r="N115" i="33"/>
  <c r="M115" i="33"/>
  <c r="L115" i="33"/>
  <c r="K115" i="33"/>
  <c r="J115" i="33"/>
  <c r="I115" i="33"/>
  <c r="H115" i="33"/>
  <c r="G115" i="33"/>
  <c r="F115" i="33"/>
  <c r="E115" i="33"/>
  <c r="D115" i="33"/>
  <c r="B115" i="33"/>
  <c r="AI115" i="33"/>
  <c r="AJ114" i="33"/>
  <c r="AI114" i="33"/>
  <c r="AF114" i="33"/>
  <c r="AA114" i="33"/>
  <c r="AK114" i="33"/>
  <c r="AJ113" i="33"/>
  <c r="AI113" i="33"/>
  <c r="AC113" i="33"/>
  <c r="AC115" i="33"/>
  <c r="AA113" i="33"/>
  <c r="AK113" i="33"/>
  <c r="B113" i="33"/>
  <c r="AJ112" i="33"/>
  <c r="AI112" i="33"/>
  <c r="AF112" i="33"/>
  <c r="AF115" i="33"/>
  <c r="AA112" i="33"/>
  <c r="AK112" i="33"/>
  <c r="Z112" i="33"/>
  <c r="AJ111" i="33"/>
  <c r="AI111" i="33"/>
  <c r="AA111" i="33"/>
  <c r="AA115" i="33"/>
  <c r="Z111" i="33"/>
  <c r="AK111" i="33"/>
  <c r="AJ110" i="33"/>
  <c r="X110" i="33"/>
  <c r="X115" i="33"/>
  <c r="U110" i="33"/>
  <c r="U115" i="33"/>
  <c r="C110" i="33"/>
  <c r="C115" i="33"/>
  <c r="B110" i="33"/>
  <c r="AI110" i="33"/>
  <c r="AF109" i="33"/>
  <c r="AE109" i="33"/>
  <c r="AD109" i="33"/>
  <c r="AB109" i="33"/>
  <c r="AK109" i="33"/>
  <c r="V109" i="33"/>
  <c r="S109" i="33"/>
  <c r="O109" i="33"/>
  <c r="N109" i="33"/>
  <c r="AJ109" i="33"/>
  <c r="M109" i="33"/>
  <c r="K109" i="33"/>
  <c r="J109" i="33"/>
  <c r="F109" i="33"/>
  <c r="AI109" i="33"/>
  <c r="E109" i="33"/>
  <c r="D109" i="33"/>
  <c r="C109" i="33"/>
  <c r="AK108" i="33"/>
  <c r="AG108" i="33"/>
  <c r="Q108" i="33"/>
  <c r="AJ108" i="33"/>
  <c r="G108" i="33"/>
  <c r="C108" i="33"/>
  <c r="AI108" i="33"/>
  <c r="AJ107" i="33"/>
  <c r="AI107" i="33"/>
  <c r="W107" i="33"/>
  <c r="AK107" i="33"/>
  <c r="AH106" i="33"/>
  <c r="AG106" i="33"/>
  <c r="AF106" i="33"/>
  <c r="AE106" i="33"/>
  <c r="AD106" i="33"/>
  <c r="AC106" i="33"/>
  <c r="AB106" i="33"/>
  <c r="AA106" i="33"/>
  <c r="Y106" i="33"/>
  <c r="X106" i="33"/>
  <c r="W106" i="33"/>
  <c r="AK106" i="33"/>
  <c r="U106" i="33"/>
  <c r="T106" i="33"/>
  <c r="S106" i="33"/>
  <c r="R106" i="33"/>
  <c r="Q106" i="33"/>
  <c r="P106" i="33"/>
  <c r="O106" i="33"/>
  <c r="N106" i="33"/>
  <c r="AJ106" i="33"/>
  <c r="M106" i="33"/>
  <c r="L106" i="33"/>
  <c r="K106" i="33"/>
  <c r="H106" i="33"/>
  <c r="F106" i="33"/>
  <c r="E106" i="33"/>
  <c r="D106" i="33"/>
  <c r="C106" i="33"/>
  <c r="B106" i="33"/>
  <c r="AI105" i="33"/>
  <c r="AH105" i="33"/>
  <c r="AG105" i="33"/>
  <c r="AE105" i="33"/>
  <c r="AK105" i="33"/>
  <c r="Q105" i="33"/>
  <c r="AJ105" i="33"/>
  <c r="AH104" i="33"/>
  <c r="AG104" i="33"/>
  <c r="AE104" i="33"/>
  <c r="AB104" i="33"/>
  <c r="AA104" i="33"/>
  <c r="X104" i="33"/>
  <c r="AK104" i="33"/>
  <c r="U104" i="33"/>
  <c r="T104" i="33"/>
  <c r="S104" i="33"/>
  <c r="R104" i="33"/>
  <c r="O104" i="33"/>
  <c r="N104" i="33"/>
  <c r="AJ104" i="33"/>
  <c r="M104" i="33"/>
  <c r="I104" i="33"/>
  <c r="H104" i="33"/>
  <c r="F104" i="33"/>
  <c r="E104" i="33"/>
  <c r="B104" i="33"/>
  <c r="AI104" i="33"/>
  <c r="AK103" i="33"/>
  <c r="AJ103" i="33"/>
  <c r="AI103" i="33"/>
  <c r="M103" i="33"/>
  <c r="I103" i="33"/>
  <c r="B103" i="33"/>
  <c r="AL102" i="33"/>
  <c r="AH102" i="33"/>
  <c r="AG102" i="33"/>
  <c r="AE102" i="33"/>
  <c r="AD102" i="33"/>
  <c r="AB102" i="33"/>
  <c r="AA102" i="33"/>
  <c r="Z102" i="33"/>
  <c r="X102" i="33"/>
  <c r="U102" i="33"/>
  <c r="T102" i="33"/>
  <c r="S102" i="33"/>
  <c r="R102" i="33"/>
  <c r="P102" i="33"/>
  <c r="O102" i="33"/>
  <c r="M102" i="33"/>
  <c r="I102" i="33"/>
  <c r="H102" i="33"/>
  <c r="F102" i="33"/>
  <c r="E102" i="33"/>
  <c r="C102" i="33"/>
  <c r="B102" i="33"/>
  <c r="AI102" i="33"/>
  <c r="AK101" i="33"/>
  <c r="AI101" i="33"/>
  <c r="S101" i="33"/>
  <c r="R101" i="33"/>
  <c r="AJ101" i="33"/>
  <c r="AD100" i="33"/>
  <c r="AB100" i="33"/>
  <c r="X100" i="33"/>
  <c r="W100" i="33"/>
  <c r="AK100" i="33"/>
  <c r="V100" i="33"/>
  <c r="U100" i="33"/>
  <c r="T100" i="33"/>
  <c r="AJ100" i="33"/>
  <c r="F100" i="33"/>
  <c r="AI100" i="33"/>
  <c r="AK99" i="33"/>
  <c r="AJ99" i="33"/>
  <c r="M99" i="33"/>
  <c r="AI99" i="33"/>
  <c r="AL98" i="33"/>
  <c r="AI98" i="33"/>
  <c r="AF98" i="33"/>
  <c r="AE98" i="33"/>
  <c r="AD98" i="33"/>
  <c r="AC98" i="33"/>
  <c r="AB98" i="33"/>
  <c r="AA98" i="33"/>
  <c r="Y98" i="33"/>
  <c r="X98" i="33"/>
  <c r="AK98" i="33"/>
  <c r="V98" i="33"/>
  <c r="T98" i="33"/>
  <c r="S98" i="33"/>
  <c r="R98" i="33"/>
  <c r="AJ98" i="33"/>
  <c r="AH97" i="33"/>
  <c r="AG97" i="33"/>
  <c r="AF97" i="33"/>
  <c r="AE97" i="33"/>
  <c r="AD97" i="33"/>
  <c r="AC97" i="33"/>
  <c r="AB97" i="33"/>
  <c r="AA97" i="33"/>
  <c r="Z97" i="33"/>
  <c r="Y97" i="33"/>
  <c r="AK97" i="33"/>
  <c r="X97" i="33"/>
  <c r="W97" i="33"/>
  <c r="V97" i="33"/>
  <c r="U97" i="33"/>
  <c r="T97" i="33"/>
  <c r="S97" i="33"/>
  <c r="R97" i="33"/>
  <c r="Q97" i="33"/>
  <c r="P97" i="33"/>
  <c r="O97" i="33"/>
  <c r="N97" i="33"/>
  <c r="AJ97" i="33"/>
  <c r="M97" i="33"/>
  <c r="L97" i="33"/>
  <c r="K97" i="33"/>
  <c r="J97" i="33"/>
  <c r="I97" i="33"/>
  <c r="H97" i="33"/>
  <c r="G97" i="33"/>
  <c r="F97" i="33"/>
  <c r="E97" i="33"/>
  <c r="D97" i="33"/>
  <c r="C97" i="33"/>
  <c r="B97" i="33"/>
  <c r="AI97" i="33"/>
  <c r="AK96" i="33"/>
  <c r="AJ96" i="33"/>
  <c r="K96" i="33"/>
  <c r="AI96" i="33"/>
  <c r="AI95" i="33"/>
  <c r="X95" i="33"/>
  <c r="AG94" i="33"/>
  <c r="AE94" i="33"/>
  <c r="AD94" i="33"/>
  <c r="AB94" i="33"/>
  <c r="AA94" i="33"/>
  <c r="Z94" i="33"/>
  <c r="Y94" i="33"/>
  <c r="X94" i="33"/>
  <c r="W94" i="33"/>
  <c r="AK94" i="33"/>
  <c r="V94" i="33"/>
  <c r="T94" i="33"/>
  <c r="S94" i="33"/>
  <c r="O94" i="33"/>
  <c r="N94" i="33"/>
  <c r="M94" i="33"/>
  <c r="I94" i="33"/>
  <c r="E94" i="33"/>
  <c r="D94" i="33"/>
  <c r="B94" i="33"/>
  <c r="AK93" i="33"/>
  <c r="AJ93" i="33"/>
  <c r="O93" i="33"/>
  <c r="H93" i="33"/>
  <c r="F93" i="33"/>
  <c r="AI93" i="33"/>
  <c r="AH92" i="33"/>
  <c r="AD92" i="33"/>
  <c r="X92" i="33"/>
  <c r="W92" i="33"/>
  <c r="V92" i="33"/>
  <c r="AJ92" i="33"/>
  <c r="M92" i="33"/>
  <c r="AI92" i="33"/>
  <c r="K92" i="33"/>
  <c r="AJ91" i="33"/>
  <c r="AH91" i="33"/>
  <c r="AG91" i="33"/>
  <c r="AF91" i="33"/>
  <c r="AE91" i="33"/>
  <c r="AD91" i="33"/>
  <c r="AC91" i="33"/>
  <c r="AB91" i="33"/>
  <c r="AA91" i="33"/>
  <c r="Z91" i="33"/>
  <c r="Y91" i="33"/>
  <c r="X91" i="33"/>
  <c r="AK91" i="33"/>
  <c r="V91" i="33"/>
  <c r="T91" i="33"/>
  <c r="S91" i="33"/>
  <c r="R91" i="33"/>
  <c r="Q91" i="33"/>
  <c r="P91" i="33"/>
  <c r="M91" i="33"/>
  <c r="H91" i="33"/>
  <c r="G91" i="33"/>
  <c r="F91" i="33"/>
  <c r="C91" i="33"/>
  <c r="B91" i="33"/>
  <c r="AI91" i="33"/>
  <c r="AE90" i="33"/>
  <c r="X90" i="33"/>
  <c r="W90" i="33"/>
  <c r="S90" i="33"/>
  <c r="Q90" i="33"/>
  <c r="AJ90" i="33"/>
  <c r="L90" i="33"/>
  <c r="I90" i="33"/>
  <c r="F90" i="33"/>
  <c r="AI90" i="33"/>
  <c r="AK89" i="33"/>
  <c r="AJ89" i="33"/>
  <c r="J89" i="33"/>
  <c r="D89" i="33"/>
  <c r="AI89" i="33"/>
  <c r="AG88" i="33"/>
  <c r="AC88" i="33"/>
  <c r="Z88" i="33"/>
  <c r="Z122" i="33"/>
  <c r="V88" i="33"/>
  <c r="R88" i="33"/>
  <c r="Q88" i="33"/>
  <c r="N88" i="33"/>
  <c r="M88" i="33"/>
  <c r="I88" i="33"/>
  <c r="F88" i="33"/>
  <c r="E88" i="33"/>
  <c r="AJ87" i="33"/>
  <c r="AI87" i="33"/>
  <c r="AF87" i="33"/>
  <c r="AK87" i="33"/>
  <c r="AJ86" i="33"/>
  <c r="AI86" i="33"/>
  <c r="AH86" i="33"/>
  <c r="AK86" i="33"/>
  <c r="AK85" i="33"/>
  <c r="AI85" i="33"/>
  <c r="X85" i="33"/>
  <c r="AJ85" i="33"/>
  <c r="AK84" i="33"/>
  <c r="AI84" i="33"/>
  <c r="AH84" i="33"/>
  <c r="AA84" i="33"/>
  <c r="AA88" i="33"/>
  <c r="W84" i="33"/>
  <c r="AJ84" i="33"/>
  <c r="AH83" i="33"/>
  <c r="AF83" i="33"/>
  <c r="AF88" i="33"/>
  <c r="AE83" i="33"/>
  <c r="AE88" i="33"/>
  <c r="AD83" i="33"/>
  <c r="AD88" i="33"/>
  <c r="AC83" i="33"/>
  <c r="AB83" i="33"/>
  <c r="AB88" i="33"/>
  <c r="Z83" i="33"/>
  <c r="Y83" i="33"/>
  <c r="Y88" i="33"/>
  <c r="X83" i="33"/>
  <c r="X88" i="33"/>
  <c r="V83" i="33"/>
  <c r="U83" i="33"/>
  <c r="U88" i="33"/>
  <c r="T83" i="33"/>
  <c r="T88" i="33"/>
  <c r="S83" i="33"/>
  <c r="S88" i="33"/>
  <c r="Q83" i="33"/>
  <c r="P83" i="33"/>
  <c r="P88" i="33"/>
  <c r="O83" i="33"/>
  <c r="O88" i="33"/>
  <c r="N83" i="33"/>
  <c r="L83" i="33"/>
  <c r="L88" i="33"/>
  <c r="K83" i="33"/>
  <c r="K88" i="33"/>
  <c r="J83" i="33"/>
  <c r="J88" i="33"/>
  <c r="I83" i="33"/>
  <c r="H83" i="33"/>
  <c r="H88" i="33"/>
  <c r="G83" i="33"/>
  <c r="G88" i="33"/>
  <c r="F83" i="33"/>
  <c r="E83" i="33"/>
  <c r="D83" i="33"/>
  <c r="D88" i="33"/>
  <c r="C83" i="33"/>
  <c r="C88" i="33"/>
  <c r="B83" i="33"/>
  <c r="B88" i="33"/>
  <c r="AH82" i="33"/>
  <c r="AG82" i="33"/>
  <c r="AF82" i="33"/>
  <c r="AE82" i="33"/>
  <c r="AD82" i="33"/>
  <c r="AB82" i="33"/>
  <c r="AA82" i="33"/>
  <c r="Z82" i="33"/>
  <c r="Y82" i="33"/>
  <c r="X82" i="33"/>
  <c r="W82" i="33"/>
  <c r="V82" i="33"/>
  <c r="T82" i="33"/>
  <c r="S82" i="33"/>
  <c r="R82" i="33"/>
  <c r="Q82" i="33"/>
  <c r="P82" i="33"/>
  <c r="O82" i="33"/>
  <c r="N82" i="33"/>
  <c r="M82" i="33"/>
  <c r="L82" i="33"/>
  <c r="K82" i="33"/>
  <c r="J82" i="33"/>
  <c r="I82" i="33"/>
  <c r="H82" i="33"/>
  <c r="F82" i="33"/>
  <c r="E82" i="33"/>
  <c r="D82" i="33"/>
  <c r="C82" i="33"/>
  <c r="AI82" i="33"/>
  <c r="B82" i="33"/>
  <c r="AJ81" i="33"/>
  <c r="AA81" i="33"/>
  <c r="Z81" i="33"/>
  <c r="AK81" i="33"/>
  <c r="F81" i="33"/>
  <c r="AI81" i="33"/>
  <c r="AH80" i="33"/>
  <c r="AG80" i="33"/>
  <c r="AK80" i="33"/>
  <c r="X80" i="33"/>
  <c r="W80" i="33"/>
  <c r="S80" i="33"/>
  <c r="AJ80" i="33"/>
  <c r="M80" i="33"/>
  <c r="L80" i="33"/>
  <c r="K80" i="33"/>
  <c r="J80" i="33"/>
  <c r="J122" i="33"/>
  <c r="I80" i="33"/>
  <c r="F80" i="33"/>
  <c r="AK79" i="33"/>
  <c r="S79" i="33"/>
  <c r="Q79" i="33"/>
  <c r="P79" i="33"/>
  <c r="AJ79" i="33"/>
  <c r="O79" i="33"/>
  <c r="N79" i="33"/>
  <c r="L79" i="33"/>
  <c r="I79" i="33"/>
  <c r="H79" i="33"/>
  <c r="G79" i="33"/>
  <c r="F79" i="33"/>
  <c r="AK78" i="33"/>
  <c r="AD78" i="33"/>
  <c r="T78" i="33"/>
  <c r="R78" i="33"/>
  <c r="AJ78" i="33"/>
  <c r="H78" i="33"/>
  <c r="AI78" i="33"/>
  <c r="AK77" i="33"/>
  <c r="AI77" i="33"/>
  <c r="AC77" i="33"/>
  <c r="U77" i="33"/>
  <c r="Q77" i="33"/>
  <c r="AJ77" i="33"/>
  <c r="AK76" i="33"/>
  <c r="AB76" i="33"/>
  <c r="Y76" i="33"/>
  <c r="N76" i="33"/>
  <c r="AJ76" i="33"/>
  <c r="M76" i="33"/>
  <c r="K76" i="33"/>
  <c r="J76" i="33"/>
  <c r="I76" i="33"/>
  <c r="H76" i="33"/>
  <c r="G76" i="33"/>
  <c r="E76" i="33"/>
  <c r="D76" i="33"/>
  <c r="C76" i="33"/>
  <c r="B76" i="33"/>
  <c r="AI76" i="33"/>
  <c r="AE75" i="33"/>
  <c r="AB75" i="33"/>
  <c r="AK75" i="33"/>
  <c r="AA75" i="33"/>
  <c r="X75" i="33"/>
  <c r="U75" i="33"/>
  <c r="T75" i="33"/>
  <c r="O75" i="33"/>
  <c r="N75" i="33"/>
  <c r="M75" i="33"/>
  <c r="H75" i="33"/>
  <c r="AI75" i="33"/>
  <c r="B75" i="33"/>
  <c r="AH74" i="33"/>
  <c r="AG74" i="33"/>
  <c r="AF74" i="33"/>
  <c r="AE74" i="33"/>
  <c r="AD74" i="33"/>
  <c r="AC74" i="33"/>
  <c r="AB74" i="33"/>
  <c r="AA74" i="33"/>
  <c r="Z74" i="33"/>
  <c r="Y74" i="33"/>
  <c r="X74" i="33"/>
  <c r="W74" i="33"/>
  <c r="AK74" i="33"/>
  <c r="V74" i="33"/>
  <c r="U74" i="33"/>
  <c r="T74" i="33"/>
  <c r="S74" i="33"/>
  <c r="R74" i="33"/>
  <c r="Q74" i="33"/>
  <c r="O74" i="33"/>
  <c r="AJ74" i="33"/>
  <c r="L74" i="33"/>
  <c r="K74" i="33"/>
  <c r="J74" i="33"/>
  <c r="I74" i="33"/>
  <c r="H74" i="33"/>
  <c r="AI74" i="33"/>
  <c r="G74" i="33"/>
  <c r="F74" i="33"/>
  <c r="AR73" i="33"/>
  <c r="AF73" i="33"/>
  <c r="AE73" i="33"/>
  <c r="AD73" i="33"/>
  <c r="AB73" i="33"/>
  <c r="AA73" i="33"/>
  <c r="X73" i="33"/>
  <c r="AK73" i="33"/>
  <c r="V73" i="33"/>
  <c r="U73" i="33"/>
  <c r="S73" i="33"/>
  <c r="R73" i="33"/>
  <c r="P73" i="33"/>
  <c r="M73" i="33"/>
  <c r="I73" i="33"/>
  <c r="H73" i="33"/>
  <c r="F73" i="33"/>
  <c r="D73" i="33"/>
  <c r="B73" i="33"/>
  <c r="AI73" i="33"/>
  <c r="AT72" i="33"/>
  <c r="AR72" i="33"/>
  <c r="AJ72" i="33"/>
  <c r="AI72" i="33"/>
  <c r="AG72" i="33"/>
  <c r="AK72" i="33"/>
  <c r="Y71" i="33"/>
  <c r="X71" i="33"/>
  <c r="W71" i="33"/>
  <c r="AK71" i="33"/>
  <c r="V71" i="33"/>
  <c r="Q71" i="33"/>
  <c r="P71" i="33"/>
  <c r="N71" i="33"/>
  <c r="AJ71" i="33"/>
  <c r="M71" i="33"/>
  <c r="L71" i="33"/>
  <c r="E71" i="33"/>
  <c r="D71" i="33"/>
  <c r="C71" i="33"/>
  <c r="AI70" i="33"/>
  <c r="AB70" i="33"/>
  <c r="AK70" i="33"/>
  <c r="Q70" i="33"/>
  <c r="AJ70" i="33"/>
  <c r="AH69" i="33"/>
  <c r="AG69" i="33"/>
  <c r="AE69" i="33"/>
  <c r="AE122" i="33"/>
  <c r="AD69" i="33"/>
  <c r="AC69" i="33"/>
  <c r="AB69" i="33"/>
  <c r="AA69" i="33"/>
  <c r="Z69" i="33"/>
  <c r="Y69" i="33"/>
  <c r="X69" i="33"/>
  <c r="W69" i="33"/>
  <c r="V69" i="33"/>
  <c r="V122" i="33"/>
  <c r="U69" i="33"/>
  <c r="T69" i="33"/>
  <c r="S69" i="33"/>
  <c r="R69" i="33"/>
  <c r="Q69" i="33"/>
  <c r="P69" i="33"/>
  <c r="O69" i="33"/>
  <c r="AJ69" i="33"/>
  <c r="N69" i="33"/>
  <c r="M69" i="33"/>
  <c r="L69" i="33"/>
  <c r="K69" i="33"/>
  <c r="K122" i="33"/>
  <c r="J69" i="33"/>
  <c r="I69" i="33"/>
  <c r="H69" i="33"/>
  <c r="G69" i="33"/>
  <c r="G122" i="33"/>
  <c r="F69" i="33"/>
  <c r="E69" i="33"/>
  <c r="E122" i="33"/>
  <c r="D69" i="33"/>
  <c r="C69" i="33"/>
  <c r="B69" i="33"/>
  <c r="AK68" i="33"/>
  <c r="AG68" i="33"/>
  <c r="AG122" i="33"/>
  <c r="S68" i="33"/>
  <c r="O68" i="33"/>
  <c r="M68" i="33"/>
  <c r="M122" i="33"/>
  <c r="J68" i="33"/>
  <c r="H68" i="33"/>
  <c r="F68" i="33"/>
  <c r="C68" i="33"/>
  <c r="B68" i="33"/>
  <c r="B122" i="33"/>
  <c r="AI67" i="33"/>
  <c r="AF67" i="33"/>
  <c r="X67" i="33"/>
  <c r="U67" i="33"/>
  <c r="T67" i="33"/>
  <c r="P67" i="33"/>
  <c r="I67" i="33"/>
  <c r="AK66" i="33"/>
  <c r="AJ66" i="33"/>
  <c r="AI66" i="33"/>
  <c r="AK65" i="33"/>
  <c r="AJ65" i="33"/>
  <c r="AI65" i="33"/>
  <c r="AH62" i="33"/>
  <c r="AD62" i="33"/>
  <c r="T62" i="33"/>
  <c r="S62" i="33"/>
  <c r="R62" i="33"/>
  <c r="Q62" i="33"/>
  <c r="P62" i="33"/>
  <c r="O62" i="33"/>
  <c r="N62" i="33"/>
  <c r="M62" i="33"/>
  <c r="L62" i="33"/>
  <c r="K62" i="33"/>
  <c r="J62" i="33"/>
  <c r="H62" i="33"/>
  <c r="G62" i="33"/>
  <c r="F62" i="33"/>
  <c r="E62" i="33"/>
  <c r="D62" i="33"/>
  <c r="C62" i="33"/>
  <c r="B62" i="33"/>
  <c r="AI61" i="33"/>
  <c r="AH61" i="33"/>
  <c r="AG61" i="33"/>
  <c r="AF61" i="33"/>
  <c r="AF62" i="33"/>
  <c r="AE61" i="33"/>
  <c r="AE62" i="33"/>
  <c r="AD61" i="33"/>
  <c r="AC61" i="33"/>
  <c r="AC62" i="33"/>
  <c r="AB61" i="33"/>
  <c r="AB62" i="33"/>
  <c r="AA61" i="33"/>
  <c r="Z61" i="33"/>
  <c r="Y61" i="33"/>
  <c r="Y62" i="33"/>
  <c r="X61" i="33"/>
  <c r="AK61" i="33"/>
  <c r="W61" i="33"/>
  <c r="W62" i="33"/>
  <c r="V61" i="33"/>
  <c r="AJ61" i="33"/>
  <c r="U61" i="33"/>
  <c r="AG60" i="33"/>
  <c r="AG62" i="33"/>
  <c r="AD60" i="33"/>
  <c r="AA60" i="33"/>
  <c r="AA62" i="33"/>
  <c r="Z60" i="33"/>
  <c r="AK60" i="33"/>
  <c r="X60" i="33"/>
  <c r="X62" i="33"/>
  <c r="U60" i="33"/>
  <c r="U62" i="33"/>
  <c r="R60" i="33"/>
  <c r="AJ60" i="33"/>
  <c r="I60" i="33"/>
  <c r="I62" i="33"/>
  <c r="AK59" i="33"/>
  <c r="AI59" i="33"/>
  <c r="S59" i="33"/>
  <c r="AJ59" i="33"/>
  <c r="N59" i="33"/>
  <c r="AK58" i="33"/>
  <c r="AI58" i="33"/>
  <c r="U58" i="33"/>
  <c r="AJ58" i="33"/>
  <c r="AH57" i="33"/>
  <c r="AG57" i="33"/>
  <c r="AF57" i="33"/>
  <c r="AE57" i="33"/>
  <c r="AD57" i="33"/>
  <c r="AC57" i="33"/>
  <c r="AB57" i="33"/>
  <c r="AA57" i="33"/>
  <c r="AK57" i="33"/>
  <c r="W57" i="33"/>
  <c r="V57" i="33"/>
  <c r="U57" i="33"/>
  <c r="T57" i="33"/>
  <c r="S57" i="33"/>
  <c r="R57" i="33"/>
  <c r="Q57" i="33"/>
  <c r="P57" i="33"/>
  <c r="O57" i="33"/>
  <c r="M57" i="33"/>
  <c r="J57" i="33"/>
  <c r="I57" i="33"/>
  <c r="H57" i="33"/>
  <c r="F57" i="33"/>
  <c r="E57" i="33"/>
  <c r="D57" i="33"/>
  <c r="AI57" i="33"/>
  <c r="B57" i="33"/>
  <c r="AH56" i="33"/>
  <c r="AF56" i="33"/>
  <c r="AD56" i="33"/>
  <c r="AC56" i="33"/>
  <c r="AB56" i="33"/>
  <c r="Z56" i="33"/>
  <c r="Y56" i="33"/>
  <c r="X56" i="33"/>
  <c r="AK56" i="33"/>
  <c r="W56" i="33"/>
  <c r="V56" i="33"/>
  <c r="U56" i="33"/>
  <c r="T56" i="33"/>
  <c r="R56" i="33"/>
  <c r="Q56" i="33"/>
  <c r="P56" i="33"/>
  <c r="O56" i="33"/>
  <c r="N56" i="33"/>
  <c r="AJ56" i="33"/>
  <c r="M56" i="33"/>
  <c r="F56" i="33"/>
  <c r="D56" i="33"/>
  <c r="AI56" i="33"/>
  <c r="C56" i="33"/>
  <c r="AB55" i="33"/>
  <c r="AA55" i="33"/>
  <c r="Y55" i="33"/>
  <c r="X55" i="33"/>
  <c r="AK55" i="33"/>
  <c r="Q55" i="33"/>
  <c r="P55" i="33"/>
  <c r="N55" i="33"/>
  <c r="AJ55" i="33"/>
  <c r="M55" i="33"/>
  <c r="AI55" i="33"/>
  <c r="L55" i="33"/>
  <c r="E55" i="33"/>
  <c r="D55" i="33"/>
  <c r="AI54" i="33"/>
  <c r="AF54" i="33"/>
  <c r="AE54" i="33"/>
  <c r="AK54" i="33"/>
  <c r="AA54" i="33"/>
  <c r="V54" i="33"/>
  <c r="U54" i="33"/>
  <c r="T54" i="33"/>
  <c r="S54" i="33"/>
  <c r="AH53" i="33"/>
  <c r="AG53" i="33"/>
  <c r="AF53" i="33"/>
  <c r="AE53" i="33"/>
  <c r="AD53" i="33"/>
  <c r="AC53" i="33"/>
  <c r="AB53" i="33"/>
  <c r="AA53" i="33"/>
  <c r="Z53" i="33"/>
  <c r="X53" i="33"/>
  <c r="AK53" i="33"/>
  <c r="T53" i="33"/>
  <c r="S53" i="33"/>
  <c r="P53" i="33"/>
  <c r="O53" i="33"/>
  <c r="AJ53" i="33"/>
  <c r="L53" i="33"/>
  <c r="K53" i="33"/>
  <c r="J53" i="33"/>
  <c r="I53" i="33"/>
  <c r="G53" i="33"/>
  <c r="F53" i="33"/>
  <c r="E53" i="33"/>
  <c r="D53" i="33"/>
  <c r="C53" i="33"/>
  <c r="B53" i="33"/>
  <c r="AI53" i="33"/>
  <c r="AF52" i="33"/>
  <c r="AE52" i="33"/>
  <c r="AD52" i="33"/>
  <c r="AB52" i="33"/>
  <c r="AA52" i="33"/>
  <c r="W52" i="33"/>
  <c r="AK52" i="33"/>
  <c r="V52" i="33"/>
  <c r="U52" i="33"/>
  <c r="T52" i="33"/>
  <c r="S52" i="33"/>
  <c r="R52" i="33"/>
  <c r="AJ52" i="33"/>
  <c r="P52" i="33"/>
  <c r="L52" i="33"/>
  <c r="I52" i="33"/>
  <c r="H52" i="33"/>
  <c r="AI52" i="33"/>
  <c r="AK51" i="33"/>
  <c r="AJ51" i="33"/>
  <c r="B51" i="33"/>
  <c r="AI51" i="33"/>
  <c r="AF50" i="33"/>
  <c r="AE50" i="33"/>
  <c r="AD50" i="33"/>
  <c r="AB50" i="33"/>
  <c r="Z50" i="33"/>
  <c r="Y50" i="33"/>
  <c r="T50" i="33"/>
  <c r="AJ50" i="33"/>
  <c r="R50" i="33"/>
  <c r="P50" i="33"/>
  <c r="O50" i="33"/>
  <c r="M50" i="33"/>
  <c r="L50" i="33"/>
  <c r="I50" i="33"/>
  <c r="G50" i="33"/>
  <c r="F50" i="33"/>
  <c r="E50" i="33"/>
  <c r="C50" i="33"/>
  <c r="B50" i="33"/>
  <c r="AK49" i="33"/>
  <c r="AK136" i="33"/>
  <c r="AH49" i="33"/>
  <c r="AD49" i="33"/>
  <c r="AC49" i="33"/>
  <c r="AB49" i="33"/>
  <c r="AA49" i="33"/>
  <c r="Z49" i="33"/>
  <c r="Y49" i="33"/>
  <c r="X49" i="33"/>
  <c r="W49" i="33"/>
  <c r="P49" i="33"/>
  <c r="N49" i="33"/>
  <c r="AJ49" i="33"/>
  <c r="M49" i="33"/>
  <c r="L49" i="33"/>
  <c r="K49" i="33"/>
  <c r="J49" i="33"/>
  <c r="I49" i="33"/>
  <c r="G49" i="33"/>
  <c r="F49" i="33"/>
  <c r="AI49" i="33"/>
  <c r="AD48" i="33"/>
  <c r="AD63" i="33"/>
  <c r="Z48" i="33"/>
  <c r="Y48" i="33"/>
  <c r="V48" i="33"/>
  <c r="R48" i="33"/>
  <c r="G48" i="33"/>
  <c r="F48" i="33"/>
  <c r="E48" i="33"/>
  <c r="B48" i="33"/>
  <c r="B63" i="33"/>
  <c r="AI47" i="33"/>
  <c r="AH47" i="33"/>
  <c r="AH48" i="33"/>
  <c r="AG47" i="33"/>
  <c r="AF47" i="33"/>
  <c r="AF48" i="33"/>
  <c r="AC47" i="33"/>
  <c r="AB47" i="33"/>
  <c r="AB48" i="33"/>
  <c r="AA47" i="33"/>
  <c r="AA48" i="33"/>
  <c r="Z47" i="33"/>
  <c r="Y47" i="33"/>
  <c r="X47" i="33"/>
  <c r="W47" i="33"/>
  <c r="V47" i="33"/>
  <c r="AI46" i="33"/>
  <c r="W46" i="33"/>
  <c r="AK46" i="33"/>
  <c r="V46" i="33"/>
  <c r="U46" i="33"/>
  <c r="U48" i="33"/>
  <c r="T46" i="33"/>
  <c r="T48" i="33"/>
  <c r="S46" i="33"/>
  <c r="R46" i="33"/>
  <c r="Q46" i="33"/>
  <c r="AJ46" i="33"/>
  <c r="P46" i="33"/>
  <c r="AI45" i="33"/>
  <c r="AH45" i="33"/>
  <c r="AG45" i="33"/>
  <c r="AG48" i="33"/>
  <c r="AF45" i="33"/>
  <c r="AE45" i="33"/>
  <c r="AE48" i="33"/>
  <c r="AD45" i="33"/>
  <c r="AC45" i="33"/>
  <c r="AC48" i="33"/>
  <c r="AB45" i="33"/>
  <c r="X45" i="33"/>
  <c r="AK45" i="33"/>
  <c r="W45" i="33"/>
  <c r="W48" i="33"/>
  <c r="V45" i="33"/>
  <c r="U45" i="33"/>
  <c r="R45" i="33"/>
  <c r="Q45" i="33"/>
  <c r="P45" i="33"/>
  <c r="P48" i="33"/>
  <c r="O45" i="33"/>
  <c r="N45" i="33"/>
  <c r="AJ45" i="33"/>
  <c r="X44" i="33"/>
  <c r="V44" i="33"/>
  <c r="S44" i="33"/>
  <c r="S48" i="33"/>
  <c r="P44" i="33"/>
  <c r="O44" i="33"/>
  <c r="M44" i="33"/>
  <c r="M48" i="33"/>
  <c r="L44" i="33"/>
  <c r="L48" i="33"/>
  <c r="K44" i="33"/>
  <c r="K48" i="33"/>
  <c r="J44" i="33"/>
  <c r="J48" i="33"/>
  <c r="I44" i="33"/>
  <c r="I48" i="33"/>
  <c r="H44" i="33"/>
  <c r="H48" i="33"/>
  <c r="F44" i="33"/>
  <c r="D44" i="33"/>
  <c r="D48" i="33"/>
  <c r="C44" i="33"/>
  <c r="C48" i="33"/>
  <c r="AE43" i="33"/>
  <c r="AD43" i="33"/>
  <c r="AB43" i="33"/>
  <c r="Z43" i="33"/>
  <c r="AK43" i="33"/>
  <c r="V43" i="33"/>
  <c r="S43" i="33"/>
  <c r="AJ43" i="33"/>
  <c r="I43" i="33"/>
  <c r="D43" i="33"/>
  <c r="AI43" i="33"/>
  <c r="B43" i="33"/>
  <c r="AE42" i="33"/>
  <c r="AD42" i="33"/>
  <c r="AB42" i="33"/>
  <c r="X42" i="33"/>
  <c r="AK42" i="33"/>
  <c r="W42" i="33"/>
  <c r="U42" i="33"/>
  <c r="T42" i="33"/>
  <c r="S42" i="33"/>
  <c r="R42" i="33"/>
  <c r="Q42" i="33"/>
  <c r="P42" i="33"/>
  <c r="AJ42" i="33"/>
  <c r="L42" i="33"/>
  <c r="K42" i="33"/>
  <c r="H42" i="33"/>
  <c r="G42" i="33"/>
  <c r="F42" i="33"/>
  <c r="F63" i="33"/>
  <c r="E42" i="33"/>
  <c r="D42" i="33"/>
  <c r="C42" i="33"/>
  <c r="AG41" i="33"/>
  <c r="AF41" i="33"/>
  <c r="AE41" i="33"/>
  <c r="AD41" i="33"/>
  <c r="AC41" i="33"/>
  <c r="AB41" i="33"/>
  <c r="AA41" i="33"/>
  <c r="Z41" i="33"/>
  <c r="Y41" i="33"/>
  <c r="X41" i="33"/>
  <c r="AK41" i="33"/>
  <c r="V41" i="33"/>
  <c r="U41" i="33"/>
  <c r="R41" i="33"/>
  <c r="O41" i="33"/>
  <c r="N41" i="33"/>
  <c r="J41" i="33"/>
  <c r="I41" i="33"/>
  <c r="G41" i="33"/>
  <c r="D41" i="33"/>
  <c r="C41" i="33"/>
  <c r="AJ40" i="33"/>
  <c r="AA40" i="33"/>
  <c r="Z40" i="33"/>
  <c r="W40" i="33"/>
  <c r="AK40" i="33"/>
  <c r="V40" i="33"/>
  <c r="J40" i="33"/>
  <c r="AI40" i="33"/>
  <c r="F40" i="33"/>
  <c r="AK39" i="33"/>
  <c r="AI39" i="33"/>
  <c r="X39" i="33"/>
  <c r="V39" i="33"/>
  <c r="P39" i="33"/>
  <c r="N39" i="33"/>
  <c r="AF38" i="33"/>
  <c r="AE38" i="33"/>
  <c r="AB38" i="33"/>
  <c r="X38" i="33"/>
  <c r="W38" i="33"/>
  <c r="T38" i="33"/>
  <c r="S38" i="33"/>
  <c r="Q38" i="33"/>
  <c r="P38" i="33"/>
  <c r="N38" i="33"/>
  <c r="M38" i="33"/>
  <c r="K38" i="33"/>
  <c r="K63" i="33"/>
  <c r="I38" i="33"/>
  <c r="H38" i="33"/>
  <c r="G38" i="33"/>
  <c r="G63" i="33"/>
  <c r="F38" i="33"/>
  <c r="E38" i="33"/>
  <c r="E63" i="33"/>
  <c r="D38" i="33"/>
  <c r="C38" i="33"/>
  <c r="C63" i="33"/>
  <c r="B38" i="33"/>
  <c r="AJ37" i="33"/>
  <c r="AI37" i="33"/>
  <c r="AH37" i="33"/>
  <c r="AH38" i="33"/>
  <c r="AH63" i="33"/>
  <c r="AG37" i="33"/>
  <c r="AG38" i="33"/>
  <c r="AF37" i="33"/>
  <c r="AD37" i="33"/>
  <c r="AD38" i="33"/>
  <c r="AC37" i="33"/>
  <c r="AC38" i="33"/>
  <c r="AB37" i="33"/>
  <c r="AA37" i="33"/>
  <c r="AA38" i="33"/>
  <c r="Z37" i="33"/>
  <c r="Z38" i="33"/>
  <c r="Y36" i="33"/>
  <c r="Y38" i="33"/>
  <c r="X36" i="33"/>
  <c r="AK36" i="33"/>
  <c r="W36" i="33"/>
  <c r="V36" i="33"/>
  <c r="V38" i="33"/>
  <c r="U36" i="33"/>
  <c r="U38" i="33"/>
  <c r="T36" i="33"/>
  <c r="S36" i="33"/>
  <c r="R36" i="33"/>
  <c r="R38" i="33"/>
  <c r="R63" i="33"/>
  <c r="P36" i="33"/>
  <c r="O36" i="33"/>
  <c r="O38" i="33"/>
  <c r="N36" i="33"/>
  <c r="L36" i="33"/>
  <c r="L38" i="33"/>
  <c r="L63" i="33"/>
  <c r="J36" i="33"/>
  <c r="J38" i="33"/>
  <c r="D36" i="33"/>
  <c r="C36" i="33"/>
  <c r="AK35" i="33"/>
  <c r="AK135" i="33"/>
  <c r="AI35" i="33"/>
  <c r="AH35" i="33"/>
  <c r="AG35" i="33"/>
  <c r="AF35" i="33"/>
  <c r="AF63" i="33"/>
  <c r="AE35" i="33"/>
  <c r="AD35" i="33"/>
  <c r="AC35" i="33"/>
  <c r="AB35" i="33"/>
  <c r="AB63" i="33"/>
  <c r="AA35" i="33"/>
  <c r="Z35" i="33"/>
  <c r="Y35" i="33"/>
  <c r="X35" i="33"/>
  <c r="W35" i="33"/>
  <c r="W63" i="33"/>
  <c r="V35" i="33"/>
  <c r="U35" i="33"/>
  <c r="T35" i="33"/>
  <c r="T63" i="33"/>
  <c r="S35" i="33"/>
  <c r="R35" i="33"/>
  <c r="Q35" i="33"/>
  <c r="P35" i="33"/>
  <c r="P63" i="33"/>
  <c r="O35" i="33"/>
  <c r="AJ35" i="33"/>
  <c r="N35" i="33"/>
  <c r="AK34" i="33"/>
  <c r="AJ34" i="33"/>
  <c r="AI34" i="33"/>
  <c r="AG34" i="33"/>
  <c r="AK33" i="33"/>
  <c r="AJ33" i="33"/>
  <c r="AI33" i="33"/>
  <c r="AL32" i="33"/>
  <c r="AE31" i="33"/>
  <c r="AA31" i="33"/>
  <c r="AK31" i="33"/>
  <c r="Y31" i="33"/>
  <c r="Q31" i="33"/>
  <c r="AJ31" i="33"/>
  <c r="G31" i="33"/>
  <c r="F31" i="33"/>
  <c r="AI31" i="33"/>
  <c r="AK30" i="33"/>
  <c r="AI30" i="33"/>
  <c r="Q30" i="33"/>
  <c r="AJ30" i="33"/>
  <c r="AI29" i="33"/>
  <c r="AF29" i="33"/>
  <c r="X29" i="33"/>
  <c r="AK29" i="33"/>
  <c r="U29" i="33"/>
  <c r="S29" i="33"/>
  <c r="AJ29" i="33"/>
  <c r="D29" i="33"/>
  <c r="AC28" i="33"/>
  <c r="AB28" i="33"/>
  <c r="AA28" i="33"/>
  <c r="P28" i="33"/>
  <c r="O28" i="33"/>
  <c r="L28" i="33"/>
  <c r="K28" i="33"/>
  <c r="H28" i="33"/>
  <c r="G28" i="33"/>
  <c r="E28" i="33"/>
  <c r="D28" i="33"/>
  <c r="C28" i="33"/>
  <c r="B28" i="33"/>
  <c r="AI27" i="33"/>
  <c r="AG27" i="33"/>
  <c r="AF27" i="33"/>
  <c r="AE27" i="33"/>
  <c r="AD27" i="33"/>
  <c r="Z27" i="33"/>
  <c r="Z28" i="33"/>
  <c r="Y27" i="33"/>
  <c r="Y28" i="33"/>
  <c r="X27" i="33"/>
  <c r="W27" i="33"/>
  <c r="AK27" i="33"/>
  <c r="V27" i="33"/>
  <c r="U27" i="33"/>
  <c r="T27" i="33"/>
  <c r="S27" i="33"/>
  <c r="S28" i="33"/>
  <c r="R27" i="33"/>
  <c r="R28" i="33"/>
  <c r="AI26" i="33"/>
  <c r="X26" i="33"/>
  <c r="AK26" i="33"/>
  <c r="AI25" i="33"/>
  <c r="AH25" i="33"/>
  <c r="AH28" i="33"/>
  <c r="AG25" i="33"/>
  <c r="AG28" i="33"/>
  <c r="AF25" i="33"/>
  <c r="AF28" i="33"/>
  <c r="AE25" i="33"/>
  <c r="AE28" i="33"/>
  <c r="AD25" i="33"/>
  <c r="AD28" i="33"/>
  <c r="V25" i="33"/>
  <c r="U25" i="33"/>
  <c r="T25" i="33"/>
  <c r="S25" i="33"/>
  <c r="AJ25" i="33"/>
  <c r="R25" i="33"/>
  <c r="AK24" i="33"/>
  <c r="AJ24" i="33"/>
  <c r="AI24" i="33"/>
  <c r="W24" i="33"/>
  <c r="V24" i="33"/>
  <c r="U24" i="33"/>
  <c r="U28" i="33"/>
  <c r="T24" i="33"/>
  <c r="S24" i="33"/>
  <c r="R24" i="33"/>
  <c r="AK23" i="33"/>
  <c r="Z23" i="33"/>
  <c r="V23" i="33"/>
  <c r="V28" i="33"/>
  <c r="T23" i="33"/>
  <c r="T28" i="33"/>
  <c r="R23" i="33"/>
  <c r="Q23" i="33"/>
  <c r="Q28" i="33"/>
  <c r="N23" i="33"/>
  <c r="N28" i="33"/>
  <c r="M23" i="33"/>
  <c r="M28" i="33"/>
  <c r="L23" i="33"/>
  <c r="K23" i="33"/>
  <c r="J23" i="33"/>
  <c r="J28" i="33"/>
  <c r="I23" i="33"/>
  <c r="I28" i="33"/>
  <c r="H23" i="33"/>
  <c r="G23" i="33"/>
  <c r="F23" i="33"/>
  <c r="F28" i="33"/>
  <c r="AI22" i="33"/>
  <c r="W22" i="33"/>
  <c r="AK22" i="33"/>
  <c r="AG21" i="33"/>
  <c r="AF21" i="33"/>
  <c r="AD21" i="33"/>
  <c r="AC21" i="33"/>
  <c r="AA21" i="33"/>
  <c r="Z21" i="33"/>
  <c r="AK21" i="33"/>
  <c r="X21" i="33"/>
  <c r="W21" i="33"/>
  <c r="T21" i="33"/>
  <c r="S21" i="33"/>
  <c r="R21" i="33"/>
  <c r="Q21" i="33"/>
  <c r="O21" i="33"/>
  <c r="N21" i="33"/>
  <c r="AJ21" i="33"/>
  <c r="L21" i="33"/>
  <c r="K21" i="33"/>
  <c r="F21" i="33"/>
  <c r="B21" i="33"/>
  <c r="AI21" i="33"/>
  <c r="AF20" i="33"/>
  <c r="AD20" i="33"/>
  <c r="X20" i="33"/>
  <c r="AK20" i="33"/>
  <c r="V20" i="33"/>
  <c r="U20" i="33"/>
  <c r="S20" i="33"/>
  <c r="Q20" i="33"/>
  <c r="N20" i="33"/>
  <c r="AJ20" i="33"/>
  <c r="M20" i="33"/>
  <c r="L20" i="33"/>
  <c r="K20" i="33"/>
  <c r="J20" i="33"/>
  <c r="AI20" i="33"/>
  <c r="I20" i="33"/>
  <c r="F20" i="33"/>
  <c r="E20" i="33"/>
  <c r="AK19" i="33"/>
  <c r="AJ19" i="33"/>
  <c r="AG19" i="33"/>
  <c r="AD19" i="33"/>
  <c r="AA19" i="33"/>
  <c r="V19" i="33"/>
  <c r="R19" i="33"/>
  <c r="E19" i="33"/>
  <c r="B19" i="33"/>
  <c r="AI19" i="33"/>
  <c r="G18" i="33"/>
  <c r="C18" i="33"/>
  <c r="C32" i="33"/>
  <c r="C64" i="33"/>
  <c r="AI17" i="33"/>
  <c r="AE17" i="33"/>
  <c r="AD17" i="33"/>
  <c r="AK17" i="33"/>
  <c r="S17" i="33"/>
  <c r="AJ17" i="33"/>
  <c r="AH16" i="33"/>
  <c r="AG16" i="33"/>
  <c r="AF16" i="33"/>
  <c r="AE16" i="33"/>
  <c r="AD16" i="33"/>
  <c r="AC16" i="33"/>
  <c r="AB16" i="33"/>
  <c r="AA16" i="33"/>
  <c r="Z16" i="33"/>
  <c r="Y16" i="33"/>
  <c r="AK16" i="33"/>
  <c r="X16" i="33"/>
  <c r="W16" i="33"/>
  <c r="V16" i="33"/>
  <c r="U16" i="33"/>
  <c r="T16" i="33"/>
  <c r="S16" i="33"/>
  <c r="R16" i="33"/>
  <c r="Q16" i="33"/>
  <c r="P16" i="33"/>
  <c r="AJ16" i="33"/>
  <c r="O16" i="33"/>
  <c r="N16" i="33"/>
  <c r="J16" i="33"/>
  <c r="AI16" i="33"/>
  <c r="AK15" i="33"/>
  <c r="AI15" i="33"/>
  <c r="S15" i="33"/>
  <c r="AJ15" i="33"/>
  <c r="AI14" i="33"/>
  <c r="AH14" i="33"/>
  <c r="AG14" i="33"/>
  <c r="AF14" i="33"/>
  <c r="AE14" i="33"/>
  <c r="AD14" i="33"/>
  <c r="AC14" i="33"/>
  <c r="AB14" i="33"/>
  <c r="AA14" i="33"/>
  <c r="Z14" i="33"/>
  <c r="Y14" i="33"/>
  <c r="AK14" i="33"/>
  <c r="X14" i="33"/>
  <c r="W14" i="33"/>
  <c r="V14" i="33"/>
  <c r="U14" i="33"/>
  <c r="T14" i="33"/>
  <c r="S14" i="33"/>
  <c r="R14" i="33"/>
  <c r="Q14" i="33"/>
  <c r="P14" i="33"/>
  <c r="O14" i="33"/>
  <c r="N14" i="33"/>
  <c r="AJ14" i="33"/>
  <c r="AH13" i="33"/>
  <c r="AG13" i="33"/>
  <c r="AE13" i="33"/>
  <c r="AD13" i="33"/>
  <c r="AC13" i="33"/>
  <c r="AB13" i="33"/>
  <c r="AA13" i="33"/>
  <c r="Z13" i="33"/>
  <c r="Y13" i="33"/>
  <c r="X13" i="33"/>
  <c r="W13" i="33"/>
  <c r="V13" i="33"/>
  <c r="U13" i="33"/>
  <c r="T13" i="33"/>
  <c r="S13" i="33"/>
  <c r="R13" i="33"/>
  <c r="Q13" i="33"/>
  <c r="P13" i="33"/>
  <c r="O13" i="33"/>
  <c r="N13" i="33"/>
  <c r="N18" i="33"/>
  <c r="J13" i="33"/>
  <c r="I13" i="33"/>
  <c r="H13" i="33"/>
  <c r="G13" i="33"/>
  <c r="F13" i="33"/>
  <c r="E13" i="33"/>
  <c r="D13" i="33"/>
  <c r="C13" i="33"/>
  <c r="B13" i="33"/>
  <c r="AJ12" i="33"/>
  <c r="AF12" i="33"/>
  <c r="AK12" i="33"/>
  <c r="K12" i="33"/>
  <c r="K13" i="33"/>
  <c r="K18" i="33"/>
  <c r="K32" i="33"/>
  <c r="K64" i="33"/>
  <c r="K123" i="33"/>
  <c r="K132" i="33"/>
  <c r="AI11" i="33"/>
  <c r="AH11" i="33"/>
  <c r="AK11" i="33"/>
  <c r="Q11" i="33"/>
  <c r="N11" i="33"/>
  <c r="AJ11" i="33"/>
  <c r="M11" i="33"/>
  <c r="M13" i="33"/>
  <c r="L11" i="33"/>
  <c r="L13" i="33"/>
  <c r="K11" i="33"/>
  <c r="J11" i="33"/>
  <c r="AK10" i="33"/>
  <c r="AI10" i="33"/>
  <c r="AD10" i="33"/>
  <c r="Z10" i="33"/>
  <c r="Y10" i="33"/>
  <c r="X10" i="33"/>
  <c r="W10" i="33"/>
  <c r="V10" i="33"/>
  <c r="U10" i="33"/>
  <c r="AJ10" i="33"/>
  <c r="AH9" i="33"/>
  <c r="AH18" i="33"/>
  <c r="AH32" i="33"/>
  <c r="AH64" i="33"/>
  <c r="AG9" i="33"/>
  <c r="AG18" i="33"/>
  <c r="AG32" i="33"/>
  <c r="AF9" i="33"/>
  <c r="AE9" i="33"/>
  <c r="AE18" i="33"/>
  <c r="AE32" i="33"/>
  <c r="AD9" i="33"/>
  <c r="AD18" i="33"/>
  <c r="AD32" i="33"/>
  <c r="AD64" i="33"/>
  <c r="AC9" i="33"/>
  <c r="AC18" i="33"/>
  <c r="AC32" i="33"/>
  <c r="AB9" i="33"/>
  <c r="AB18" i="33"/>
  <c r="AB32" i="33"/>
  <c r="AB64" i="33"/>
  <c r="AA9" i="33"/>
  <c r="AA18" i="33"/>
  <c r="AA32" i="33"/>
  <c r="Z9" i="33"/>
  <c r="Z18" i="33"/>
  <c r="Z32" i="33"/>
  <c r="Y9" i="33"/>
  <c r="Y18" i="33"/>
  <c r="Y32" i="33"/>
  <c r="X9" i="33"/>
  <c r="X18" i="33"/>
  <c r="W9" i="33"/>
  <c r="AK9" i="33"/>
  <c r="V9" i="33"/>
  <c r="V18" i="33"/>
  <c r="V32" i="33"/>
  <c r="U9" i="33"/>
  <c r="U18" i="33"/>
  <c r="U32" i="33"/>
  <c r="T9" i="33"/>
  <c r="T18" i="33"/>
  <c r="T32" i="33"/>
  <c r="T64" i="33"/>
  <c r="S9" i="33"/>
  <c r="S18" i="33"/>
  <c r="S32" i="33"/>
  <c r="R9" i="33"/>
  <c r="R18" i="33"/>
  <c r="Q9" i="33"/>
  <c r="Q18" i="33"/>
  <c r="P9" i="33"/>
  <c r="P18" i="33"/>
  <c r="P32" i="33"/>
  <c r="P64" i="33"/>
  <c r="O9" i="33"/>
  <c r="AJ9" i="33"/>
  <c r="M9" i="33"/>
  <c r="M18" i="33"/>
  <c r="L9" i="33"/>
  <c r="K9" i="33"/>
  <c r="J9" i="33"/>
  <c r="J18" i="33"/>
  <c r="J32" i="33"/>
  <c r="I9" i="33"/>
  <c r="I18" i="33"/>
  <c r="I32" i="33"/>
  <c r="H9" i="33"/>
  <c r="H18" i="33"/>
  <c r="H32" i="33"/>
  <c r="G9" i="33"/>
  <c r="F9" i="33"/>
  <c r="F18" i="33"/>
  <c r="F32" i="33"/>
  <c r="F64" i="33"/>
  <c r="E9" i="33"/>
  <c r="E18" i="33"/>
  <c r="D9" i="33"/>
  <c r="D18" i="33"/>
  <c r="C9" i="33"/>
  <c r="B9" i="33"/>
  <c r="B18" i="33"/>
  <c r="AK8" i="33"/>
  <c r="R8" i="33"/>
  <c r="O8" i="33"/>
  <c r="AJ8" i="33"/>
  <c r="M8" i="33"/>
  <c r="L8" i="33"/>
  <c r="G8" i="33"/>
  <c r="G32" i="33"/>
  <c r="G64" i="33"/>
  <c r="G123" i="33"/>
  <c r="G132" i="33"/>
  <c r="E8" i="33"/>
  <c r="D8" i="33"/>
  <c r="B8" i="33"/>
  <c r="AI8" i="33"/>
  <c r="AK7" i="33"/>
  <c r="AJ7" i="33"/>
  <c r="AI7" i="33"/>
  <c r="Q7" i="33"/>
  <c r="Q32" i="33"/>
  <c r="D68" i="31"/>
  <c r="C68" i="31"/>
  <c r="D63" i="31"/>
  <c r="D58" i="31"/>
  <c r="C53" i="31"/>
  <c r="D53" i="31"/>
  <c r="D48" i="31"/>
  <c r="T45" i="31"/>
  <c r="D42" i="31"/>
  <c r="C42" i="31"/>
  <c r="D37" i="31"/>
  <c r="C37" i="31"/>
  <c r="J18" i="31"/>
  <c r="J23" i="31"/>
  <c r="J29" i="31"/>
  <c r="H18" i="31"/>
  <c r="H23" i="31"/>
  <c r="G18" i="31"/>
  <c r="G19" i="31"/>
  <c r="C16" i="31"/>
  <c r="M15" i="31"/>
  <c r="V15" i="31"/>
  <c r="G15" i="31"/>
  <c r="P15" i="31"/>
  <c r="B15" i="31"/>
  <c r="B20" i="31"/>
  <c r="B26" i="31"/>
  <c r="B31" i="31"/>
  <c r="B36" i="31"/>
  <c r="B41" i="31"/>
  <c r="B47" i="31"/>
  <c r="B52" i="31"/>
  <c r="B57" i="31"/>
  <c r="B62" i="31"/>
  <c r="B67" i="31"/>
  <c r="M14" i="31"/>
  <c r="M19" i="31"/>
  <c r="M25" i="31"/>
  <c r="M30" i="31"/>
  <c r="M35" i="31"/>
  <c r="G14" i="31"/>
  <c r="B14" i="31"/>
  <c r="B19" i="31"/>
  <c r="B25" i="31"/>
  <c r="B30" i="31"/>
  <c r="B35" i="31"/>
  <c r="B40" i="31"/>
  <c r="B46" i="31"/>
  <c r="B51" i="31"/>
  <c r="B56" i="31"/>
  <c r="B61" i="31"/>
  <c r="M13" i="31"/>
  <c r="M18" i="31"/>
  <c r="M23" i="31"/>
  <c r="J13" i="31"/>
  <c r="H13" i="31"/>
  <c r="G13" i="31"/>
  <c r="F13" i="31"/>
  <c r="F18" i="31"/>
  <c r="B13" i="31"/>
  <c r="B18" i="31"/>
  <c r="B23" i="31"/>
  <c r="B29" i="31"/>
  <c r="B34" i="31"/>
  <c r="B39" i="31"/>
  <c r="B44" i="31"/>
  <c r="B50" i="31"/>
  <c r="B55" i="31"/>
  <c r="B60" i="31"/>
  <c r="B65" i="31"/>
  <c r="M11" i="31"/>
  <c r="V10" i="31"/>
  <c r="K9" i="31"/>
  <c r="K10" i="31"/>
  <c r="K11" i="31"/>
  <c r="J9" i="31"/>
  <c r="J14" i="31"/>
  <c r="T14" i="31"/>
  <c r="I9" i="31"/>
  <c r="I10" i="31"/>
  <c r="R10" i="31"/>
  <c r="H9" i="31"/>
  <c r="H10" i="31"/>
  <c r="G9" i="31"/>
  <c r="G10" i="31"/>
  <c r="P10" i="31"/>
  <c r="F9" i="31"/>
  <c r="F14" i="31"/>
  <c r="F19" i="31"/>
  <c r="F25" i="31"/>
  <c r="F30" i="31"/>
  <c r="F35" i="31"/>
  <c r="U7" i="31"/>
  <c r="D32" i="33"/>
  <c r="M32" i="33"/>
  <c r="B32" i="33"/>
  <c r="AI13" i="33"/>
  <c r="I64" i="33"/>
  <c r="I123" i="33"/>
  <c r="I132" i="33"/>
  <c r="E32" i="33"/>
  <c r="E64" i="33"/>
  <c r="E123" i="33"/>
  <c r="E132" i="33"/>
  <c r="P123" i="33"/>
  <c r="P132" i="33"/>
  <c r="AF18" i="33"/>
  <c r="AF32" i="33"/>
  <c r="AF64" i="33"/>
  <c r="AF123" i="33"/>
  <c r="AF132" i="33"/>
  <c r="N32" i="33"/>
  <c r="R32" i="33"/>
  <c r="R64" i="33"/>
  <c r="L18" i="33"/>
  <c r="L32" i="33"/>
  <c r="L64" i="33"/>
  <c r="L123" i="33"/>
  <c r="L132" i="33"/>
  <c r="AI28" i="33"/>
  <c r="J63" i="33"/>
  <c r="J64" i="33"/>
  <c r="J123" i="33"/>
  <c r="J132" i="33"/>
  <c r="O18" i="33"/>
  <c r="AJ18" i="33"/>
  <c r="W18" i="33"/>
  <c r="W28" i="33"/>
  <c r="AK28" i="33"/>
  <c r="AI36" i="33"/>
  <c r="AJ38" i="33"/>
  <c r="Y131" i="33"/>
  <c r="AI12" i="33"/>
  <c r="AJ26" i="33"/>
  <c r="AJ27" i="33"/>
  <c r="X28" i="33"/>
  <c r="X32" i="33"/>
  <c r="X64" i="33"/>
  <c r="X123" i="33"/>
  <c r="X132" i="33"/>
  <c r="O32" i="33"/>
  <c r="U63" i="33"/>
  <c r="U64" i="33"/>
  <c r="U123" i="33"/>
  <c r="U132" i="33"/>
  <c r="Y63" i="33"/>
  <c r="Y64" i="33"/>
  <c r="Y123" i="33"/>
  <c r="Y132" i="33"/>
  <c r="AC63" i="33"/>
  <c r="AC64" i="33"/>
  <c r="AC123" i="33"/>
  <c r="AC132" i="33"/>
  <c r="AJ36" i="33"/>
  <c r="D63" i="33"/>
  <c r="AI63" i="33"/>
  <c r="H63" i="33"/>
  <c r="H64" i="33"/>
  <c r="H123" i="33"/>
  <c r="H132" i="33"/>
  <c r="M63" i="33"/>
  <c r="AJ39" i="33"/>
  <c r="AK50" i="33"/>
  <c r="V62" i="33"/>
  <c r="V63" i="33"/>
  <c r="V64" i="33"/>
  <c r="V123" i="33"/>
  <c r="V132" i="33"/>
  <c r="C122" i="33"/>
  <c r="AI68" i="33"/>
  <c r="AK137" i="33"/>
  <c r="AI88" i="33"/>
  <c r="AE126" i="33"/>
  <c r="AE131" i="33"/>
  <c r="AK125" i="33"/>
  <c r="X63" i="33"/>
  <c r="AF13" i="33"/>
  <c r="AK13" i="33"/>
  <c r="AJ13" i="33"/>
  <c r="AJ22" i="33"/>
  <c r="AI23" i="33"/>
  <c r="AK25" i="33"/>
  <c r="AG63" i="33"/>
  <c r="AG64" i="33"/>
  <c r="AG123" i="33"/>
  <c r="AG132" i="33"/>
  <c r="I63" i="33"/>
  <c r="AI41" i="33"/>
  <c r="AI42" i="33"/>
  <c r="AJ44" i="33"/>
  <c r="O48" i="33"/>
  <c r="AK44" i="33"/>
  <c r="X48" i="33"/>
  <c r="Q48" i="33"/>
  <c r="Q63" i="33"/>
  <c r="Q64" i="33"/>
  <c r="Q123" i="33"/>
  <c r="Q132" i="33"/>
  <c r="AK48" i="33"/>
  <c r="AJ47" i="33"/>
  <c r="AI48" i="33"/>
  <c r="AI50" i="33"/>
  <c r="AJ57" i="33"/>
  <c r="AJ62" i="33"/>
  <c r="Z62" i="33"/>
  <c r="Z63" i="33"/>
  <c r="Z64" i="33"/>
  <c r="Z123" i="33"/>
  <c r="Z132" i="33"/>
  <c r="AJ67" i="33"/>
  <c r="AI79" i="33"/>
  <c r="AH88" i="33"/>
  <c r="AH122" i="33"/>
  <c r="AH123" i="33"/>
  <c r="AH132" i="33"/>
  <c r="AK95" i="33"/>
  <c r="AJ95" i="33"/>
  <c r="V131" i="33"/>
  <c r="AJ131" i="33"/>
  <c r="AI9" i="33"/>
  <c r="AK69" i="33"/>
  <c r="AJ23" i="33"/>
  <c r="S63" i="33"/>
  <c r="S64" i="33"/>
  <c r="S123" i="33"/>
  <c r="S132" i="33"/>
  <c r="AA63" i="33"/>
  <c r="AA64" i="33"/>
  <c r="AE63" i="33"/>
  <c r="AE64" i="33"/>
  <c r="AE123" i="33"/>
  <c r="AE132" i="33"/>
  <c r="AI38" i="33"/>
  <c r="AK38" i="33"/>
  <c r="AJ41" i="33"/>
  <c r="AK47" i="33"/>
  <c r="N48" i="33"/>
  <c r="AJ54" i="33"/>
  <c r="AI60" i="33"/>
  <c r="AI62" i="33"/>
  <c r="T122" i="33"/>
  <c r="T123" i="33"/>
  <c r="T132" i="33"/>
  <c r="AI69" i="33"/>
  <c r="N122" i="33"/>
  <c r="R122" i="33"/>
  <c r="AD122" i="33"/>
  <c r="AD123" i="33"/>
  <c r="AD132" i="33"/>
  <c r="AI71" i="33"/>
  <c r="AK37" i="33"/>
  <c r="AI44" i="33"/>
  <c r="O63" i="33"/>
  <c r="U122" i="33"/>
  <c r="O122" i="33"/>
  <c r="AJ68" i="33"/>
  <c r="D122" i="33"/>
  <c r="L122" i="33"/>
  <c r="AB122" i="33"/>
  <c r="AB123" i="33"/>
  <c r="AB132" i="33"/>
  <c r="AI94" i="33"/>
  <c r="F120" i="33"/>
  <c r="F122" i="33"/>
  <c r="F123" i="33"/>
  <c r="F132" i="33"/>
  <c r="AI118" i="33"/>
  <c r="AI130" i="33"/>
  <c r="AK130" i="33"/>
  <c r="B131" i="33"/>
  <c r="I122" i="33"/>
  <c r="X122" i="33"/>
  <c r="AK67" i="33"/>
  <c r="H122" i="33"/>
  <c r="S122" i="33"/>
  <c r="Q122" i="33"/>
  <c r="Y122" i="33"/>
  <c r="AC122" i="33"/>
  <c r="AJ73" i="33"/>
  <c r="AJ75" i="33"/>
  <c r="AI80" i="33"/>
  <c r="AJ82" i="33"/>
  <c r="AK82" i="33"/>
  <c r="AI83" i="33"/>
  <c r="AK92" i="33"/>
  <c r="AJ94" i="33"/>
  <c r="AJ120" i="33"/>
  <c r="AK131" i="33"/>
  <c r="P122" i="33"/>
  <c r="AF122" i="33"/>
  <c r="AJ83" i="33"/>
  <c r="AK90" i="33"/>
  <c r="AJ102" i="33"/>
  <c r="AK102" i="33"/>
  <c r="AI106" i="33"/>
  <c r="AJ115" i="33"/>
  <c r="AK115" i="33"/>
  <c r="AI120" i="33"/>
  <c r="AI126" i="33"/>
  <c r="M131" i="33"/>
  <c r="M130" i="33"/>
  <c r="AI128" i="33"/>
  <c r="AK83" i="33"/>
  <c r="W88" i="33"/>
  <c r="AK88" i="33"/>
  <c r="AK110" i="33"/>
  <c r="AJ118" i="33"/>
  <c r="AA120" i="33"/>
  <c r="AA122" i="33"/>
  <c r="AI125" i="33"/>
  <c r="AJ125" i="33"/>
  <c r="J20" i="31"/>
  <c r="J26" i="31"/>
  <c r="J31" i="31"/>
  <c r="B66" i="31"/>
  <c r="V13" i="31"/>
  <c r="M16" i="31"/>
  <c r="H24" i="31"/>
  <c r="Q24" i="31"/>
  <c r="I13" i="31"/>
  <c r="I18" i="31"/>
  <c r="L9" i="31"/>
  <c r="V25" i="31"/>
  <c r="R13" i="31"/>
  <c r="M20" i="31"/>
  <c r="Q10" i="31"/>
  <c r="H15" i="31"/>
  <c r="Q15" i="31"/>
  <c r="U9" i="31"/>
  <c r="Q9" i="31"/>
  <c r="C11" i="31"/>
  <c r="T9" i="31"/>
  <c r="O9" i="31"/>
  <c r="P9" i="31"/>
  <c r="F40" i="31"/>
  <c r="O35" i="31"/>
  <c r="M40" i="31"/>
  <c r="M46" i="31"/>
  <c r="M51" i="31"/>
  <c r="M56" i="31"/>
  <c r="M61" i="31"/>
  <c r="M66" i="31"/>
  <c r="V66" i="31"/>
  <c r="V35" i="31"/>
  <c r="M29" i="31"/>
  <c r="R9" i="31"/>
  <c r="F24" i="31"/>
  <c r="O24" i="31"/>
  <c r="F23" i="31"/>
  <c r="P14" i="31"/>
  <c r="O19" i="31"/>
  <c r="P19" i="31"/>
  <c r="J36" i="31"/>
  <c r="T31" i="31"/>
  <c r="U10" i="31"/>
  <c r="K13" i="31"/>
  <c r="G11" i="31"/>
  <c r="Q23" i="31"/>
  <c r="H29" i="31"/>
  <c r="G25" i="31"/>
  <c r="G30" i="31"/>
  <c r="G20" i="31"/>
  <c r="C27" i="31"/>
  <c r="O25" i="31"/>
  <c r="H14" i="31"/>
  <c r="H11" i="31"/>
  <c r="V9" i="31"/>
  <c r="G16" i="31"/>
  <c r="M24" i="31"/>
  <c r="V24" i="31"/>
  <c r="I14" i="31"/>
  <c r="V14" i="31"/>
  <c r="V16" i="31"/>
  <c r="D9" i="32"/>
  <c r="G24" i="31"/>
  <c r="P24" i="31"/>
  <c r="G23" i="31"/>
  <c r="I23" i="31"/>
  <c r="V23" i="31"/>
  <c r="H19" i="31"/>
  <c r="H25" i="31"/>
  <c r="H30" i="31"/>
  <c r="T26" i="31"/>
  <c r="F10" i="31"/>
  <c r="I11" i="31"/>
  <c r="P13" i="31"/>
  <c r="P16" i="31"/>
  <c r="D10" i="32"/>
  <c r="T13" i="31"/>
  <c r="V19" i="31"/>
  <c r="T20" i="31"/>
  <c r="C21" i="31"/>
  <c r="T23" i="31"/>
  <c r="J24" i="31"/>
  <c r="T24" i="31"/>
  <c r="O30" i="31"/>
  <c r="C32" i="31"/>
  <c r="V30" i="31"/>
  <c r="C48" i="31"/>
  <c r="V46" i="31"/>
  <c r="O13" i="31"/>
  <c r="O14" i="31"/>
  <c r="J34" i="31"/>
  <c r="J10" i="31"/>
  <c r="J11" i="31"/>
  <c r="W8" i="31"/>
  <c r="Q13" i="31"/>
  <c r="Q14" i="31"/>
  <c r="J19" i="31"/>
  <c r="J21" i="31"/>
  <c r="H20" i="31"/>
  <c r="T29" i="31"/>
  <c r="V51" i="31"/>
  <c r="C63" i="31"/>
  <c r="V61" i="31"/>
  <c r="V40" i="31"/>
  <c r="C58" i="31"/>
  <c r="V56" i="31"/>
  <c r="AI122" i="33"/>
  <c r="AA123" i="33"/>
  <c r="AA132" i="33"/>
  <c r="AK63" i="33"/>
  <c r="D64" i="33"/>
  <c r="D123" i="33"/>
  <c r="D132" i="33"/>
  <c r="AJ88" i="33"/>
  <c r="AK120" i="33"/>
  <c r="C123" i="33"/>
  <c r="C132" i="33"/>
  <c r="AI18" i="33"/>
  <c r="AI131" i="33"/>
  <c r="W122" i="33"/>
  <c r="AK122" i="33"/>
  <c r="AK62" i="33"/>
  <c r="O64" i="33"/>
  <c r="O123" i="33"/>
  <c r="O132" i="33"/>
  <c r="W32" i="33"/>
  <c r="AK18" i="33"/>
  <c r="R123" i="33"/>
  <c r="R132" i="33"/>
  <c r="AI32" i="33"/>
  <c r="B64" i="33"/>
  <c r="AJ48" i="33"/>
  <c r="N63" i="33"/>
  <c r="AJ63" i="33"/>
  <c r="AK126" i="33"/>
  <c r="AJ28" i="33"/>
  <c r="M64" i="33"/>
  <c r="M123" i="33"/>
  <c r="M132" i="33"/>
  <c r="H16" i="31"/>
  <c r="L10" i="31"/>
  <c r="L11" i="31"/>
  <c r="S9" i="31"/>
  <c r="W9" i="31"/>
  <c r="Q19" i="31"/>
  <c r="P25" i="31"/>
  <c r="M26" i="31"/>
  <c r="V20" i="31"/>
  <c r="M21" i="31"/>
  <c r="Q25" i="31"/>
  <c r="C71" i="31"/>
  <c r="F15" i="31"/>
  <c r="O10" i="31"/>
  <c r="Q20" i="31"/>
  <c r="H26" i="31"/>
  <c r="G35" i="31"/>
  <c r="P30" i="31"/>
  <c r="M27" i="31"/>
  <c r="J41" i="31"/>
  <c r="T36" i="31"/>
  <c r="F46" i="31"/>
  <c r="O40" i="31"/>
  <c r="Q16" i="31"/>
  <c r="D11" i="32"/>
  <c r="T34" i="31"/>
  <c r="J39" i="31"/>
  <c r="G26" i="31"/>
  <c r="P20" i="31"/>
  <c r="F29" i="31"/>
  <c r="O23" i="31"/>
  <c r="G21" i="31"/>
  <c r="J25" i="31"/>
  <c r="J27" i="31"/>
  <c r="T19" i="31"/>
  <c r="J15" i="31"/>
  <c r="T10" i="31"/>
  <c r="H21" i="31"/>
  <c r="H35" i="31"/>
  <c r="Q30" i="31"/>
  <c r="R23" i="31"/>
  <c r="G27" i="31"/>
  <c r="G29" i="31"/>
  <c r="P23" i="31"/>
  <c r="I19" i="31"/>
  <c r="I15" i="31"/>
  <c r="R14" i="31"/>
  <c r="F11" i="31"/>
  <c r="H34" i="31"/>
  <c r="Q29" i="31"/>
  <c r="U13" i="31"/>
  <c r="K14" i="31"/>
  <c r="K18" i="31"/>
  <c r="V29" i="31"/>
  <c r="M34" i="31"/>
  <c r="B123" i="33"/>
  <c r="AI64" i="33"/>
  <c r="W64" i="33"/>
  <c r="AK32" i="33"/>
  <c r="AJ122" i="33"/>
  <c r="N64" i="33"/>
  <c r="AJ32" i="33"/>
  <c r="S10" i="31"/>
  <c r="L13" i="31"/>
  <c r="L14" i="31"/>
  <c r="V26" i="31"/>
  <c r="V27" i="31"/>
  <c r="F9" i="32"/>
  <c r="M31" i="31"/>
  <c r="H39" i="31"/>
  <c r="Q34" i="31"/>
  <c r="R15" i="31"/>
  <c r="R16" i="31"/>
  <c r="D7" i="32"/>
  <c r="I16" i="31"/>
  <c r="T15" i="31"/>
  <c r="T16" i="31"/>
  <c r="J16" i="31"/>
  <c r="M39" i="31"/>
  <c r="V34" i="31"/>
  <c r="J44" i="31"/>
  <c r="T39" i="31"/>
  <c r="T41" i="31"/>
  <c r="J47" i="31"/>
  <c r="J30" i="31"/>
  <c r="T25" i="31"/>
  <c r="T27" i="31"/>
  <c r="H31" i="31"/>
  <c r="Q26" i="31"/>
  <c r="Q27" i="31"/>
  <c r="F11" i="32"/>
  <c r="H27" i="31"/>
  <c r="H40" i="31"/>
  <c r="Q35" i="31"/>
  <c r="G40" i="31"/>
  <c r="P35" i="31"/>
  <c r="R19" i="31"/>
  <c r="I24" i="31"/>
  <c r="I20" i="31"/>
  <c r="R20" i="31"/>
  <c r="O29" i="31"/>
  <c r="F34" i="31"/>
  <c r="O15" i="31"/>
  <c r="F20" i="31"/>
  <c r="F16" i="31"/>
  <c r="K23" i="31"/>
  <c r="K19" i="31"/>
  <c r="K15" i="31"/>
  <c r="U14" i="31"/>
  <c r="G34" i="31"/>
  <c r="P29" i="31"/>
  <c r="G31" i="31"/>
  <c r="G32" i="31"/>
  <c r="P26" i="31"/>
  <c r="P27" i="31"/>
  <c r="F10" i="32"/>
  <c r="F51" i="31"/>
  <c r="O46" i="31"/>
  <c r="C12" i="32"/>
  <c r="AK134" i="33"/>
  <c r="W123" i="33"/>
  <c r="AK64" i="33"/>
  <c r="N123" i="33"/>
  <c r="AJ64" i="33"/>
  <c r="AI123" i="33"/>
  <c r="B132" i="33"/>
  <c r="AI132" i="33"/>
  <c r="S13" i="31"/>
  <c r="W13" i="31"/>
  <c r="L18" i="31"/>
  <c r="L23" i="31"/>
  <c r="W10" i="31"/>
  <c r="W11" i="31"/>
  <c r="I21" i="31"/>
  <c r="M36" i="31"/>
  <c r="M32" i="31"/>
  <c r="V31" i="31"/>
  <c r="V32" i="31"/>
  <c r="G9" i="32"/>
  <c r="F56" i="31"/>
  <c r="O51" i="31"/>
  <c r="U15" i="31"/>
  <c r="U16" i="31"/>
  <c r="D5" i="32"/>
  <c r="K16" i="31"/>
  <c r="L19" i="31"/>
  <c r="L15" i="31"/>
  <c r="S15" i="31"/>
  <c r="S14" i="31"/>
  <c r="W14" i="31"/>
  <c r="F26" i="31"/>
  <c r="O20" i="31"/>
  <c r="F21" i="31"/>
  <c r="G39" i="31"/>
  <c r="P34" i="31"/>
  <c r="U23" i="31"/>
  <c r="J50" i="31"/>
  <c r="T44" i="31"/>
  <c r="I29" i="31"/>
  <c r="I25" i="31"/>
  <c r="R24" i="31"/>
  <c r="G46" i="31"/>
  <c r="P40" i="31"/>
  <c r="O34" i="31"/>
  <c r="F39" i="31"/>
  <c r="H46" i="31"/>
  <c r="Q40" i="31"/>
  <c r="H45" i="31"/>
  <c r="Q45" i="31"/>
  <c r="Q39" i="31"/>
  <c r="H44" i="31"/>
  <c r="K24" i="31"/>
  <c r="K20" i="31"/>
  <c r="U20" i="31"/>
  <c r="U19" i="31"/>
  <c r="O16" i="31"/>
  <c r="D6" i="32"/>
  <c r="T47" i="31"/>
  <c r="J52" i="31"/>
  <c r="V39" i="31"/>
  <c r="M45" i="31"/>
  <c r="V45" i="31"/>
  <c r="M44" i="31"/>
  <c r="P31" i="31"/>
  <c r="P32" i="31"/>
  <c r="G10" i="32"/>
  <c r="G36" i="31"/>
  <c r="G37" i="31"/>
  <c r="Q31" i="31"/>
  <c r="Q32" i="31"/>
  <c r="G11" i="32"/>
  <c r="H36" i="31"/>
  <c r="H32" i="31"/>
  <c r="J35" i="31"/>
  <c r="T30" i="31"/>
  <c r="T32" i="31"/>
  <c r="J32" i="31"/>
  <c r="AK123" i="33"/>
  <c r="W132" i="33"/>
  <c r="AK132" i="33"/>
  <c r="AJ123" i="33"/>
  <c r="N132" i="33"/>
  <c r="AJ132" i="33"/>
  <c r="W18" i="31"/>
  <c r="W15" i="31"/>
  <c r="W16" i="31"/>
  <c r="L16" i="31"/>
  <c r="K21" i="31"/>
  <c r="M37" i="31"/>
  <c r="V36" i="31"/>
  <c r="V37" i="31"/>
  <c r="H9" i="32"/>
  <c r="M41" i="31"/>
  <c r="S16" i="31"/>
  <c r="D8" i="32"/>
  <c r="D12" i="32"/>
  <c r="S23" i="31"/>
  <c r="H50" i="31"/>
  <c r="Q44" i="31"/>
  <c r="L20" i="31"/>
  <c r="S20" i="31"/>
  <c r="W20" i="31"/>
  <c r="S19" i="31"/>
  <c r="W19" i="31"/>
  <c r="L24" i="31"/>
  <c r="F61" i="31"/>
  <c r="F66" i="31"/>
  <c r="O66" i="31"/>
  <c r="O56" i="31"/>
  <c r="Q36" i="31"/>
  <c r="Q37" i="31"/>
  <c r="H11" i="32"/>
  <c r="H41" i="31"/>
  <c r="H37" i="31"/>
  <c r="J57" i="31"/>
  <c r="T52" i="31"/>
  <c r="I30" i="31"/>
  <c r="I26" i="31"/>
  <c r="R26" i="31"/>
  <c r="R25" i="31"/>
  <c r="T50" i="31"/>
  <c r="J55" i="31"/>
  <c r="G44" i="31"/>
  <c r="P39" i="31"/>
  <c r="G45" i="31"/>
  <c r="P45" i="31"/>
  <c r="O26" i="31"/>
  <c r="F31" i="31"/>
  <c r="F27" i="31"/>
  <c r="V44" i="31"/>
  <c r="M50" i="31"/>
  <c r="H51" i="31"/>
  <c r="Q46" i="31"/>
  <c r="G51" i="31"/>
  <c r="P46" i="31"/>
  <c r="R29" i="31"/>
  <c r="I34" i="31"/>
  <c r="J40" i="31"/>
  <c r="T35" i="31"/>
  <c r="T37" i="31"/>
  <c r="J37" i="31"/>
  <c r="G41" i="31"/>
  <c r="P36" i="31"/>
  <c r="P37" i="31"/>
  <c r="H10" i="32"/>
  <c r="K29" i="31"/>
  <c r="K25" i="31"/>
  <c r="U24" i="31"/>
  <c r="F44" i="31"/>
  <c r="F45" i="31"/>
  <c r="O45" i="31"/>
  <c r="O39" i="31"/>
  <c r="I27" i="31"/>
  <c r="M42" i="31"/>
  <c r="M47" i="31"/>
  <c r="V41" i="31"/>
  <c r="V42" i="31"/>
  <c r="I9" i="32"/>
  <c r="L21" i="31"/>
  <c r="E12" i="32"/>
  <c r="K34" i="31"/>
  <c r="U29" i="31"/>
  <c r="O61" i="31"/>
  <c r="I39" i="31"/>
  <c r="R34" i="31"/>
  <c r="G56" i="31"/>
  <c r="P51" i="31"/>
  <c r="H47" i="31"/>
  <c r="Q41" i="31"/>
  <c r="Q42" i="31"/>
  <c r="I11" i="32"/>
  <c r="H42" i="31"/>
  <c r="L29" i="31"/>
  <c r="S24" i="31"/>
  <c r="W24" i="31"/>
  <c r="L25" i="31"/>
  <c r="R27" i="31"/>
  <c r="F7" i="32"/>
  <c r="F36" i="31"/>
  <c r="O31" i="31"/>
  <c r="F32" i="31"/>
  <c r="G50" i="31"/>
  <c r="P44" i="31"/>
  <c r="H55" i="31"/>
  <c r="Q50" i="31"/>
  <c r="M55" i="31"/>
  <c r="V50" i="31"/>
  <c r="W23" i="31"/>
  <c r="O44" i="31"/>
  <c r="F50" i="31"/>
  <c r="J60" i="31"/>
  <c r="T55" i="31"/>
  <c r="P41" i="31"/>
  <c r="P42" i="31"/>
  <c r="I10" i="32"/>
  <c r="G47" i="31"/>
  <c r="G48" i="31"/>
  <c r="K26" i="31"/>
  <c r="U26" i="31"/>
  <c r="K30" i="31"/>
  <c r="U25" i="31"/>
  <c r="W21" i="31"/>
  <c r="J46" i="31"/>
  <c r="T40" i="31"/>
  <c r="T42" i="31"/>
  <c r="J42" i="31"/>
  <c r="H56" i="31"/>
  <c r="Q51" i="31"/>
  <c r="O27" i="31"/>
  <c r="F6" i="32"/>
  <c r="G42" i="31"/>
  <c r="R30" i="31"/>
  <c r="I35" i="31"/>
  <c r="I31" i="31"/>
  <c r="T57" i="31"/>
  <c r="J62" i="31"/>
  <c r="V47" i="31"/>
  <c r="V48" i="31"/>
  <c r="J9" i="32"/>
  <c r="M52" i="31"/>
  <c r="M48" i="31"/>
  <c r="J67" i="31"/>
  <c r="T67" i="31"/>
  <c r="T62" i="31"/>
  <c r="K35" i="31"/>
  <c r="K31" i="31"/>
  <c r="U31" i="31"/>
  <c r="U30" i="31"/>
  <c r="V55" i="31"/>
  <c r="M60" i="31"/>
  <c r="O32" i="31"/>
  <c r="G6" i="32"/>
  <c r="R39" i="31"/>
  <c r="I44" i="31"/>
  <c r="R31" i="31"/>
  <c r="R32" i="31"/>
  <c r="G7" i="32"/>
  <c r="I32" i="31"/>
  <c r="P47" i="31"/>
  <c r="P48" i="31"/>
  <c r="J10" i="32"/>
  <c r="G52" i="31"/>
  <c r="O50" i="31"/>
  <c r="F55" i="31"/>
  <c r="F41" i="31"/>
  <c r="O36" i="31"/>
  <c r="F37" i="31"/>
  <c r="L30" i="31"/>
  <c r="L26" i="31"/>
  <c r="S25" i="31"/>
  <c r="G61" i="31"/>
  <c r="G66" i="31"/>
  <c r="P66" i="31"/>
  <c r="P56" i="31"/>
  <c r="J51" i="31"/>
  <c r="T46" i="31"/>
  <c r="T48" i="31"/>
  <c r="J48" i="31"/>
  <c r="L34" i="31"/>
  <c r="S29" i="31"/>
  <c r="H61" i="31"/>
  <c r="H66" i="31"/>
  <c r="Q66" i="31"/>
  <c r="Q56" i="31"/>
  <c r="U34" i="31"/>
  <c r="K39" i="31"/>
  <c r="K27" i="31"/>
  <c r="I40" i="31"/>
  <c r="I36" i="31"/>
  <c r="R35" i="31"/>
  <c r="U27" i="31"/>
  <c r="F5" i="32"/>
  <c r="J65" i="31"/>
  <c r="T60" i="31"/>
  <c r="H60" i="31"/>
  <c r="Q55" i="31"/>
  <c r="P50" i="31"/>
  <c r="G55" i="31"/>
  <c r="G53" i="31"/>
  <c r="Q47" i="31"/>
  <c r="Q48" i="31"/>
  <c r="J11" i="32"/>
  <c r="H52" i="31"/>
  <c r="H48" i="31"/>
  <c r="M53" i="31"/>
  <c r="M57" i="31"/>
  <c r="V52" i="31"/>
  <c r="V53" i="31"/>
  <c r="K9" i="32"/>
  <c r="U32" i="31"/>
  <c r="G5" i="32"/>
  <c r="H65" i="31"/>
  <c r="Q60" i="31"/>
  <c r="S26" i="31"/>
  <c r="W26" i="31"/>
  <c r="L27" i="31"/>
  <c r="P55" i="31"/>
  <c r="G60" i="31"/>
  <c r="U39" i="31"/>
  <c r="K44" i="31"/>
  <c r="Q61" i="31"/>
  <c r="L39" i="31"/>
  <c r="S34" i="31"/>
  <c r="J56" i="31"/>
  <c r="T51" i="31"/>
  <c r="T53" i="31"/>
  <c r="J53" i="31"/>
  <c r="L35" i="31"/>
  <c r="L31" i="31"/>
  <c r="S31" i="31"/>
  <c r="W31" i="31"/>
  <c r="S30" i="31"/>
  <c r="W30" i="31"/>
  <c r="K40" i="31"/>
  <c r="K36" i="31"/>
  <c r="U36" i="31"/>
  <c r="U35" i="31"/>
  <c r="Q52" i="31"/>
  <c r="Q53" i="31"/>
  <c r="K11" i="32"/>
  <c r="H57" i="31"/>
  <c r="H53" i="31"/>
  <c r="T65" i="31"/>
  <c r="R36" i="31"/>
  <c r="R37" i="31"/>
  <c r="H7" i="32"/>
  <c r="I37" i="31"/>
  <c r="P61" i="31"/>
  <c r="F60" i="31"/>
  <c r="O55" i="31"/>
  <c r="G57" i="31"/>
  <c r="G58" i="31"/>
  <c r="P52" i="31"/>
  <c r="P53" i="31"/>
  <c r="K10" i="32"/>
  <c r="W29" i="31"/>
  <c r="O41" i="31"/>
  <c r="F47" i="31"/>
  <c r="F42" i="31"/>
  <c r="V60" i="31"/>
  <c r="M65" i="31"/>
  <c r="I45" i="31"/>
  <c r="R40" i="31"/>
  <c r="I41" i="31"/>
  <c r="R41" i="31"/>
  <c r="W25" i="31"/>
  <c r="O37" i="31"/>
  <c r="H6" i="32"/>
  <c r="R44" i="31"/>
  <c r="K32" i="31"/>
  <c r="W27" i="31"/>
  <c r="L32" i="31"/>
  <c r="K37" i="31"/>
  <c r="M62" i="31"/>
  <c r="V57" i="31"/>
  <c r="V58" i="31"/>
  <c r="L9" i="32"/>
  <c r="M58" i="31"/>
  <c r="U37" i="31"/>
  <c r="H5" i="32"/>
  <c r="O42" i="31"/>
  <c r="I6" i="32"/>
  <c r="L44" i="31"/>
  <c r="S39" i="31"/>
  <c r="J61" i="31"/>
  <c r="J66" i="31"/>
  <c r="T66" i="31"/>
  <c r="T56" i="31"/>
  <c r="T58" i="31"/>
  <c r="J58" i="31"/>
  <c r="S32" i="31"/>
  <c r="G8" i="32"/>
  <c r="G12" i="32"/>
  <c r="P57" i="31"/>
  <c r="P58" i="31"/>
  <c r="L10" i="32"/>
  <c r="G62" i="31"/>
  <c r="G63" i="31"/>
  <c r="L40" i="31"/>
  <c r="S35" i="31"/>
  <c r="W35" i="31"/>
  <c r="L36" i="31"/>
  <c r="S36" i="31"/>
  <c r="W36" i="31"/>
  <c r="W34" i="31"/>
  <c r="I42" i="31"/>
  <c r="I46" i="31"/>
  <c r="R45" i="31"/>
  <c r="I50" i="31"/>
  <c r="V65" i="31"/>
  <c r="W32" i="31"/>
  <c r="O60" i="31"/>
  <c r="F65" i="31"/>
  <c r="Q65" i="31"/>
  <c r="S27" i="31"/>
  <c r="F8" i="32"/>
  <c r="F12" i="32"/>
  <c r="O47" i="31"/>
  <c r="F52" i="31"/>
  <c r="F48" i="31"/>
  <c r="H62" i="31"/>
  <c r="Q57" i="31"/>
  <c r="Q58" i="31"/>
  <c r="L11" i="32"/>
  <c r="H58" i="31"/>
  <c r="K41" i="31"/>
  <c r="K45" i="31"/>
  <c r="U40" i="31"/>
  <c r="U44" i="31"/>
  <c r="G65" i="31"/>
  <c r="P60" i="31"/>
  <c r="R42" i="31"/>
  <c r="I7" i="32"/>
  <c r="L37" i="31"/>
  <c r="M63" i="31"/>
  <c r="M67" i="31"/>
  <c r="V62" i="31"/>
  <c r="V63" i="31"/>
  <c r="M9" i="32"/>
  <c r="W37" i="31"/>
  <c r="S37" i="31"/>
  <c r="H8" i="32"/>
  <c r="H12" i="32"/>
  <c r="L41" i="31"/>
  <c r="S41" i="31"/>
  <c r="L45" i="31"/>
  <c r="S40" i="31"/>
  <c r="W40" i="31"/>
  <c r="T61" i="31"/>
  <c r="T63" i="31"/>
  <c r="J63" i="31"/>
  <c r="P65" i="31"/>
  <c r="I47" i="31"/>
  <c r="R47" i="31"/>
  <c r="I51" i="31"/>
  <c r="R46" i="31"/>
  <c r="O65" i="31"/>
  <c r="G67" i="31"/>
  <c r="P67" i="31"/>
  <c r="P62" i="31"/>
  <c r="P63" i="31"/>
  <c r="M10" i="32"/>
  <c r="W39" i="31"/>
  <c r="K50" i="31"/>
  <c r="U45" i="31"/>
  <c r="K46" i="31"/>
  <c r="Q62" i="31"/>
  <c r="Q63" i="31"/>
  <c r="M11" i="32"/>
  <c r="H67" i="31"/>
  <c r="H63" i="31"/>
  <c r="F57" i="31"/>
  <c r="O52" i="31"/>
  <c r="F53" i="31"/>
  <c r="U41" i="31"/>
  <c r="U42" i="31"/>
  <c r="I5" i="32"/>
  <c r="K42" i="31"/>
  <c r="O48" i="31"/>
  <c r="J6" i="32"/>
  <c r="I55" i="31"/>
  <c r="R50" i="31"/>
  <c r="S44" i="31"/>
  <c r="I48" i="31"/>
  <c r="R48" i="31"/>
  <c r="J7" i="32"/>
  <c r="V67" i="31"/>
  <c r="V68" i="31"/>
  <c r="M68" i="31"/>
  <c r="W41" i="31"/>
  <c r="S45" i="31"/>
  <c r="W45" i="31"/>
  <c r="L46" i="31"/>
  <c r="L50" i="31"/>
  <c r="Q67" i="31"/>
  <c r="Q68" i="31"/>
  <c r="H68" i="31"/>
  <c r="K55" i="31"/>
  <c r="U50" i="31"/>
  <c r="W42" i="31"/>
  <c r="P68" i="31"/>
  <c r="O53" i="31"/>
  <c r="K6" i="32"/>
  <c r="S42" i="31"/>
  <c r="I8" i="32"/>
  <c r="I12" i="32"/>
  <c r="I56" i="31"/>
  <c r="I52" i="31"/>
  <c r="R51" i="31"/>
  <c r="G68" i="31"/>
  <c r="T68" i="31"/>
  <c r="J68" i="31"/>
  <c r="W44" i="31"/>
  <c r="R55" i="31"/>
  <c r="I60" i="31"/>
  <c r="O57" i="31"/>
  <c r="F62" i="31"/>
  <c r="F58" i="31"/>
  <c r="K51" i="31"/>
  <c r="K47" i="31"/>
  <c r="U46" i="31"/>
  <c r="L42" i="31"/>
  <c r="N9" i="32"/>
  <c r="V71" i="31"/>
  <c r="F67" i="31"/>
  <c r="O62" i="31"/>
  <c r="F63" i="31"/>
  <c r="N10" i="32"/>
  <c r="P71" i="31"/>
  <c r="L55" i="31"/>
  <c r="S50" i="31"/>
  <c r="U47" i="31"/>
  <c r="U48" i="31"/>
  <c r="J5" i="32"/>
  <c r="K48" i="31"/>
  <c r="N11" i="32"/>
  <c r="Q71" i="31"/>
  <c r="T71" i="31"/>
  <c r="R56" i="31"/>
  <c r="I61" i="31"/>
  <c r="I66" i="31"/>
  <c r="R66" i="31"/>
  <c r="I57" i="31"/>
  <c r="R57" i="31"/>
  <c r="O58" i="31"/>
  <c r="L6" i="32"/>
  <c r="L47" i="31"/>
  <c r="S47" i="31"/>
  <c r="W47" i="31"/>
  <c r="S46" i="31"/>
  <c r="W46" i="31"/>
  <c r="L51" i="31"/>
  <c r="K52" i="31"/>
  <c r="U52" i="31"/>
  <c r="K56" i="31"/>
  <c r="U51" i="31"/>
  <c r="R60" i="31"/>
  <c r="I65" i="31"/>
  <c r="R52" i="31"/>
  <c r="R53" i="31"/>
  <c r="K7" i="32"/>
  <c r="I53" i="31"/>
  <c r="K60" i="31"/>
  <c r="U55" i="31"/>
  <c r="K53" i="31"/>
  <c r="U53" i="31"/>
  <c r="K5" i="32"/>
  <c r="W48" i="31"/>
  <c r="K57" i="31"/>
  <c r="U57" i="31"/>
  <c r="K61" i="31"/>
  <c r="K66" i="31"/>
  <c r="U66" i="31"/>
  <c r="U56" i="31"/>
  <c r="O67" i="31"/>
  <c r="F68" i="31"/>
  <c r="L48" i="31"/>
  <c r="R65" i="31"/>
  <c r="R61" i="31"/>
  <c r="I62" i="31"/>
  <c r="W50" i="31"/>
  <c r="L56" i="31"/>
  <c r="L52" i="31"/>
  <c r="S51" i="31"/>
  <c r="W51" i="31"/>
  <c r="K65" i="31"/>
  <c r="U60" i="31"/>
  <c r="S48" i="31"/>
  <c r="J8" i="32"/>
  <c r="J12" i="32"/>
  <c r="R58" i="31"/>
  <c r="L7" i="32"/>
  <c r="S55" i="31"/>
  <c r="L60" i="31"/>
  <c r="O63" i="31"/>
  <c r="M6" i="32"/>
  <c r="I58" i="31"/>
  <c r="U58" i="31"/>
  <c r="L5" i="32"/>
  <c r="L65" i="31"/>
  <c r="S60" i="31"/>
  <c r="S52" i="31"/>
  <c r="L53" i="31"/>
  <c r="W55" i="31"/>
  <c r="L61" i="31"/>
  <c r="L66" i="31"/>
  <c r="S66" i="31"/>
  <c r="W66" i="31"/>
  <c r="L57" i="31"/>
  <c r="S56" i="31"/>
  <c r="W56" i="31"/>
  <c r="R62" i="31"/>
  <c r="I63" i="31"/>
  <c r="U65" i="31"/>
  <c r="K58" i="31"/>
  <c r="O68" i="31"/>
  <c r="K62" i="31"/>
  <c r="U61" i="31"/>
  <c r="I67" i="31"/>
  <c r="K67" i="31"/>
  <c r="U62" i="31"/>
  <c r="U63" i="31"/>
  <c r="M5" i="32"/>
  <c r="K63" i="31"/>
  <c r="S53" i="31"/>
  <c r="K8" i="32"/>
  <c r="K12" i="32"/>
  <c r="W52" i="31"/>
  <c r="W53" i="31"/>
  <c r="R63" i="31"/>
  <c r="M7" i="32"/>
  <c r="O71" i="31"/>
  <c r="N6" i="32"/>
  <c r="S57" i="31"/>
  <c r="W57" i="31"/>
  <c r="W58" i="31"/>
  <c r="L58" i="31"/>
  <c r="S58" i="31"/>
  <c r="L8" i="32"/>
  <c r="L12" i="32"/>
  <c r="W60" i="31"/>
  <c r="R67" i="31"/>
  <c r="I68" i="31"/>
  <c r="L62" i="31"/>
  <c r="S61" i="31"/>
  <c r="W61" i="31"/>
  <c r="S65" i="31"/>
  <c r="U67" i="31"/>
  <c r="U68" i="31"/>
  <c r="K68" i="31"/>
  <c r="S62" i="31"/>
  <c r="W62" i="31"/>
  <c r="W63" i="31"/>
  <c r="L63" i="31"/>
  <c r="W65" i="31"/>
  <c r="L67" i="31"/>
  <c r="S67" i="31"/>
  <c r="R68" i="31"/>
  <c r="S68" i="31"/>
  <c r="N8" i="32"/>
  <c r="U71" i="31"/>
  <c r="N5" i="32"/>
  <c r="R71" i="31"/>
  <c r="N7" i="32"/>
  <c r="W67" i="31"/>
  <c r="W68" i="31"/>
  <c r="W71" i="31"/>
  <c r="O14" i="32"/>
  <c r="S63" i="31"/>
  <c r="M8" i="32"/>
  <c r="M12" i="32"/>
  <c r="L68" i="31"/>
  <c r="N12" i="32"/>
  <c r="S71" i="31"/>
  <c r="O12" i="32"/>
  <c r="O15" i="32"/>
  <c r="P15" i="32"/>
  <c r="S6" i="4"/>
  <c r="E14" i="23"/>
  <c r="E31" i="23"/>
  <c r="E26" i="23"/>
  <c r="N33" i="3"/>
  <c r="A51" i="22"/>
  <c r="A44" i="22"/>
  <c r="B7" i="25"/>
  <c r="B9" i="25"/>
  <c r="B13" i="25"/>
  <c r="B14" i="25"/>
  <c r="B15" i="25"/>
  <c r="B17" i="25"/>
  <c r="B18" i="25"/>
  <c r="B19" i="25"/>
  <c r="B27" i="25"/>
  <c r="B30" i="25"/>
  <c r="C7" i="25"/>
  <c r="C9" i="25"/>
  <c r="C10" i="25"/>
  <c r="N10" i="25"/>
  <c r="C12" i="25"/>
  <c r="N12" i="25"/>
  <c r="C13" i="25"/>
  <c r="C14" i="25"/>
  <c r="C15" i="25"/>
  <c r="C16" i="25"/>
  <c r="N16" i="25"/>
  <c r="C18" i="25"/>
  <c r="C19" i="25"/>
  <c r="C20" i="25"/>
  <c r="C21" i="25"/>
  <c r="C31" i="25"/>
  <c r="C27" i="25"/>
  <c r="C29" i="25"/>
  <c r="N29" i="25"/>
  <c r="C30" i="25"/>
  <c r="D7" i="25"/>
  <c r="D9" i="25"/>
  <c r="D13" i="25"/>
  <c r="N13" i="25"/>
  <c r="D14" i="25"/>
  <c r="D15" i="25"/>
  <c r="D17" i="25"/>
  <c r="D18" i="25"/>
  <c r="D19" i="25"/>
  <c r="D24" i="25"/>
  <c r="D26" i="25"/>
  <c r="N26" i="25"/>
  <c r="D30" i="25"/>
  <c r="E7" i="25"/>
  <c r="E9" i="25"/>
  <c r="E13" i="25"/>
  <c r="E14" i="25"/>
  <c r="E15" i="25"/>
  <c r="E17" i="25"/>
  <c r="E18" i="25"/>
  <c r="E19" i="25"/>
  <c r="E23" i="25"/>
  <c r="N23" i="25"/>
  <c r="E30" i="25"/>
  <c r="F7" i="25"/>
  <c r="F9" i="25"/>
  <c r="F13" i="25"/>
  <c r="F14" i="25"/>
  <c r="F15" i="25"/>
  <c r="F18" i="25"/>
  <c r="F19" i="25"/>
  <c r="F27" i="25"/>
  <c r="F30" i="25"/>
  <c r="G7" i="25"/>
  <c r="G9" i="25"/>
  <c r="G13" i="25"/>
  <c r="G14" i="25"/>
  <c r="G15" i="25"/>
  <c r="G17" i="25"/>
  <c r="G18" i="25"/>
  <c r="G19" i="25"/>
  <c r="G20" i="25"/>
  <c r="G27" i="25"/>
  <c r="G30" i="25"/>
  <c r="H7" i="25"/>
  <c r="H9" i="25"/>
  <c r="H13" i="25"/>
  <c r="H14" i="25"/>
  <c r="N14" i="25"/>
  <c r="H15" i="25"/>
  <c r="H17" i="25"/>
  <c r="H18" i="25"/>
  <c r="H20" i="25"/>
  <c r="H21" i="25"/>
  <c r="H31" i="25"/>
  <c r="H27" i="25"/>
  <c r="H30" i="25"/>
  <c r="I7" i="25"/>
  <c r="I9" i="25"/>
  <c r="I13" i="25"/>
  <c r="I14" i="25"/>
  <c r="I15" i="25"/>
  <c r="I17" i="25"/>
  <c r="I18" i="25"/>
  <c r="I19" i="25"/>
  <c r="I25" i="25"/>
  <c r="I27" i="25"/>
  <c r="I30" i="25"/>
  <c r="J7" i="25"/>
  <c r="J9" i="25"/>
  <c r="J13" i="25"/>
  <c r="J14" i="25"/>
  <c r="J15" i="25"/>
  <c r="J17" i="25"/>
  <c r="J18" i="25"/>
  <c r="J19" i="25"/>
  <c r="J27" i="25"/>
  <c r="J30" i="25"/>
  <c r="K7" i="25"/>
  <c r="K9" i="25"/>
  <c r="K13" i="25"/>
  <c r="K14" i="25"/>
  <c r="K15" i="25"/>
  <c r="K18" i="25"/>
  <c r="K20" i="25"/>
  <c r="K27" i="25"/>
  <c r="K30" i="25"/>
  <c r="L7" i="25"/>
  <c r="L9" i="25"/>
  <c r="L11" i="25"/>
  <c r="N11" i="25"/>
  <c r="L13" i="25"/>
  <c r="L14" i="25"/>
  <c r="L15" i="25"/>
  <c r="L18" i="25"/>
  <c r="L19" i="25"/>
  <c r="L27" i="25"/>
  <c r="L30" i="25"/>
  <c r="M7" i="25"/>
  <c r="M9" i="25"/>
  <c r="M20" i="25"/>
  <c r="M21" i="25"/>
  <c r="M31" i="25"/>
  <c r="M13" i="25"/>
  <c r="M14" i="25"/>
  <c r="M15" i="25"/>
  <c r="M17" i="25"/>
  <c r="M18" i="25"/>
  <c r="M19" i="25"/>
  <c r="M27" i="25"/>
  <c r="M30" i="25"/>
  <c r="N25" i="25"/>
  <c r="N18" i="25"/>
  <c r="N8" i="25"/>
  <c r="P26" i="3"/>
  <c r="P27" i="3"/>
  <c r="P30" i="3"/>
  <c r="B114" i="24"/>
  <c r="B7" i="24"/>
  <c r="B8" i="24"/>
  <c r="B9" i="24"/>
  <c r="B10" i="24"/>
  <c r="B11" i="24"/>
  <c r="B12" i="24"/>
  <c r="B13" i="24"/>
  <c r="B14" i="24"/>
  <c r="B15" i="24"/>
  <c r="B17" i="24"/>
  <c r="B18" i="24"/>
  <c r="B19" i="24"/>
  <c r="B20" i="24"/>
  <c r="B21" i="24"/>
  <c r="B22" i="24"/>
  <c r="B25" i="24"/>
  <c r="B23" i="24"/>
  <c r="B24" i="24"/>
  <c r="B26" i="24"/>
  <c r="B27" i="24"/>
  <c r="B28" i="24"/>
  <c r="B31" i="24"/>
  <c r="B50" i="24"/>
  <c r="B32" i="24"/>
  <c r="B33" i="24"/>
  <c r="B34" i="24"/>
  <c r="B35" i="24"/>
  <c r="B36" i="24"/>
  <c r="B37" i="24"/>
  <c r="B38" i="24"/>
  <c r="B39" i="24"/>
  <c r="B40" i="24"/>
  <c r="B41" i="24"/>
  <c r="B42" i="24"/>
  <c r="B43" i="24"/>
  <c r="B44" i="24"/>
  <c r="B45" i="24"/>
  <c r="B46" i="24"/>
  <c r="B47" i="24"/>
  <c r="B49" i="24"/>
  <c r="B48" i="24"/>
  <c r="B53" i="24"/>
  <c r="B54" i="24"/>
  <c r="B55" i="24"/>
  <c r="B56" i="24"/>
  <c r="B57" i="24"/>
  <c r="B58" i="24"/>
  <c r="B59" i="24"/>
  <c r="B60" i="24"/>
  <c r="B61" i="24"/>
  <c r="B62" i="24"/>
  <c r="B63" i="24"/>
  <c r="B65" i="24"/>
  <c r="B64" i="24"/>
  <c r="B66" i="24"/>
  <c r="B67" i="24"/>
  <c r="B68" i="24"/>
  <c r="B69" i="24"/>
  <c r="B70" i="24"/>
  <c r="B71" i="24"/>
  <c r="B72" i="24"/>
  <c r="B75" i="24"/>
  <c r="B73" i="24"/>
  <c r="B74"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6" i="24"/>
  <c r="B107" i="24"/>
  <c r="B109" i="24"/>
  <c r="B110" i="24"/>
  <c r="G35" i="5"/>
  <c r="K9" i="3"/>
  <c r="N9" i="3"/>
  <c r="K10" i="3"/>
  <c r="N10" i="3"/>
  <c r="K11" i="3"/>
  <c r="N11" i="3"/>
  <c r="N12" i="3"/>
  <c r="K13" i="3"/>
  <c r="N13" i="3"/>
  <c r="K14" i="3"/>
  <c r="N14" i="3"/>
  <c r="K15" i="3"/>
  <c r="N15" i="3"/>
  <c r="K16" i="3"/>
  <c r="N16" i="3"/>
  <c r="N17" i="3"/>
  <c r="K18" i="3"/>
  <c r="O18" i="3"/>
  <c r="Q18" i="3"/>
  <c r="N18" i="3"/>
  <c r="K19" i="3"/>
  <c r="N19" i="3"/>
  <c r="K20" i="3"/>
  <c r="N20" i="3"/>
  <c r="K22" i="3"/>
  <c r="M22" i="3"/>
  <c r="N22" i="3"/>
  <c r="K23" i="3"/>
  <c r="N23" i="3"/>
  <c r="P24" i="3"/>
  <c r="N25" i="3"/>
  <c r="K26" i="3"/>
  <c r="N26" i="3"/>
  <c r="N27" i="3"/>
  <c r="K28" i="3"/>
  <c r="N28" i="3"/>
  <c r="N29" i="3"/>
  <c r="K30" i="3"/>
  <c r="N30" i="3"/>
  <c r="K31" i="3"/>
  <c r="N31" i="3"/>
  <c r="P32" i="3"/>
  <c r="K32" i="3"/>
  <c r="N32" i="3"/>
  <c r="K7" i="3"/>
  <c r="N7" i="3"/>
  <c r="B5" i="5"/>
  <c r="B6" i="5"/>
  <c r="B7" i="5"/>
  <c r="B8" i="5"/>
  <c r="B9" i="5"/>
  <c r="B10" i="5"/>
  <c r="B11" i="5"/>
  <c r="B12" i="5"/>
  <c r="B13" i="5"/>
  <c r="B14" i="5"/>
  <c r="B15" i="5"/>
  <c r="B16" i="5"/>
  <c r="B17" i="5"/>
  <c r="B18" i="5"/>
  <c r="B19" i="5"/>
  <c r="B20" i="5"/>
  <c r="B21" i="5"/>
  <c r="B22" i="5"/>
  <c r="B23" i="5"/>
  <c r="B24" i="5"/>
  <c r="B25" i="5"/>
  <c r="B26" i="5"/>
  <c r="B27" i="5"/>
  <c r="B28" i="5"/>
  <c r="B29" i="5"/>
  <c r="D36" i="22"/>
  <c r="I38" i="22"/>
  <c r="B110" i="23"/>
  <c r="C102" i="23"/>
  <c r="D76" i="23"/>
  <c r="D75" i="23"/>
  <c r="D74" i="23"/>
  <c r="F71" i="23"/>
  <c r="E71" i="23"/>
  <c r="F68" i="23"/>
  <c r="G68" i="23"/>
  <c r="H68" i="23"/>
  <c r="AO48" i="23"/>
  <c r="AO5" i="23"/>
  <c r="AO21" i="23"/>
  <c r="AO22" i="23"/>
  <c r="AO32" i="23"/>
  <c r="AO33" i="23"/>
  <c r="D68" i="23"/>
  <c r="F67" i="23"/>
  <c r="G67" i="23"/>
  <c r="H67" i="23"/>
  <c r="D67" i="23"/>
  <c r="F66" i="23"/>
  <c r="G66" i="23"/>
  <c r="H66" i="23"/>
  <c r="AK48" i="23"/>
  <c r="D66" i="23"/>
  <c r="F65" i="23"/>
  <c r="G65" i="23"/>
  <c r="H65" i="23"/>
  <c r="D65" i="23"/>
  <c r="F64" i="23"/>
  <c r="G64" i="23"/>
  <c r="H64" i="23"/>
  <c r="D64" i="23"/>
  <c r="F63" i="23"/>
  <c r="G63" i="23"/>
  <c r="H63" i="23"/>
  <c r="D63" i="23"/>
  <c r="E60" i="23"/>
  <c r="F60" i="23"/>
  <c r="E54" i="23"/>
  <c r="F54" i="23"/>
  <c r="E53" i="23"/>
  <c r="F53" i="23"/>
  <c r="AP48" i="23"/>
  <c r="AL48" i="23"/>
  <c r="AH48" i="23"/>
  <c r="AD48" i="23"/>
  <c r="Z48" i="23"/>
  <c r="V48" i="23"/>
  <c r="R48" i="23"/>
  <c r="N48" i="23"/>
  <c r="J48" i="23"/>
  <c r="F48" i="23"/>
  <c r="AP45" i="23"/>
  <c r="AP46" i="23"/>
  <c r="AP47" i="23"/>
  <c r="AO45" i="23"/>
  <c r="AO46" i="23"/>
  <c r="AO47" i="23"/>
  <c r="AN45" i="23"/>
  <c r="AN46" i="23"/>
  <c r="AN47" i="23"/>
  <c r="AM45" i="23"/>
  <c r="AM46" i="23"/>
  <c r="AM47" i="23"/>
  <c r="AL45" i="23"/>
  <c r="AL46" i="23"/>
  <c r="AL47" i="23"/>
  <c r="AK45" i="23"/>
  <c r="AK46" i="23"/>
  <c r="AK47" i="23"/>
  <c r="AK5" i="23"/>
  <c r="AJ45" i="23"/>
  <c r="AJ46" i="23"/>
  <c r="AJ47" i="23"/>
  <c r="AI45" i="23"/>
  <c r="AI46" i="23"/>
  <c r="AI47" i="23"/>
  <c r="AH45" i="23"/>
  <c r="AH46" i="23"/>
  <c r="AH47" i="23"/>
  <c r="AH5" i="23"/>
  <c r="AH21" i="23"/>
  <c r="AH22" i="23"/>
  <c r="AG45" i="23"/>
  <c r="AG46" i="23"/>
  <c r="AG47" i="23"/>
  <c r="AF45" i="23"/>
  <c r="AF46" i="23"/>
  <c r="AF47" i="23"/>
  <c r="AE45" i="23"/>
  <c r="AE46" i="23"/>
  <c r="AE47" i="23"/>
  <c r="AD45" i="23"/>
  <c r="AD46" i="23"/>
  <c r="AD47" i="23"/>
  <c r="AD5" i="23"/>
  <c r="AC45" i="23"/>
  <c r="AC46" i="23"/>
  <c r="AC47" i="23"/>
  <c r="AB45" i="23"/>
  <c r="AB46" i="23"/>
  <c r="AB47" i="23"/>
  <c r="AA45" i="23"/>
  <c r="AA46" i="23"/>
  <c r="AA47" i="23"/>
  <c r="Z45" i="23"/>
  <c r="Z46" i="23"/>
  <c r="Z47" i="23"/>
  <c r="Z5" i="23"/>
  <c r="Y45" i="23"/>
  <c r="Y46" i="23"/>
  <c r="Y47" i="23"/>
  <c r="X45" i="23"/>
  <c r="X46" i="23"/>
  <c r="X47" i="23"/>
  <c r="W45" i="23"/>
  <c r="W46" i="23"/>
  <c r="W47" i="23"/>
  <c r="V45" i="23"/>
  <c r="V46" i="23"/>
  <c r="V47" i="23"/>
  <c r="U45" i="23"/>
  <c r="U46" i="23"/>
  <c r="U47" i="23"/>
  <c r="T45" i="23"/>
  <c r="T46" i="23"/>
  <c r="T47" i="23"/>
  <c r="S45" i="23"/>
  <c r="S46" i="23"/>
  <c r="S47" i="23"/>
  <c r="R45" i="23"/>
  <c r="R46" i="23"/>
  <c r="R47" i="23"/>
  <c r="R5" i="23"/>
  <c r="R21" i="23"/>
  <c r="R22" i="23"/>
  <c r="Q45" i="23"/>
  <c r="Q46" i="23"/>
  <c r="Q47" i="23"/>
  <c r="P45" i="23"/>
  <c r="P46" i="23"/>
  <c r="P47" i="23"/>
  <c r="O45" i="23"/>
  <c r="O46" i="23"/>
  <c r="O47" i="23"/>
  <c r="N45" i="23"/>
  <c r="N46" i="23"/>
  <c r="N47" i="23"/>
  <c r="M45" i="23"/>
  <c r="M46" i="23"/>
  <c r="M47" i="23"/>
  <c r="L45" i="23"/>
  <c r="L46" i="23"/>
  <c r="L47" i="23"/>
  <c r="K45" i="23"/>
  <c r="K46" i="23"/>
  <c r="K47" i="23"/>
  <c r="J45" i="23"/>
  <c r="J46" i="23"/>
  <c r="J47" i="23"/>
  <c r="J5" i="23"/>
  <c r="I45" i="23"/>
  <c r="I46" i="23"/>
  <c r="I47" i="23"/>
  <c r="H45" i="23"/>
  <c r="H46" i="23"/>
  <c r="H47" i="23"/>
  <c r="G45" i="23"/>
  <c r="G46" i="23"/>
  <c r="G47" i="23"/>
  <c r="F45" i="23"/>
  <c r="F46" i="23"/>
  <c r="F47" i="23"/>
  <c r="F5" i="23"/>
  <c r="E45" i="23"/>
  <c r="E46" i="23"/>
  <c r="E47" i="23"/>
  <c r="AP31" i="23"/>
  <c r="AP21" i="23"/>
  <c r="AP22" i="23"/>
  <c r="AP32" i="23"/>
  <c r="AP33" i="23"/>
  <c r="AO31" i="23"/>
  <c r="AO4" i="23"/>
  <c r="AO6" i="23"/>
  <c r="AO7" i="23"/>
  <c r="AO8" i="23"/>
  <c r="AO9" i="23"/>
  <c r="AO12" i="23"/>
  <c r="AO15" i="23"/>
  <c r="AO16" i="23"/>
  <c r="AO17" i="23"/>
  <c r="AO18" i="23"/>
  <c r="AO19" i="23"/>
  <c r="AO20" i="23"/>
  <c r="AN31" i="23"/>
  <c r="AN6" i="23"/>
  <c r="AN7" i="23"/>
  <c r="AN8" i="23"/>
  <c r="AN9" i="23"/>
  <c r="AN10" i="23"/>
  <c r="AN12" i="23"/>
  <c r="AN14" i="23"/>
  <c r="AN16" i="23"/>
  <c r="AN17" i="23"/>
  <c r="AN18" i="23"/>
  <c r="AN19" i="23"/>
  <c r="AN20" i="23"/>
  <c r="AM31" i="23"/>
  <c r="AM6" i="23"/>
  <c r="AM7" i="23"/>
  <c r="AM8" i="23"/>
  <c r="AM9" i="23"/>
  <c r="AM10" i="23"/>
  <c r="AM12" i="23"/>
  <c r="AM14" i="23"/>
  <c r="AM16" i="23"/>
  <c r="AM17" i="23"/>
  <c r="AM18" i="23"/>
  <c r="AM19" i="23"/>
  <c r="AM20" i="23"/>
  <c r="AL31" i="23"/>
  <c r="AL5" i="23"/>
  <c r="AL6" i="23"/>
  <c r="AL7" i="23"/>
  <c r="AL8" i="23"/>
  <c r="AL9" i="23"/>
  <c r="AL10" i="23"/>
  <c r="AL12" i="23"/>
  <c r="AL14" i="23"/>
  <c r="AL16" i="23"/>
  <c r="AL17" i="23"/>
  <c r="AL18" i="23"/>
  <c r="AL19" i="23"/>
  <c r="AL20" i="23"/>
  <c r="AK31" i="23"/>
  <c r="AK6" i="23"/>
  <c r="AK7" i="23"/>
  <c r="AK8" i="23"/>
  <c r="AK9" i="23"/>
  <c r="AK10" i="23"/>
  <c r="AK12" i="23"/>
  <c r="AK14" i="23"/>
  <c r="AK16" i="23"/>
  <c r="AK17" i="23"/>
  <c r="AK18" i="23"/>
  <c r="AK19" i="23"/>
  <c r="AK20" i="23"/>
  <c r="AJ31" i="23"/>
  <c r="AJ6" i="23"/>
  <c r="AJ7" i="23"/>
  <c r="AJ8" i="23"/>
  <c r="AJ9" i="23"/>
  <c r="AJ10" i="23"/>
  <c r="AJ12" i="23"/>
  <c r="AJ14" i="23"/>
  <c r="AJ16" i="23"/>
  <c r="AJ17" i="23"/>
  <c r="AJ18" i="23"/>
  <c r="AJ19" i="23"/>
  <c r="AJ20" i="23"/>
  <c r="AI31" i="23"/>
  <c r="AI6" i="23"/>
  <c r="AI7" i="23"/>
  <c r="AI8" i="23"/>
  <c r="AI9" i="23"/>
  <c r="AI10" i="23"/>
  <c r="AI12" i="23"/>
  <c r="AI14" i="23"/>
  <c r="AI16" i="23"/>
  <c r="AI17" i="23"/>
  <c r="AI18" i="23"/>
  <c r="AI19" i="23"/>
  <c r="AI20" i="23"/>
  <c r="AH31" i="23"/>
  <c r="AH6" i="23"/>
  <c r="AH7" i="23"/>
  <c r="AH8" i="23"/>
  <c r="AH9" i="23"/>
  <c r="AH10" i="23"/>
  <c r="AH12" i="23"/>
  <c r="AH14" i="23"/>
  <c r="AH16" i="23"/>
  <c r="AH17" i="23"/>
  <c r="AH18" i="23"/>
  <c r="AH19" i="23"/>
  <c r="AH20" i="23"/>
  <c r="AH32" i="23"/>
  <c r="AH33" i="23"/>
  <c r="AG31" i="23"/>
  <c r="AG6" i="23"/>
  <c r="AG7" i="23"/>
  <c r="AG8" i="23"/>
  <c r="AG9" i="23"/>
  <c r="AG10" i="23"/>
  <c r="AG12" i="23"/>
  <c r="AG14" i="23"/>
  <c r="AG16" i="23"/>
  <c r="AG17" i="23"/>
  <c r="AG18" i="23"/>
  <c r="AG19" i="23"/>
  <c r="AG20" i="23"/>
  <c r="AF31" i="23"/>
  <c r="AF6" i="23"/>
  <c r="AF7" i="23"/>
  <c r="AF8" i="23"/>
  <c r="AF9" i="23"/>
  <c r="AF10" i="23"/>
  <c r="AF12" i="23"/>
  <c r="AF13" i="23"/>
  <c r="AF14" i="23"/>
  <c r="AF16" i="23"/>
  <c r="AF17" i="23"/>
  <c r="AF18" i="23"/>
  <c r="AF19" i="23"/>
  <c r="AF20" i="23"/>
  <c r="AE31" i="23"/>
  <c r="AE6" i="23"/>
  <c r="AE7" i="23"/>
  <c r="AE8" i="23"/>
  <c r="AE9" i="23"/>
  <c r="AE10" i="23"/>
  <c r="AE12" i="23"/>
  <c r="AE13" i="23"/>
  <c r="AE14" i="23"/>
  <c r="AE16" i="23"/>
  <c r="AE17" i="23"/>
  <c r="AE18" i="23"/>
  <c r="AE19" i="23"/>
  <c r="AE20" i="23"/>
  <c r="AD31" i="23"/>
  <c r="AD6" i="23"/>
  <c r="AD7" i="23"/>
  <c r="AD8" i="23"/>
  <c r="AD9" i="23"/>
  <c r="AD10" i="23"/>
  <c r="AD12" i="23"/>
  <c r="AD13" i="23"/>
  <c r="AD14" i="23"/>
  <c r="AD16" i="23"/>
  <c r="AD17" i="23"/>
  <c r="AD18" i="23"/>
  <c r="AD19" i="23"/>
  <c r="AD20" i="23"/>
  <c r="AC31" i="23"/>
  <c r="AC6" i="23"/>
  <c r="AC7" i="23"/>
  <c r="AC8" i="23"/>
  <c r="AC9" i="23"/>
  <c r="AC10" i="23"/>
  <c r="AC12" i="23"/>
  <c r="AC13" i="23"/>
  <c r="AC14" i="23"/>
  <c r="AC16" i="23"/>
  <c r="AC17" i="23"/>
  <c r="AC18" i="23"/>
  <c r="AC19" i="23"/>
  <c r="AC20" i="23"/>
  <c r="AB31" i="23"/>
  <c r="AB6" i="23"/>
  <c r="AB7" i="23"/>
  <c r="AB8" i="23"/>
  <c r="AB9" i="23"/>
  <c r="AB10" i="23"/>
  <c r="AB12" i="23"/>
  <c r="AB13" i="23"/>
  <c r="AB14" i="23"/>
  <c r="AB16" i="23"/>
  <c r="AB17" i="23"/>
  <c r="AB18" i="23"/>
  <c r="AB19" i="23"/>
  <c r="AB20" i="23"/>
  <c r="AA31" i="23"/>
  <c r="AA7" i="23"/>
  <c r="AA8" i="23"/>
  <c r="AA9" i="23"/>
  <c r="AA10" i="23"/>
  <c r="AA12" i="23"/>
  <c r="AA13" i="23"/>
  <c r="AA14" i="23"/>
  <c r="AA16" i="23"/>
  <c r="AA17" i="23"/>
  <c r="AA18" i="23"/>
  <c r="AA19" i="23"/>
  <c r="AA20" i="23"/>
  <c r="Z31" i="23"/>
  <c r="Z7" i="23"/>
  <c r="Z8" i="23"/>
  <c r="Z9" i="23"/>
  <c r="Z10" i="23"/>
  <c r="Z12" i="23"/>
  <c r="Z13" i="23"/>
  <c r="Z14" i="23"/>
  <c r="Z16" i="23"/>
  <c r="Z17" i="23"/>
  <c r="Z18" i="23"/>
  <c r="Z19" i="23"/>
  <c r="Z20" i="23"/>
  <c r="Y31" i="23"/>
  <c r="Y4" i="23"/>
  <c r="Y7" i="23"/>
  <c r="Y8" i="23"/>
  <c r="Y9" i="23"/>
  <c r="Y10" i="23"/>
  <c r="Y12" i="23"/>
  <c r="Y13" i="23"/>
  <c r="Y14" i="23"/>
  <c r="Y16" i="23"/>
  <c r="Y17" i="23"/>
  <c r="Y18" i="23"/>
  <c r="Y19" i="23"/>
  <c r="Y20" i="23"/>
  <c r="X31" i="23"/>
  <c r="X4" i="23"/>
  <c r="X7" i="23"/>
  <c r="X8" i="23"/>
  <c r="X9" i="23"/>
  <c r="X10" i="23"/>
  <c r="X12" i="23"/>
  <c r="X13" i="23"/>
  <c r="X14" i="23"/>
  <c r="X16" i="23"/>
  <c r="X17" i="23"/>
  <c r="X18" i="23"/>
  <c r="X19" i="23"/>
  <c r="X20" i="23"/>
  <c r="W31" i="23"/>
  <c r="W4" i="23"/>
  <c r="W7" i="23"/>
  <c r="W8" i="23"/>
  <c r="W9" i="23"/>
  <c r="W10" i="23"/>
  <c r="W12" i="23"/>
  <c r="W13" i="23"/>
  <c r="W14" i="23"/>
  <c r="W16" i="23"/>
  <c r="W17" i="23"/>
  <c r="W18" i="23"/>
  <c r="W19" i="23"/>
  <c r="W20" i="23"/>
  <c r="V31" i="23"/>
  <c r="V4" i="23"/>
  <c r="V21" i="23"/>
  <c r="V22" i="23"/>
  <c r="V32" i="23"/>
  <c r="V33" i="23"/>
  <c r="V5" i="23"/>
  <c r="V8" i="23"/>
  <c r="V9" i="23"/>
  <c r="V10" i="23"/>
  <c r="V12" i="23"/>
  <c r="V13" i="23"/>
  <c r="V14" i="23"/>
  <c r="V16" i="23"/>
  <c r="V17" i="23"/>
  <c r="V18" i="23"/>
  <c r="V19" i="23"/>
  <c r="V20" i="23"/>
  <c r="U31" i="23"/>
  <c r="U4" i="23"/>
  <c r="U7" i="23"/>
  <c r="U8" i="23"/>
  <c r="U9" i="23"/>
  <c r="U10" i="23"/>
  <c r="U12" i="23"/>
  <c r="U13" i="23"/>
  <c r="U14" i="23"/>
  <c r="U16" i="23"/>
  <c r="U17" i="23"/>
  <c r="U18" i="23"/>
  <c r="U19" i="23"/>
  <c r="U20" i="23"/>
  <c r="T31" i="23"/>
  <c r="T4" i="23"/>
  <c r="T7" i="23"/>
  <c r="T8" i="23"/>
  <c r="T9" i="23"/>
  <c r="T10" i="23"/>
  <c r="T12" i="23"/>
  <c r="T13" i="23"/>
  <c r="T14" i="23"/>
  <c r="T16" i="23"/>
  <c r="T17" i="23"/>
  <c r="T18" i="23"/>
  <c r="T19" i="23"/>
  <c r="T20" i="23"/>
  <c r="S31" i="23"/>
  <c r="S4" i="23"/>
  <c r="S7" i="23"/>
  <c r="S8" i="23"/>
  <c r="S9" i="23"/>
  <c r="S10" i="23"/>
  <c r="S12" i="23"/>
  <c r="S13" i="23"/>
  <c r="S14" i="23"/>
  <c r="S16" i="23"/>
  <c r="S17" i="23"/>
  <c r="S18" i="23"/>
  <c r="S19" i="23"/>
  <c r="S20" i="23"/>
  <c r="R31" i="23"/>
  <c r="R4" i="23"/>
  <c r="R7" i="23"/>
  <c r="R8" i="23"/>
  <c r="R9" i="23"/>
  <c r="R10" i="23"/>
  <c r="R12" i="23"/>
  <c r="R13" i="23"/>
  <c r="R14" i="23"/>
  <c r="R16" i="23"/>
  <c r="R17" i="23"/>
  <c r="R18" i="23"/>
  <c r="R19" i="23"/>
  <c r="R20" i="23"/>
  <c r="Q31" i="23"/>
  <c r="Q4" i="23"/>
  <c r="Q7" i="23"/>
  <c r="Q8" i="23"/>
  <c r="Q9" i="23"/>
  <c r="Q10" i="23"/>
  <c r="Q12" i="23"/>
  <c r="Q13" i="23"/>
  <c r="Q14" i="23"/>
  <c r="Q16" i="23"/>
  <c r="Q17" i="23"/>
  <c r="Q18" i="23"/>
  <c r="Q19" i="23"/>
  <c r="Q20" i="23"/>
  <c r="P31" i="23"/>
  <c r="P4" i="23"/>
  <c r="P7" i="23"/>
  <c r="P8" i="23"/>
  <c r="P9" i="23"/>
  <c r="P10" i="23"/>
  <c r="P12" i="23"/>
  <c r="P13" i="23"/>
  <c r="P14" i="23"/>
  <c r="P16" i="23"/>
  <c r="P17" i="23"/>
  <c r="P18" i="23"/>
  <c r="P19" i="23"/>
  <c r="P20" i="23"/>
  <c r="O31" i="23"/>
  <c r="O4" i="23"/>
  <c r="O7" i="23"/>
  <c r="O8" i="23"/>
  <c r="O9" i="23"/>
  <c r="O10" i="23"/>
  <c r="O12" i="23"/>
  <c r="O13" i="23"/>
  <c r="O14" i="23"/>
  <c r="O16" i="23"/>
  <c r="O17" i="23"/>
  <c r="O18" i="23"/>
  <c r="O19" i="23"/>
  <c r="O20" i="23"/>
  <c r="N31" i="23"/>
  <c r="N4" i="23"/>
  <c r="N5" i="23"/>
  <c r="N21" i="23"/>
  <c r="N22" i="23"/>
  <c r="N7" i="23"/>
  <c r="N8" i="23"/>
  <c r="N9" i="23"/>
  <c r="N10" i="23"/>
  <c r="N12" i="23"/>
  <c r="N13" i="23"/>
  <c r="N14" i="23"/>
  <c r="N16" i="23"/>
  <c r="N17" i="23"/>
  <c r="N18" i="23"/>
  <c r="N19" i="23"/>
  <c r="N20" i="23"/>
  <c r="M31" i="23"/>
  <c r="M4" i="23"/>
  <c r="M7" i="23"/>
  <c r="M8" i="23"/>
  <c r="M9" i="23"/>
  <c r="M10" i="23"/>
  <c r="M12" i="23"/>
  <c r="M13" i="23"/>
  <c r="M14" i="23"/>
  <c r="M16" i="23"/>
  <c r="M17" i="23"/>
  <c r="M18" i="23"/>
  <c r="M19" i="23"/>
  <c r="M20" i="23"/>
  <c r="L31" i="23"/>
  <c r="L4" i="23"/>
  <c r="L6" i="23"/>
  <c r="L7" i="23"/>
  <c r="L8" i="23"/>
  <c r="L9" i="23"/>
  <c r="L10" i="23"/>
  <c r="L12" i="23"/>
  <c r="L13" i="23"/>
  <c r="L14" i="23"/>
  <c r="L16" i="23"/>
  <c r="L17" i="23"/>
  <c r="L18" i="23"/>
  <c r="L19" i="23"/>
  <c r="L20" i="23"/>
  <c r="K31" i="23"/>
  <c r="K4" i="23"/>
  <c r="K6" i="23"/>
  <c r="K7" i="23"/>
  <c r="K8" i="23"/>
  <c r="K9" i="23"/>
  <c r="K10" i="23"/>
  <c r="K12" i="23"/>
  <c r="K13" i="23"/>
  <c r="K14" i="23"/>
  <c r="K16" i="23"/>
  <c r="K17" i="23"/>
  <c r="K18" i="23"/>
  <c r="K19" i="23"/>
  <c r="K20" i="23"/>
  <c r="J31" i="23"/>
  <c r="J4" i="23"/>
  <c r="J6" i="23"/>
  <c r="J7" i="23"/>
  <c r="J8" i="23"/>
  <c r="J9" i="23"/>
  <c r="J10" i="23"/>
  <c r="J12" i="23"/>
  <c r="J13" i="23"/>
  <c r="J14" i="23"/>
  <c r="J16" i="23"/>
  <c r="J17" i="23"/>
  <c r="J18" i="23"/>
  <c r="J19" i="23"/>
  <c r="J20" i="23"/>
  <c r="I31" i="23"/>
  <c r="I4" i="23"/>
  <c r="I6" i="23"/>
  <c r="I7" i="23"/>
  <c r="I8" i="23"/>
  <c r="I9" i="23"/>
  <c r="I10" i="23"/>
  <c r="I12" i="23"/>
  <c r="I13" i="23"/>
  <c r="I14" i="23"/>
  <c r="I16" i="23"/>
  <c r="I17" i="23"/>
  <c r="I18" i="23"/>
  <c r="I19" i="23"/>
  <c r="I20" i="23"/>
  <c r="H31" i="23"/>
  <c r="H4" i="23"/>
  <c r="H6" i="23"/>
  <c r="H7" i="23"/>
  <c r="H8" i="23"/>
  <c r="H9" i="23"/>
  <c r="H10" i="23"/>
  <c r="H12" i="23"/>
  <c r="H13" i="23"/>
  <c r="H14" i="23"/>
  <c r="H16" i="23"/>
  <c r="H17" i="23"/>
  <c r="H18" i="23"/>
  <c r="H19" i="23"/>
  <c r="H20" i="23"/>
  <c r="G31" i="23"/>
  <c r="G4" i="23"/>
  <c r="G6" i="23"/>
  <c r="G7" i="23"/>
  <c r="G8" i="23"/>
  <c r="G9" i="23"/>
  <c r="G10" i="23"/>
  <c r="G12" i="23"/>
  <c r="G13" i="23"/>
  <c r="G14" i="23"/>
  <c r="G16" i="23"/>
  <c r="G17" i="23"/>
  <c r="G18" i="23"/>
  <c r="G19" i="23"/>
  <c r="G20" i="23"/>
  <c r="F31" i="23"/>
  <c r="F4" i="23"/>
  <c r="F21" i="23"/>
  <c r="F22" i="23"/>
  <c r="F6" i="23"/>
  <c r="F7" i="23"/>
  <c r="F8" i="23"/>
  <c r="F9" i="23"/>
  <c r="F10" i="23"/>
  <c r="F12" i="23"/>
  <c r="F13" i="23"/>
  <c r="F14" i="23"/>
  <c r="F16" i="23"/>
  <c r="F17" i="23"/>
  <c r="F18" i="23"/>
  <c r="F19" i="23"/>
  <c r="F20" i="23"/>
  <c r="E4" i="23"/>
  <c r="E6" i="23"/>
  <c r="E7" i="23"/>
  <c r="E8" i="23"/>
  <c r="E9" i="23"/>
  <c r="E10" i="23"/>
  <c r="E12" i="23"/>
  <c r="E13" i="23"/>
  <c r="E16" i="23"/>
  <c r="E19" i="23"/>
  <c r="E20" i="23"/>
  <c r="AP26" i="23"/>
  <c r="AP27" i="23"/>
  <c r="AP28" i="23"/>
  <c r="AO26" i="23"/>
  <c r="AN26" i="23"/>
  <c r="AM26" i="23"/>
  <c r="AL26" i="23"/>
  <c r="AK26" i="23"/>
  <c r="AJ26" i="23"/>
  <c r="AI26" i="23"/>
  <c r="AH26" i="23"/>
  <c r="AG26" i="23"/>
  <c r="AF26" i="23"/>
  <c r="AE26" i="23"/>
  <c r="AD26" i="23"/>
  <c r="AC26" i="23"/>
  <c r="AB26" i="23"/>
  <c r="AA26" i="23"/>
  <c r="Z26" i="23"/>
  <c r="Y26" i="23"/>
  <c r="X26" i="23"/>
  <c r="W26" i="23"/>
  <c r="V26" i="23"/>
  <c r="U26" i="23"/>
  <c r="T26" i="23"/>
  <c r="S26" i="23"/>
  <c r="R26" i="23"/>
  <c r="Q26" i="23"/>
  <c r="P26" i="23"/>
  <c r="O26" i="23"/>
  <c r="N26" i="23"/>
  <c r="M26" i="23"/>
  <c r="L26" i="23"/>
  <c r="K26" i="23"/>
  <c r="J26" i="23"/>
  <c r="I26" i="23"/>
  <c r="H26" i="23"/>
  <c r="G26" i="23"/>
  <c r="F26" i="23"/>
  <c r="F12" i="12"/>
  <c r="H12" i="12"/>
  <c r="F48" i="3"/>
  <c r="B4" i="5"/>
  <c r="S36" i="4"/>
  <c r="P9" i="3"/>
  <c r="P13" i="3"/>
  <c r="O14" i="3"/>
  <c r="K27" i="3"/>
  <c r="O27" i="3"/>
  <c r="Q27" i="3"/>
  <c r="O28" i="3"/>
  <c r="P14" i="3"/>
  <c r="P16" i="3"/>
  <c r="P18" i="3"/>
  <c r="P19" i="3"/>
  <c r="P20" i="3"/>
  <c r="P22" i="3"/>
  <c r="P23" i="3"/>
  <c r="P28" i="3"/>
  <c r="Q28" i="3"/>
  <c r="P31" i="3"/>
  <c r="N41" i="3"/>
  <c r="AC5" i="23"/>
  <c r="AC21" i="23"/>
  <c r="AC22" i="23"/>
  <c r="AC32" i="23"/>
  <c r="AC33" i="23"/>
  <c r="O5" i="23"/>
  <c r="O21" i="23"/>
  <c r="O22" i="23"/>
  <c r="AD21" i="23"/>
  <c r="AD22" i="23"/>
  <c r="AD32" i="23"/>
  <c r="AD33" i="23"/>
  <c r="E5" i="23"/>
  <c r="M5" i="23"/>
  <c r="M21" i="23"/>
  <c r="M22" i="23"/>
  <c r="M27" i="23"/>
  <c r="M28" i="23"/>
  <c r="AN5" i="23"/>
  <c r="AN21" i="23"/>
  <c r="AN22" i="23"/>
  <c r="AN32" i="23"/>
  <c r="AN33" i="23"/>
  <c r="N32" i="23"/>
  <c r="N33" i="23"/>
  <c r="Z21" i="23"/>
  <c r="Z22" i="23"/>
  <c r="Z27" i="23"/>
  <c r="Z28" i="23"/>
  <c r="J21" i="23"/>
  <c r="J22" i="23"/>
  <c r="J32" i="23"/>
  <c r="J33" i="23"/>
  <c r="U32" i="23"/>
  <c r="U33" i="23"/>
  <c r="AL21" i="23"/>
  <c r="AL22" i="23"/>
  <c r="U5" i="23"/>
  <c r="U21" i="23"/>
  <c r="U22" i="23"/>
  <c r="U27" i="23"/>
  <c r="U28" i="23"/>
  <c r="AK21" i="23"/>
  <c r="AK22" i="23"/>
  <c r="AK32" i="23"/>
  <c r="AK33" i="23"/>
  <c r="AO27" i="23"/>
  <c r="AO28" i="23"/>
  <c r="Z32" i="23"/>
  <c r="Z33" i="23"/>
  <c r="F27" i="23"/>
  <c r="F28" i="23"/>
  <c r="J27" i="23"/>
  <c r="J28" i="23"/>
  <c r="N27" i="23"/>
  <c r="N28" i="23"/>
  <c r="R27" i="23"/>
  <c r="R28" i="23"/>
  <c r="V27" i="23"/>
  <c r="V28" i="23"/>
  <c r="AD27" i="23"/>
  <c r="AD28" i="23"/>
  <c r="AH27" i="23"/>
  <c r="AH28" i="23"/>
  <c r="AL27" i="23"/>
  <c r="AL28" i="23"/>
  <c r="F32" i="23"/>
  <c r="F33" i="23"/>
  <c r="AL32" i="23"/>
  <c r="AL33" i="23"/>
  <c r="R32" i="23"/>
  <c r="R33" i="23"/>
  <c r="T5" i="23"/>
  <c r="T21" i="23"/>
  <c r="T22" i="23"/>
  <c r="AJ5" i="23"/>
  <c r="AJ21" i="23"/>
  <c r="AJ22" i="23"/>
  <c r="AJ32" i="23"/>
  <c r="AJ33" i="23"/>
  <c r="N17" i="25"/>
  <c r="J20" i="25"/>
  <c r="J21" i="25"/>
  <c r="J31" i="25"/>
  <c r="N30" i="25"/>
  <c r="G48" i="23"/>
  <c r="G5" i="23"/>
  <c r="G21" i="23"/>
  <c r="G22" i="23"/>
  <c r="K48" i="23"/>
  <c r="K5" i="23"/>
  <c r="K21" i="23"/>
  <c r="K22" i="23"/>
  <c r="O48" i="23"/>
  <c r="S48" i="23"/>
  <c r="S5" i="23"/>
  <c r="S21" i="23"/>
  <c r="S22" i="23"/>
  <c r="W48" i="23"/>
  <c r="W5" i="23"/>
  <c r="W21" i="23"/>
  <c r="W22" i="23"/>
  <c r="AA48" i="23"/>
  <c r="AA5" i="23"/>
  <c r="AA21" i="23"/>
  <c r="AA22" i="23"/>
  <c r="AE48" i="23"/>
  <c r="AE5" i="23"/>
  <c r="AE21" i="23"/>
  <c r="AE22" i="23"/>
  <c r="AI48" i="23"/>
  <c r="AI5" i="23"/>
  <c r="AI21" i="23"/>
  <c r="AI22" i="23"/>
  <c r="AM48" i="23"/>
  <c r="AM5" i="23"/>
  <c r="AM21" i="23"/>
  <c r="AM22" i="23"/>
  <c r="B16" i="24"/>
  <c r="B29" i="24"/>
  <c r="B51" i="24"/>
  <c r="N9" i="25"/>
  <c r="I20" i="25"/>
  <c r="I21" i="25"/>
  <c r="I31" i="25"/>
  <c r="E20" i="25"/>
  <c r="H48" i="23"/>
  <c r="H5" i="23"/>
  <c r="H21" i="23"/>
  <c r="H22" i="23"/>
  <c r="L48" i="23"/>
  <c r="L5" i="23"/>
  <c r="L21" i="23"/>
  <c r="L22" i="23"/>
  <c r="P48" i="23"/>
  <c r="P5" i="23"/>
  <c r="P21" i="23"/>
  <c r="P22" i="23"/>
  <c r="T48" i="23"/>
  <c r="X48" i="23"/>
  <c r="X5" i="23"/>
  <c r="X21" i="23"/>
  <c r="X22" i="23"/>
  <c r="AB48" i="23"/>
  <c r="AB5" i="23"/>
  <c r="AB21" i="23"/>
  <c r="AB22" i="23"/>
  <c r="AF48" i="23"/>
  <c r="AF5" i="23"/>
  <c r="AF21" i="23"/>
  <c r="AF22" i="23"/>
  <c r="AF32" i="23"/>
  <c r="AF33" i="23"/>
  <c r="AJ48" i="23"/>
  <c r="AN48" i="23"/>
  <c r="E27" i="25"/>
  <c r="N19" i="25"/>
  <c r="P24" i="25"/>
  <c r="E48" i="23"/>
  <c r="I48" i="23"/>
  <c r="I5" i="23"/>
  <c r="I21" i="23"/>
  <c r="I22" i="23"/>
  <c r="M48" i="23"/>
  <c r="Q48" i="23"/>
  <c r="Q5" i="23"/>
  <c r="Q21" i="23"/>
  <c r="Q22" i="23"/>
  <c r="U48" i="23"/>
  <c r="Y48" i="23"/>
  <c r="Y5" i="23"/>
  <c r="Y21" i="23"/>
  <c r="Y22" i="23"/>
  <c r="Y32" i="23"/>
  <c r="Y33" i="23"/>
  <c r="AC48" i="23"/>
  <c r="AG48" i="23"/>
  <c r="AG5" i="23"/>
  <c r="AG21" i="23"/>
  <c r="AG22" i="23"/>
  <c r="B103" i="24"/>
  <c r="G21" i="25"/>
  <c r="G31" i="25"/>
  <c r="F20" i="25"/>
  <c r="F21" i="25"/>
  <c r="F31" i="25"/>
  <c r="B20" i="25"/>
  <c r="B111" i="24"/>
  <c r="B112" i="24"/>
  <c r="K21" i="25"/>
  <c r="K31" i="25"/>
  <c r="E21" i="25"/>
  <c r="E31" i="25"/>
  <c r="D27" i="25"/>
  <c r="N27" i="25"/>
  <c r="N24" i="25"/>
  <c r="D20" i="25"/>
  <c r="D21" i="25"/>
  <c r="L20" i="25"/>
  <c r="L21" i="25"/>
  <c r="L31" i="25"/>
  <c r="N15" i="25"/>
  <c r="N7" i="25"/>
  <c r="Q14" i="3"/>
  <c r="Q9" i="3"/>
  <c r="Q27" i="23"/>
  <c r="Q28" i="23"/>
  <c r="Q32" i="23"/>
  <c r="Q33" i="23"/>
  <c r="AM27" i="23"/>
  <c r="AM28" i="23"/>
  <c r="AM32" i="23"/>
  <c r="AM33" i="23"/>
  <c r="G27" i="23"/>
  <c r="G28" i="23"/>
  <c r="G32" i="23"/>
  <c r="G33" i="23"/>
  <c r="P32" i="23"/>
  <c r="P33" i="23"/>
  <c r="P27" i="23"/>
  <c r="P28" i="23"/>
  <c r="AI32" i="23"/>
  <c r="AI33" i="23"/>
  <c r="AI27" i="23"/>
  <c r="AI28" i="23"/>
  <c r="S32" i="23"/>
  <c r="S33" i="23"/>
  <c r="S27" i="23"/>
  <c r="S28" i="23"/>
  <c r="I32" i="23"/>
  <c r="I33" i="23"/>
  <c r="I27" i="23"/>
  <c r="I28" i="23"/>
  <c r="AB32" i="23"/>
  <c r="AB33" i="23"/>
  <c r="AB27" i="23"/>
  <c r="AB28" i="23"/>
  <c r="L32" i="23"/>
  <c r="L33" i="23"/>
  <c r="L27" i="23"/>
  <c r="L28" i="23"/>
  <c r="AE32" i="23"/>
  <c r="AE33" i="23"/>
  <c r="AE27" i="23"/>
  <c r="AE28" i="23"/>
  <c r="T32" i="23"/>
  <c r="T33" i="23"/>
  <c r="T27" i="23"/>
  <c r="T28" i="23"/>
  <c r="AG32" i="23"/>
  <c r="AG33" i="23"/>
  <c r="AG27" i="23"/>
  <c r="AG28" i="23"/>
  <c r="W32" i="23"/>
  <c r="W33" i="23"/>
  <c r="W27" i="23"/>
  <c r="W28" i="23"/>
  <c r="X32" i="23"/>
  <c r="X33" i="23"/>
  <c r="X27" i="23"/>
  <c r="X28" i="23"/>
  <c r="H32" i="23"/>
  <c r="H33" i="23"/>
  <c r="H27" i="23"/>
  <c r="H28" i="23"/>
  <c r="K27" i="23"/>
  <c r="K28" i="23"/>
  <c r="K32" i="23"/>
  <c r="K33" i="23"/>
  <c r="O32" i="23"/>
  <c r="O33" i="23"/>
  <c r="O27" i="23"/>
  <c r="O28" i="23"/>
  <c r="AA32" i="23"/>
  <c r="AA33" i="23"/>
  <c r="AA27" i="23"/>
  <c r="AA28" i="23"/>
  <c r="B104" i="24"/>
  <c r="B113" i="24"/>
  <c r="B115" i="24"/>
  <c r="AK27" i="23"/>
  <c r="AK28" i="23"/>
  <c r="M32" i="23"/>
  <c r="M33" i="23"/>
  <c r="AN27" i="23"/>
  <c r="AN28" i="23"/>
  <c r="AC27" i="23"/>
  <c r="AC28" i="23"/>
  <c r="AJ27" i="23"/>
  <c r="AJ28" i="23"/>
  <c r="N20" i="25"/>
  <c r="B21" i="25"/>
  <c r="D31" i="25"/>
  <c r="Y27" i="23"/>
  <c r="Y28" i="23"/>
  <c r="AF27" i="23"/>
  <c r="AF28" i="23"/>
  <c r="N21" i="25"/>
  <c r="B31" i="25"/>
  <c r="N31" i="25"/>
  <c r="E18" i="23"/>
  <c r="E17" i="23"/>
  <c r="E21" i="23"/>
  <c r="E22" i="23"/>
  <c r="D9" i="26"/>
  <c r="E32" i="23"/>
  <c r="E33" i="23"/>
  <c r="E27" i="23"/>
  <c r="E28" i="23"/>
  <c r="F9" i="26"/>
  <c r="N9" i="26"/>
  <c r="G9" i="26"/>
  <c r="F22" i="6"/>
  <c r="V34" i="4"/>
  <c r="S34" i="4"/>
  <c r="F32" i="22"/>
  <c r="J32" i="22" s="1"/>
  <c r="H7" i="3"/>
  <c r="O39" i="3"/>
  <c r="Q39" i="3"/>
  <c r="M39" i="3"/>
  <c r="I31" i="3"/>
  <c r="H38" i="3"/>
  <c r="P38" i="3"/>
  <c r="H36" i="3"/>
  <c r="L36" i="3"/>
  <c r="P36" i="3"/>
  <c r="L30" i="3"/>
  <c r="M30" i="3"/>
  <c r="I30" i="3"/>
  <c r="I16" i="3"/>
  <c r="L16" i="3"/>
  <c r="I35" i="3"/>
  <c r="L35" i="3"/>
  <c r="M35" i="3"/>
  <c r="I20" i="3"/>
  <c r="L20" i="3"/>
  <c r="M20" i="3"/>
  <c r="I37" i="3"/>
  <c r="L37" i="3"/>
  <c r="O37" i="3"/>
  <c r="Q37" i="3"/>
  <c r="I11" i="3"/>
  <c r="L11" i="3"/>
  <c r="I24" i="3"/>
  <c r="L24" i="3"/>
  <c r="O24" i="3"/>
  <c r="Q24" i="3"/>
  <c r="I14" i="3"/>
  <c r="L14" i="3"/>
  <c r="M14" i="3"/>
  <c r="I28" i="3"/>
  <c r="L28" i="3"/>
  <c r="M28" i="3"/>
  <c r="I19" i="3"/>
  <c r="L19" i="3"/>
  <c r="I33" i="3"/>
  <c r="L33" i="3"/>
  <c r="M13" i="3"/>
  <c r="O13" i="3"/>
  <c r="Q13" i="3"/>
  <c r="P10" i="3"/>
  <c r="AB16" i="38"/>
  <c r="G10" i="3"/>
  <c r="H10" i="3"/>
  <c r="G34" i="3"/>
  <c r="H34" i="3"/>
  <c r="G29" i="3"/>
  <c r="G25" i="3"/>
  <c r="H25" i="3"/>
  <c r="G21" i="3"/>
  <c r="H21" i="3"/>
  <c r="G17" i="3"/>
  <c r="H17" i="3"/>
  <c r="G12" i="3"/>
  <c r="H12" i="3"/>
  <c r="L12" i="3"/>
  <c r="O12" i="3"/>
  <c r="P7" i="3"/>
  <c r="H31" i="3"/>
  <c r="L31" i="3"/>
  <c r="O31" i="3"/>
  <c r="Q31" i="3"/>
  <c r="H26" i="3"/>
  <c r="L26" i="3"/>
  <c r="H15" i="3"/>
  <c r="L15" i="3"/>
  <c r="P25" i="3"/>
  <c r="M24" i="3"/>
  <c r="K17" i="3"/>
  <c r="L8" i="3"/>
  <c r="I23" i="3"/>
  <c r="I18" i="3"/>
  <c r="I13" i="3"/>
  <c r="O22" i="3"/>
  <c r="Q22" i="3"/>
  <c r="O29" i="3"/>
  <c r="Q32" i="3"/>
  <c r="P11" i="3"/>
  <c r="H7" i="22"/>
  <c r="H6" i="22" s="1"/>
  <c r="I39" i="3"/>
  <c r="I27" i="3"/>
  <c r="I22" i="3"/>
  <c r="K34" i="3"/>
  <c r="E41" i="3"/>
  <c r="O36" i="3"/>
  <c r="Q36" i="3"/>
  <c r="M36" i="3"/>
  <c r="M31" i="3"/>
  <c r="M37" i="3"/>
  <c r="I36" i="3"/>
  <c r="O23" i="3"/>
  <c r="Q23" i="3"/>
  <c r="L9" i="3"/>
  <c r="I9" i="3"/>
  <c r="AH90" i="38"/>
  <c r="AG90" i="38"/>
  <c r="AK90" i="38"/>
  <c r="D31" i="30"/>
  <c r="B31" i="30"/>
  <c r="K7" i="30"/>
  <c r="M7" i="30"/>
  <c r="M9" i="30"/>
  <c r="M11" i="30"/>
  <c r="AM95" i="38"/>
  <c r="H9" i="30"/>
  <c r="H11" i="30"/>
  <c r="AH95" i="38"/>
  <c r="C7" i="30"/>
  <c r="N9" i="30"/>
  <c r="N11" i="30"/>
  <c r="AN95" i="38"/>
  <c r="I9" i="30"/>
  <c r="I11" i="30"/>
  <c r="AI95" i="38"/>
  <c r="D7" i="30"/>
  <c r="J9" i="30"/>
  <c r="J11" i="30"/>
  <c r="AJ95" i="38"/>
  <c r="H7" i="30"/>
  <c r="F9" i="30"/>
  <c r="F11" i="30"/>
  <c r="AF95" i="38"/>
  <c r="E7" i="30"/>
  <c r="N7" i="30"/>
  <c r="K9" i="30"/>
  <c r="K11" i="30"/>
  <c r="AK95" i="38"/>
  <c r="E29" i="30"/>
  <c r="E40" i="30"/>
  <c r="D29" i="30"/>
  <c r="D40" i="30"/>
  <c r="B29" i="30"/>
  <c r="C40" i="30"/>
  <c r="C39" i="30"/>
  <c r="AA65" i="38"/>
  <c r="AN65" i="38" s="1"/>
  <c r="N23" i="30"/>
  <c r="C4" i="30"/>
  <c r="C9" i="30"/>
  <c r="D22" i="30"/>
  <c r="C25" i="30"/>
  <c r="N25" i="30"/>
  <c r="E6" i="30"/>
  <c r="E9" i="30"/>
  <c r="AC64" i="38"/>
  <c r="D6" i="30"/>
  <c r="D9" i="30"/>
  <c r="B30" i="30"/>
  <c r="I17" i="3"/>
  <c r="L17" i="3"/>
  <c r="P21" i="3"/>
  <c r="M19" i="3"/>
  <c r="O19" i="3"/>
  <c r="Q19" i="3"/>
  <c r="I26" i="3"/>
  <c r="M16" i="3"/>
  <c r="O16" i="3"/>
  <c r="Q16" i="3"/>
  <c r="M12" i="3"/>
  <c r="I25" i="3"/>
  <c r="L25" i="3"/>
  <c r="I38" i="3"/>
  <c r="L38" i="3"/>
  <c r="M15" i="3"/>
  <c r="O15" i="3"/>
  <c r="Q15" i="3"/>
  <c r="P29" i="3"/>
  <c r="H29" i="3"/>
  <c r="O11" i="3"/>
  <c r="Q11" i="3"/>
  <c r="M11" i="3"/>
  <c r="O30" i="3"/>
  <c r="Q30" i="3"/>
  <c r="M8" i="3"/>
  <c r="O8" i="3"/>
  <c r="Q8" i="3"/>
  <c r="M26" i="3"/>
  <c r="O26" i="3"/>
  <c r="Q26" i="3"/>
  <c r="I34" i="3"/>
  <c r="L34" i="3"/>
  <c r="M34" i="3"/>
  <c r="P34" i="3"/>
  <c r="M17" i="3"/>
  <c r="O17" i="3"/>
  <c r="G41" i="3"/>
  <c r="I12" i="3"/>
  <c r="Q29" i="3"/>
  <c r="I10" i="3"/>
  <c r="L10" i="3"/>
  <c r="I15" i="3"/>
  <c r="H41" i="3"/>
  <c r="I21" i="3"/>
  <c r="L21" i="3"/>
  <c r="P17" i="3"/>
  <c r="G7" i="22"/>
  <c r="G6" i="22" s="1"/>
  <c r="G10" i="22" s="1"/>
  <c r="P12" i="3"/>
  <c r="F7" i="22"/>
  <c r="F6" i="22" s="1"/>
  <c r="F10" i="22" s="1"/>
  <c r="O33" i="3"/>
  <c r="Q33" i="3"/>
  <c r="M33" i="3"/>
  <c r="K41" i="3"/>
  <c r="O20" i="3"/>
  <c r="Q20" i="3"/>
  <c r="I7" i="3"/>
  <c r="L7" i="3"/>
  <c r="Q12" i="3"/>
  <c r="M9" i="3"/>
  <c r="D39" i="30"/>
  <c r="D41" i="30"/>
  <c r="D10" i="30"/>
  <c r="D11" i="30"/>
  <c r="AD95" i="38"/>
  <c r="E39" i="30"/>
  <c r="E41" i="30"/>
  <c r="E10" i="30"/>
  <c r="E11" i="30"/>
  <c r="AE95" i="38"/>
  <c r="C41" i="30"/>
  <c r="C10" i="30"/>
  <c r="O10" i="30"/>
  <c r="O9" i="30"/>
  <c r="D25" i="30"/>
  <c r="E22" i="30"/>
  <c r="I12" i="12"/>
  <c r="L41" i="3"/>
  <c r="I41" i="3"/>
  <c r="O21" i="3"/>
  <c r="Q21" i="3"/>
  <c r="M21" i="3"/>
  <c r="Q17" i="3"/>
  <c r="O38" i="3"/>
  <c r="Q38" i="3"/>
  <c r="M38" i="3"/>
  <c r="O10" i="3"/>
  <c r="Q10" i="3"/>
  <c r="M10" i="3"/>
  <c r="O25" i="3"/>
  <c r="Q25" i="3"/>
  <c r="M25" i="3"/>
  <c r="M7" i="3"/>
  <c r="M41" i="3"/>
  <c r="I42" i="3"/>
  <c r="O7" i="3"/>
  <c r="P41" i="3"/>
  <c r="I29" i="3"/>
  <c r="L29" i="3"/>
  <c r="M29" i="3"/>
  <c r="O34" i="3"/>
  <c r="Q34" i="3"/>
  <c r="O11" i="30"/>
  <c r="AA95" i="38"/>
  <c r="C11" i="30"/>
  <c r="AC95" i="38"/>
  <c r="E25" i="30"/>
  <c r="F22" i="30"/>
  <c r="J12" i="12"/>
  <c r="E46" i="3"/>
  <c r="AA21" i="38"/>
  <c r="AI21" i="38" s="1"/>
  <c r="E45" i="3"/>
  <c r="E47" i="3"/>
  <c r="AA22" i="38"/>
  <c r="AJ22" i="38" s="1"/>
  <c r="AJ23" i="38" s="1"/>
  <c r="J7" i="26" s="1"/>
  <c r="J9" i="26" s="1"/>
  <c r="E44" i="3"/>
  <c r="E48" i="3"/>
  <c r="E51" i="3"/>
  <c r="Q7" i="3"/>
  <c r="Q41" i="3"/>
  <c r="O41" i="3"/>
  <c r="P42" i="3"/>
  <c r="F25" i="30"/>
  <c r="G22" i="30"/>
  <c r="K12" i="12"/>
  <c r="AJ21" i="38"/>
  <c r="AH21" i="38"/>
  <c r="L12" i="12"/>
  <c r="M12" i="12"/>
  <c r="N12" i="12"/>
  <c r="O12" i="12"/>
  <c r="P12" i="12"/>
  <c r="Q12" i="12"/>
  <c r="S9" i="12"/>
  <c r="S12" i="12"/>
  <c r="R12" i="12"/>
  <c r="F44" i="22" l="1"/>
  <c r="J44" i="22" s="1"/>
  <c r="AB86" i="38"/>
  <c r="AA23" i="38"/>
  <c r="F4" i="6" s="1"/>
  <c r="J26" i="22"/>
  <c r="AJ113" i="38"/>
  <c r="AD113" i="38"/>
  <c r="J25" i="22"/>
  <c r="AF103" i="38"/>
  <c r="AK22" i="38"/>
  <c r="AK27" i="38" s="1"/>
  <c r="AD79" i="38"/>
  <c r="J31" i="22"/>
  <c r="J28" i="22"/>
  <c r="AB110" i="38"/>
  <c r="AB65" i="38"/>
  <c r="K15" i="38"/>
  <c r="J27" i="38"/>
  <c r="J62" i="38" s="1"/>
  <c r="J121" i="38" s="1"/>
  <c r="J131" i="38" s="1"/>
  <c r="Y46" i="38"/>
  <c r="AE76" i="38"/>
  <c r="AJ76" i="38"/>
  <c r="AM78" i="38"/>
  <c r="AN78" i="38"/>
  <c r="AH78" i="38"/>
  <c r="AC53" i="38"/>
  <c r="AH53" i="38"/>
  <c r="AM53" i="38"/>
  <c r="AL53" i="38"/>
  <c r="AK53" i="38"/>
  <c r="T62" i="38"/>
  <c r="T121" i="38" s="1"/>
  <c r="T131" i="38" s="1"/>
  <c r="Y11" i="38"/>
  <c r="B27" i="38"/>
  <c r="I62" i="38"/>
  <c r="I121" i="38" s="1"/>
  <c r="I131" i="38" s="1"/>
  <c r="V15" i="38"/>
  <c r="V27" i="38" s="1"/>
  <c r="V62" i="38" s="1"/>
  <c r="V121" i="38" s="1"/>
  <c r="N62" i="38"/>
  <c r="N121" i="38" s="1"/>
  <c r="P131" i="38"/>
  <c r="W46" i="38"/>
  <c r="X46" i="38" s="1"/>
  <c r="AE42" i="38"/>
  <c r="AD42" i="38"/>
  <c r="AN42" i="38"/>
  <c r="AH42" i="38"/>
  <c r="AC42" i="38"/>
  <c r="E56" i="3"/>
  <c r="AA15" i="38"/>
  <c r="AB13" i="38"/>
  <c r="F5" i="6"/>
  <c r="I5" i="22" s="1"/>
  <c r="Z84" i="38"/>
  <c r="AJ84" i="38" s="1"/>
  <c r="AC90" i="38"/>
  <c r="AF55" i="38"/>
  <c r="W111" i="38"/>
  <c r="X111" i="38" s="1"/>
  <c r="W66" i="38"/>
  <c r="X66" i="38" s="1"/>
  <c r="Y33" i="38"/>
  <c r="C15" i="38"/>
  <c r="C27" i="38" s="1"/>
  <c r="Z12" i="38"/>
  <c r="Y18" i="38"/>
  <c r="D9" i="6" s="1"/>
  <c r="G31" i="5"/>
  <c r="G34" i="5" s="1"/>
  <c r="G39" i="5" s="1"/>
  <c r="H39" i="5" s="1"/>
  <c r="AI41" i="38"/>
  <c r="Z48" i="38"/>
  <c r="AI51" i="38"/>
  <c r="AC55" i="38"/>
  <c r="Z60" i="38"/>
  <c r="AH77" i="38"/>
  <c r="AH91" i="38"/>
  <c r="AJ91" i="38"/>
  <c r="AI91" i="38"/>
  <c r="AF91" i="38"/>
  <c r="AM92" i="38"/>
  <c r="Z95" i="38"/>
  <c r="Z100" i="38"/>
  <c r="AK100" i="38" s="1"/>
  <c r="Z108" i="38"/>
  <c r="W108" i="38"/>
  <c r="X108" i="38" s="1"/>
  <c r="P125" i="38"/>
  <c r="P130" i="38" s="1"/>
  <c r="AE123" i="38"/>
  <c r="AE125" i="38" s="1"/>
  <c r="AE130" i="38" s="1"/>
  <c r="Z66" i="38"/>
  <c r="AK98" i="38"/>
  <c r="AK42" i="38"/>
  <c r="AJ77" i="38"/>
  <c r="AE77" i="38"/>
  <c r="AD77" i="38"/>
  <c r="AM77" i="38"/>
  <c r="AL77" i="38"/>
  <c r="AK77" i="38"/>
  <c r="AC78" i="38"/>
  <c r="Z82" i="38"/>
  <c r="AL82" i="38"/>
  <c r="AB95" i="38"/>
  <c r="AA69" i="38"/>
  <c r="W82" i="38"/>
  <c r="X82" i="38" s="1"/>
  <c r="Y111" i="38"/>
  <c r="W44" i="38"/>
  <c r="X44" i="38" s="1"/>
  <c r="Y97" i="38"/>
  <c r="Z69" i="38"/>
  <c r="W7" i="38"/>
  <c r="X7" i="38" s="1"/>
  <c r="Y40" i="38"/>
  <c r="W53" i="38"/>
  <c r="X53" i="38" s="1"/>
  <c r="Q57" i="38"/>
  <c r="Z57" i="38" s="1"/>
  <c r="AF56" i="38"/>
  <c r="Z59" i="38"/>
  <c r="Z75" i="38"/>
  <c r="W75" i="38"/>
  <c r="X75" i="38" s="1"/>
  <c r="AM80" i="38"/>
  <c r="AI80" i="38"/>
  <c r="AF80" i="38"/>
  <c r="L90" i="38"/>
  <c r="L120" i="38" s="1"/>
  <c r="L121" i="38" s="1"/>
  <c r="L131" i="38" s="1"/>
  <c r="Z87" i="38"/>
  <c r="W92" i="38"/>
  <c r="X92" i="38" s="1"/>
  <c r="AN92" i="38"/>
  <c r="Y100" i="38"/>
  <c r="B130" i="38"/>
  <c r="AJ128" i="38"/>
  <c r="AJ129" i="38" s="1"/>
  <c r="AI128" i="38"/>
  <c r="AI129" i="38" s="1"/>
  <c r="AG128" i="38"/>
  <c r="AG129" i="38" s="1"/>
  <c r="AN128" i="38"/>
  <c r="AN129" i="38" s="1"/>
  <c r="AM128" i="38"/>
  <c r="AM129" i="38" s="1"/>
  <c r="AF128" i="38"/>
  <c r="AF129" i="38" s="1"/>
  <c r="AL128" i="38"/>
  <c r="AL129" i="38" s="1"/>
  <c r="AE128" i="38"/>
  <c r="AE129" i="38" s="1"/>
  <c r="AL93" i="38"/>
  <c r="AG93" i="38"/>
  <c r="AD93" i="38"/>
  <c r="M125" i="38"/>
  <c r="Z123" i="38"/>
  <c r="AD55" i="38"/>
  <c r="AJ55" i="38"/>
  <c r="AJ90" i="38"/>
  <c r="AE55" i="38"/>
  <c r="K113" i="38"/>
  <c r="Z113" i="38" s="1"/>
  <c r="U113" i="38"/>
  <c r="U120" i="38" s="1"/>
  <c r="U121" i="38" s="1"/>
  <c r="U131" i="38" s="1"/>
  <c r="W89" i="38"/>
  <c r="X89" i="38" s="1"/>
  <c r="C68" i="38"/>
  <c r="W14" i="38"/>
  <c r="X14" i="38" s="1"/>
  <c r="Z16" i="38"/>
  <c r="E7" i="6" s="1"/>
  <c r="Y41" i="38"/>
  <c r="W42" i="38"/>
  <c r="X42" i="38" s="1"/>
  <c r="AK51" i="38"/>
  <c r="Y64" i="38"/>
  <c r="AM76" i="38"/>
  <c r="AF78" i="38"/>
  <c r="W80" i="38"/>
  <c r="X80" i="38" s="1"/>
  <c r="AK82" i="38"/>
  <c r="Z90" i="38"/>
  <c r="Y93" i="38"/>
  <c r="W93" i="38"/>
  <c r="X93" i="38" s="1"/>
  <c r="W109" i="38"/>
  <c r="X109" i="38" s="1"/>
  <c r="Z115" i="38"/>
  <c r="AG115" i="38" s="1"/>
  <c r="AG117" i="38" s="1"/>
  <c r="K117" i="38"/>
  <c r="W123" i="38"/>
  <c r="X123" i="38" s="1"/>
  <c r="AC128" i="38"/>
  <c r="AM55" i="38"/>
  <c r="W90" i="38"/>
  <c r="X90" i="38" s="1"/>
  <c r="W110" i="38"/>
  <c r="X110" i="38" s="1"/>
  <c r="W64" i="38"/>
  <c r="X64" i="38" s="1"/>
  <c r="Y94" i="38"/>
  <c r="Y7" i="38"/>
  <c r="Z7" i="38"/>
  <c r="Y17" i="38"/>
  <c r="W47" i="38"/>
  <c r="X47" i="38" s="1"/>
  <c r="Y47" i="38"/>
  <c r="Y54" i="38"/>
  <c r="Y55" i="38"/>
  <c r="Y59" i="38"/>
  <c r="Z68" i="38"/>
  <c r="Z72" i="38"/>
  <c r="AE72" i="38" s="1"/>
  <c r="AG78" i="38"/>
  <c r="W87" i="38"/>
  <c r="X87" i="38" s="1"/>
  <c r="AH94" i="38"/>
  <c r="W101" i="38"/>
  <c r="X101" i="38" s="1"/>
  <c r="Y101" i="38"/>
  <c r="Z102" i="38"/>
  <c r="AJ102" i="38" s="1"/>
  <c r="Z104" i="38"/>
  <c r="AG104" i="38" s="1"/>
  <c r="Z105" i="38"/>
  <c r="Z107" i="38"/>
  <c r="AH107" i="38" s="1"/>
  <c r="C113" i="38"/>
  <c r="Y123" i="38"/>
  <c r="AK123" i="38"/>
  <c r="AK125" i="38" s="1"/>
  <c r="AH128" i="38"/>
  <c r="AH129" i="38" s="1"/>
  <c r="AD50" i="38"/>
  <c r="AD128" i="38"/>
  <c r="AD129" i="38" s="1"/>
  <c r="AK78" i="38"/>
  <c r="AG116" i="38"/>
  <c r="AJ116" i="38"/>
  <c r="AI116" i="38"/>
  <c r="AH116" i="38"/>
  <c r="AL55" i="38"/>
  <c r="Y60" i="38"/>
  <c r="W107" i="38"/>
  <c r="X107" i="38" s="1"/>
  <c r="Y44" i="38"/>
  <c r="D120" i="38"/>
  <c r="D121" i="38" s="1"/>
  <c r="D131" i="38" s="1"/>
  <c r="W12" i="38"/>
  <c r="X12" i="38" s="1"/>
  <c r="S23" i="38"/>
  <c r="E4" i="6" s="1"/>
  <c r="Z21" i="38"/>
  <c r="Y48" i="38"/>
  <c r="Z49" i="38"/>
  <c r="AC49" i="38" s="1"/>
  <c r="AI59" i="38"/>
  <c r="AK91" i="38"/>
  <c r="AE92" i="38"/>
  <c r="Z97" i="38"/>
  <c r="AD101" i="38"/>
  <c r="AD107" i="38"/>
  <c r="Z112" i="38"/>
  <c r="Z118" i="38"/>
  <c r="AC118" i="38"/>
  <c r="Z44" i="38"/>
  <c r="AK128" i="38"/>
  <c r="AK129" i="38" s="1"/>
  <c r="AI90" i="38"/>
  <c r="AG55" i="38"/>
  <c r="Y95" i="38"/>
  <c r="Y35" i="38"/>
  <c r="W84" i="38"/>
  <c r="X84" i="38" s="1"/>
  <c r="W35" i="38"/>
  <c r="X35" i="38" s="1"/>
  <c r="W95" i="38"/>
  <c r="X95" i="38" s="1"/>
  <c r="Z9" i="38"/>
  <c r="W9" i="38"/>
  <c r="X9" i="38" s="1"/>
  <c r="AJ40" i="38"/>
  <c r="AE40" i="38"/>
  <c r="Q46" i="38"/>
  <c r="Q61" i="38" s="1"/>
  <c r="Q62" i="38" s="1"/>
  <c r="Q121" i="38" s="1"/>
  <c r="Q131" i="38" s="1"/>
  <c r="AC45" i="38"/>
  <c r="AG52" i="38"/>
  <c r="AM52" i="38"/>
  <c r="AJ52" i="38"/>
  <c r="AI52" i="38"/>
  <c r="AH52" i="38"/>
  <c r="AF52" i="38"/>
  <c r="AC52" i="38"/>
  <c r="W54" i="38"/>
  <c r="X54" i="38" s="1"/>
  <c r="Z64" i="38"/>
  <c r="AM83" i="38"/>
  <c r="AD83" i="38"/>
  <c r="AN83" i="38"/>
  <c r="AK83" i="38"/>
  <c r="Y92" i="38"/>
  <c r="AF100" i="38"/>
  <c r="AC102" i="38"/>
  <c r="AC91" i="38"/>
  <c r="AK92" i="38"/>
  <c r="AF92" i="38"/>
  <c r="F10" i="6"/>
  <c r="AK55" i="38"/>
  <c r="Y13" i="38"/>
  <c r="W16" i="38"/>
  <c r="X16" i="38" s="1"/>
  <c r="Z18" i="38"/>
  <c r="E9" i="6" s="1"/>
  <c r="Y23" i="38"/>
  <c r="D4" i="6" s="1"/>
  <c r="K36" i="38"/>
  <c r="Y36" i="38" s="1"/>
  <c r="Y39" i="38"/>
  <c r="W39" i="38"/>
  <c r="X39" i="38" s="1"/>
  <c r="R120" i="38"/>
  <c r="R121" i="38" s="1"/>
  <c r="R131" i="38" s="1"/>
  <c r="Y82" i="38"/>
  <c r="Z86" i="38"/>
  <c r="Z89" i="38"/>
  <c r="Z94" i="38"/>
  <c r="AL94" i="38" s="1"/>
  <c r="Z99" i="38"/>
  <c r="AJ99" i="38" s="1"/>
  <c r="Y99" i="38"/>
  <c r="AG107" i="38"/>
  <c r="Y114" i="38"/>
  <c r="W114" i="38"/>
  <c r="X114" i="38" s="1"/>
  <c r="AI92" i="38"/>
  <c r="AC113" i="38"/>
  <c r="AB109" i="38"/>
  <c r="Z45" i="38"/>
  <c r="AJ45" i="38" s="1"/>
  <c r="Z54" i="38"/>
  <c r="AH83" i="38"/>
  <c r="AL92" i="38"/>
  <c r="AG103" i="38"/>
  <c r="AB33" i="38"/>
  <c r="AJ103" i="38"/>
  <c r="J27" i="22"/>
  <c r="J21" i="22"/>
  <c r="J15" i="22"/>
  <c r="J33" i="22"/>
  <c r="AL113" i="38"/>
  <c r="AF113" i="38"/>
  <c r="B113" i="38"/>
  <c r="B120" i="38" s="1"/>
  <c r="E117" i="38"/>
  <c r="E120" i="38" s="1"/>
  <c r="E121" i="38" s="1"/>
  <c r="E131" i="38" s="1"/>
  <c r="V125" i="38"/>
  <c r="V130" i="38" s="1"/>
  <c r="K130" i="38"/>
  <c r="AM103" i="38"/>
  <c r="G14" i="22"/>
  <c r="G38" i="22" s="1"/>
  <c r="G40" i="22" s="1"/>
  <c r="G41" i="22" s="1"/>
  <c r="E73" i="3"/>
  <c r="AM113" i="38"/>
  <c r="Z58" i="38"/>
  <c r="AM58" i="38" s="1"/>
  <c r="AN103" i="38"/>
  <c r="AM116" i="38"/>
  <c r="F14" i="22"/>
  <c r="W106" i="38"/>
  <c r="X106" i="38" s="1"/>
  <c r="Y109" i="38"/>
  <c r="L117" i="38"/>
  <c r="N129" i="38"/>
  <c r="W129" i="38" s="1"/>
  <c r="X129" i="38" s="1"/>
  <c r="AN91" i="38"/>
  <c r="J24" i="22"/>
  <c r="E61" i="3"/>
  <c r="AE113" i="38"/>
  <c r="AL90" i="38"/>
  <c r="C57" i="38"/>
  <c r="W65" i="38"/>
  <c r="X65" i="38" s="1"/>
  <c r="Y65" i="38"/>
  <c r="AE103" i="38"/>
  <c r="J17" i="22"/>
  <c r="AK113" i="38"/>
  <c r="AI113" i="38"/>
  <c r="AB112" i="38"/>
  <c r="AD64" i="38"/>
  <c r="AC69" i="38"/>
  <c r="F13" i="6"/>
  <c r="AA113" i="38"/>
  <c r="AL22" i="38"/>
  <c r="AM22" i="38"/>
  <c r="AH22" i="38"/>
  <c r="AN39" i="38"/>
  <c r="AK39" i="38"/>
  <c r="AH39" i="38"/>
  <c r="AJ39" i="38"/>
  <c r="AD39" i="38"/>
  <c r="AE39" i="38"/>
  <c r="AI39" i="38"/>
  <c r="AL39" i="38"/>
  <c r="AM39" i="38"/>
  <c r="AG48" i="38"/>
  <c r="AN48" i="38"/>
  <c r="AF48" i="38"/>
  <c r="AL48" i="38"/>
  <c r="AD48" i="38"/>
  <c r="AK48" i="38"/>
  <c r="AC48" i="38"/>
  <c r="AJ48" i="38"/>
  <c r="AI48" i="38"/>
  <c r="AH48" i="38"/>
  <c r="AE48" i="38"/>
  <c r="AD56" i="38"/>
  <c r="AD57" i="38" s="1"/>
  <c r="AK56" i="38"/>
  <c r="AE56" i="38"/>
  <c r="AE57" i="38" s="1"/>
  <c r="AG56" i="38"/>
  <c r="AJ56" i="38"/>
  <c r="AJ57" i="38" s="1"/>
  <c r="AI56" i="38"/>
  <c r="AC56" i="38"/>
  <c r="AH56" i="38"/>
  <c r="AN56" i="38"/>
  <c r="AN57" i="38" s="1"/>
  <c r="AL56" i="38"/>
  <c r="AM56" i="38"/>
  <c r="AM57" i="38" s="1"/>
  <c r="AH79" i="38"/>
  <c r="AG79" i="38"/>
  <c r="AM79" i="38"/>
  <c r="AF79" i="38"/>
  <c r="AL79" i="38"/>
  <c r="AE79" i="38"/>
  <c r="AC79" i="38"/>
  <c r="AN79" i="38"/>
  <c r="AK79" i="38"/>
  <c r="AI79" i="38"/>
  <c r="AI104" i="38"/>
  <c r="AH104" i="38"/>
  <c r="AL104" i="38"/>
  <c r="AE104" i="38"/>
  <c r="AK104" i="38"/>
  <c r="AD104" i="38"/>
  <c r="AM104" i="38"/>
  <c r="AJ104" i="38"/>
  <c r="J22" i="22"/>
  <c r="AF39" i="38"/>
  <c r="AC39" i="38"/>
  <c r="AB21" i="38"/>
  <c r="AJ27" i="38"/>
  <c r="AG39" i="38"/>
  <c r="AN41" i="38"/>
  <c r="AF41" i="38"/>
  <c r="AM41" i="38"/>
  <c r="AE41" i="38"/>
  <c r="AK41" i="38"/>
  <c r="AJ41" i="38"/>
  <c r="AC41" i="38"/>
  <c r="AH41" i="38"/>
  <c r="AG41" i="38"/>
  <c r="AD41" i="38"/>
  <c r="AM50" i="38"/>
  <c r="AF50" i="38"/>
  <c r="AL50" i="38"/>
  <c r="AE50" i="38"/>
  <c r="AJ50" i="38"/>
  <c r="AC50" i="38"/>
  <c r="AI50" i="38"/>
  <c r="AN50" i="38"/>
  <c r="AK50" i="38"/>
  <c r="AG50" i="38"/>
  <c r="AE59" i="38"/>
  <c r="AM59" i="38"/>
  <c r="AM60" i="38" s="1"/>
  <c r="AF59" i="38"/>
  <c r="AN59" i="38"/>
  <c r="AG59" i="38"/>
  <c r="AH59" i="38"/>
  <c r="AJ59" i="38"/>
  <c r="AC59" i="38"/>
  <c r="AK59" i="38"/>
  <c r="AD59" i="38"/>
  <c r="AL59" i="38"/>
  <c r="AN81" i="38"/>
  <c r="AM81" i="38"/>
  <c r="AF81" i="38"/>
  <c r="AK81" i="38"/>
  <c r="AD81" i="38"/>
  <c r="AJ81" i="38"/>
  <c r="AC81" i="38"/>
  <c r="AH81" i="38"/>
  <c r="AG81" i="38"/>
  <c r="AE81" i="38"/>
  <c r="AJ98" i="38"/>
  <c r="AH98" i="38"/>
  <c r="AG98" i="38"/>
  <c r="AM98" i="38"/>
  <c r="AE98" i="38"/>
  <c r="AL98" i="38"/>
  <c r="AD98" i="38"/>
  <c r="AN98" i="38"/>
  <c r="AI98" i="38"/>
  <c r="AM106" i="38"/>
  <c r="AE106" i="38"/>
  <c r="AL106" i="38"/>
  <c r="AD106" i="38"/>
  <c r="AK106" i="38"/>
  <c r="AC106" i="38"/>
  <c r="AJ106" i="38"/>
  <c r="AH106" i="38"/>
  <c r="AG106" i="38"/>
  <c r="AI106" i="38"/>
  <c r="AF106" i="38"/>
  <c r="AH115" i="38"/>
  <c r="AH117" i="38" s="1"/>
  <c r="AI81" i="38"/>
  <c r="AF104" i="38"/>
  <c r="AH113" i="38"/>
  <c r="AK23" i="38"/>
  <c r="K7" i="26" s="1"/>
  <c r="K9" i="26" s="1"/>
  <c r="AF35" i="38"/>
  <c r="AF36" i="38" s="1"/>
  <c r="AI35" i="38"/>
  <c r="AI36" i="38" s="1"/>
  <c r="AK35" i="38"/>
  <c r="AK36" i="38" s="1"/>
  <c r="AE35" i="38"/>
  <c r="AE36" i="38" s="1"/>
  <c r="AH35" i="38"/>
  <c r="AH36" i="38" s="1"/>
  <c r="AN35" i="38"/>
  <c r="AN36" i="38" s="1"/>
  <c r="AL35" i="38"/>
  <c r="AL36" i="38" s="1"/>
  <c r="AC35" i="38"/>
  <c r="AD35" i="38"/>
  <c r="AD36" i="38" s="1"/>
  <c r="AM35" i="38"/>
  <c r="AM36" i="38" s="1"/>
  <c r="AI22" i="38"/>
  <c r="AI23" i="38" s="1"/>
  <c r="I7" i="26" s="1"/>
  <c r="I9" i="26" s="1"/>
  <c r="AM48" i="38"/>
  <c r="AL81" i="38"/>
  <c r="AC98" i="38"/>
  <c r="AN106" i="38"/>
  <c r="AI40" i="38"/>
  <c r="AC40" i="38"/>
  <c r="AH40" i="38"/>
  <c r="AN40" i="38"/>
  <c r="AF40" i="38"/>
  <c r="AM40" i="38"/>
  <c r="AD40" i="38"/>
  <c r="AK40" i="38"/>
  <c r="AF49" i="38"/>
  <c r="AL58" i="38"/>
  <c r="AK58" i="38"/>
  <c r="AD58" i="38"/>
  <c r="AI58" i="38"/>
  <c r="AI60" i="38" s="1"/>
  <c r="AH58" i="38"/>
  <c r="AH60" i="38" s="1"/>
  <c r="AC72" i="38"/>
  <c r="AJ72" i="38"/>
  <c r="AF72" i="38"/>
  <c r="AI72" i="38"/>
  <c r="AD72" i="38"/>
  <c r="AG72" i="38"/>
  <c r="AH72" i="38"/>
  <c r="AK72" i="38"/>
  <c r="AM72" i="38"/>
  <c r="AK80" i="38"/>
  <c r="AC80" i="38"/>
  <c r="AJ80" i="38"/>
  <c r="AH80" i="38"/>
  <c r="AG80" i="38"/>
  <c r="AN58" i="38"/>
  <c r="AL80" i="38"/>
  <c r="AL72" i="38"/>
  <c r="AL40" i="38"/>
  <c r="AC58" i="38"/>
  <c r="AN80" i="38"/>
  <c r="AI93" i="38"/>
  <c r="AM84" i="38"/>
  <c r="AN113" i="38"/>
  <c r="E6" i="26"/>
  <c r="E9" i="26" s="1"/>
  <c r="AE27" i="38"/>
  <c r="AE58" i="38"/>
  <c r="C9" i="26"/>
  <c r="AM90" i="38"/>
  <c r="AE90" i="38"/>
  <c r="AD44" i="38"/>
  <c r="AJ53" i="38"/>
  <c r="AI53" i="38"/>
  <c r="AG53" i="38"/>
  <c r="AN53" i="38"/>
  <c r="AF53" i="38"/>
  <c r="AG76" i="38"/>
  <c r="AN76" i="38"/>
  <c r="AF76" i="38"/>
  <c r="AL76" i="38"/>
  <c r="AD76" i="38"/>
  <c r="AK76" i="38"/>
  <c r="AC76" i="38"/>
  <c r="AF84" i="38"/>
  <c r="AI84" i="38"/>
  <c r="AD84" i="38"/>
  <c r="AG84" i="38"/>
  <c r="AH84" i="38"/>
  <c r="AE84" i="38"/>
  <c r="AL84" i="38"/>
  <c r="AN84" i="38"/>
  <c r="AH93" i="38"/>
  <c r="AN93" i="38"/>
  <c r="AF93" i="38"/>
  <c r="AM93" i="38"/>
  <c r="AE93" i="38"/>
  <c r="AK93" i="38"/>
  <c r="AC93" i="38"/>
  <c r="AJ93" i="38"/>
  <c r="AL101" i="38"/>
  <c r="AN101" i="38"/>
  <c r="AC101" i="38"/>
  <c r="AJ101" i="38"/>
  <c r="AF101" i="38"/>
  <c r="AI101" i="38"/>
  <c r="AG101" i="38"/>
  <c r="AH101" i="38"/>
  <c r="AE101" i="38"/>
  <c r="AD53" i="38"/>
  <c r="AF58" i="38"/>
  <c r="AH76" i="38"/>
  <c r="AD80" i="38"/>
  <c r="AN72" i="38"/>
  <c r="AK101" i="38"/>
  <c r="AC84" i="38"/>
  <c r="AG113" i="38"/>
  <c r="AB111" i="38"/>
  <c r="E26" i="6"/>
  <c r="AM49" i="38"/>
  <c r="AE53" i="38"/>
  <c r="AG58" i="38"/>
  <c r="AG60" i="38" s="1"/>
  <c r="AI76" i="38"/>
  <c r="AE80" i="38"/>
  <c r="AK84" i="38"/>
  <c r="AG40" i="38"/>
  <c r="AD52" i="38"/>
  <c r="AK52" i="38"/>
  <c r="AN77" i="38"/>
  <c r="AI78" i="38"/>
  <c r="AF82" i="38"/>
  <c r="AN82" i="38"/>
  <c r="AI83" i="38"/>
  <c r="AD91" i="38"/>
  <c r="AL91" i="38"/>
  <c r="AG92" i="38"/>
  <c r="AH103" i="38"/>
  <c r="AJ107" i="38"/>
  <c r="AC116" i="38"/>
  <c r="AK116" i="38"/>
  <c r="AM94" i="38"/>
  <c r="AM42" i="38"/>
  <c r="AK94" i="38"/>
  <c r="AH100" i="38"/>
  <c r="AG100" i="38"/>
  <c r="AF42" i="38"/>
  <c r="AE100" i="38"/>
  <c r="AH55" i="38"/>
  <c r="AG51" i="38"/>
  <c r="AE52" i="38"/>
  <c r="AL52" i="38"/>
  <c r="AG77" i="38"/>
  <c r="AJ78" i="38"/>
  <c r="AG82" i="38"/>
  <c r="AC83" i="38"/>
  <c r="AJ83" i="38"/>
  <c r="AE91" i="38"/>
  <c r="AM91" i="38"/>
  <c r="AH92" i="38"/>
  <c r="AI103" i="38"/>
  <c r="AC107" i="38"/>
  <c r="AK107" i="38"/>
  <c r="AD116" i="38"/>
  <c r="AL116" i="38"/>
  <c r="AN99" i="38"/>
  <c r="AL42" i="38"/>
  <c r="AE94" i="38"/>
  <c r="AD100" i="38"/>
  <c r="AM51" i="38"/>
  <c r="AI55" i="38"/>
  <c r="AH51" i="38"/>
  <c r="AN52" i="38"/>
  <c r="AI77" i="38"/>
  <c r="AD78" i="38"/>
  <c r="AL78" i="38"/>
  <c r="AI82" i="38"/>
  <c r="AE83" i="38"/>
  <c r="AL83" i="38"/>
  <c r="AG91" i="38"/>
  <c r="AC92" i="38"/>
  <c r="AJ92" i="38"/>
  <c r="AC103" i="38"/>
  <c r="AK103" i="38"/>
  <c r="AE107" i="38"/>
  <c r="AM107" i="38"/>
  <c r="AF116" i="38"/>
  <c r="AN116" i="38"/>
  <c r="AM99" i="38"/>
  <c r="AJ100" i="38"/>
  <c r="AD94" i="38"/>
  <c r="AJ51" i="38"/>
  <c r="AC51" i="38"/>
  <c r="AC77" i="38"/>
  <c r="AE78" i="38"/>
  <c r="AF83" i="38"/>
  <c r="AD92" i="38"/>
  <c r="AD103" i="38"/>
  <c r="AF107" i="38"/>
  <c r="AN100" i="38"/>
  <c r="AL100" i="38"/>
  <c r="AI94" i="38"/>
  <c r="AI42" i="38"/>
  <c r="AF94" i="38"/>
  <c r="AC100" i="38"/>
  <c r="AL51" i="38"/>
  <c r="AJ94" i="38"/>
  <c r="AC94" i="38"/>
  <c r="AD51" i="38"/>
  <c r="AN94" i="38"/>
  <c r="AM100" i="38"/>
  <c r="AJ42" i="38"/>
  <c r="AG42" i="38"/>
  <c r="AN51" i="38"/>
  <c r="J7" i="22"/>
  <c r="J50" i="22" s="1"/>
  <c r="H10" i="22"/>
  <c r="H40" i="22" s="1"/>
  <c r="H41" i="22" s="1"/>
  <c r="H46" i="22" s="1"/>
  <c r="J6" i="22"/>
  <c r="G51" i="22"/>
  <c r="J51" i="22" s="1"/>
  <c r="AI57" i="38" l="1"/>
  <c r="AE102" i="38"/>
  <c r="AK49" i="38"/>
  <c r="AH49" i="38"/>
  <c r="AL45" i="38"/>
  <c r="AN49" i="38"/>
  <c r="AF115" i="38"/>
  <c r="AG102" i="38"/>
  <c r="AM102" i="38"/>
  <c r="AB90" i="38"/>
  <c r="AG49" i="38"/>
  <c r="AG57" i="38"/>
  <c r="AD45" i="38"/>
  <c r="AD46" i="38" s="1"/>
  <c r="AF60" i="38"/>
  <c r="AL49" i="38"/>
  <c r="AD49" i="38"/>
  <c r="AH99" i="38"/>
  <c r="AN104" i="38"/>
  <c r="AC57" i="38"/>
  <c r="AF102" i="38"/>
  <c r="AI49" i="38"/>
  <c r="AB49" i="38" s="1"/>
  <c r="AJ49" i="38"/>
  <c r="AL57" i="38"/>
  <c r="AK57" i="38"/>
  <c r="AL102" i="38"/>
  <c r="AC104" i="38"/>
  <c r="E10" i="6"/>
  <c r="AJ44" i="38"/>
  <c r="AJ46" i="38" s="1"/>
  <c r="AJ61" i="38" s="1"/>
  <c r="AJ62" i="38" s="1"/>
  <c r="AK44" i="38"/>
  <c r="AN44" i="38"/>
  <c r="AB53" i="38"/>
  <c r="AI115" i="38"/>
  <c r="AI117" i="38" s="1"/>
  <c r="AN115" i="38"/>
  <c r="AN117" i="38" s="1"/>
  <c r="AG44" i="38"/>
  <c r="AF44" i="38"/>
  <c r="AB15" i="38"/>
  <c r="AA27" i="38"/>
  <c r="AA62" i="38" s="1"/>
  <c r="AA121" i="38" s="1"/>
  <c r="AA131" i="38" s="1"/>
  <c r="S27" i="38"/>
  <c r="S62" i="38" s="1"/>
  <c r="S121" i="38" s="1"/>
  <c r="S131" i="38" s="1"/>
  <c r="Y90" i="38"/>
  <c r="Y15" i="38"/>
  <c r="J14" i="22"/>
  <c r="J38" i="22" s="1"/>
  <c r="L38" i="22" s="1"/>
  <c r="F38" i="22"/>
  <c r="F40" i="22" s="1"/>
  <c r="F41" i="22" s="1"/>
  <c r="F46" i="22" s="1"/>
  <c r="AL75" i="38"/>
  <c r="AF75" i="38"/>
  <c r="AN75" i="38"/>
  <c r="AJ75" i="38"/>
  <c r="AG75" i="38"/>
  <c r="AL44" i="38"/>
  <c r="AC115" i="38"/>
  <c r="AC117" i="38" s="1"/>
  <c r="AK45" i="38"/>
  <c r="AH45" i="38"/>
  <c r="AG99" i="38"/>
  <c r="AI99" i="38"/>
  <c r="AN107" i="38"/>
  <c r="AL107" i="38"/>
  <c r="AI107" i="38"/>
  <c r="AI45" i="38"/>
  <c r="W23" i="38"/>
  <c r="X23" i="38" s="1"/>
  <c r="W15" i="38"/>
  <c r="X15" i="38" s="1"/>
  <c r="K27" i="38"/>
  <c r="Z15" i="38"/>
  <c r="AH44" i="38"/>
  <c r="AH57" i="38"/>
  <c r="AH75" i="38"/>
  <c r="AE44" i="38"/>
  <c r="AE46" i="38" s="1"/>
  <c r="AK115" i="38"/>
  <c r="AK117" i="38" s="1"/>
  <c r="AL118" i="38"/>
  <c r="AD118" i="38"/>
  <c r="AB118" i="38" s="1"/>
  <c r="AK118" i="38"/>
  <c r="AJ118" i="38"/>
  <c r="AI118" i="38"/>
  <c r="AH118" i="38"/>
  <c r="AG118" i="38"/>
  <c r="AN118" i="38"/>
  <c r="AF118" i="38"/>
  <c r="AM118" i="38"/>
  <c r="AE118" i="38"/>
  <c r="AE45" i="38"/>
  <c r="AM45" i="38"/>
  <c r="AG94" i="38"/>
  <c r="AC75" i="38"/>
  <c r="AB75" i="38" s="1"/>
  <c r="AJ82" i="38"/>
  <c r="AH82" i="38"/>
  <c r="AE82" i="38"/>
  <c r="AD82" i="38"/>
  <c r="AC82" i="38"/>
  <c r="AF45" i="38"/>
  <c r="Y27" i="38"/>
  <c r="B62" i="38"/>
  <c r="W27" i="38"/>
  <c r="X27" i="38" s="1"/>
  <c r="AB78" i="38"/>
  <c r="AB99" i="38"/>
  <c r="AB77" i="38"/>
  <c r="AK75" i="38"/>
  <c r="AI44" i="38"/>
  <c r="AI46" i="38" s="1"/>
  <c r="AD115" i="38"/>
  <c r="AD117" i="38" s="1"/>
  <c r="AN45" i="38"/>
  <c r="Y117" i="38"/>
  <c r="Z36" i="38"/>
  <c r="K61" i="38"/>
  <c r="Z61" i="38" s="1"/>
  <c r="E13" i="6" s="1"/>
  <c r="AE49" i="38"/>
  <c r="W36" i="38"/>
  <c r="X36" i="38" s="1"/>
  <c r="Y130" i="38"/>
  <c r="AI100" i="38"/>
  <c r="AB100" i="38" s="1"/>
  <c r="AM82" i="38"/>
  <c r="AF57" i="38"/>
  <c r="W117" i="38"/>
  <c r="X117" i="38" s="1"/>
  <c r="AE75" i="38"/>
  <c r="AD75" i="38"/>
  <c r="AB52" i="38"/>
  <c r="AM44" i="38"/>
  <c r="AL60" i="38"/>
  <c r="AL115" i="38"/>
  <c r="AB79" i="38"/>
  <c r="Y113" i="38"/>
  <c r="W113" i="38"/>
  <c r="X113" i="38" s="1"/>
  <c r="AH102" i="38"/>
  <c r="AN102" i="38"/>
  <c r="AK102" i="38"/>
  <c r="AD102" i="38"/>
  <c r="AB128" i="38"/>
  <c r="AC129" i="38"/>
  <c r="AB129" i="38" s="1"/>
  <c r="C69" i="38"/>
  <c r="Y68" i="38"/>
  <c r="W68" i="38"/>
  <c r="X68" i="38" s="1"/>
  <c r="AG123" i="38"/>
  <c r="AG125" i="38" s="1"/>
  <c r="AG130" i="38" s="1"/>
  <c r="AM123" i="38"/>
  <c r="AM125" i="38" s="1"/>
  <c r="AM130" i="38" s="1"/>
  <c r="AF123" i="38"/>
  <c r="AF125" i="38" s="1"/>
  <c r="AF130" i="38" s="1"/>
  <c r="AL123" i="38"/>
  <c r="AL125" i="38" s="1"/>
  <c r="AL130" i="38" s="1"/>
  <c r="AD123" i="38"/>
  <c r="AD125" i="38" s="1"/>
  <c r="AD130" i="38" s="1"/>
  <c r="AJ123" i="38"/>
  <c r="AJ125" i="38" s="1"/>
  <c r="AJ130" i="38" s="1"/>
  <c r="AC123" i="38"/>
  <c r="AI123" i="38"/>
  <c r="AI125" i="38" s="1"/>
  <c r="AI130" i="38" s="1"/>
  <c r="AH123" i="38"/>
  <c r="AH125" i="38" s="1"/>
  <c r="AH130" i="38" s="1"/>
  <c r="AI102" i="38"/>
  <c r="AB102" i="38" s="1"/>
  <c r="AI75" i="38"/>
  <c r="AB42" i="38"/>
  <c r="AE115" i="38"/>
  <c r="AE117" i="38" s="1"/>
  <c r="W57" i="38"/>
  <c r="X57" i="38" s="1"/>
  <c r="Y57" i="38"/>
  <c r="D5" i="6"/>
  <c r="D10" i="6" s="1"/>
  <c r="Z46" i="38"/>
  <c r="AN123" i="38"/>
  <c r="AN125" i="38" s="1"/>
  <c r="AN130" i="38" s="1"/>
  <c r="AM75" i="38"/>
  <c r="AG45" i="38"/>
  <c r="Z129" i="38"/>
  <c r="C61" i="38"/>
  <c r="C62" i="38" s="1"/>
  <c r="N130" i="38"/>
  <c r="N131" i="38" s="1"/>
  <c r="AJ115" i="38"/>
  <c r="AJ117" i="38" s="1"/>
  <c r="AM115" i="38"/>
  <c r="AM117" i="38" s="1"/>
  <c r="F73" i="3"/>
  <c r="AJ58" i="38"/>
  <c r="AJ60" i="38" s="1"/>
  <c r="AK130" i="38"/>
  <c r="Z117" i="38"/>
  <c r="M130" i="38"/>
  <c r="M131" i="38" s="1"/>
  <c r="W125" i="38"/>
  <c r="X125" i="38" s="1"/>
  <c r="Y125" i="38"/>
  <c r="AC44" i="38"/>
  <c r="AC46" i="38" s="1"/>
  <c r="J5" i="22"/>
  <c r="J10" i="22" s="1"/>
  <c r="I10" i="22"/>
  <c r="I40" i="22" s="1"/>
  <c r="I41" i="22" s="1"/>
  <c r="I46" i="22" s="1"/>
  <c r="K120" i="38"/>
  <c r="Z120" i="38" s="1"/>
  <c r="V131" i="38"/>
  <c r="AC36" i="38"/>
  <c r="AB36" i="38" s="1"/>
  <c r="AB35" i="38"/>
  <c r="AB83" i="38"/>
  <c r="AB101" i="38"/>
  <c r="AB59" i="38"/>
  <c r="AB104" i="38"/>
  <c r="AH23" i="38"/>
  <c r="AB22" i="38"/>
  <c r="AD69" i="38"/>
  <c r="AE64" i="38"/>
  <c r="AB57" i="38"/>
  <c r="AB103" i="38"/>
  <c r="AB80" i="38"/>
  <c r="AB94" i="38"/>
  <c r="AB72" i="38"/>
  <c r="AB39" i="38"/>
  <c r="AB56" i="38"/>
  <c r="AM23" i="38"/>
  <c r="M7" i="26" s="1"/>
  <c r="M9" i="26" s="1"/>
  <c r="AM27" i="38"/>
  <c r="O16" i="32"/>
  <c r="AB113" i="38"/>
  <c r="AB81" i="38"/>
  <c r="AB92" i="38"/>
  <c r="AB84" i="38"/>
  <c r="AN60" i="38"/>
  <c r="AB40" i="38"/>
  <c r="AI27" i="38"/>
  <c r="AL117" i="38"/>
  <c r="AL23" i="38"/>
  <c r="L7" i="26" s="1"/>
  <c r="L9" i="26" s="1"/>
  <c r="AL27" i="38"/>
  <c r="AB91" i="38"/>
  <c r="AB76" i="38"/>
  <c r="AE60" i="38"/>
  <c r="AB58" i="38"/>
  <c r="AC60" i="38"/>
  <c r="AH27" i="38"/>
  <c r="AB55" i="38"/>
  <c r="AB51" i="38"/>
  <c r="AB116" i="38"/>
  <c r="AB93" i="38"/>
  <c r="AD60" i="38"/>
  <c r="AB106" i="38"/>
  <c r="AB50" i="38"/>
  <c r="AB48" i="38"/>
  <c r="AK60" i="38"/>
  <c r="AB98" i="38"/>
  <c r="AF117" i="38"/>
  <c r="AB41" i="38"/>
  <c r="F14" i="6"/>
  <c r="J49" i="22" s="1"/>
  <c r="G46" i="22"/>
  <c r="AB54" i="38" l="1"/>
  <c r="AB107" i="38"/>
  <c r="AL46" i="38"/>
  <c r="AL61" i="38" s="1"/>
  <c r="AB82" i="38"/>
  <c r="AB45" i="38"/>
  <c r="AB44" i="38"/>
  <c r="J40" i="22"/>
  <c r="J41" i="22" s="1"/>
  <c r="J46" i="22" s="1"/>
  <c r="J52" i="22" s="1"/>
  <c r="AI61" i="38"/>
  <c r="AI62" i="38" s="1"/>
  <c r="C121" i="38"/>
  <c r="C131" i="38" s="1"/>
  <c r="Z130" i="38"/>
  <c r="AF46" i="38"/>
  <c r="AH46" i="38"/>
  <c r="AH61" i="38" s="1"/>
  <c r="AH62" i="38" s="1"/>
  <c r="AG46" i="38"/>
  <c r="AG61" i="38" s="1"/>
  <c r="AG62" i="38" s="1"/>
  <c r="AN46" i="38"/>
  <c r="AE61" i="38"/>
  <c r="AE62" i="38" s="1"/>
  <c r="AK46" i="38"/>
  <c r="AK61" i="38" s="1"/>
  <c r="AK62" i="38" s="1"/>
  <c r="AM46" i="38"/>
  <c r="AM61" i="38" s="1"/>
  <c r="AM62" i="38" s="1"/>
  <c r="K62" i="38"/>
  <c r="F17" i="6"/>
  <c r="F24" i="6" s="1"/>
  <c r="E14" i="6"/>
  <c r="E17" i="6" s="1"/>
  <c r="E18" i="6" s="1"/>
  <c r="Z132" i="38" s="1"/>
  <c r="Y61" i="38"/>
  <c r="D13" i="6" s="1"/>
  <c r="W61" i="38"/>
  <c r="X61" i="38" s="1"/>
  <c r="W130" i="38"/>
  <c r="X130" i="38" s="1"/>
  <c r="Y62" i="38"/>
  <c r="W62" i="38"/>
  <c r="X62" i="38" s="1"/>
  <c r="B121" i="38"/>
  <c r="AN61" i="38"/>
  <c r="AN62" i="38" s="1"/>
  <c r="AB123" i="38"/>
  <c r="AC125" i="38"/>
  <c r="AB115" i="38"/>
  <c r="Y69" i="38"/>
  <c r="C120" i="38"/>
  <c r="W69" i="38"/>
  <c r="X69" i="38" s="1"/>
  <c r="AB117" i="38"/>
  <c r="AD61" i="38"/>
  <c r="AD62" i="38" s="1"/>
  <c r="AF64" i="38"/>
  <c r="AE69" i="38"/>
  <c r="AB27" i="38"/>
  <c r="AC61" i="38"/>
  <c r="AB60" i="38"/>
  <c r="O17" i="32"/>
  <c r="P17" i="32"/>
  <c r="AL62" i="38"/>
  <c r="H7" i="26"/>
  <c r="H9" i="26" s="1"/>
  <c r="AB23" i="38"/>
  <c r="F18" i="6" l="1"/>
  <c r="AA132" i="38" s="1"/>
  <c r="AA133" i="38" s="1"/>
  <c r="Y121" i="38"/>
  <c r="B131" i="38"/>
  <c r="Z62" i="38"/>
  <c r="K121" i="38"/>
  <c r="Y120" i="38"/>
  <c r="D14" i="6" s="1"/>
  <c r="D17" i="6" s="1"/>
  <c r="W120" i="38"/>
  <c r="X120" i="38" s="1"/>
  <c r="AB46" i="38"/>
  <c r="AF61" i="38"/>
  <c r="AF62" i="38" s="1"/>
  <c r="AD121" i="38"/>
  <c r="AD131" i="38" s="1"/>
  <c r="D4" i="42" s="1"/>
  <c r="AC130" i="38"/>
  <c r="AB130" i="38" s="1"/>
  <c r="AB125" i="38"/>
  <c r="AG64" i="38"/>
  <c r="AF69" i="38"/>
  <c r="F26" i="6"/>
  <c r="J53" i="22"/>
  <c r="AE121" i="38"/>
  <c r="AE131" i="38" s="1"/>
  <c r="E4" i="42" s="1"/>
  <c r="AC62" i="38"/>
  <c r="AF121" i="38" l="1"/>
  <c r="AF131" i="38" s="1"/>
  <c r="F4" i="42" s="1"/>
  <c r="D18" i="6"/>
  <c r="Y132" i="38" s="1"/>
  <c r="D24" i="6"/>
  <c r="D26" i="6" s="1"/>
  <c r="Z121" i="38"/>
  <c r="K131" i="38"/>
  <c r="Z131" i="38" s="1"/>
  <c r="Z133" i="38" s="1"/>
  <c r="AB61" i="38"/>
  <c r="W131" i="38"/>
  <c r="X131" i="38" s="1"/>
  <c r="W121" i="38"/>
  <c r="X121" i="38" s="1"/>
  <c r="L53" i="22"/>
  <c r="J55" i="22"/>
  <c r="AC121" i="38"/>
  <c r="AB62" i="38"/>
  <c r="AH64" i="38"/>
  <c r="AG69" i="38"/>
  <c r="AG121" i="38" s="1"/>
  <c r="AG131" i="38" s="1"/>
  <c r="G4" i="42" s="1"/>
  <c r="Y131" i="38" l="1"/>
  <c r="Y133" i="38" s="1"/>
  <c r="AI64" i="38"/>
  <c r="AH69" i="38"/>
  <c r="AH121" i="38" s="1"/>
  <c r="AH131" i="38" s="1"/>
  <c r="H4" i="42" s="1"/>
  <c r="AC131" i="38"/>
  <c r="C4" i="42" l="1"/>
  <c r="C8" i="42" s="1"/>
  <c r="AI69" i="38"/>
  <c r="AI121" i="38" s="1"/>
  <c r="AI131" i="38" s="1"/>
  <c r="I4" i="42" s="1"/>
  <c r="AJ64" i="38"/>
  <c r="AK64" i="38" l="1"/>
  <c r="AJ69" i="38"/>
  <c r="AJ121" i="38" s="1"/>
  <c r="AJ131" i="38" s="1"/>
  <c r="J4" i="42" s="1"/>
  <c r="D8" i="42"/>
  <c r="E8" i="42" s="1"/>
  <c r="F8" i="42" s="1"/>
  <c r="G8" i="42" s="1"/>
  <c r="H8" i="42" s="1"/>
  <c r="I8" i="42" s="1"/>
  <c r="C11" i="42"/>
  <c r="D11" i="42" s="1"/>
  <c r="E11" i="42" s="1"/>
  <c r="F11" i="42" s="1"/>
  <c r="G11" i="42" s="1"/>
  <c r="H11" i="42" s="1"/>
  <c r="I11" i="42" s="1"/>
  <c r="J11" i="42" l="1"/>
  <c r="J8" i="42"/>
  <c r="AK69" i="38"/>
  <c r="AK121" i="38" s="1"/>
  <c r="AL64" i="38"/>
  <c r="AM64" i="38" l="1"/>
  <c r="AL69" i="38"/>
  <c r="AL121" i="38" s="1"/>
  <c r="AL131" i="38" s="1"/>
  <c r="L4" i="42" s="1"/>
  <c r="AK131" i="38"/>
  <c r="K4" i="42" l="1"/>
  <c r="AM69" i="38"/>
  <c r="AM121" i="38" s="1"/>
  <c r="AM131" i="38" s="1"/>
  <c r="M4" i="42" s="1"/>
  <c r="AN64" i="38"/>
  <c r="AN69" i="38" l="1"/>
  <c r="AB64" i="38"/>
  <c r="K8" i="42"/>
  <c r="L8" i="42" s="1"/>
  <c r="M8" i="42" s="1"/>
  <c r="K11" i="42"/>
  <c r="L11" i="42" s="1"/>
  <c r="M11" i="42" s="1"/>
  <c r="AB69" i="38" l="1"/>
  <c r="AN121" i="38" l="1"/>
  <c r="AB120" i="38"/>
  <c r="AN131" i="38" l="1"/>
  <c r="AB121" i="38"/>
  <c r="N4" i="42" l="1"/>
  <c r="AB131" i="38"/>
  <c r="N11" i="42" l="1"/>
  <c r="N8" i="42"/>
  <c r="N17" i="42" s="1"/>
  <c r="N18" i="42" s="1"/>
  <c r="N13" i="42" l="1"/>
  <c r="N14" i="42" s="1"/>
</calcChain>
</file>

<file path=xl/comments1.xml><?xml version="1.0" encoding="utf-8"?>
<comments xmlns="http://schemas.openxmlformats.org/spreadsheetml/2006/main">
  <authors>
    <author>Brian Pope</author>
  </authors>
  <commentList>
    <comment ref="AK16" authorId="0" shapeId="0">
      <text>
        <r>
          <rPr>
            <b/>
            <sz val="9"/>
            <color indexed="81"/>
            <rFont val="Tahoma"/>
            <charset val="1"/>
          </rPr>
          <t>Brian Pope:</t>
        </r>
        <r>
          <rPr>
            <sz val="9"/>
            <color indexed="81"/>
            <rFont val="Tahoma"/>
            <charset val="1"/>
          </rPr>
          <t xml:space="preserve">
Block Grant
</t>
        </r>
      </text>
    </comment>
    <comment ref="Z25" authorId="0" shapeId="0">
      <text>
        <r>
          <rPr>
            <b/>
            <sz val="9"/>
            <color indexed="81"/>
            <rFont val="Tahoma"/>
            <family val="2"/>
          </rPr>
          <t>Brian Pope:</t>
        </r>
        <r>
          <rPr>
            <sz val="9"/>
            <color indexed="81"/>
            <rFont val="Tahoma"/>
            <family val="2"/>
          </rPr>
          <t xml:space="preserve">
crop box reimbursement, not recurring
</t>
        </r>
      </text>
    </comment>
    <comment ref="AD26" authorId="0" shapeId="0">
      <text>
        <r>
          <rPr>
            <b/>
            <sz val="9"/>
            <color indexed="81"/>
            <rFont val="Tahoma"/>
            <charset val="1"/>
          </rPr>
          <t>Brian Pope:</t>
        </r>
        <r>
          <rPr>
            <sz val="9"/>
            <color indexed="81"/>
            <rFont val="Tahoma"/>
            <charset val="1"/>
          </rPr>
          <t xml:space="preserve">
PPP forgiveness</t>
        </r>
      </text>
    </comment>
    <comment ref="AA56" authorId="0" shapeId="0">
      <text>
        <r>
          <rPr>
            <b/>
            <sz val="9"/>
            <color indexed="81"/>
            <rFont val="Tahoma"/>
            <charset val="1"/>
          </rPr>
          <t>Brian Pope:</t>
        </r>
        <r>
          <rPr>
            <sz val="9"/>
            <color indexed="81"/>
            <rFont val="Tahoma"/>
            <charset val="1"/>
          </rPr>
          <t xml:space="preserve">
Going to try to grow own seedlings </t>
        </r>
      </text>
    </comment>
    <comment ref="AA84" authorId="0" shapeId="0">
      <text>
        <r>
          <rPr>
            <b/>
            <sz val="9"/>
            <color indexed="81"/>
            <rFont val="Tahoma"/>
            <charset val="1"/>
          </rPr>
          <t>Brian Pope:</t>
        </r>
        <r>
          <rPr>
            <sz val="9"/>
            <color indexed="81"/>
            <rFont val="Tahoma"/>
            <charset val="1"/>
          </rPr>
          <t xml:space="preserve">
Payroll Processing
</t>
        </r>
      </text>
    </comment>
    <comment ref="AA99" authorId="0" shapeId="0">
      <text>
        <r>
          <rPr>
            <b/>
            <sz val="9"/>
            <color indexed="81"/>
            <rFont val="Tahoma"/>
            <charset val="1"/>
          </rPr>
          <t>Brian Pope:</t>
        </r>
        <r>
          <rPr>
            <sz val="9"/>
            <color indexed="81"/>
            <rFont val="Tahoma"/>
            <charset val="1"/>
          </rPr>
          <t xml:space="preserve">
video marketing</t>
        </r>
      </text>
    </comment>
    <comment ref="AA100" authorId="0" shapeId="0">
      <text>
        <r>
          <rPr>
            <b/>
            <sz val="9"/>
            <color indexed="81"/>
            <rFont val="Tahoma"/>
            <charset val="1"/>
          </rPr>
          <t>Brian Pope:</t>
        </r>
        <r>
          <rPr>
            <sz val="9"/>
            <color indexed="81"/>
            <rFont val="Tahoma"/>
            <charset val="1"/>
          </rPr>
          <t xml:space="preserve">
basecamp
Quickbooks
Expensify</t>
        </r>
      </text>
    </comment>
    <comment ref="AA105" authorId="0" shapeId="0">
      <text>
        <r>
          <rPr>
            <b/>
            <sz val="9"/>
            <color indexed="81"/>
            <rFont val="Tahoma"/>
            <charset val="1"/>
          </rPr>
          <t>Brian Pope:</t>
        </r>
        <r>
          <rPr>
            <sz val="9"/>
            <color indexed="81"/>
            <rFont val="Tahoma"/>
            <charset val="1"/>
          </rPr>
          <t xml:space="preserve">
Moved to Payroll Exp
</t>
        </r>
      </text>
    </comment>
    <comment ref="AA119" authorId="0" shapeId="0">
      <text>
        <r>
          <rPr>
            <b/>
            <sz val="9"/>
            <color indexed="81"/>
            <rFont val="Tahoma"/>
            <charset val="1"/>
          </rPr>
          <t>Brian Pope:</t>
        </r>
        <r>
          <rPr>
            <sz val="9"/>
            <color indexed="81"/>
            <rFont val="Tahoma"/>
            <charset val="1"/>
          </rPr>
          <t xml:space="preserve">
Accounting Review</t>
        </r>
      </text>
    </comment>
  </commentList>
</comments>
</file>

<file path=xl/comments2.xml><?xml version="1.0" encoding="utf-8"?>
<comments xmlns="http://schemas.openxmlformats.org/spreadsheetml/2006/main">
  <authors>
    <author>Brian Pope</author>
  </authors>
  <commentList>
    <comment ref="B15" authorId="0" shapeId="0">
      <text>
        <r>
          <rPr>
            <b/>
            <sz val="9"/>
            <color indexed="81"/>
            <rFont val="Tahoma"/>
            <charset val="1"/>
          </rPr>
          <t>Brian Pope:</t>
        </r>
        <r>
          <rPr>
            <sz val="9"/>
            <color indexed="81"/>
            <rFont val="Tahoma"/>
            <charset val="1"/>
          </rPr>
          <t xml:space="preserve">
Moved $600 to R&amp;M
</t>
        </r>
      </text>
    </comment>
    <comment ref="B16" authorId="0" shapeId="0">
      <text>
        <r>
          <rPr>
            <b/>
            <sz val="9"/>
            <color indexed="81"/>
            <rFont val="Tahoma"/>
            <charset val="1"/>
          </rPr>
          <t>Brian Pope:</t>
        </r>
        <r>
          <rPr>
            <sz val="9"/>
            <color indexed="81"/>
            <rFont val="Tahoma"/>
            <charset val="1"/>
          </rPr>
          <t xml:space="preserve">
Moved $500 to Equip</t>
        </r>
      </text>
    </comment>
    <comment ref="B17" authorId="0" shapeId="0">
      <text>
        <r>
          <rPr>
            <b/>
            <sz val="9"/>
            <color indexed="81"/>
            <rFont val="Tahoma"/>
            <charset val="1"/>
          </rPr>
          <t>Brian Pope:</t>
        </r>
        <r>
          <rPr>
            <sz val="9"/>
            <color indexed="81"/>
            <rFont val="Tahoma"/>
            <charset val="1"/>
          </rPr>
          <t xml:space="preserve">
Moved $600 to Equipment
</t>
        </r>
      </text>
    </comment>
    <comment ref="B21" authorId="0" shapeId="0">
      <text>
        <r>
          <rPr>
            <b/>
            <sz val="9"/>
            <color indexed="81"/>
            <rFont val="Tahoma"/>
            <charset val="1"/>
          </rPr>
          <t>Brian Pope:</t>
        </r>
        <r>
          <rPr>
            <sz val="9"/>
            <color indexed="81"/>
            <rFont val="Tahoma"/>
            <charset val="1"/>
          </rPr>
          <t xml:space="preserve">
Moved $700 to Equipment
</t>
        </r>
      </text>
    </comment>
    <comment ref="B22" authorId="0" shapeId="0">
      <text>
        <r>
          <rPr>
            <b/>
            <sz val="9"/>
            <color indexed="81"/>
            <rFont val="Tahoma"/>
            <charset val="1"/>
          </rPr>
          <t>Brian Pope:</t>
        </r>
        <r>
          <rPr>
            <sz val="9"/>
            <color indexed="81"/>
            <rFont val="Tahoma"/>
            <charset val="1"/>
          </rPr>
          <t xml:space="preserve">
Moved $250 to Equipment</t>
        </r>
      </text>
    </comment>
    <comment ref="B23" authorId="0" shapeId="0">
      <text>
        <r>
          <rPr>
            <b/>
            <sz val="9"/>
            <color indexed="81"/>
            <rFont val="Tahoma"/>
            <charset val="1"/>
          </rPr>
          <t>Brian Pope:</t>
        </r>
        <r>
          <rPr>
            <sz val="9"/>
            <color indexed="81"/>
            <rFont val="Tahoma"/>
            <charset val="1"/>
          </rPr>
          <t xml:space="preserve">
Moved $350 to Equipment</t>
        </r>
      </text>
    </comment>
    <comment ref="B24" authorId="0" shapeId="0">
      <text>
        <r>
          <rPr>
            <b/>
            <sz val="9"/>
            <color indexed="81"/>
            <rFont val="Tahoma"/>
            <charset val="1"/>
          </rPr>
          <t>Brian Pope:</t>
        </r>
        <r>
          <rPr>
            <sz val="9"/>
            <color indexed="81"/>
            <rFont val="Tahoma"/>
            <charset val="1"/>
          </rPr>
          <t xml:space="preserve">
Moved $350 to Equipment</t>
        </r>
      </text>
    </comment>
    <comment ref="B27" authorId="0" shapeId="0">
      <text>
        <r>
          <rPr>
            <b/>
            <sz val="9"/>
            <color indexed="81"/>
            <rFont val="Tahoma"/>
            <charset val="1"/>
          </rPr>
          <t>Brian Pope:</t>
        </r>
        <r>
          <rPr>
            <sz val="9"/>
            <color indexed="81"/>
            <rFont val="Tahoma"/>
            <charset val="1"/>
          </rPr>
          <t xml:space="preserve">
Moved $350 to Equipment</t>
        </r>
      </text>
    </comment>
  </commentList>
</comments>
</file>

<file path=xl/comments3.xml><?xml version="1.0" encoding="utf-8"?>
<comments xmlns="http://schemas.openxmlformats.org/spreadsheetml/2006/main">
  <authors>
    <author>Kyle Hendrickson</author>
  </authors>
  <commentList>
    <comment ref="C71" authorId="0" shapeId="0">
      <text>
        <r>
          <rPr>
            <b/>
            <sz val="9"/>
            <color indexed="81"/>
            <rFont val="Tahoma"/>
            <family val="2"/>
          </rPr>
          <t>Kyle Hendrickson:</t>
        </r>
        <r>
          <rPr>
            <sz val="9"/>
            <color indexed="81"/>
            <rFont val="Tahoma"/>
            <family val="2"/>
          </rPr>
          <t xml:space="preserve">
77 Trips budgeted for 2016. 
Approx 34 Trips YTD16</t>
        </r>
      </text>
    </comment>
  </commentList>
</comments>
</file>

<file path=xl/sharedStrings.xml><?xml version="1.0" encoding="utf-8"?>
<sst xmlns="http://schemas.openxmlformats.org/spreadsheetml/2006/main" count="4748" uniqueCount="1322">
  <si>
    <t>Revenue</t>
  </si>
  <si>
    <t>Kale</t>
  </si>
  <si>
    <t>Arugula</t>
  </si>
  <si>
    <t>Cabbage</t>
  </si>
  <si>
    <t>Zucchini</t>
  </si>
  <si>
    <t>Cucumbers</t>
  </si>
  <si>
    <t>Broccoli</t>
  </si>
  <si>
    <t>Cauliflower</t>
  </si>
  <si>
    <t>Spaghetti</t>
  </si>
  <si>
    <t>Produce</t>
  </si>
  <si>
    <t>Sales</t>
  </si>
  <si>
    <t>Spoilage 10%</t>
  </si>
  <si>
    <t>Roma Tomatoes</t>
  </si>
  <si>
    <t>Selling %</t>
  </si>
  <si>
    <t>Sales Revenue</t>
  </si>
  <si>
    <t>Sweet Potato</t>
  </si>
  <si>
    <t>Yellow Summer Squash</t>
  </si>
  <si>
    <t>Donations:</t>
  </si>
  <si>
    <t>Totals</t>
  </si>
  <si>
    <t>Expenses</t>
  </si>
  <si>
    <t>Cost of Goods Sold</t>
  </si>
  <si>
    <t>Seed Cost:</t>
  </si>
  <si>
    <t>Field Tomato</t>
  </si>
  <si>
    <t>Red Potato</t>
  </si>
  <si>
    <t>Strawberries</t>
  </si>
  <si>
    <t>Wages :</t>
  </si>
  <si>
    <t>Total</t>
  </si>
  <si>
    <t>Rate</t>
  </si>
  <si>
    <t>PPE:</t>
  </si>
  <si>
    <t>Seasonal Employee 1</t>
  </si>
  <si>
    <t>Seasonal Employee 2</t>
  </si>
  <si>
    <t>Seasonal Employee 3</t>
  </si>
  <si>
    <t>Joey Lankford</t>
  </si>
  <si>
    <t>Total Salaries</t>
  </si>
  <si>
    <t>Salaries:</t>
  </si>
  <si>
    <t>Jennifer Diehl: Gross Salary</t>
  </si>
  <si>
    <t>Insurance</t>
  </si>
  <si>
    <t>Less</t>
  </si>
  <si>
    <t>Pledge</t>
  </si>
  <si>
    <t>West, Allen and Emily</t>
  </si>
  <si>
    <t>Contributions Unrestricted</t>
  </si>
  <si>
    <t>Accounts Receivable (A/R)</t>
  </si>
  <si>
    <t>Cole, Lynne</t>
  </si>
  <si>
    <t>Ward, David and Debbie</t>
  </si>
  <si>
    <t>Comstock, Debbie</t>
  </si>
  <si>
    <t>West, George and Julie</t>
  </si>
  <si>
    <t>Self, Annie</t>
  </si>
  <si>
    <t>Huffman, Meghan</t>
  </si>
  <si>
    <t>Price, Bill and Amanda</t>
  </si>
  <si>
    <t>Bishop, Chris and Jayne</t>
  </si>
  <si>
    <t>Terrill, Sonny and Kim</t>
  </si>
  <si>
    <t>Harlin, Bill and Kelly</t>
  </si>
  <si>
    <t>Tulloch, Mark and Emily</t>
  </si>
  <si>
    <t>Arthur, Scott and Sally</t>
  </si>
  <si>
    <t>Alsup, Katherine</t>
  </si>
  <si>
    <t>Lankford, Nathan</t>
  </si>
  <si>
    <t>Sharp, Steven</t>
  </si>
  <si>
    <t>Nation, Jonlyn</t>
  </si>
  <si>
    <t>Stacey, David and Beverly</t>
  </si>
  <si>
    <t>Lankford, Jerry and Lori</t>
  </si>
  <si>
    <t>Diehl, Jeffrey</t>
  </si>
  <si>
    <t>one-time gift</t>
  </si>
  <si>
    <t>Brown, Hoffman and Jamie</t>
  </si>
  <si>
    <t>One-time gift</t>
  </si>
  <si>
    <t>National Christian Foundation</t>
  </si>
  <si>
    <t>Jane and Richard Eskind and Family foundation</t>
  </si>
  <si>
    <t>McLarty, Tony</t>
  </si>
  <si>
    <t>Taylor, Donna</t>
  </si>
  <si>
    <t>Peterson, Derek</t>
  </si>
  <si>
    <t>Woodall, Mike</t>
  </si>
  <si>
    <t>Hutcheson, Larry and Patsy</t>
  </si>
  <si>
    <t>Anonymous</t>
  </si>
  <si>
    <t>Cooke, Colin and Amy</t>
  </si>
  <si>
    <t>One Time Donantions</t>
  </si>
  <si>
    <t>Total Donations</t>
  </si>
  <si>
    <t>Date</t>
  </si>
  <si>
    <t>Name</t>
  </si>
  <si>
    <t>Required</t>
  </si>
  <si>
    <t>January</t>
  </si>
  <si>
    <t>February</t>
  </si>
  <si>
    <t>March</t>
  </si>
  <si>
    <t>April</t>
  </si>
  <si>
    <t>May</t>
  </si>
  <si>
    <t>June</t>
  </si>
  <si>
    <t>July</t>
  </si>
  <si>
    <t>August</t>
  </si>
  <si>
    <t>September</t>
  </si>
  <si>
    <t>October</t>
  </si>
  <si>
    <t>November</t>
  </si>
  <si>
    <t>December</t>
  </si>
  <si>
    <t>Cul2vate</t>
  </si>
  <si>
    <t>Account QuickReport</t>
  </si>
  <si>
    <t>Since December 5, 2016</t>
  </si>
  <si>
    <t>Transaction Type</t>
  </si>
  <si>
    <t>Num</t>
  </si>
  <si>
    <t>Memo/Description</t>
  </si>
  <si>
    <t>Account</t>
  </si>
  <si>
    <t>Amount</t>
  </si>
  <si>
    <t>Zurich-American</t>
  </si>
  <si>
    <t>renewal of workers comp insurance</t>
  </si>
  <si>
    <t>IVY Insurance</t>
  </si>
  <si>
    <t>Erie Insurance</t>
  </si>
  <si>
    <t>Total for Insurance</t>
  </si>
  <si>
    <t>Jan</t>
  </si>
  <si>
    <t>Feb</t>
  </si>
  <si>
    <t>Net Income</t>
  </si>
  <si>
    <t>Grant</t>
  </si>
  <si>
    <t>Fundraiser</t>
  </si>
  <si>
    <t>One Time</t>
  </si>
  <si>
    <t>O</t>
  </si>
  <si>
    <t>G</t>
  </si>
  <si>
    <t>Cropbox</t>
  </si>
  <si>
    <t>Split</t>
  </si>
  <si>
    <t>Friend of the Farm</t>
  </si>
  <si>
    <t>Contributions Unrestricted:Monthly Recurring Donation</t>
  </si>
  <si>
    <t>DeSalvatore, Vicki &amp; Harry</t>
  </si>
  <si>
    <t>Dudley, Stacy</t>
  </si>
  <si>
    <t>Fowler, Lori and Nathan</t>
  </si>
  <si>
    <t>Gonas, John</t>
  </si>
  <si>
    <t>Hampton, Bill &amp; Amanda</t>
  </si>
  <si>
    <t>Olsen, Richard and Mardonna</t>
  </si>
  <si>
    <t>Rader, Nela and Randy</t>
  </si>
  <si>
    <t>Grand Total</t>
  </si>
  <si>
    <t>REVENUE</t>
  </si>
  <si>
    <t>Monthly</t>
  </si>
  <si>
    <t>Jan 2018</t>
  </si>
  <si>
    <t>Feb 2018</t>
  </si>
  <si>
    <t>Mar 2018</t>
  </si>
  <si>
    <t>Apr 2018</t>
  </si>
  <si>
    <t>May 2018</t>
  </si>
  <si>
    <t>Jun 2018</t>
  </si>
  <si>
    <t>Jul 2018</t>
  </si>
  <si>
    <t>Aug 2018</t>
  </si>
  <si>
    <t>Sep 2018</t>
  </si>
  <si>
    <t xml:space="preserve">   Billable Expenditure Revenue</t>
  </si>
  <si>
    <t xml:space="preserve">   Contributions Restricted</t>
  </si>
  <si>
    <t xml:space="preserve">   Contributions Unrestricted</t>
  </si>
  <si>
    <t xml:space="preserve">      Fall Fundraiser 2018</t>
  </si>
  <si>
    <t xml:space="preserve">      Fall Fundraiser Revenue</t>
  </si>
  <si>
    <t xml:space="preserve">      Monthly Recurring Donation</t>
  </si>
  <si>
    <t xml:space="preserve">      Oak Hill School Fundraiser 5/8/2018</t>
  </si>
  <si>
    <t xml:space="preserve">      One-Time Gift</t>
  </si>
  <si>
    <t xml:space="preserve">      The Big Payback</t>
  </si>
  <si>
    <t xml:space="preserve">   Total Contributions Unrestricted</t>
  </si>
  <si>
    <t xml:space="preserve">   Grant Funding</t>
  </si>
  <si>
    <t xml:space="preserve">   In-Kind Donations</t>
  </si>
  <si>
    <t xml:space="preserve">   Merchandise Sold</t>
  </si>
  <si>
    <t xml:space="preserve">   Produce</t>
  </si>
  <si>
    <t xml:space="preserve">      CSA Revenue</t>
  </si>
  <si>
    <t xml:space="preserve">      Distributor Produce Sales</t>
  </si>
  <si>
    <t xml:space="preserve">      Farmers Market Revenue</t>
  </si>
  <si>
    <t xml:space="preserve">      Restaurant Revenue</t>
  </si>
  <si>
    <t xml:space="preserve">   Total Produce</t>
  </si>
  <si>
    <t xml:space="preserve">   Refunds-Allowances</t>
  </si>
  <si>
    <t xml:space="preserve">   Sales</t>
  </si>
  <si>
    <t xml:space="preserve">   Uncategorized Revenue</t>
  </si>
  <si>
    <t>Total Revenue</t>
  </si>
  <si>
    <t xml:space="preserve">   Cost of labor - COS</t>
  </si>
  <si>
    <t xml:space="preserve">   Electricity</t>
  </si>
  <si>
    <t xml:space="preserve">   Equipment</t>
  </si>
  <si>
    <t xml:space="preserve">   Farm Tools &amp; Machinery</t>
  </si>
  <si>
    <t xml:space="preserve">   Fertilizer</t>
  </si>
  <si>
    <t xml:space="preserve">   Freight &amp; delivery - COS</t>
  </si>
  <si>
    <t xml:space="preserve">   Greenhouse Building Materials</t>
  </si>
  <si>
    <t xml:space="preserve">   Growing medium</t>
  </si>
  <si>
    <t xml:space="preserve">   Insecticide</t>
  </si>
  <si>
    <t xml:space="preserve">   Irrigation Supplies</t>
  </si>
  <si>
    <t xml:space="preserve">   Packaging</t>
  </si>
  <si>
    <t xml:space="preserve">   Propane</t>
  </si>
  <si>
    <t xml:space="preserve">   Seeds &amp; seedlings</t>
  </si>
  <si>
    <t xml:space="preserve">   Sensors for Greenhouses</t>
  </si>
  <si>
    <t xml:space="preserve">   Subcontractors - COS</t>
  </si>
  <si>
    <t xml:space="preserve">   Telephone</t>
  </si>
  <si>
    <t xml:space="preserve">   Total Telephone</t>
  </si>
  <si>
    <t>Total Cost of Goods Sold</t>
  </si>
  <si>
    <t>Gross Profit</t>
  </si>
  <si>
    <t>Expenditures</t>
  </si>
  <si>
    <t xml:space="preserve">   Admin - Wages</t>
  </si>
  <si>
    <t xml:space="preserve">   Advertising</t>
  </si>
  <si>
    <t xml:space="preserve">   Auto Mileage Reimbursement</t>
  </si>
  <si>
    <t xml:space="preserve">   Bank Charges</t>
  </si>
  <si>
    <t xml:space="preserve">   Charitable Contributions</t>
  </si>
  <si>
    <t xml:space="preserve">   Commissions &amp; fees</t>
  </si>
  <si>
    <t xml:space="preserve">   Courier &amp; postage</t>
  </si>
  <si>
    <t xml:space="preserve">   Curriculum Supplies</t>
  </si>
  <si>
    <t xml:space="preserve">   Electric</t>
  </si>
  <si>
    <t xml:space="preserve">   Farmer's Market Fees</t>
  </si>
  <si>
    <t xml:space="preserve">   Farmers Market Supplies</t>
  </si>
  <si>
    <t xml:space="preserve">   Finance Charges</t>
  </si>
  <si>
    <t xml:space="preserve">      Fuel for Farm Equipment</t>
  </si>
  <si>
    <t xml:space="preserve">      Fuel for Truck</t>
  </si>
  <si>
    <t xml:space="preserve">      Fuel For Van</t>
  </si>
  <si>
    <t xml:space="preserve">   Total Gas</t>
  </si>
  <si>
    <t xml:space="preserve">   Human Resources Expenses</t>
  </si>
  <si>
    <t xml:space="preserve">   Insurance</t>
  </si>
  <si>
    <t xml:space="preserve">   Legal &amp; Professional Fees</t>
  </si>
  <si>
    <t xml:space="preserve">   Meals and Entertainment</t>
  </si>
  <si>
    <t xml:space="preserve">   Office Expenses</t>
  </si>
  <si>
    <t xml:space="preserve">   Office Supplies</t>
  </si>
  <si>
    <t xml:space="preserve">   Payroll taxes</t>
  </si>
  <si>
    <t xml:space="preserve">   Port-a-Potties</t>
  </si>
  <si>
    <t xml:space="preserve">   Shipping and delivery expense</t>
  </si>
  <si>
    <t xml:space="preserve">   Social Media Marketing</t>
  </si>
  <si>
    <t xml:space="preserve">   Software Expenses</t>
  </si>
  <si>
    <t xml:space="preserve">   Stationery &amp; Printing</t>
  </si>
  <si>
    <t xml:space="preserve">   Subcontractors</t>
  </si>
  <si>
    <t xml:space="preserve">   Supplies</t>
  </si>
  <si>
    <t xml:space="preserve">   Taxes &amp; Licenses</t>
  </si>
  <si>
    <t xml:space="preserve">   Tools</t>
  </si>
  <si>
    <t xml:space="preserve">   Travel</t>
  </si>
  <si>
    <t xml:space="preserve">   Utilities</t>
  </si>
  <si>
    <t xml:space="preserve">   Vehicle Expense</t>
  </si>
  <si>
    <t xml:space="preserve">   Website Development</t>
  </si>
  <si>
    <t>Total Expenditures</t>
  </si>
  <si>
    <t>Net Operating Revenue</t>
  </si>
  <si>
    <t>Other Revenue</t>
  </si>
  <si>
    <t xml:space="preserve">   Interest Earned</t>
  </si>
  <si>
    <t>Total Other Revenue</t>
  </si>
  <si>
    <t>Other Expenditures</t>
  </si>
  <si>
    <t xml:space="preserve">   Credit Card Processing Fees</t>
  </si>
  <si>
    <t>Total Other Expenditures</t>
  </si>
  <si>
    <t>Net Other Revenue</t>
  </si>
  <si>
    <t>Net Revenue</t>
  </si>
  <si>
    <t>Grants:</t>
  </si>
  <si>
    <t>Total Grants</t>
  </si>
  <si>
    <t>Produce:</t>
  </si>
  <si>
    <t>Merchandise Sold</t>
  </si>
  <si>
    <t>June-Aug</t>
  </si>
  <si>
    <t>COGS</t>
  </si>
  <si>
    <t>Fall Fund Raiser</t>
  </si>
  <si>
    <t>Bonuses</t>
  </si>
  <si>
    <t>Mar</t>
  </si>
  <si>
    <t>Apr</t>
  </si>
  <si>
    <t>Jun</t>
  </si>
  <si>
    <t>Jul</t>
  </si>
  <si>
    <t>Aug</t>
  </si>
  <si>
    <t>Sep</t>
  </si>
  <si>
    <t>Oct</t>
  </si>
  <si>
    <t>Nov</t>
  </si>
  <si>
    <t>Dec</t>
  </si>
  <si>
    <t>Auto - Van and Truck</t>
  </si>
  <si>
    <t>monthly</t>
  </si>
  <si>
    <t>Monthly amount to be reimbursed through Grant</t>
  </si>
  <si>
    <t>Outside</t>
  </si>
  <si>
    <t>Greenhouse</t>
  </si>
  <si>
    <t>General</t>
  </si>
  <si>
    <t>System Type</t>
  </si>
  <si>
    <t>Herbs/Greens/Lettuces</t>
  </si>
  <si>
    <t>Microgreens</t>
  </si>
  <si>
    <r>
      <t xml:space="preserve">  </t>
    </r>
    <r>
      <rPr>
        <b/>
        <sz val="14"/>
        <color rgb="FFFF0000"/>
        <rFont val="Calibri"/>
        <family val="2"/>
        <scheme val="minor"/>
      </rPr>
      <t xml:space="preserve">The results of your harvest can vary depending on several factors. The growers experience and how they manage the growing conditions within the Cropbox (indoor temperature, humidity, water temperature, PH level, EC level, CO2 level, etc.) can effect the yields that you can achieve. Williamson Greenhouses is here to assist you but is not responsible for the yields/results of your harvest. </t>
    </r>
  </si>
  <si>
    <t>Crop</t>
  </si>
  <si>
    <t>Basil</t>
  </si>
  <si>
    <t>Parsley</t>
  </si>
  <si>
    <t>Mint</t>
  </si>
  <si>
    <t>Sage</t>
  </si>
  <si>
    <t>Summer Savory</t>
  </si>
  <si>
    <t>Sorrel</t>
  </si>
  <si>
    <t>Thyme</t>
  </si>
  <si>
    <t>Oregano</t>
  </si>
  <si>
    <t>Rosemary</t>
  </si>
  <si>
    <t>Dill</t>
  </si>
  <si>
    <t>Chives</t>
  </si>
  <si>
    <t>Lemon Balm</t>
  </si>
  <si>
    <t>Stevia</t>
  </si>
  <si>
    <t>Lemongrass</t>
  </si>
  <si>
    <t>Marjoram</t>
  </si>
  <si>
    <t>Chervil</t>
  </si>
  <si>
    <t>Terragon</t>
  </si>
  <si>
    <t>Cilantro</t>
  </si>
  <si>
    <t>Watercress</t>
  </si>
  <si>
    <t>Spinach</t>
  </si>
  <si>
    <t>Chard</t>
  </si>
  <si>
    <t>Bibb Lettuce</t>
  </si>
  <si>
    <t>Romaine Lettuce</t>
  </si>
  <si>
    <t>Oakleaf Lettuce</t>
  </si>
  <si>
    <t>Lollo Lettuce</t>
  </si>
  <si>
    <t>Mache</t>
  </si>
  <si>
    <t>Salad Mix</t>
  </si>
  <si>
    <t>Amaranth</t>
  </si>
  <si>
    <t>Toscano Kale</t>
  </si>
  <si>
    <t>Red Russian Kale</t>
  </si>
  <si>
    <t>WinWin Choi</t>
  </si>
  <si>
    <t>Red Choi</t>
  </si>
  <si>
    <t>Rhodos Endive</t>
  </si>
  <si>
    <t>Baby Greens Mix</t>
  </si>
  <si>
    <t>Mustard</t>
  </si>
  <si>
    <t>Microgreens (Average)</t>
  </si>
  <si>
    <t>Annual Yield per container (pounds harvested)</t>
  </si>
  <si>
    <t>Annual Costs per container</t>
  </si>
  <si>
    <t>Electricity: Lighting</t>
  </si>
  <si>
    <t>Electricity: Cooling Costs</t>
  </si>
  <si>
    <t>Electricity: Circulation Fans</t>
  </si>
  <si>
    <t>Electricity: Exhaust Fan Costs</t>
  </si>
  <si>
    <t>CO2 Generation</t>
  </si>
  <si>
    <t>Electricity: Pump</t>
  </si>
  <si>
    <t>Growing Media</t>
  </si>
  <si>
    <r>
      <rPr>
        <b/>
        <sz val="11"/>
        <color theme="1"/>
        <rFont val="Calibri"/>
        <family val="2"/>
        <scheme val="minor"/>
      </rPr>
      <t>Pollination</t>
    </r>
    <r>
      <rPr>
        <sz val="12"/>
        <color theme="1"/>
        <rFont val="Calibri"/>
        <family val="2"/>
        <scheme val="minor"/>
      </rPr>
      <t xml:space="preserve"> (Bumblebees)</t>
    </r>
  </si>
  <si>
    <t>Nutrients</t>
  </si>
  <si>
    <r>
      <rPr>
        <b/>
        <sz val="11"/>
        <color theme="1"/>
        <rFont val="Calibri"/>
        <family val="2"/>
        <scheme val="minor"/>
      </rPr>
      <t>Water</t>
    </r>
    <r>
      <rPr>
        <sz val="12"/>
        <color theme="1"/>
        <rFont val="Calibri"/>
        <family val="2"/>
        <scheme val="minor"/>
      </rPr>
      <t xml:space="preserve"> </t>
    </r>
  </si>
  <si>
    <r>
      <rPr>
        <b/>
        <sz val="11"/>
        <color theme="1"/>
        <rFont val="Calibri"/>
        <family val="2"/>
        <scheme val="minor"/>
      </rPr>
      <t>Seed</t>
    </r>
    <r>
      <rPr>
        <sz val="12"/>
        <color theme="1"/>
        <rFont val="Calibri"/>
        <family val="2"/>
        <scheme val="minor"/>
      </rPr>
      <t xml:space="preserve"> </t>
    </r>
  </si>
  <si>
    <t>Transplants</t>
  </si>
  <si>
    <r>
      <rPr>
        <b/>
        <sz val="11"/>
        <color theme="1"/>
        <rFont val="Calibri"/>
        <family val="2"/>
        <scheme val="minor"/>
      </rPr>
      <t>Annual Cost of Restaurant Packaging per container</t>
    </r>
    <r>
      <rPr>
        <sz val="12"/>
        <color theme="1"/>
        <rFont val="Calibri"/>
        <family val="2"/>
        <scheme val="minor"/>
      </rPr>
      <t xml:space="preserve"> (.07 per LB)</t>
    </r>
  </si>
  <si>
    <r>
      <rPr>
        <b/>
        <sz val="11"/>
        <color theme="1"/>
        <rFont val="Calibri"/>
        <family val="2"/>
        <scheme val="minor"/>
      </rPr>
      <t>Planting/Transplanting/ Labor Costs: 10 hours per planting per container</t>
    </r>
    <r>
      <rPr>
        <sz val="12"/>
        <color theme="1"/>
        <rFont val="Calibri"/>
        <family val="2"/>
        <scheme val="minor"/>
      </rPr>
      <t xml:space="preserve"> </t>
    </r>
  </si>
  <si>
    <t>Lease</t>
  </si>
  <si>
    <t>Annual Cost of Production per Container</t>
  </si>
  <si>
    <t>Cost of goods per LB</t>
  </si>
  <si>
    <t>Price When Sold To Organic &amp; Locally Grown Distributors, Retailers and Restaurants</t>
  </si>
  <si>
    <t>Gross Revenue</t>
  </si>
  <si>
    <t>Margin</t>
  </si>
  <si>
    <t>Price When sold to Conventional Distributors</t>
  </si>
  <si>
    <t xml:space="preserve">Revenue </t>
  </si>
  <si>
    <t>Growing Specifications:</t>
  </si>
  <si>
    <t>Weeks in Nursery Stage</t>
  </si>
  <si>
    <t>Weeks in Growout Stage</t>
  </si>
  <si>
    <t>Number of Harvests from single planting</t>
  </si>
  <si>
    <t>Perennial</t>
  </si>
  <si>
    <t>Perrenial</t>
  </si>
  <si>
    <t>Plantings per year</t>
  </si>
  <si>
    <t>Harvests per year</t>
  </si>
  <si>
    <t>Average harvest size per 5 ft nft trough</t>
  </si>
  <si>
    <t>Maximum Temperature For Optimal Growing</t>
  </si>
  <si>
    <t>Annual Degrees Needed To Be Cooled</t>
  </si>
  <si>
    <t>Annual BTU/hr Cooling Needed</t>
  </si>
  <si>
    <t>Environmental Cooling Costs</t>
  </si>
  <si>
    <t>Flourescent Lighting Equipment Cooling Costs</t>
  </si>
  <si>
    <t>Electricity cost per KW/hr</t>
  </si>
  <si>
    <t>Monthly Lease</t>
  </si>
  <si>
    <t>Air Circulation Assumptions</t>
  </si>
  <si>
    <t>Number of Fans</t>
  </si>
  <si>
    <t>Watts per fan</t>
  </si>
  <si>
    <t>Hours per day</t>
  </si>
  <si>
    <t>Annual KW used</t>
  </si>
  <si>
    <t>Annual Costs</t>
  </si>
  <si>
    <t>Circulation Fans</t>
  </si>
  <si>
    <t>Exhaust Fan</t>
  </si>
  <si>
    <t>Cooling Assumptions</t>
  </si>
  <si>
    <t>Number of Mini-split AC units</t>
  </si>
  <si>
    <t>Wattage (KW)</t>
  </si>
  <si>
    <t>Cooling BTUs</t>
  </si>
  <si>
    <t xml:space="preserve">Cooling Costs </t>
  </si>
  <si>
    <t>Pump Cost Assumptions</t>
  </si>
  <si>
    <t>Number of 1/4 hp Pumps</t>
  </si>
  <si>
    <t>Watts per pump</t>
  </si>
  <si>
    <t xml:space="preserve">Annual KW/hr used </t>
  </si>
  <si>
    <t>Annual Pump Costs</t>
  </si>
  <si>
    <t>Lighting Assumptions</t>
  </si>
  <si>
    <t>KW Used</t>
  </si>
  <si>
    <t>Hours on Daily</t>
  </si>
  <si>
    <t>Annual KW/hr 
usage</t>
  </si>
  <si>
    <t>Approximate BTUS 
generated per watt</t>
  </si>
  <si>
    <t>Total Heat Generated (BTU's)</t>
  </si>
  <si>
    <t>Daily Heat 
Production (BTU/hr)</t>
  </si>
  <si>
    <t>Annual Heat 
Production (BTU/hr)</t>
  </si>
  <si>
    <t>LED Fodder/Microgreen Lighting</t>
  </si>
  <si>
    <t>T5 Flourescent Fodder/Microgreen Lighting</t>
  </si>
  <si>
    <t>LED Herbs/Greens/Lettuce Lighting</t>
  </si>
  <si>
    <t>T5 Flourescent Herbs/Greens/ Lettuce Lighting</t>
  </si>
  <si>
    <t>LED Strawberry Lighting</t>
  </si>
  <si>
    <t xml:space="preserve">T5 Flourescent Strawberry Lighting </t>
  </si>
  <si>
    <t>CO2 Generation:
Propane Cost/gallon</t>
  </si>
  <si>
    <t>Target PPM in Air</t>
  </si>
  <si>
    <t>Daily use (lbs)</t>
  </si>
  <si>
    <t>Daily Heat 
Generated: BTU/hr</t>
  </si>
  <si>
    <t>Daily Cooling 
Costs</t>
  </si>
  <si>
    <t>Daily Total Costs 
of Adding CO2</t>
  </si>
  <si>
    <t>Yield Enhancement</t>
  </si>
  <si>
    <t>Nutrient Assumptions</t>
  </si>
  <si>
    <t>Cost of Nutrients Per Gallon</t>
  </si>
  <si>
    <t>Gallons Used annually</t>
  </si>
  <si>
    <t>Annual Nutrient Costs</t>
  </si>
  <si>
    <t>Nutrient Costs for Fodder/Microgreens</t>
  </si>
  <si>
    <t>Nutrient Costs for Herbs/Greens/Lettuces</t>
  </si>
  <si>
    <t>Nutrient Costs for Strawberries</t>
  </si>
  <si>
    <t>Packaging Assumptions</t>
  </si>
  <si>
    <t>Cost of Packaging per LB Harvested</t>
  </si>
  <si>
    <t>Retail Packaging</t>
  </si>
  <si>
    <t>Restaurant Packaging</t>
  </si>
  <si>
    <t>Fodder Packaging</t>
  </si>
  <si>
    <t>Cost Per Planting space</t>
  </si>
  <si>
    <t>Cost per ft</t>
  </si>
  <si>
    <t>Fodder</t>
  </si>
  <si>
    <t>NA</t>
  </si>
  <si>
    <t xml:space="preserve">Microgreens </t>
  </si>
  <si>
    <t>Herbs/Greens/Lettuce (Oasis Horticube or Rockwool)</t>
  </si>
  <si>
    <t>Seed/Transplants</t>
  </si>
  <si>
    <t>Cost Per Planting Space Per Planting</t>
  </si>
  <si>
    <t>Cost Per Sq Ft Per Planting</t>
  </si>
  <si>
    <t>Microgreen</t>
  </si>
  <si>
    <t>Herbs/Greens/Lettuce</t>
  </si>
  <si>
    <t>Labor Cost Per Hour</t>
  </si>
  <si>
    <t>Linear Feet of NFT Channel per container</t>
  </si>
  <si>
    <t>Number of Planting spots per container</t>
  </si>
  <si>
    <t>Water Costs</t>
  </si>
  <si>
    <t>Annual Water Use</t>
  </si>
  <si>
    <t>Annual Water Costs</t>
  </si>
  <si>
    <t>Environmental Heat Load by Month</t>
  </si>
  <si>
    <t>Average Night Temperature</t>
  </si>
  <si>
    <t>Average Day Temperature</t>
  </si>
  <si>
    <t>Container Insulation R-Value</t>
  </si>
  <si>
    <t>Surface Area of Container</t>
  </si>
  <si>
    <t>Environmental Heat Gain per hour, BTU/hr</t>
  </si>
  <si>
    <t>*Heat Gain Calculation, in BTU/hr = (surface area / R) * temp diff</t>
  </si>
  <si>
    <t>Daily HRs Used</t>
  </si>
  <si>
    <t>price to sell</t>
  </si>
  <si>
    <t xml:space="preserve">    Grant and other</t>
  </si>
  <si>
    <t xml:space="preserve">    Donations</t>
  </si>
  <si>
    <t>Allocation</t>
  </si>
  <si>
    <r>
      <t xml:space="preserve">Harvesting Labor Costs: </t>
    </r>
    <r>
      <rPr>
        <b/>
        <sz val="11"/>
        <color theme="0"/>
        <rFont val="Calibri"/>
        <family val="2"/>
        <scheme val="minor"/>
      </rPr>
      <t>11 hours per harvest per container</t>
    </r>
  </si>
  <si>
    <t xml:space="preserve">Maintenance Costs </t>
  </si>
  <si>
    <t>Cover Crop Seed</t>
  </si>
  <si>
    <t>Production</t>
  </si>
  <si>
    <t>Spoilage</t>
  </si>
  <si>
    <t>Contribution</t>
  </si>
  <si>
    <t>Donation</t>
  </si>
  <si>
    <t>Net</t>
  </si>
  <si>
    <t>Other Unrestricted</t>
  </si>
  <si>
    <t>Misc GOGS</t>
  </si>
  <si>
    <t>Total Seed</t>
  </si>
  <si>
    <t>Total Misc</t>
  </si>
  <si>
    <t>Total Labor</t>
  </si>
  <si>
    <t>Total COGS</t>
  </si>
  <si>
    <t>Hrs Week</t>
  </si>
  <si>
    <t>Weeks / YR</t>
  </si>
  <si>
    <t>Improvements</t>
  </si>
  <si>
    <t>Donations</t>
  </si>
  <si>
    <t>Misc</t>
  </si>
  <si>
    <t>Capital &amp; Improvements - required</t>
  </si>
  <si>
    <t>Misc.</t>
  </si>
  <si>
    <t>Statement of Activity</t>
  </si>
  <si>
    <t>November 2017 - October 2018</t>
  </si>
  <si>
    <t xml:space="preserve">   Mums</t>
  </si>
  <si>
    <t xml:space="preserve">   Equipment Hire</t>
  </si>
  <si>
    <t xml:space="preserve">      Internet</t>
  </si>
  <si>
    <t xml:space="preserve">      Bonus</t>
  </si>
  <si>
    <t xml:space="preserve">   Total Admin - Wages</t>
  </si>
  <si>
    <t xml:space="preserve">   Director - Wages</t>
  </si>
  <si>
    <t xml:space="preserve">   Total Director - Wages</t>
  </si>
  <si>
    <t xml:space="preserve">   Fund raising expense</t>
  </si>
  <si>
    <t xml:space="preserve">   Gas</t>
  </si>
  <si>
    <t xml:space="preserve">      Auto Insurance</t>
  </si>
  <si>
    <t xml:space="preserve">   Total Insurance</t>
  </si>
  <si>
    <t xml:space="preserve">   Merchandise Purchased for Resale</t>
  </si>
  <si>
    <t xml:space="preserve">   Repair &amp; Maintenance</t>
  </si>
  <si>
    <t xml:space="preserve">   Salaries</t>
  </si>
  <si>
    <t xml:space="preserve">   Staff training</t>
  </si>
  <si>
    <t xml:space="preserve">   SUTA Payroll Tax</t>
  </si>
  <si>
    <t xml:space="preserve">   Depreciation</t>
  </si>
  <si>
    <t>Sunday, Nov 11, 2018 06:29:53 PM GMT-8 - Accrual Basis</t>
  </si>
  <si>
    <t>Depreciation</t>
  </si>
  <si>
    <t>Total Revenue:</t>
  </si>
  <si>
    <t xml:space="preserve"> Total Expenses</t>
  </si>
  <si>
    <t xml:space="preserve"> Total Capital and Improvements</t>
  </si>
  <si>
    <t>Statement of Cash Flows</t>
  </si>
  <si>
    <t>Nov 2017</t>
  </si>
  <si>
    <t>Dec 2017</t>
  </si>
  <si>
    <t>Oct 2018</t>
  </si>
  <si>
    <t>OPERATING ACTIVITIES</t>
  </si>
  <si>
    <t xml:space="preserve">   Net Revenue</t>
  </si>
  <si>
    <t xml:space="preserve">   Adjustments to reconcile Net Revenue to Net Cash provided by operations:</t>
  </si>
  <si>
    <t xml:space="preserve">      Accounts Receivable (A/R)</t>
  </si>
  <si>
    <t xml:space="preserve">      Loan Receivable - Joey Lankford</t>
  </si>
  <si>
    <t xml:space="preserve">      2005 Ford F150 Truck</t>
  </si>
  <si>
    <t xml:space="preserve">      Accumulated Depreciation</t>
  </si>
  <si>
    <t xml:space="preserve">      Accounts Payable (A/P)</t>
  </si>
  <si>
    <t xml:space="preserve">      FIT Withheld</t>
  </si>
  <si>
    <t xml:space="preserve">      Medicare Tax Payable</t>
  </si>
  <si>
    <t xml:space="preserve">      Payroll taxes payable</t>
  </si>
  <si>
    <t xml:space="preserve">      Sales Tax Payable</t>
  </si>
  <si>
    <t xml:space="preserve">      Social Security Payable</t>
  </si>
  <si>
    <t xml:space="preserve">      SUTA</t>
  </si>
  <si>
    <t xml:space="preserve">   Total Adjustments to reconcile Net Revenue to Net Cash provided by operations:</t>
  </si>
  <si>
    <t>Net cash provided by operating activities</t>
  </si>
  <si>
    <t>INVESTING ACTIVITIES</t>
  </si>
  <si>
    <t xml:space="preserve">   Ford E150 Van</t>
  </si>
  <si>
    <t xml:space="preserve">   Ice Maker</t>
  </si>
  <si>
    <t xml:space="preserve">   Polaris 700 4x4</t>
  </si>
  <si>
    <t xml:space="preserve">   Walk-in Cooler</t>
  </si>
  <si>
    <t>Net cash provided by investing activities</t>
  </si>
  <si>
    <t>FINANCING ACTIVITIES</t>
  </si>
  <si>
    <t xml:space="preserve">   Retained Earnings</t>
  </si>
  <si>
    <t>Net cash provided by financing activities</t>
  </si>
  <si>
    <t>Net cash increase for period</t>
  </si>
  <si>
    <t>Sunday, Nov 11, 2018 06:46:10 PM GMT-8</t>
  </si>
  <si>
    <t>Direct Profit</t>
  </si>
  <si>
    <t>Capital &amp; Improvements - other</t>
  </si>
  <si>
    <t xml:space="preserve">    Produce Sales </t>
  </si>
  <si>
    <t>Proof:</t>
  </si>
  <si>
    <t>Less G&amp;A</t>
  </si>
  <si>
    <t>Calculated Net Income</t>
  </si>
  <si>
    <t>Geographic Allocation</t>
  </si>
  <si>
    <t>Net Profit after Improvements (excl G&amp;A)</t>
  </si>
  <si>
    <t xml:space="preserve">    Produce Give Away</t>
  </si>
  <si>
    <t>Net Prod</t>
  </si>
  <si>
    <t>Direct Profit excl Give Away</t>
  </si>
  <si>
    <t>Less Produce Give Away</t>
  </si>
  <si>
    <t>Seed Costs</t>
  </si>
  <si>
    <t>Recurring</t>
  </si>
  <si>
    <t>Other</t>
  </si>
  <si>
    <t>Note that picture at bottom is for printing due to revised scale</t>
  </si>
  <si>
    <t>Efficiency Factor</t>
  </si>
  <si>
    <t>BP added for waste factor</t>
  </si>
  <si>
    <t>Note - no water costs assumed</t>
  </si>
  <si>
    <t xml:space="preserve">    Produce</t>
  </si>
  <si>
    <t>Net Income before Capital</t>
  </si>
  <si>
    <t>Weeks</t>
  </si>
  <si>
    <t>Teams</t>
  </si>
  <si>
    <t>EMAIL from Matt re: Cul2vators</t>
  </si>
  <si>
    <t>In regards to the subject of Cul2vators working. 22.5 hours per week on average is fine. If we’d like to play it safer, we could say 25 hours per week. But it will not be for 52 weeks. It will start mid Feb (Feb 18th to be exact). There will be an overlap starting June 2nd (when the second group starts) through August 1st (when the first group graduates) of both groups of Cul2vators working at the same time. Then the second group will graduate Nov 14th. I hope that makes sense.</t>
  </si>
  <si>
    <t xml:space="preserve"> Contribution B4 Labor</t>
  </si>
  <si>
    <t>Capital Needs and Project Expenses</t>
  </si>
  <si>
    <t>Cul2vator 1</t>
  </si>
  <si>
    <t>Cul2vator 2</t>
  </si>
  <si>
    <t>Cul2vator 3</t>
  </si>
  <si>
    <t>Cul2vator 4</t>
  </si>
  <si>
    <t>Cul2vator 5</t>
  </si>
  <si>
    <t>Cul2vator 6</t>
  </si>
  <si>
    <t>3 Cul2vators</t>
  </si>
  <si>
    <t>Accountant</t>
  </si>
  <si>
    <t xml:space="preserve">      Fuel for Vehicles</t>
  </si>
  <si>
    <t>Annual</t>
  </si>
  <si>
    <t>FICA</t>
  </si>
  <si>
    <t>Medicare</t>
  </si>
  <si>
    <t>FUTA</t>
  </si>
  <si>
    <t>----------------------------------</t>
  </si>
  <si>
    <t>limited to first $7k ------</t>
  </si>
  <si>
    <t>Bonus ------------------------</t>
  </si>
  <si>
    <t>Cul2vators</t>
  </si>
  <si>
    <t xml:space="preserve">      Travel Airfare</t>
  </si>
  <si>
    <t xml:space="preserve">      Travel Hotels</t>
  </si>
  <si>
    <t xml:space="preserve">      Travel Meals</t>
  </si>
  <si>
    <t xml:space="preserve">      Travel Transportation/Parking</t>
  </si>
  <si>
    <t>Build up based on 6 but avg 5</t>
  </si>
  <si>
    <t>T&amp;E Budget Supplement Input</t>
  </si>
  <si>
    <t>Enter blue shaded cells only</t>
  </si>
  <si>
    <t>COST PER TRIP</t>
  </si>
  <si>
    <t>TOTAL COST</t>
  </si>
  <si>
    <t>Per Day</t>
  </si>
  <si>
    <t>Per Trip</t>
  </si>
  <si>
    <t>Description</t>
  </si>
  <si>
    <t>#trips</t>
  </si>
  <si>
    <t>#days</t>
  </si>
  <si>
    <t>Hotel</t>
  </si>
  <si>
    <t>Meals</t>
  </si>
  <si>
    <t>Car Rental</t>
  </si>
  <si>
    <t>Parking</t>
  </si>
  <si>
    <t>Air</t>
  </si>
  <si>
    <t>Travel Fees</t>
  </si>
  <si>
    <t>Mileage</t>
  </si>
  <si>
    <t>Other Trans</t>
  </si>
  <si>
    <t xml:space="preserve">Total    </t>
  </si>
  <si>
    <t>Conf/Seminar</t>
  </si>
  <si>
    <t>Corp/Region mtg</t>
  </si>
  <si>
    <t>Total January</t>
  </si>
  <si>
    <t>Total February</t>
  </si>
  <si>
    <t>Total March</t>
  </si>
  <si>
    <t>BD Training</t>
  </si>
  <si>
    <t>Total April</t>
  </si>
  <si>
    <t>Total May</t>
  </si>
  <si>
    <t>Total June</t>
  </si>
  <si>
    <t>Total July</t>
  </si>
  <si>
    <t>Total August</t>
  </si>
  <si>
    <t>Total September</t>
  </si>
  <si>
    <t>ACEP - 10/15-18</t>
  </si>
  <si>
    <t>Total October</t>
  </si>
  <si>
    <t>Total November</t>
  </si>
  <si>
    <t>Total December</t>
  </si>
  <si>
    <t>T&amp;E Budget Supplement Output</t>
  </si>
  <si>
    <t>Acct #</t>
  </si>
  <si>
    <t>Account Description</t>
  </si>
  <si>
    <t>FY 2018</t>
  </si>
  <si>
    <t>Travel Air/Other Fares</t>
  </si>
  <si>
    <t>Travel-Hotel</t>
  </si>
  <si>
    <t>Travel - Parking</t>
  </si>
  <si>
    <t>Travel - Mileage</t>
  </si>
  <si>
    <t>Travel-Other Trans</t>
  </si>
  <si>
    <t>Travel-Meals &amp; Entmnt</t>
  </si>
  <si>
    <t>Travel-Auto Exp</t>
  </si>
  <si>
    <t>Total T&amp;E</t>
  </si>
  <si>
    <t>Input Worksheet</t>
  </si>
  <si>
    <t>Check</t>
  </si>
  <si>
    <t>Statement of Activity by Month</t>
  </si>
  <si>
    <t>January 2017 - September 2019</t>
  </si>
  <si>
    <t>Fundraiser expenses</t>
  </si>
  <si>
    <t>Add columns to Rev on break out</t>
  </si>
  <si>
    <t>Jan 2017</t>
  </si>
  <si>
    <t>Feb 2017</t>
  </si>
  <si>
    <t>Mar 2017</t>
  </si>
  <si>
    <t>Apr 2017</t>
  </si>
  <si>
    <t>May 2017</t>
  </si>
  <si>
    <t>Jun 2017</t>
  </si>
  <si>
    <t>Jul 2017</t>
  </si>
  <si>
    <t>Aug 2017</t>
  </si>
  <si>
    <t>Sep 2017</t>
  </si>
  <si>
    <t>Oct 2017</t>
  </si>
  <si>
    <t>Nov 2018</t>
  </si>
  <si>
    <t>Dec 2018</t>
  </si>
  <si>
    <t>Jan 2019</t>
  </si>
  <si>
    <t>Feb 2019</t>
  </si>
  <si>
    <t>Mar 2019</t>
  </si>
  <si>
    <t>Apr 2019</t>
  </si>
  <si>
    <t>May 2019</t>
  </si>
  <si>
    <t>Jun 2019</t>
  </si>
  <si>
    <t>Jul 2019</t>
  </si>
  <si>
    <t>Aug 2019</t>
  </si>
  <si>
    <t>Sep 2019</t>
  </si>
  <si>
    <t>TTM</t>
  </si>
  <si>
    <t>Budget</t>
  </si>
  <si>
    <t xml:space="preserve">         Sales (Non-Tax Deductible)</t>
  </si>
  <si>
    <t xml:space="preserve">      Total Fall Fundraiser Revenue</t>
  </si>
  <si>
    <t>Start at $6,750 and increase later in year.  Moving BBB from One Time to Recurring</t>
  </si>
  <si>
    <t>No</t>
  </si>
  <si>
    <t>Plug and space out.  Move BBB $5k/Q for 3Qs and $10K in Feb to Monthly.  May, Aug, Nov and Feb</t>
  </si>
  <si>
    <t>USDA 49,900 3 Cult, Matt's hours, and lights in GH (38k,9.9). Facility grant at $600k to go in capital budget</t>
  </si>
  <si>
    <t>this needs to be more than what we are purchasing</t>
  </si>
  <si>
    <t xml:space="preserve">      Other Produce Sales</t>
  </si>
  <si>
    <t xml:space="preserve">Increase with Martin's, </t>
  </si>
  <si>
    <t>$15k</t>
  </si>
  <si>
    <t xml:space="preserve">   Buildings</t>
  </si>
  <si>
    <t xml:space="preserve">      General Electricity</t>
  </si>
  <si>
    <t>Increase Q4 for grow lights; maybe 20% increase</t>
  </si>
  <si>
    <t xml:space="preserve">   Total Electricity</t>
  </si>
  <si>
    <t xml:space="preserve">   Fuel</t>
  </si>
  <si>
    <t xml:space="preserve">      Fuel For Van (deleted)</t>
  </si>
  <si>
    <t xml:space="preserve">   Total Fuel</t>
  </si>
  <si>
    <t>9,900 in lights.  Need to know timing.  Add $ for repairs</t>
  </si>
  <si>
    <t>$2k is soil</t>
  </si>
  <si>
    <t xml:space="preserve">   Heater</t>
  </si>
  <si>
    <t>Will decrease b/c of radiant heat from boiler</t>
  </si>
  <si>
    <t>do away</t>
  </si>
  <si>
    <t>Budget $1k</t>
  </si>
  <si>
    <t>$91/month.  Add iPad +$40</t>
  </si>
  <si>
    <t>Acct (Adrian) $25/hr 10hrs per week (also $25/hr for 20 hr work week)</t>
  </si>
  <si>
    <t>$200 for volunteers</t>
  </si>
  <si>
    <t>delete.  Move to credit card processing</t>
  </si>
  <si>
    <t xml:space="preserve">$2,500? </t>
  </si>
  <si>
    <t>Remove</t>
  </si>
  <si>
    <t xml:space="preserve">   Computer expense</t>
  </si>
  <si>
    <t>admin</t>
  </si>
  <si>
    <t>square and authorize.net</t>
  </si>
  <si>
    <t>One time.  Remove</t>
  </si>
  <si>
    <t xml:space="preserve">   Fundraising expense</t>
  </si>
  <si>
    <t>Baed on 2019</t>
  </si>
  <si>
    <t xml:space="preserve">   Gifts</t>
  </si>
  <si>
    <t xml:space="preserve">      General Liability Insurance</t>
  </si>
  <si>
    <t xml:space="preserve">      Tractor Insurance</t>
  </si>
  <si>
    <t xml:space="preserve">      Workers Comp Insurance</t>
  </si>
  <si>
    <t xml:space="preserve">   Interest Expense</t>
  </si>
  <si>
    <t>should have current inventory</t>
  </si>
  <si>
    <t>Computers</t>
  </si>
  <si>
    <t xml:space="preserve">   Other General and Admin Expenses</t>
  </si>
  <si>
    <t xml:space="preserve">   Other Miscellaneous Service Cost</t>
  </si>
  <si>
    <t>Added Time clock system $2k</t>
  </si>
  <si>
    <t>4 Trips/2 nights to DC</t>
  </si>
  <si>
    <t xml:space="preserve">   Total Travel</t>
  </si>
  <si>
    <t xml:space="preserve">   Uncategorized Expenditure</t>
  </si>
  <si>
    <t xml:space="preserve">      Vehicle Maintenance and Repair</t>
  </si>
  <si>
    <t xml:space="preserve">   Total Vehicle Expense</t>
  </si>
  <si>
    <t xml:space="preserve">   Miscellaneous</t>
  </si>
  <si>
    <t>less Rev</t>
  </si>
  <si>
    <t>Inc labor</t>
  </si>
  <si>
    <t>Monday, Oct 21, 2019 02:39:50 PM GMT-7 - Accrual Basis</t>
  </si>
  <si>
    <t>GH Building</t>
  </si>
  <si>
    <t>Charitable</t>
  </si>
  <si>
    <t>Tomatillos</t>
  </si>
  <si>
    <t>Okra</t>
  </si>
  <si>
    <t>Peas</t>
  </si>
  <si>
    <t>Watermelons</t>
  </si>
  <si>
    <t>Green Beans</t>
  </si>
  <si>
    <t>Pumpkins</t>
  </si>
  <si>
    <t xml:space="preserve">      Other</t>
  </si>
  <si>
    <t xml:space="preserve">Budget vs. Actuals: 2019 - FY19 P&amp;L </t>
  </si>
  <si>
    <t>November 2018 - October 2019</t>
  </si>
  <si>
    <t>Oct 2019</t>
  </si>
  <si>
    <t>Actual</t>
  </si>
  <si>
    <t xml:space="preserve">   Fencing</t>
  </si>
  <si>
    <t>Friday, Nov 08, 2019 02:08:10 PM GMT-8 - Accrual Basis</t>
  </si>
  <si>
    <t>Fall Fundraiser</t>
  </si>
  <si>
    <t>Transaction Report</t>
  </si>
  <si>
    <t>11/29/2018</t>
  </si>
  <si>
    <t>Pilkinton, Jesse &amp; Amanda</t>
  </si>
  <si>
    <t>12/12/2018</t>
  </si>
  <si>
    <t>Brentwood Baptist Church</t>
  </si>
  <si>
    <t>Hope for the World Quarterly Donation</t>
  </si>
  <si>
    <t>5,000</t>
  </si>
  <si>
    <t>12/21/2018</t>
  </si>
  <si>
    <t>Kelly, Jacqueline</t>
  </si>
  <si>
    <t>yearly donation in honor of Kim and Sonny Terrill</t>
  </si>
  <si>
    <t>12/26/2018</t>
  </si>
  <si>
    <t>Bean, Alan &amp; Lauren</t>
  </si>
  <si>
    <t>1,200</t>
  </si>
  <si>
    <t>12/29/2018</t>
  </si>
  <si>
    <t>Greene, Charles and Dorothy</t>
  </si>
  <si>
    <t>Bourgeois, Gloria</t>
  </si>
  <si>
    <t>12/30/2018</t>
  </si>
  <si>
    <t>Coulter, Ashley and Brad</t>
  </si>
  <si>
    <t>annual gift</t>
  </si>
  <si>
    <t>1,000</t>
  </si>
  <si>
    <t>01/29/2019</t>
  </si>
  <si>
    <t>02/28/2019</t>
  </si>
  <si>
    <t>03/28/2019</t>
  </si>
  <si>
    <t>04/28/2019</t>
  </si>
  <si>
    <t>05/28/2019</t>
  </si>
  <si>
    <t>06/28/2019</t>
  </si>
  <si>
    <t>one-time donation during The Big Payback 2019</t>
  </si>
  <si>
    <t>one-time gift during The Big Payback 2019</t>
  </si>
  <si>
    <t>07/28/2019</t>
  </si>
  <si>
    <t>08/28/2019</t>
  </si>
  <si>
    <t>09/28/2019</t>
  </si>
  <si>
    <t>10/28/2019</t>
  </si>
  <si>
    <t xml:space="preserve">   Total for Contributions Unrestricted</t>
  </si>
  <si>
    <t xml:space="preserve">   $8,700</t>
  </si>
  <si>
    <t xml:space="preserve">   Fall Fundraiser 2018</t>
  </si>
  <si>
    <t>11/05/2018</t>
  </si>
  <si>
    <t>Cole, Scott and Amy</t>
  </si>
  <si>
    <t>Contributions Unrestricted:Fall Fundraiser 2018</t>
  </si>
  <si>
    <t>2,000</t>
  </si>
  <si>
    <t>11/10/2018</t>
  </si>
  <si>
    <t>White, Don &amp; Marcia</t>
  </si>
  <si>
    <t>Friend of the farm</t>
  </si>
  <si>
    <t>11/12/2018</t>
  </si>
  <si>
    <t>songwriter night</t>
  </si>
  <si>
    <t>11/13/2018</t>
  </si>
  <si>
    <t>Stewart, Brent and Emily</t>
  </si>
  <si>
    <t>one-time gift songwriter</t>
  </si>
  <si>
    <t>11/30/2018</t>
  </si>
  <si>
    <t>Table Sponsorship</t>
  </si>
  <si>
    <t>2,500</t>
  </si>
  <si>
    <t>12/10/2018</t>
  </si>
  <si>
    <t>12/20/2018</t>
  </si>
  <si>
    <t>12/31/2018</t>
  </si>
  <si>
    <t>12,000</t>
  </si>
  <si>
    <t>Sutherland, Michael and Emily</t>
  </si>
  <si>
    <t>one time gift</t>
  </si>
  <si>
    <t>05/20/2019</t>
  </si>
  <si>
    <t>table captain</t>
  </si>
  <si>
    <t>10,413</t>
  </si>
  <si>
    <t xml:space="preserve">   Total for Fall Fundraiser 2018</t>
  </si>
  <si>
    <t xml:space="preserve">   $36,613</t>
  </si>
  <si>
    <t xml:space="preserve">   Fall Fundraiser Revenue</t>
  </si>
  <si>
    <t>09/08/2019</t>
  </si>
  <si>
    <t>Frankenberg, Paul</t>
  </si>
  <si>
    <t>Contributions Unrestricted:Fall Fundraiser Revenue</t>
  </si>
  <si>
    <t>09/20/2019</t>
  </si>
  <si>
    <t>Boone, Larry and Lynn</t>
  </si>
  <si>
    <t>1,500</t>
  </si>
  <si>
    <t>09/24/2019</t>
  </si>
  <si>
    <t>Tractor Supply Co</t>
  </si>
  <si>
    <t>Corporate Sponsorship 2019</t>
  </si>
  <si>
    <t>20,000</t>
  </si>
  <si>
    <t>10/02/2019</t>
  </si>
  <si>
    <t>Table Captain</t>
  </si>
  <si>
    <t>10/05/2019</t>
  </si>
  <si>
    <t>Dr. Adam Bush</t>
  </si>
  <si>
    <t>Fellowship on the Farm one-time gift</t>
  </si>
  <si>
    <t>10/08/2019</t>
  </si>
  <si>
    <t>Taylor, Dean &amp; Kelly</t>
  </si>
  <si>
    <t>Table Captain - Fellowship on the Farm</t>
  </si>
  <si>
    <t>10,000</t>
  </si>
  <si>
    <t>Hollins, Laura &amp; John</t>
  </si>
  <si>
    <t>Goldman, Mackenzie &amp; Alex</t>
  </si>
  <si>
    <t>Hart, Clay &amp; Karly</t>
  </si>
  <si>
    <t>Feeney, Kelly &amp; Tom</t>
  </si>
  <si>
    <t>Corts, Jenny &amp; Andy</t>
  </si>
  <si>
    <t>Fellowship on the arm one-time gift</t>
  </si>
  <si>
    <t>Wilbeck, James</t>
  </si>
  <si>
    <t>Harr, Harold and Amy</t>
  </si>
  <si>
    <t>Pate, Bob &amp; Amy</t>
  </si>
  <si>
    <t>Blankinship, Michael &amp; Heather</t>
  </si>
  <si>
    <t>Brian &amp; Christine Perkinson</t>
  </si>
  <si>
    <t>Drake, Bill and Susan</t>
  </si>
  <si>
    <t>Silent Auction - Fellowship on the Farm</t>
  </si>
  <si>
    <t>Witt, Kevin and Leigh Ann</t>
  </si>
  <si>
    <t>Fellowship on the farm one-time gift</t>
  </si>
  <si>
    <t>Fellowship on the Farm one-time gift - Lyricas</t>
  </si>
  <si>
    <t>Anne Calton</t>
  </si>
  <si>
    <t>McClure, Sam &amp; Janny</t>
  </si>
  <si>
    <t>Gilbert, Chad and Anna</t>
  </si>
  <si>
    <t>Stone Oak Builders</t>
  </si>
  <si>
    <t>Green, Daniel and Maryann</t>
  </si>
  <si>
    <t>Huff, Kali &amp; Matt</t>
  </si>
  <si>
    <t>Gilbert, Eric &amp; Ellise</t>
  </si>
  <si>
    <t>Pilkington, Mary Winn and Richard</t>
  </si>
  <si>
    <t>Anding, Eli</t>
  </si>
  <si>
    <t>Fellowship on the Farm one-time Gift</t>
  </si>
  <si>
    <t>Stanley, Craig</t>
  </si>
  <si>
    <t>Calabrese, Michael &amp; Kelley</t>
  </si>
  <si>
    <t>10/09/2019</t>
  </si>
  <si>
    <t>Hardin, John</t>
  </si>
  <si>
    <t>10/11/2019</t>
  </si>
  <si>
    <t>Deposit</t>
  </si>
  <si>
    <t>Stewart, Don &amp; April</t>
  </si>
  <si>
    <t>silent auction</t>
  </si>
  <si>
    <t>Pinnacle Checking</t>
  </si>
  <si>
    <t>11,021</t>
  </si>
  <si>
    <t>10/16/2019</t>
  </si>
  <si>
    <t>Pope, Brian &amp; Michelle</t>
  </si>
  <si>
    <t>Table Captain Fellowship on the Farm</t>
  </si>
  <si>
    <t>Smith, Jennifer V. and Marty</t>
  </si>
  <si>
    <t>Fellowship on the Farm one-time donation</t>
  </si>
  <si>
    <t>Glasgow, Bernadette &amp; Kevin</t>
  </si>
  <si>
    <t>Corts, David and Heather</t>
  </si>
  <si>
    <t>10/17/2019</t>
  </si>
  <si>
    <t>Fellowship on the Farm Table Captain</t>
  </si>
  <si>
    <t>10/22/2019</t>
  </si>
  <si>
    <t>Sheehan, Sara Beth &amp; Mike</t>
  </si>
  <si>
    <t>Table Captain for Fellowship on the Farm</t>
  </si>
  <si>
    <t>one-time donation - song lyrics</t>
  </si>
  <si>
    <t>4,000</t>
  </si>
  <si>
    <t>10/25/2019</t>
  </si>
  <si>
    <t>Crosby, Bruce</t>
  </si>
  <si>
    <t>7,500</t>
  </si>
  <si>
    <t>15,000</t>
  </si>
  <si>
    <t xml:space="preserve">      Total for Fall Fundraiser Revenue</t>
  </si>
  <si>
    <t xml:space="preserve">      $170,341</t>
  </si>
  <si>
    <t xml:space="preserve">      Sales (Non-Tax Deductible)</t>
  </si>
  <si>
    <t>07/12/2019</t>
  </si>
  <si>
    <t>Merchandise Customer</t>
  </si>
  <si>
    <t>Square Inc 190712P2 9424300002 Square Inc 190712P2 9424300002 Cul2vate</t>
  </si>
  <si>
    <t>Contributions Unrestricted:Fall Fundraiser Revenue:Sales (Non-Tax Deductible)</t>
  </si>
  <si>
    <t xml:space="preserve">      Total for Sales (Non-Tax Deductible)</t>
  </si>
  <si>
    <t xml:space="preserve">      $10</t>
  </si>
  <si>
    <t xml:space="preserve">   Total for Fall Fundraiser Revenue with sub-accounts</t>
  </si>
  <si>
    <t xml:space="preserve">   $170,350</t>
  </si>
  <si>
    <t xml:space="preserve">   Monthly Recurring Donation</t>
  </si>
  <si>
    <t>11/01/2018</t>
  </si>
  <si>
    <t>11/06/2018</t>
  </si>
  <si>
    <t>11/07/2018</t>
  </si>
  <si>
    <t>11/09/2018</t>
  </si>
  <si>
    <t>Thrasher, Lana &amp; Neil</t>
  </si>
  <si>
    <t>Lunn, Eddie &amp; Jordan</t>
  </si>
  <si>
    <t>11/14/2018</t>
  </si>
  <si>
    <t>11/15/2018</t>
  </si>
  <si>
    <t>11/16/2018</t>
  </si>
  <si>
    <t>11/19/2018</t>
  </si>
  <si>
    <t>11/20/2018</t>
  </si>
  <si>
    <t>Munson, Michael</t>
  </si>
  <si>
    <t>11/21/2018</t>
  </si>
  <si>
    <t>11/23/2018</t>
  </si>
  <si>
    <t>11/24/2018</t>
  </si>
  <si>
    <t>11/25/2018</t>
  </si>
  <si>
    <t>11/27/2018</t>
  </si>
  <si>
    <t>11/28/2018</t>
  </si>
  <si>
    <t>12/04/2018</t>
  </si>
  <si>
    <t>12/05/2018</t>
  </si>
  <si>
    <t>Expenditure</t>
  </si>
  <si>
    <t>Deposit incorrect</t>
  </si>
  <si>
    <t>12/06/2018</t>
  </si>
  <si>
    <t>12/07/2018</t>
  </si>
  <si>
    <t>12/09/2018</t>
  </si>
  <si>
    <t>12/13/2018</t>
  </si>
  <si>
    <t>12/14/2018</t>
  </si>
  <si>
    <t>12/15/2018</t>
  </si>
  <si>
    <t>12/16/2018</t>
  </si>
  <si>
    <t>12/18/2018</t>
  </si>
  <si>
    <t>friend of the farm</t>
  </si>
  <si>
    <t>12/23/2018</t>
  </si>
  <si>
    <t>12/24/2018</t>
  </si>
  <si>
    <t>12/25/2018</t>
  </si>
  <si>
    <t>12/27/2018</t>
  </si>
  <si>
    <t>12/28/2018</t>
  </si>
  <si>
    <t>01/05/2019</t>
  </si>
  <si>
    <t>01/06/2019</t>
  </si>
  <si>
    <t>01/07/2019</t>
  </si>
  <si>
    <t>01/09/2019</t>
  </si>
  <si>
    <t>01/10/2019</t>
  </si>
  <si>
    <t>01/12/2019</t>
  </si>
  <si>
    <t>01/14/2019</t>
  </si>
  <si>
    <t>01/15/2019</t>
  </si>
  <si>
    <t>01/16/2019</t>
  </si>
  <si>
    <t>01/17/2019</t>
  </si>
  <si>
    <t>01/18/2019</t>
  </si>
  <si>
    <t>01/20/2019</t>
  </si>
  <si>
    <t>01/21/2019</t>
  </si>
  <si>
    <t>01/24/2019</t>
  </si>
  <si>
    <t>01/25/2019</t>
  </si>
  <si>
    <t>01/27/2019</t>
  </si>
  <si>
    <t>01/28/2019</t>
  </si>
  <si>
    <t>Raymond James Charitable</t>
  </si>
  <si>
    <t>Pope Family Foundation</t>
  </si>
  <si>
    <t>02/05/2019</t>
  </si>
  <si>
    <t>YourCause, LLC</t>
  </si>
  <si>
    <t>Brianna Howell - Donation via HCA</t>
  </si>
  <si>
    <t>David Hill - Donation via HCA</t>
  </si>
  <si>
    <t>02/08/2019</t>
  </si>
  <si>
    <t>Match - HCA - Brianna Howell</t>
  </si>
  <si>
    <t>02/09/2019</t>
  </si>
  <si>
    <t>02/10/2019</t>
  </si>
  <si>
    <t>02/12/2019</t>
  </si>
  <si>
    <t>02/13/2019</t>
  </si>
  <si>
    <t>02/14/2019</t>
  </si>
  <si>
    <t>02/15/2019</t>
  </si>
  <si>
    <t>02/16/2019</t>
  </si>
  <si>
    <t>02/18/2019</t>
  </si>
  <si>
    <t>02/20/2019</t>
  </si>
  <si>
    <t>02/21/2019</t>
  </si>
  <si>
    <t>02/23/2019</t>
  </si>
  <si>
    <t>02/24/2019</t>
  </si>
  <si>
    <t>02/25/2019</t>
  </si>
  <si>
    <t>02/27/2019</t>
  </si>
  <si>
    <t>03/05/2019</t>
  </si>
  <si>
    <t>03/07/2019</t>
  </si>
  <si>
    <t>Crenshaw, Patrick</t>
  </si>
  <si>
    <t>03/10/2019</t>
  </si>
  <si>
    <t>03/11/2019</t>
  </si>
  <si>
    <t>03/12/2019</t>
  </si>
  <si>
    <t>03/13/2019</t>
  </si>
  <si>
    <t>03/14/2019</t>
  </si>
  <si>
    <t>03/15/2019</t>
  </si>
  <si>
    <t>03/16/2019</t>
  </si>
  <si>
    <t>03/18/2019</t>
  </si>
  <si>
    <t>Palmer, Jennifer</t>
  </si>
  <si>
    <t>03/20/2019</t>
  </si>
  <si>
    <t>03/21/2019</t>
  </si>
  <si>
    <t>03/23/2019</t>
  </si>
  <si>
    <t>03/24/2019</t>
  </si>
  <si>
    <t>03/25/2019</t>
  </si>
  <si>
    <t>03/27/2019</t>
  </si>
  <si>
    <t>04/05/2019</t>
  </si>
  <si>
    <t>04/07/2019</t>
  </si>
  <si>
    <t>Joseph, Neal</t>
  </si>
  <si>
    <t>04/08/2019</t>
  </si>
  <si>
    <t>04/10/2019</t>
  </si>
  <si>
    <t>04/12/2019</t>
  </si>
  <si>
    <t>04/13/2019</t>
  </si>
  <si>
    <t>04/14/2019</t>
  </si>
  <si>
    <t>04/15/2019</t>
  </si>
  <si>
    <t>04/16/2019</t>
  </si>
  <si>
    <t>04/17/2019</t>
  </si>
  <si>
    <t>04/18/2019</t>
  </si>
  <si>
    <t>04/20/2019</t>
  </si>
  <si>
    <t>04/21/2019</t>
  </si>
  <si>
    <t>04/23/2019</t>
  </si>
  <si>
    <t>04/24/2019</t>
  </si>
  <si>
    <t>04/25/2019</t>
  </si>
  <si>
    <t>04/26/2019</t>
  </si>
  <si>
    <t>04/27/2019</t>
  </si>
  <si>
    <t>04/29/2019</t>
  </si>
  <si>
    <t>05/05/2019</t>
  </si>
  <si>
    <t>05/06/2019</t>
  </si>
  <si>
    <t>05/07/2019</t>
  </si>
  <si>
    <t>05/08/2019</t>
  </si>
  <si>
    <t>05/10/2019</t>
  </si>
  <si>
    <t>05/12/2019</t>
  </si>
  <si>
    <t>05/13/2019</t>
  </si>
  <si>
    <t>05/15/2019</t>
  </si>
  <si>
    <t>05/16/2019</t>
  </si>
  <si>
    <t>05/18/2019</t>
  </si>
  <si>
    <t>05/21/2019</t>
  </si>
  <si>
    <t>05/22/2019</t>
  </si>
  <si>
    <t>05/23/2019</t>
  </si>
  <si>
    <t>05/24/2019</t>
  </si>
  <si>
    <t>05/25/2019</t>
  </si>
  <si>
    <t>05/27/2019</t>
  </si>
  <si>
    <t>06/03/2019</t>
  </si>
  <si>
    <t>06/05/2019</t>
  </si>
  <si>
    <t>06/06/2019</t>
  </si>
  <si>
    <t>06/07/2019</t>
  </si>
  <si>
    <t>06/10/2019</t>
  </si>
  <si>
    <t>06/12/2019</t>
  </si>
  <si>
    <t>06/13/2019</t>
  </si>
  <si>
    <t>06/15/2019</t>
  </si>
  <si>
    <t>06/16/2019</t>
  </si>
  <si>
    <t>06/18/2019</t>
  </si>
  <si>
    <t>06/20/2019</t>
  </si>
  <si>
    <t>06/21/2019</t>
  </si>
  <si>
    <t>06/22/2019</t>
  </si>
  <si>
    <t>06/23/2019</t>
  </si>
  <si>
    <t>James and Lisa Cartee</t>
  </si>
  <si>
    <t>06/24/2019</t>
  </si>
  <si>
    <t>06/25/2019</t>
  </si>
  <si>
    <t>06/27/2019</t>
  </si>
  <si>
    <t>07/05/2019</t>
  </si>
  <si>
    <t>07/06/2019</t>
  </si>
  <si>
    <t>07/07/2019</t>
  </si>
  <si>
    <t>07/08/2019</t>
  </si>
  <si>
    <t>07/10/2019</t>
  </si>
  <si>
    <t>07/13/2019</t>
  </si>
  <si>
    <t>07/15/2019</t>
  </si>
  <si>
    <t>07/16/2019</t>
  </si>
  <si>
    <t>07/18/2019</t>
  </si>
  <si>
    <t>07/20/2019</t>
  </si>
  <si>
    <t>07/21/2019</t>
  </si>
  <si>
    <t>07/23/2019</t>
  </si>
  <si>
    <t>07/24/2019</t>
  </si>
  <si>
    <t>07/25/2019</t>
  </si>
  <si>
    <t>07/27/2019</t>
  </si>
  <si>
    <t>07/29/2019</t>
  </si>
  <si>
    <t>07/31/2019</t>
  </si>
  <si>
    <t>08/05/2019</t>
  </si>
  <si>
    <t>08/06/2019</t>
  </si>
  <si>
    <t>08/07/2019</t>
  </si>
  <si>
    <t>08/10/2019</t>
  </si>
  <si>
    <t>08/12/2019</t>
  </si>
  <si>
    <t>08/13/2019</t>
  </si>
  <si>
    <t>08/15/2019</t>
  </si>
  <si>
    <t>08/16/2019</t>
  </si>
  <si>
    <t>08/18/2019</t>
  </si>
  <si>
    <t>08/20/2019</t>
  </si>
  <si>
    <t>08/21/2019</t>
  </si>
  <si>
    <t>08/23/2019</t>
  </si>
  <si>
    <t>08/24/2019</t>
  </si>
  <si>
    <t>08/25/2019</t>
  </si>
  <si>
    <t>08/27/2019</t>
  </si>
  <si>
    <t>09/05/2019</t>
  </si>
  <si>
    <t>09/06/2019</t>
  </si>
  <si>
    <t>09/07/2019</t>
  </si>
  <si>
    <t>09/10/2019</t>
  </si>
  <si>
    <t>09/12/2019</t>
  </si>
  <si>
    <t>09/13/2019</t>
  </si>
  <si>
    <t>09/15/2019</t>
  </si>
  <si>
    <t>09/16/2019</t>
  </si>
  <si>
    <t>09/18/2019</t>
  </si>
  <si>
    <t>09/23/2019</t>
  </si>
  <si>
    <t>09/25/2019</t>
  </si>
  <si>
    <t>09/27/2019</t>
  </si>
  <si>
    <t>10/06/2019</t>
  </si>
  <si>
    <t>10/07/2019</t>
  </si>
  <si>
    <t>Boone, Ward &amp; Carmen</t>
  </si>
  <si>
    <t>Fellowship on the Farm - recurring gift</t>
  </si>
  <si>
    <t>10/10/2019</t>
  </si>
  <si>
    <t>10/12/2019</t>
  </si>
  <si>
    <t>10/13/2019</t>
  </si>
  <si>
    <t>10/15/2019</t>
  </si>
  <si>
    <t>10/18/2019</t>
  </si>
  <si>
    <t>10/20/2019</t>
  </si>
  <si>
    <t>10/21/2019</t>
  </si>
  <si>
    <t>10/23/2019</t>
  </si>
  <si>
    <t>10/24/2019</t>
  </si>
  <si>
    <t>10/27/2019</t>
  </si>
  <si>
    <t xml:space="preserve">   Total for Monthly Recurring Donation</t>
  </si>
  <si>
    <t xml:space="preserve">   $87,280</t>
  </si>
  <si>
    <t xml:space="preserve">   One-Time Gift</t>
  </si>
  <si>
    <t>Kroger</t>
  </si>
  <si>
    <t>quarterly donation</t>
  </si>
  <si>
    <t>Contributions Unrestricted:One-Time Gift</t>
  </si>
  <si>
    <t>Stansell, David</t>
  </si>
  <si>
    <t>11/22/2018</t>
  </si>
  <si>
    <t>Hutchinson, Gillian</t>
  </si>
  <si>
    <t>Giving Tuesday</t>
  </si>
  <si>
    <t>Cullison, Eric and Susie</t>
  </si>
  <si>
    <t>One time gift</t>
  </si>
  <si>
    <t>Fairris, James</t>
  </si>
  <si>
    <t>Stockholm, Steven</t>
  </si>
  <si>
    <t>Stansell, James</t>
  </si>
  <si>
    <t>Sam Eisa</t>
  </si>
  <si>
    <t>Wooden, John</t>
  </si>
  <si>
    <t>12/08/2018</t>
  </si>
  <si>
    <t>Paske, Erin</t>
  </si>
  <si>
    <t>John &amp; Robin Wilson</t>
  </si>
  <si>
    <t>Clark, Jim and Jennifer</t>
  </si>
  <si>
    <t>3,500</t>
  </si>
  <si>
    <t>Moore, Patrick</t>
  </si>
  <si>
    <t>Hewitt, Carol</t>
  </si>
  <si>
    <t>3,000</t>
  </si>
  <si>
    <t>Waddell, Beckett</t>
  </si>
  <si>
    <t>Ramer, Colleen &amp; Dan</t>
  </si>
  <si>
    <t>Moore, Stephen</t>
  </si>
  <si>
    <t>12/22/2018</t>
  </si>
  <si>
    <t>The Healing Trust</t>
  </si>
  <si>
    <t>Matching gift of John Wilson</t>
  </si>
  <si>
    <t>The Signatry</t>
  </si>
  <si>
    <t>One time gift from Richard Graham - tractor</t>
  </si>
  <si>
    <t>14,000</t>
  </si>
  <si>
    <t>Easterday, Susan</t>
  </si>
  <si>
    <t>Hunter, Jeff &amp; Jenny</t>
  </si>
  <si>
    <t>Wallace, Lane</t>
  </si>
  <si>
    <t>Maness, Lee</t>
  </si>
  <si>
    <t>Little, Rhea &amp; Marie</t>
  </si>
  <si>
    <t>Bryan, Dallas</t>
  </si>
  <si>
    <t>01/01/2019</t>
  </si>
  <si>
    <t>Allred, Orba</t>
  </si>
  <si>
    <t>01/08/2019</t>
  </si>
  <si>
    <t>01/19/2019</t>
  </si>
  <si>
    <t>Corecivic Foundation</t>
  </si>
  <si>
    <t>David and Mary Catherine McClellan Fund</t>
  </si>
  <si>
    <t>Network for Good</t>
  </si>
  <si>
    <t>one-time gift from Facebook Donations</t>
  </si>
  <si>
    <t>Gering, John and Sue</t>
  </si>
  <si>
    <t>Amazon Smile</t>
  </si>
  <si>
    <t>Dillard, Coy and Janet</t>
  </si>
  <si>
    <t>Dillard, Russell and Jennifer</t>
  </si>
  <si>
    <t>One-time gift in honor of Allen West</t>
  </si>
  <si>
    <t>03/06/2019</t>
  </si>
  <si>
    <t>Kirby, Bonnie</t>
  </si>
  <si>
    <t>one-time gift in honor of Sally Davis</t>
  </si>
  <si>
    <t>Regent Surgical Management, LLC</t>
  </si>
  <si>
    <t>Missons Designate - For donation to Living Hope</t>
  </si>
  <si>
    <t>Hope for the World 4Q 2018</t>
  </si>
  <si>
    <t>03/09/2019</t>
  </si>
  <si>
    <t>Massengale, Mary &amp; Darrell</t>
  </si>
  <si>
    <t>one-time gift in honor Billie Simmons</t>
  </si>
  <si>
    <t>one time gift in honor of Billie Simmons</t>
  </si>
  <si>
    <t>one-time gift from anonymous</t>
  </si>
  <si>
    <t>Cofer, Joyce</t>
  </si>
  <si>
    <t>one-time donation in honor of Billie Simmons</t>
  </si>
  <si>
    <t>Wilson, Karen</t>
  </si>
  <si>
    <t>One-time gift in memory of Billie Dove Simmons</t>
  </si>
  <si>
    <t>Kennedy, Pam and Allen</t>
  </si>
  <si>
    <t>One-time gift in memory of Billie Simmons</t>
  </si>
  <si>
    <t>Jason and Lindi Jarrett</t>
  </si>
  <si>
    <t>One-time gift in honor of Billie Simmons</t>
  </si>
  <si>
    <t>Marr, Sharon</t>
  </si>
  <si>
    <t>One time gift in honor of Billie Simmons</t>
  </si>
  <si>
    <t>Moore, Janice</t>
  </si>
  <si>
    <t>one-time gift in memory of Billie Simmons</t>
  </si>
  <si>
    <t>One-time gift from Anonymous Facebook Donors</t>
  </si>
  <si>
    <t>Pace, Dorothy and Jamie</t>
  </si>
  <si>
    <t>Brasher, Richard &amp; Nancy Gray</t>
  </si>
  <si>
    <t>Holmes, Hal &amp; Annice</t>
  </si>
  <si>
    <t>04/19/2019</t>
  </si>
  <si>
    <t>Nelms, Danny</t>
  </si>
  <si>
    <t>one-time gift in honor of Sonny Terrill</t>
  </si>
  <si>
    <t>05/01/2019</t>
  </si>
  <si>
    <t>Tracy, Jim</t>
  </si>
  <si>
    <t>05/02/2019</t>
  </si>
  <si>
    <t>05/14/2019</t>
  </si>
  <si>
    <t>Trainer, John and Donna</t>
  </si>
  <si>
    <t>One-time gift of stock</t>
  </si>
  <si>
    <t>5,678</t>
  </si>
  <si>
    <t>quarterly</t>
  </si>
  <si>
    <t>Morris, Pam</t>
  </si>
  <si>
    <t>06/26/2019</t>
  </si>
  <si>
    <t>Graves, David</t>
  </si>
  <si>
    <t>McGee, Jonathan</t>
  </si>
  <si>
    <t>one-time gift during The ig Payback 2019</t>
  </si>
  <si>
    <t>Freeman, Ruth</t>
  </si>
  <si>
    <t>one-time gift during the Big Payback 2019</t>
  </si>
  <si>
    <t>Rando, Carolyn</t>
  </si>
  <si>
    <t>One-time gift during the Big Payback 2019</t>
  </si>
  <si>
    <t>Stanley, Amanda</t>
  </si>
  <si>
    <t>Wendel, Barbara &amp; Phil</t>
  </si>
  <si>
    <t>06/30/2019</t>
  </si>
  <si>
    <t>Amy O'Brien</t>
  </si>
  <si>
    <t>Goodman, Erin</t>
  </si>
  <si>
    <t>07/09/2019</t>
  </si>
  <si>
    <t>Jed Coppenger</t>
  </si>
  <si>
    <t>US Bank</t>
  </si>
  <si>
    <t>Community Giving</t>
  </si>
  <si>
    <t>Annual Contribution</t>
  </si>
  <si>
    <t>3,200</t>
  </si>
  <si>
    <t>09/04/2019</t>
  </si>
  <si>
    <t>Huff, Jane</t>
  </si>
  <si>
    <t>Greater Milwaukee Foundation, Inc.</t>
  </si>
  <si>
    <t>one-time gift from Jan and Vince Martin, Martin Granddaughter Fund</t>
  </si>
  <si>
    <t xml:space="preserve">   Total for One-Time Gift</t>
  </si>
  <si>
    <t xml:space="preserve">   $116,641</t>
  </si>
  <si>
    <t xml:space="preserve">   The Big Payback</t>
  </si>
  <si>
    <t>One-time gift during The Big Payback</t>
  </si>
  <si>
    <t>Contributions Unrestricted:The Big Payback</t>
  </si>
  <si>
    <t>one-time donation The Big Payback 2010</t>
  </si>
  <si>
    <t>one-time donation The Big Payback 2019</t>
  </si>
  <si>
    <t xml:space="preserve">   Total for The Big Payback</t>
  </si>
  <si>
    <t xml:space="preserve">   $1,200</t>
  </si>
  <si>
    <t>Total for Contributions Unrestricted with sub-accounts</t>
  </si>
  <si>
    <t>$420,785</t>
  </si>
  <si>
    <t>TOTAL</t>
  </si>
  <si>
    <t>Friday, Nov 08, 2019 02:26:37 PM GMT-8 - Accrual Basis</t>
  </si>
  <si>
    <t>Per Budget</t>
  </si>
  <si>
    <t>Not Required</t>
  </si>
  <si>
    <t>R</t>
  </si>
  <si>
    <t>N</t>
  </si>
  <si>
    <t>Cash Bal excl Non required Cap X</t>
  </si>
  <si>
    <t>BBC - Hope for the World</t>
  </si>
  <si>
    <t>Charis</t>
  </si>
  <si>
    <t>CoreCivic</t>
  </si>
  <si>
    <t>Bonus</t>
  </si>
  <si>
    <t>January 2019 - September 2020</t>
  </si>
  <si>
    <t>Nov 2019</t>
  </si>
  <si>
    <t>Dec 2019</t>
  </si>
  <si>
    <t>Jan 2020</t>
  </si>
  <si>
    <t>Feb 2020</t>
  </si>
  <si>
    <t>Mar 2020</t>
  </si>
  <si>
    <t>Apr 2020</t>
  </si>
  <si>
    <t>May 2020</t>
  </si>
  <si>
    <t>Jun 2020</t>
  </si>
  <si>
    <t>Jul 2020</t>
  </si>
  <si>
    <t>Aug 2020</t>
  </si>
  <si>
    <t>Sep 2020</t>
  </si>
  <si>
    <t>21 mo Average</t>
  </si>
  <si>
    <t>TTM 9/20</t>
  </si>
  <si>
    <t>2021 Budget</t>
  </si>
  <si>
    <t xml:space="preserve">      Recurring Donation</t>
  </si>
  <si>
    <t xml:space="preserve">      CSA and Farm Sales Revenue</t>
  </si>
  <si>
    <t xml:space="preserve">   Cost of Goods Sold</t>
  </si>
  <si>
    <t xml:space="preserve">      COGS - Other</t>
  </si>
  <si>
    <t xml:space="preserve">   Total Cost of Goods Sold</t>
  </si>
  <si>
    <t xml:space="preserve">   Pumps &amp; Piping</t>
  </si>
  <si>
    <t xml:space="preserve">   Repairs &amp; Maintenance</t>
  </si>
  <si>
    <t xml:space="preserve">   Seeds</t>
  </si>
  <si>
    <t xml:space="preserve">      Seedlings</t>
  </si>
  <si>
    <t xml:space="preserve">   Total Seeds</t>
  </si>
  <si>
    <t xml:space="preserve">      Director - Wages</t>
  </si>
  <si>
    <t xml:space="preserve">         Bonus</t>
  </si>
  <si>
    <t xml:space="preserve">      Total Director - Wages</t>
  </si>
  <si>
    <t xml:space="preserve">   Contract Labor</t>
  </si>
  <si>
    <t xml:space="preserve">   Creative Design</t>
  </si>
  <si>
    <t xml:space="preserve">   Permits</t>
  </si>
  <si>
    <t xml:space="preserve">   Other Ordinary Income</t>
  </si>
  <si>
    <t>Sunday, Oct 25, 2020 02:07:29 PM GMT-7 - Accrual Basis</t>
  </si>
  <si>
    <t>Grants</t>
  </si>
  <si>
    <t>check</t>
  </si>
  <si>
    <t>Overview #s</t>
  </si>
  <si>
    <t>2021 Summary Budget</t>
  </si>
  <si>
    <t>2019</t>
  </si>
  <si>
    <t>Sept TTM 2020</t>
  </si>
  <si>
    <t xml:space="preserve">Potentially flowers, seedlings, pumpkins, etc. </t>
  </si>
  <si>
    <t>Manager: Gross Salary</t>
  </si>
  <si>
    <t>Advisor to the Board</t>
  </si>
  <si>
    <t xml:space="preserve">      Bonuses</t>
  </si>
  <si>
    <t>SUTA</t>
  </si>
  <si>
    <t xml:space="preserve">SUTA </t>
  </si>
  <si>
    <t xml:space="preserve">why is SUTA separate? </t>
  </si>
  <si>
    <t>Admin Wages</t>
  </si>
  <si>
    <t>2021 Operating and Capital Budget</t>
  </si>
  <si>
    <t>See Wages worksheet</t>
  </si>
  <si>
    <t>Winter Squash</t>
  </si>
  <si>
    <t>LBS</t>
  </si>
  <si>
    <t>Price</t>
  </si>
  <si>
    <t>Butternut Squash</t>
  </si>
  <si>
    <t>Bell Peppers</t>
  </si>
  <si>
    <t>Tomatos</t>
  </si>
  <si>
    <t>Bell Peppers - Field</t>
  </si>
  <si>
    <t>Jalapenos</t>
  </si>
  <si>
    <t>Poblano</t>
  </si>
  <si>
    <t>Habanero</t>
  </si>
  <si>
    <t>Lunchbox Pepper</t>
  </si>
  <si>
    <t>Eggplant</t>
  </si>
  <si>
    <t>Collards</t>
  </si>
  <si>
    <t>Corn - Sweet</t>
  </si>
  <si>
    <t>Butternut Squash -FR</t>
  </si>
  <si>
    <t>Franklin</t>
  </si>
  <si>
    <t>F</t>
  </si>
  <si>
    <t>Tool Upgrade</t>
  </si>
  <si>
    <t>Greenhouse 2 Maintenance</t>
  </si>
  <si>
    <t>Greenhouse 3 Maintenance</t>
  </si>
  <si>
    <t>Greenhouse 4 Maintenance</t>
  </si>
  <si>
    <t>Forks for Tractor</t>
  </si>
  <si>
    <t>1000' ground cover</t>
  </si>
  <si>
    <t>Riding Mower</t>
  </si>
  <si>
    <t>6' tiller</t>
  </si>
  <si>
    <t>Employee Protection Equipment</t>
  </si>
  <si>
    <t>Employee Intake Tools</t>
  </si>
  <si>
    <t>Front Tires for Kubota</t>
  </si>
  <si>
    <t>Belly Mower</t>
  </si>
  <si>
    <t>Happy Frog Soil Medium</t>
  </si>
  <si>
    <t>Milwalkee Tool Set</t>
  </si>
  <si>
    <t>Extentsion Cords</t>
  </si>
  <si>
    <t>Pressure Washer</t>
  </si>
  <si>
    <t>Push Mower</t>
  </si>
  <si>
    <t>Weed Eater</t>
  </si>
  <si>
    <t>Jan $10k, May $5k, Aug $5k, Dec $5k</t>
  </si>
  <si>
    <t>USDA</t>
  </si>
  <si>
    <t>Cap Ex</t>
  </si>
  <si>
    <t>Historical View Worksheet</t>
  </si>
  <si>
    <t>Ending Cash</t>
  </si>
  <si>
    <t>BOY</t>
  </si>
  <si>
    <t>Non Required Cap X</t>
  </si>
  <si>
    <t xml:space="preserve">Specialty Crop Block Grant - </t>
  </si>
  <si>
    <t>Cultivators/Farm Managers</t>
  </si>
  <si>
    <t>$42k Personnel ($8, $14, $20) Supplies $7,050</t>
  </si>
  <si>
    <t>PPP Forgiveness</t>
  </si>
  <si>
    <t>PPP Loan Forgiveness</t>
  </si>
  <si>
    <t>G&amp;A Expenses</t>
  </si>
  <si>
    <t>$400 New</t>
  </si>
  <si>
    <t>C1</t>
  </si>
  <si>
    <t>C2</t>
  </si>
  <si>
    <t>C3</t>
  </si>
  <si>
    <t>C4</t>
  </si>
  <si>
    <t>C5</t>
  </si>
  <si>
    <t>C6</t>
  </si>
  <si>
    <t>FUTA/SUTA</t>
  </si>
  <si>
    <t>Total FICA/Medicare</t>
  </si>
  <si>
    <t>SUTA/FUTA</t>
  </si>
  <si>
    <t>Total Taxes</t>
  </si>
  <si>
    <t>Irrigation - Required</t>
  </si>
  <si>
    <t>Irrigation - Not Required</t>
  </si>
  <si>
    <t xml:space="preserve">tiller repair </t>
  </si>
  <si>
    <t>Seedlings</t>
  </si>
  <si>
    <t xml:space="preserve">   Equipment </t>
  </si>
  <si>
    <t>Tractor and other equipment</t>
  </si>
  <si>
    <t>software</t>
  </si>
  <si>
    <t>Freshpoint</t>
  </si>
  <si>
    <t>Inland Marine</t>
  </si>
  <si>
    <t>General liability, Board, Prof Liability</t>
  </si>
  <si>
    <t>G&amp;L/Fire/Bodily injusry for properties.  Paid Nov-July and not paid Aug-Oct</t>
  </si>
  <si>
    <t>Raises/ bonuses</t>
  </si>
  <si>
    <t>Print - Cover, Revenue, CapEx, Rev Trend, Cash Balance Graph</t>
  </si>
  <si>
    <t>Have trended down and represent risk</t>
  </si>
  <si>
    <t>O/G/F</t>
  </si>
  <si>
    <t>Other Expense</t>
  </si>
  <si>
    <t>Final</t>
  </si>
  <si>
    <t>Weldon</t>
  </si>
  <si>
    <t>rate</t>
  </si>
  <si>
    <t>cul2vators</t>
  </si>
  <si>
    <t>days/week</t>
  </si>
  <si>
    <t>hours/day</t>
  </si>
  <si>
    <t>weeks</t>
  </si>
  <si>
    <t>RCC Production Fees</t>
  </si>
  <si>
    <t>Calc of Cul2vators</t>
  </si>
  <si>
    <t>Seed</t>
  </si>
  <si>
    <t>Fuel</t>
  </si>
  <si>
    <t>Fertilizer</t>
  </si>
  <si>
    <t>Net Income/Loss</t>
  </si>
  <si>
    <t>C2V share of RCC Produce Sales</t>
  </si>
  <si>
    <t>Seasonal labor in budget</t>
  </si>
  <si>
    <t>Net impact to budget</t>
  </si>
  <si>
    <t>RCC contribution to expenses</t>
  </si>
  <si>
    <t>$1,250 per month.  Feb-Sept</t>
  </si>
  <si>
    <t>$1,875 per month.  Feb - Sept</t>
  </si>
  <si>
    <t>Current RCC donations from 2020</t>
  </si>
  <si>
    <t>50% production from site farm</t>
  </si>
  <si>
    <t>40k lbs last year</t>
  </si>
  <si>
    <t>Ellington</t>
  </si>
  <si>
    <t>RCC</t>
  </si>
  <si>
    <t>Total including Cap X</t>
  </si>
  <si>
    <t>Total Excluding Dep &amp; PPP</t>
  </si>
  <si>
    <t xml:space="preserve">   (For comparison purposes only)</t>
  </si>
  <si>
    <t xml:space="preserve">1,560 hrs over 9 mos at $15/hr </t>
  </si>
  <si>
    <t>(Oct clean up)</t>
  </si>
  <si>
    <t>RCC BUDGET</t>
  </si>
  <si>
    <t>Note - $15k in previous donations designated to RCC will be used</t>
  </si>
  <si>
    <t>Fencing not needed as much; $25k for pluming and electical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</si>
</sst>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_-"/>
    <numFmt numFmtId="165" formatCode="#,##0.00\ _€"/>
    <numFmt numFmtId="166" formatCode="_-&quot;$&quot;* #,##0_-;\-&quot;$&quot;* #,##0_-;_-&quot;$&quot;* &quot;-&quot;??_-;_-@_-"/>
    <numFmt numFmtId="167" formatCode="_(&quot;$&quot;* #,##0_);_(&quot;$&quot;* \(#,##0\);_(&quot;$&quot;* &quot;-&quot;??_);_(@_)"/>
    <numFmt numFmtId="168" formatCode="&quot;$&quot;#,##0;[Red]&quot;$&quot;#,##0"/>
    <numFmt numFmtId="169" formatCode="_(* #,##0_);_(* \(#,##0\);_(* &quot;-&quot;??_);_(@_)"/>
    <numFmt numFmtId="170" formatCode="&quot;$&quot;* #,##0\ _€"/>
    <numFmt numFmtId="171" formatCode="#,##0\ _€"/>
    <numFmt numFmtId="172" formatCode="0.0"/>
    <numFmt numFmtId="173" formatCode="_([$$-409]* #,##0.00_);_([$$-409]* \(#,##0.00\);_([$$-409]* &quot;-&quot;??_);_(@_)"/>
    <numFmt numFmtId="174" formatCode="&quot;$&quot;#,##0.000_);[Red]\(&quot;$&quot;#,##0.000\)"/>
    <numFmt numFmtId="175" formatCode="_(&quot;$&quot;* #,##0.0000_);_(&quot;$&quot;* \(#,##0.0000\);_(&quot;$&quot;* &quot;-&quot;??_);_(@_)"/>
    <numFmt numFmtId="176" formatCode="&quot;$&quot;* #,##0.00\ _€"/>
    <numFmt numFmtId="177" formatCode="[$-409]mmm\-yy;@"/>
    <numFmt numFmtId="178" formatCode="0.0%"/>
    <numFmt numFmtId="179" formatCode="&quot;$&quot;#,##0.000000;[Red]&quot;$&quot;#,##0.000000"/>
    <numFmt numFmtId="180" formatCode="#,##0.000000000000000\ _€"/>
    <numFmt numFmtId="181" formatCode="_-&quot;$&quot;* #,##0.000000_-;\-&quot;$&quot;* #,##0.000000_-;_-&quot;$&quot;* &quot;-&quot;??_-;_-@_-"/>
    <numFmt numFmtId="182" formatCode="_-&quot;$&quot;* #,##0.000000000000_-;\-&quot;$&quot;* #,##0.000000000000_-;_-&quot;$&quot;* &quot;-&quot;??_-;_-@_-"/>
    <numFmt numFmtId="183" formatCode="_-&quot;$&quot;* #,##0.000_-;\-&quot;$&quot;* #,##0.000_-;_-&quot;$&quot;* &quot;-&quot;??_-;_-@_-"/>
  </numFmts>
  <fonts count="7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8"/>
      <color indexed="8"/>
      <name val="Arial"/>
      <family val="2"/>
    </font>
    <font>
      <b/>
      <sz val="16"/>
      <color theme="1"/>
      <name val="Calibri"/>
      <family val="2"/>
      <scheme val="minor"/>
    </font>
    <font>
      <sz val="16"/>
      <color theme="1"/>
      <name val="Calibri"/>
      <family val="2"/>
      <scheme val="minor"/>
    </font>
    <font>
      <b/>
      <u/>
      <sz val="16"/>
      <color theme="1"/>
      <name val="Calibri"/>
      <family val="2"/>
      <scheme val="minor"/>
    </font>
    <font>
      <sz val="16"/>
      <color rgb="FFFF0000"/>
      <name val="Calibri"/>
      <family val="2"/>
      <scheme val="minor"/>
    </font>
    <font>
      <sz val="12"/>
      <color rgb="FFFF0000"/>
      <name val="Calibri"/>
      <family val="2"/>
      <scheme val="minor"/>
    </font>
    <font>
      <sz val="11"/>
      <color indexed="8"/>
      <name val="Calibri"/>
      <family val="2"/>
      <scheme val="minor"/>
    </font>
    <font>
      <b/>
      <sz val="14"/>
      <color indexed="8"/>
      <name val="Arial"/>
      <family val="2"/>
    </font>
    <font>
      <b/>
      <sz val="10"/>
      <color indexed="8"/>
      <name val="Arial"/>
      <family val="2"/>
    </font>
    <font>
      <b/>
      <sz val="9"/>
      <color indexed="8"/>
      <name val="Arial"/>
      <family val="2"/>
    </font>
    <font>
      <b/>
      <sz val="8"/>
      <color indexed="8"/>
      <name val="Arial"/>
      <family val="2"/>
    </font>
    <font>
      <sz val="9"/>
      <color indexed="81"/>
      <name val="Tahoma"/>
      <family val="2"/>
    </font>
    <font>
      <b/>
      <sz val="9"/>
      <color indexed="81"/>
      <name val="Tahoma"/>
      <family val="2"/>
    </font>
    <font>
      <sz val="12"/>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color theme="4"/>
      <name val="Calibri"/>
      <family val="2"/>
      <scheme val="minor"/>
    </font>
    <font>
      <sz val="9"/>
      <color indexed="8"/>
      <name val="Arial"/>
      <family val="2"/>
    </font>
    <font>
      <b/>
      <sz val="11"/>
      <color theme="0"/>
      <name val="Calibri"/>
      <family val="2"/>
      <scheme val="minor"/>
    </font>
    <font>
      <b/>
      <sz val="11"/>
      <color theme="1"/>
      <name val="Calibri"/>
      <family val="2"/>
      <scheme val="minor"/>
    </font>
    <font>
      <sz val="10"/>
      <name val="Arial"/>
      <family val="2"/>
    </font>
    <font>
      <b/>
      <sz val="14"/>
      <color rgb="FFFF0000"/>
      <name val="Calibri"/>
      <family val="2"/>
      <scheme val="minor"/>
    </font>
    <font>
      <b/>
      <i/>
      <u/>
      <sz val="11"/>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sz val="10"/>
      <color rgb="FFFF0000"/>
      <name val="Arial"/>
      <family val="2"/>
    </font>
    <font>
      <sz val="10"/>
      <color theme="4"/>
      <name val="Arial"/>
      <family val="2"/>
    </font>
    <font>
      <sz val="16"/>
      <name val="Calibri"/>
      <family val="2"/>
      <scheme val="minor"/>
    </font>
    <font>
      <u val="singleAccounting"/>
      <sz val="11"/>
      <color theme="1"/>
      <name val="Calibri"/>
      <family val="2"/>
      <scheme val="minor"/>
    </font>
    <font>
      <b/>
      <sz val="11"/>
      <color rgb="FFFF0000"/>
      <name val="Calibri"/>
      <family val="2"/>
      <scheme val="minor"/>
    </font>
    <font>
      <sz val="12"/>
      <name val="Calibri"/>
      <family val="2"/>
      <scheme val="minor"/>
    </font>
    <font>
      <sz val="12"/>
      <color theme="4"/>
      <name val="Calibri"/>
      <family val="2"/>
      <scheme val="minor"/>
    </font>
    <font>
      <b/>
      <sz val="16"/>
      <color theme="0"/>
      <name val="Calibri"/>
      <family val="2"/>
      <scheme val="minor"/>
    </font>
    <font>
      <sz val="22"/>
      <color indexed="8"/>
      <name val="Calibri"/>
      <family val="2"/>
      <scheme val="minor"/>
    </font>
    <font>
      <sz val="18"/>
      <color indexed="8"/>
      <name val="Calibri"/>
      <family val="2"/>
      <scheme val="minor"/>
    </font>
    <font>
      <sz val="18"/>
      <color rgb="FFFF0000"/>
      <name val="Calibri"/>
      <family val="2"/>
      <scheme val="minor"/>
    </font>
    <font>
      <sz val="11"/>
      <color rgb="FF0000FF"/>
      <name val="Calibri"/>
      <family val="2"/>
      <scheme val="minor"/>
    </font>
    <font>
      <b/>
      <u/>
      <sz val="11"/>
      <color theme="1"/>
      <name val="Calibri"/>
      <family val="2"/>
      <scheme val="minor"/>
    </font>
    <font>
      <b/>
      <sz val="8"/>
      <color theme="9"/>
      <name val="Arial"/>
      <family val="2"/>
    </font>
    <font>
      <sz val="8"/>
      <color theme="4"/>
      <name val="Arial"/>
      <family val="2"/>
    </font>
    <font>
      <b/>
      <sz val="14"/>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sz val="12"/>
      <color theme="8"/>
      <name val="Calibri"/>
      <family val="2"/>
      <scheme val="minor"/>
    </font>
    <font>
      <b/>
      <sz val="12"/>
      <name val="Calibri"/>
      <family val="2"/>
      <scheme val="minor"/>
    </font>
    <font>
      <b/>
      <sz val="14"/>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b/>
      <u val="singleAccounting"/>
      <sz val="16"/>
      <color theme="1"/>
      <name val="Calibri"/>
      <family val="2"/>
      <scheme val="minor"/>
    </font>
    <font>
      <b/>
      <sz val="12"/>
      <color rgb="FFFF0000"/>
      <name val="Calibri"/>
      <family val="2"/>
      <scheme val="minor"/>
    </font>
    <font>
      <sz val="9"/>
      <color indexed="81"/>
      <name val="Tahoma"/>
      <charset val="1"/>
    </font>
    <font>
      <b/>
      <sz val="9"/>
      <color indexed="81"/>
      <name val="Tahoma"/>
      <charset val="1"/>
    </font>
    <font>
      <u val="singleAccounting"/>
      <sz val="12"/>
      <color theme="1"/>
      <name val="Calibri"/>
      <family val="2"/>
      <scheme val="minor"/>
    </font>
    <font>
      <b/>
      <sz val="12"/>
      <color theme="0"/>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1"/>
        <bgColor indexed="64"/>
      </patternFill>
    </fill>
    <fill>
      <patternFill patternType="solid">
        <fgColor theme="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bgColor indexed="64"/>
      </patternFill>
    </fill>
    <fill>
      <patternFill patternType="solid">
        <fgColor theme="9" tint="-0.249977111117893"/>
        <bgColor indexed="64"/>
      </patternFill>
    </fill>
  </fills>
  <borders count="63">
    <border>
      <left/>
      <right/>
      <top/>
      <bottom/>
      <diagonal/>
    </border>
    <border>
      <left/>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diagonal/>
    </border>
    <border>
      <left style="thin">
        <color auto="1"/>
      </left>
      <right style="thin">
        <color auto="1"/>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bottom/>
      <diagonal/>
    </border>
    <border>
      <left style="medium">
        <color auto="1"/>
      </left>
      <right style="thin">
        <color auto="1"/>
      </right>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indexed="64"/>
      </top>
      <bottom style="double">
        <color indexed="64"/>
      </bottom>
      <diagonal/>
    </border>
  </borders>
  <cellStyleXfs count="46">
    <xf numFmtId="0" fontId="0" fillId="0" borderId="0"/>
    <xf numFmtId="164" fontId="13"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13" fillId="0" borderId="0" applyFont="0" applyFill="0" applyBorder="0" applyAlignment="0" applyProtection="0"/>
    <xf numFmtId="0" fontId="25" fillId="0" borderId="0"/>
    <xf numFmtId="9" fontId="13"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0" fontId="40" fillId="0" borderId="0">
      <alignment vertical="center"/>
    </xf>
    <xf numFmtId="44" fontId="40" fillId="0" borderId="0" applyFont="0" applyFill="0" applyBorder="0" applyAlignment="0" applyProtection="0">
      <alignment vertical="center"/>
    </xf>
    <xf numFmtId="9" fontId="40" fillId="0" borderId="0" applyFont="0" applyFill="0" applyBorder="0" applyAlignment="0" applyProtection="0">
      <alignment vertical="center"/>
    </xf>
    <xf numFmtId="0" fontId="8" fillId="0" borderId="0"/>
    <xf numFmtId="43" fontId="8" fillId="0" borderId="0" applyFont="0" applyFill="0" applyBorder="0" applyAlignment="0" applyProtection="0"/>
  </cellStyleXfs>
  <cellXfs count="593">
    <xf numFmtId="0" fontId="0" fillId="0" borderId="0" xfId="0"/>
    <xf numFmtId="0" fontId="14" fillId="0" borderId="0" xfId="0" applyFont="1"/>
    <xf numFmtId="0" fontId="14" fillId="0" borderId="0" xfId="0" applyFont="1" applyAlignment="1">
      <alignment horizontal="left"/>
    </xf>
    <xf numFmtId="0" fontId="14" fillId="0" borderId="0" xfId="0" applyFont="1" applyAlignment="1">
      <alignment horizontal="center"/>
    </xf>
    <xf numFmtId="0" fontId="0" fillId="0" borderId="0" xfId="0" applyAlignment="1">
      <alignment horizontal="left"/>
    </xf>
    <xf numFmtId="164" fontId="14" fillId="0" borderId="0" xfId="0" applyNumberFormat="1" applyFont="1"/>
    <xf numFmtId="164" fontId="0" fillId="0" borderId="0" xfId="1" applyFont="1"/>
    <xf numFmtId="0" fontId="0" fillId="0" borderId="0" xfId="0" applyFont="1"/>
    <xf numFmtId="0" fontId="0" fillId="0" borderId="0" xfId="0" applyFont="1" applyAlignment="1">
      <alignment horizontal="left"/>
    </xf>
    <xf numFmtId="166" fontId="0" fillId="0" borderId="0" xfId="1" applyNumberFormat="1" applyFont="1"/>
    <xf numFmtId="166" fontId="14" fillId="0" borderId="0" xfId="1" applyNumberFormat="1" applyFont="1"/>
    <xf numFmtId="44" fontId="0" fillId="0" borderId="0" xfId="0" applyNumberFormat="1"/>
    <xf numFmtId="166" fontId="0" fillId="0" borderId="0" xfId="0" applyNumberFormat="1"/>
    <xf numFmtId="0" fontId="21" fillId="0" borderId="0" xfId="0" applyFont="1"/>
    <xf numFmtId="0" fontId="21" fillId="4" borderId="0" xfId="0" applyFont="1" applyFill="1"/>
    <xf numFmtId="0" fontId="21" fillId="4" borderId="0" xfId="0" applyFont="1" applyFill="1" applyAlignment="1"/>
    <xf numFmtId="0" fontId="22" fillId="4" borderId="0" xfId="0" applyFont="1" applyFill="1" applyAlignment="1">
      <alignment horizontal="center"/>
    </xf>
    <xf numFmtId="167" fontId="21" fillId="4" borderId="0" xfId="1" applyNumberFormat="1" applyFont="1" applyFill="1" applyAlignment="1"/>
    <xf numFmtId="167" fontId="20" fillId="4" borderId="0" xfId="1" applyNumberFormat="1" applyFont="1" applyFill="1" applyAlignment="1"/>
    <xf numFmtId="0" fontId="21" fillId="0" borderId="0" xfId="0" applyFont="1" applyAlignment="1">
      <alignment vertical="top"/>
    </xf>
    <xf numFmtId="0" fontId="21" fillId="0" borderId="0" xfId="0" applyFont="1" applyFill="1"/>
    <xf numFmtId="166" fontId="14" fillId="0" borderId="0" xfId="0" applyNumberFormat="1" applyFont="1"/>
    <xf numFmtId="0" fontId="14" fillId="0" borderId="0" xfId="0" applyFont="1" applyAlignment="1">
      <alignment horizontal="center" wrapText="1"/>
    </xf>
    <xf numFmtId="166" fontId="13" fillId="0" borderId="0" xfId="1" applyNumberFormat="1" applyFont="1"/>
    <xf numFmtId="0" fontId="24" fillId="0" borderId="0" xfId="0" applyFont="1"/>
    <xf numFmtId="0" fontId="25" fillId="0" borderId="0" xfId="37"/>
    <xf numFmtId="0" fontId="28" fillId="0" borderId="1" xfId="37" applyFont="1" applyBorder="1" applyAlignment="1">
      <alignment horizontal="center" wrapText="1"/>
    </xf>
    <xf numFmtId="0" fontId="19" fillId="6" borderId="2" xfId="37" applyFont="1" applyFill="1" applyBorder="1" applyAlignment="1">
      <alignment horizontal="left" wrapText="1"/>
    </xf>
    <xf numFmtId="0" fontId="19" fillId="6" borderId="3" xfId="37" applyFont="1" applyFill="1" applyBorder="1" applyAlignment="1">
      <alignment horizontal="left" wrapText="1"/>
    </xf>
    <xf numFmtId="170" fontId="25" fillId="0" borderId="0" xfId="37" applyNumberFormat="1"/>
    <xf numFmtId="166" fontId="14" fillId="7" borderId="0" xfId="0" applyNumberFormat="1" applyFont="1" applyFill="1"/>
    <xf numFmtId="0" fontId="0" fillId="0" borderId="0" xfId="0" applyAlignment="1">
      <alignment horizontal="center"/>
    </xf>
    <xf numFmtId="43" fontId="0" fillId="0" borderId="0" xfId="36" applyFont="1"/>
    <xf numFmtId="0" fontId="23" fillId="4" borderId="0" xfId="0" applyFont="1" applyFill="1"/>
    <xf numFmtId="0" fontId="25" fillId="0" borderId="0" xfId="37"/>
    <xf numFmtId="0" fontId="19" fillId="0" borderId="0" xfId="37" applyFont="1" applyAlignment="1">
      <alignment horizontal="center"/>
    </xf>
    <xf numFmtId="170" fontId="29" fillId="0" borderId="4" xfId="37" applyNumberFormat="1" applyFont="1" applyBorder="1" applyAlignment="1">
      <alignment horizontal="right" wrapText="1"/>
    </xf>
    <xf numFmtId="0" fontId="33" fillId="0" borderId="0" xfId="37" applyFont="1"/>
    <xf numFmtId="0" fontId="25" fillId="0" borderId="0" xfId="37" applyAlignment="1"/>
    <xf numFmtId="0" fontId="23" fillId="4" borderId="0" xfId="0" applyFont="1" applyFill="1" applyAlignment="1"/>
    <xf numFmtId="171" fontId="19" fillId="0" borderId="0" xfId="37" applyNumberFormat="1" applyFont="1" applyAlignment="1">
      <alignment wrapText="1"/>
    </xf>
    <xf numFmtId="0" fontId="29" fillId="0" borderId="0" xfId="37" applyFont="1" applyBorder="1" applyAlignment="1">
      <alignment horizontal="left" wrapText="1"/>
    </xf>
    <xf numFmtId="14" fontId="19" fillId="6" borderId="2" xfId="37" applyNumberFormat="1" applyFont="1" applyFill="1" applyBorder="1" applyAlignment="1">
      <alignment horizontal="left" wrapText="1"/>
    </xf>
    <xf numFmtId="0" fontId="37" fillId="0" borderId="0" xfId="37" applyFont="1"/>
    <xf numFmtId="169" fontId="19" fillId="0" borderId="0" xfId="36" applyNumberFormat="1" applyFont="1"/>
    <xf numFmtId="14" fontId="19" fillId="3" borderId="2" xfId="37" applyNumberFormat="1" applyFont="1" applyFill="1" applyBorder="1" applyAlignment="1">
      <alignment horizontal="left" wrapText="1"/>
    </xf>
    <xf numFmtId="0" fontId="19" fillId="3" borderId="3" xfId="37" applyFont="1" applyFill="1" applyBorder="1" applyAlignment="1">
      <alignment horizontal="left" wrapText="1"/>
    </xf>
    <xf numFmtId="0" fontId="19" fillId="3" borderId="2" xfId="37" applyFont="1" applyFill="1" applyBorder="1" applyAlignment="1">
      <alignment horizontal="left" wrapText="1"/>
    </xf>
    <xf numFmtId="169" fontId="19" fillId="0" borderId="0" xfId="37" applyNumberFormat="1" applyFont="1"/>
    <xf numFmtId="167" fontId="0" fillId="0" borderId="0" xfId="0" applyNumberFormat="1"/>
    <xf numFmtId="0" fontId="25" fillId="10" borderId="0" xfId="37" applyFill="1"/>
    <xf numFmtId="0" fontId="18" fillId="5" borderId="0" xfId="0" applyFont="1" applyFill="1" applyAlignment="1">
      <alignment horizontal="center"/>
    </xf>
    <xf numFmtId="0" fontId="39" fillId="11" borderId="5" xfId="41" applyFont="1" applyFill="1" applyBorder="1" applyAlignment="1"/>
    <xf numFmtId="0" fontId="40" fillId="11" borderId="6" xfId="41" applyFill="1" applyBorder="1" applyAlignment="1"/>
    <xf numFmtId="0" fontId="39" fillId="11" borderId="9" xfId="41" applyFont="1" applyFill="1" applyBorder="1" applyAlignment="1">
      <alignment horizontal="center"/>
    </xf>
    <xf numFmtId="0" fontId="39" fillId="11" borderId="10" xfId="41" applyFont="1" applyFill="1" applyBorder="1" applyAlignment="1">
      <alignment horizontal="center"/>
    </xf>
    <xf numFmtId="0" fontId="39" fillId="0" borderId="8" xfId="41" applyFont="1" applyFill="1" applyBorder="1" applyAlignment="1">
      <alignment horizontal="center"/>
    </xf>
    <xf numFmtId="0" fontId="40" fillId="0" borderId="0" xfId="41">
      <alignment vertical="center"/>
    </xf>
    <xf numFmtId="0" fontId="39" fillId="11" borderId="8" xfId="41" applyFont="1" applyFill="1" applyBorder="1" applyAlignment="1">
      <alignment horizontal="center"/>
    </xf>
    <xf numFmtId="0" fontId="39" fillId="12" borderId="7" xfId="41" applyFont="1" applyFill="1" applyBorder="1" applyAlignment="1"/>
    <xf numFmtId="0" fontId="40" fillId="12" borderId="10" xfId="41" applyFill="1" applyBorder="1" applyAlignment="1"/>
    <xf numFmtId="0" fontId="42" fillId="12" borderId="8" xfId="41" applyFont="1" applyFill="1" applyBorder="1" applyAlignment="1"/>
    <xf numFmtId="0" fontId="42" fillId="12" borderId="12" xfId="41" applyFont="1" applyFill="1" applyBorder="1" applyAlignment="1"/>
    <xf numFmtId="0" fontId="42" fillId="12" borderId="13" xfId="41" applyFont="1" applyFill="1" applyBorder="1" applyAlignment="1"/>
    <xf numFmtId="0" fontId="42" fillId="12" borderId="14" xfId="41" applyFont="1" applyFill="1" applyBorder="1" applyAlignment="1"/>
    <xf numFmtId="0" fontId="42" fillId="12" borderId="10" xfId="41" applyFont="1" applyFill="1" applyBorder="1" applyAlignment="1"/>
    <xf numFmtId="0" fontId="42" fillId="0" borderId="8" xfId="41" applyFont="1" applyFill="1" applyBorder="1" applyAlignment="1"/>
    <xf numFmtId="0" fontId="39" fillId="0" borderId="15" xfId="41" applyFont="1" applyBorder="1" applyAlignment="1"/>
    <xf numFmtId="0" fontId="40" fillId="0" borderId="16" xfId="41" applyBorder="1" applyAlignment="1"/>
    <xf numFmtId="0" fontId="40" fillId="0" borderId="17" xfId="41" applyBorder="1" applyAlignment="1"/>
    <xf numFmtId="4" fontId="40" fillId="0" borderId="19" xfId="41" applyNumberFormat="1" applyBorder="1" applyAlignment="1"/>
    <xf numFmtId="4" fontId="40" fillId="0" borderId="20" xfId="41" applyNumberFormat="1" applyBorder="1" applyAlignment="1"/>
    <xf numFmtId="4" fontId="40" fillId="0" borderId="21" xfId="41" applyNumberFormat="1" applyBorder="1" applyAlignment="1"/>
    <xf numFmtId="0" fontId="40" fillId="0" borderId="10" xfId="41" applyBorder="1" applyAlignment="1">
      <alignment vertical="center"/>
    </xf>
    <xf numFmtId="0" fontId="40" fillId="0" borderId="17" xfId="41" applyFill="1" applyBorder="1" applyAlignment="1"/>
    <xf numFmtId="0" fontId="40" fillId="0" borderId="1" xfId="41" applyBorder="1" applyAlignment="1">
      <alignment wrapText="1"/>
    </xf>
    <xf numFmtId="44" fontId="0" fillId="0" borderId="25" xfId="42" applyFont="1" applyBorder="1" applyAlignment="1">
      <alignment horizontal="right" vertical="center"/>
    </xf>
    <xf numFmtId="44" fontId="0" fillId="0" borderId="26" xfId="42" applyFont="1" applyBorder="1" applyAlignment="1">
      <alignment horizontal="right" vertical="center"/>
    </xf>
    <xf numFmtId="44" fontId="0" fillId="0" borderId="27" xfId="42" applyFont="1" applyBorder="1" applyAlignment="1">
      <alignment horizontal="right" vertical="center"/>
    </xf>
    <xf numFmtId="44" fontId="0" fillId="0" borderId="28" xfId="42" applyFont="1" applyBorder="1" applyAlignment="1">
      <alignment vertical="center"/>
    </xf>
    <xf numFmtId="0" fontId="40" fillId="0" borderId="0" xfId="41" applyBorder="1" applyAlignment="1"/>
    <xf numFmtId="0" fontId="40" fillId="0" borderId="31" xfId="41" applyBorder="1" applyAlignment="1">
      <alignment wrapText="1"/>
    </xf>
    <xf numFmtId="44" fontId="0" fillId="0" borderId="32" xfId="42" applyFont="1" applyBorder="1" applyAlignment="1">
      <alignment horizontal="right" vertical="center"/>
    </xf>
    <xf numFmtId="44" fontId="0" fillId="0" borderId="33" xfId="42" applyFont="1" applyBorder="1" applyAlignment="1">
      <alignment horizontal="right" vertical="center"/>
    </xf>
    <xf numFmtId="44" fontId="0" fillId="0" borderId="34" xfId="42" applyFont="1" applyBorder="1" applyAlignment="1">
      <alignment horizontal="right" vertical="center"/>
    </xf>
    <xf numFmtId="44" fontId="0" fillId="0" borderId="35" xfId="42" applyFont="1" applyBorder="1" applyAlignment="1">
      <alignment horizontal="right" vertical="center"/>
    </xf>
    <xf numFmtId="44" fontId="0" fillId="0" borderId="36" xfId="42" applyFont="1" applyBorder="1" applyAlignment="1">
      <alignment vertical="center"/>
    </xf>
    <xf numFmtId="3" fontId="40" fillId="0" borderId="31" xfId="41" applyNumberFormat="1" applyBorder="1" applyAlignment="1">
      <alignment wrapText="1"/>
    </xf>
    <xf numFmtId="44" fontId="40" fillId="0" borderId="0" xfId="41" applyNumberFormat="1" applyBorder="1" applyAlignment="1"/>
    <xf numFmtId="44" fontId="40" fillId="0" borderId="36" xfId="41" applyNumberFormat="1" applyBorder="1" applyAlignment="1">
      <alignment vertical="center"/>
    </xf>
    <xf numFmtId="44" fontId="0" fillId="0" borderId="0" xfId="42" applyFont="1" applyBorder="1" applyAlignment="1"/>
    <xf numFmtId="44" fontId="0" fillId="0" borderId="31" xfId="42" applyFont="1" applyBorder="1" applyAlignment="1">
      <alignment horizontal="right" vertical="center"/>
    </xf>
    <xf numFmtId="44" fontId="0" fillId="0" borderId="0" xfId="42" applyFont="1" applyFill="1" applyBorder="1" applyAlignment="1">
      <alignment horizontal="right" vertical="center"/>
    </xf>
    <xf numFmtId="0" fontId="40" fillId="0" borderId="31" xfId="41" applyFont="1" applyBorder="1" applyAlignment="1">
      <alignment wrapText="1"/>
    </xf>
    <xf numFmtId="44" fontId="0" fillId="0" borderId="36" xfId="42" applyFont="1" applyFill="1" applyBorder="1" applyAlignment="1">
      <alignment horizontal="right" vertical="center"/>
    </xf>
    <xf numFmtId="44" fontId="0" fillId="0" borderId="33" xfId="42" applyFont="1" applyFill="1" applyBorder="1" applyAlignment="1" applyProtection="1">
      <alignment horizontal="right" vertical="center"/>
      <protection locked="0"/>
    </xf>
    <xf numFmtId="0" fontId="40" fillId="0" borderId="4" xfId="41" applyBorder="1" applyAlignment="1">
      <alignment wrapText="1"/>
    </xf>
    <xf numFmtId="44" fontId="0" fillId="0" borderId="40" xfId="42" applyFont="1" applyBorder="1" applyAlignment="1">
      <alignment horizontal="right" vertical="center"/>
    </xf>
    <xf numFmtId="44" fontId="0" fillId="0" borderId="41" xfId="42" applyFont="1" applyBorder="1" applyAlignment="1">
      <alignment horizontal="right" vertical="center"/>
    </xf>
    <xf numFmtId="44" fontId="0" fillId="0" borderId="42" xfId="42" applyFont="1" applyBorder="1" applyAlignment="1">
      <alignment horizontal="right" vertical="center"/>
    </xf>
    <xf numFmtId="0" fontId="40" fillId="0" borderId="15" xfId="41" applyBorder="1" applyAlignment="1">
      <alignment horizontal="center" vertical="center"/>
    </xf>
    <xf numFmtId="0" fontId="39" fillId="0" borderId="0" xfId="41" applyFont="1" applyBorder="1" applyAlignment="1">
      <alignment horizontal="center" wrapText="1"/>
    </xf>
    <xf numFmtId="0" fontId="40" fillId="0" borderId="0" xfId="41" applyBorder="1" applyAlignment="1">
      <alignment wrapText="1"/>
    </xf>
    <xf numFmtId="44" fontId="0" fillId="0" borderId="43" xfId="42" applyFont="1" applyBorder="1" applyAlignment="1">
      <alignment horizontal="right" vertical="center"/>
    </xf>
    <xf numFmtId="44" fontId="0" fillId="0" borderId="0" xfId="42" applyFont="1" applyBorder="1" applyAlignment="1">
      <alignment horizontal="right" vertical="center"/>
    </xf>
    <xf numFmtId="44" fontId="0" fillId="0" borderId="44" xfId="42" applyFont="1" applyBorder="1" applyAlignment="1">
      <alignment horizontal="right" vertical="center"/>
    </xf>
    <xf numFmtId="0" fontId="39" fillId="13" borderId="7" xfId="41" applyFont="1" applyFill="1" applyBorder="1" applyAlignment="1"/>
    <xf numFmtId="0" fontId="40" fillId="13" borderId="8" xfId="41" applyFill="1" applyBorder="1" applyAlignment="1"/>
    <xf numFmtId="44" fontId="0" fillId="13" borderId="10" xfId="42" applyFont="1" applyFill="1" applyBorder="1" applyAlignment="1"/>
    <xf numFmtId="44" fontId="0" fillId="13" borderId="8" xfId="42" applyFont="1" applyFill="1" applyBorder="1" applyAlignment="1"/>
    <xf numFmtId="44" fontId="0" fillId="13" borderId="21" xfId="42" applyFont="1" applyFill="1" applyBorder="1" applyAlignment="1"/>
    <xf numFmtId="44" fontId="0" fillId="0" borderId="0" xfId="42" applyFont="1" applyFill="1" applyBorder="1" applyAlignment="1"/>
    <xf numFmtId="0" fontId="39" fillId="11" borderId="7" xfId="41" applyFont="1" applyFill="1" applyBorder="1" applyAlignment="1"/>
    <xf numFmtId="0" fontId="40" fillId="11" borderId="8" xfId="41" applyFill="1" applyBorder="1" applyAlignment="1"/>
    <xf numFmtId="44" fontId="0" fillId="11" borderId="12" xfId="42" applyFont="1" applyFill="1" applyBorder="1" applyAlignment="1">
      <alignment horizontal="right" vertical="center" indent="3"/>
    </xf>
    <xf numFmtId="44" fontId="0" fillId="11" borderId="13" xfId="42" applyFont="1" applyFill="1" applyBorder="1" applyAlignment="1">
      <alignment horizontal="right" vertical="center" indent="3"/>
    </xf>
    <xf numFmtId="44" fontId="0" fillId="11" borderId="7" xfId="42" applyFont="1" applyFill="1" applyBorder="1" applyAlignment="1">
      <alignment horizontal="right" vertical="center" indent="3"/>
    </xf>
    <xf numFmtId="44" fontId="0" fillId="11" borderId="14" xfId="42" applyFont="1" applyFill="1" applyBorder="1" applyAlignment="1"/>
    <xf numFmtId="0" fontId="39" fillId="0" borderId="0" xfId="41" applyFont="1" applyFill="1" applyBorder="1" applyAlignment="1"/>
    <xf numFmtId="0" fontId="40" fillId="0" borderId="0" xfId="41" applyFill="1" applyBorder="1" applyAlignment="1"/>
    <xf numFmtId="44" fontId="0" fillId="0" borderId="0" xfId="42" applyFont="1" applyFill="1" applyBorder="1" applyAlignment="1">
      <alignment horizontal="right" vertical="center" indent="3"/>
    </xf>
    <xf numFmtId="44" fontId="0" fillId="0" borderId="45" xfId="42" applyFont="1" applyFill="1" applyBorder="1" applyAlignment="1">
      <alignment horizontal="right" vertical="center" indent="3"/>
    </xf>
    <xf numFmtId="44" fontId="0" fillId="0" borderId="8" xfId="42" applyFont="1" applyFill="1" applyBorder="1" applyAlignment="1"/>
    <xf numFmtId="0" fontId="39" fillId="11" borderId="33" xfId="41" applyFont="1" applyFill="1" applyBorder="1" applyAlignment="1">
      <alignment vertical="center" wrapText="1"/>
    </xf>
    <xf numFmtId="0" fontId="40" fillId="11" borderId="33" xfId="41" applyFill="1" applyBorder="1" applyAlignment="1"/>
    <xf numFmtId="44" fontId="0" fillId="11" borderId="33" xfId="42" applyFont="1" applyFill="1" applyBorder="1" applyAlignment="1">
      <alignment horizontal="right" vertical="center" indent="3"/>
    </xf>
    <xf numFmtId="44" fontId="35" fillId="11" borderId="0" xfId="42" applyFont="1" applyFill="1" applyBorder="1" applyAlignment="1">
      <alignment vertical="center"/>
    </xf>
    <xf numFmtId="0" fontId="39" fillId="11" borderId="33" xfId="41" applyFont="1" applyFill="1" applyBorder="1" applyAlignment="1"/>
    <xf numFmtId="9" fontId="0" fillId="11" borderId="33" xfId="43" applyFont="1" applyFill="1" applyBorder="1" applyAlignment="1">
      <alignment horizontal="right" vertical="center" indent="3"/>
    </xf>
    <xf numFmtId="9" fontId="0" fillId="0" borderId="0" xfId="43" applyFont="1" applyFill="1" applyBorder="1" applyAlignment="1">
      <alignment horizontal="right" vertical="center" indent="3"/>
    </xf>
    <xf numFmtId="44" fontId="0" fillId="11" borderId="33" xfId="42" applyFont="1" applyFill="1" applyBorder="1" applyAlignment="1"/>
    <xf numFmtId="0" fontId="40" fillId="0" borderId="0" xfId="41" applyAlignment="1"/>
    <xf numFmtId="6" fontId="40" fillId="0" borderId="0" xfId="41" applyNumberFormat="1" applyAlignment="1"/>
    <xf numFmtId="0" fontId="40" fillId="0" borderId="45" xfId="41" applyBorder="1" applyAlignment="1"/>
    <xf numFmtId="0" fontId="39" fillId="14" borderId="5" xfId="41" applyFont="1" applyFill="1" applyBorder="1" applyAlignment="1"/>
    <xf numFmtId="0" fontId="39" fillId="14" borderId="6" xfId="41" applyFont="1" applyFill="1" applyBorder="1" applyAlignment="1"/>
    <xf numFmtId="0" fontId="40" fillId="14" borderId="6" xfId="41" applyFill="1" applyBorder="1" applyAlignment="1"/>
    <xf numFmtId="6" fontId="40" fillId="14" borderId="6" xfId="41" applyNumberFormat="1" applyFill="1" applyBorder="1" applyAlignment="1"/>
    <xf numFmtId="0" fontId="40" fillId="14" borderId="9" xfId="41" applyFill="1" applyBorder="1" applyAlignment="1"/>
    <xf numFmtId="0" fontId="45" fillId="12" borderId="33" xfId="41" applyFont="1" applyFill="1" applyBorder="1" applyAlignment="1"/>
    <xf numFmtId="0" fontId="45" fillId="12" borderId="34" xfId="41" applyFont="1" applyFill="1" applyBorder="1" applyAlignment="1"/>
    <xf numFmtId="0" fontId="45" fillId="12" borderId="36" xfId="41" applyFont="1" applyFill="1" applyBorder="1" applyAlignment="1"/>
    <xf numFmtId="0" fontId="45" fillId="0" borderId="0" xfId="41" applyFont="1" applyFill="1" applyBorder="1" applyAlignment="1"/>
    <xf numFmtId="0" fontId="45" fillId="5" borderId="33" xfId="41" applyFont="1" applyFill="1" applyBorder="1" applyAlignment="1"/>
    <xf numFmtId="0" fontId="45" fillId="5" borderId="34" xfId="41" applyFont="1" applyFill="1" applyBorder="1" applyAlignment="1"/>
    <xf numFmtId="0" fontId="45" fillId="5" borderId="36" xfId="41" applyFont="1" applyFill="1" applyBorder="1" applyAlignment="1"/>
    <xf numFmtId="0" fontId="45" fillId="5" borderId="40" xfId="41" applyFont="1" applyFill="1" applyBorder="1" applyAlignment="1"/>
    <xf numFmtId="0" fontId="45" fillId="5" borderId="41" xfId="41" applyFont="1" applyFill="1" applyBorder="1" applyAlignment="1"/>
    <xf numFmtId="0" fontId="45" fillId="5" borderId="46" xfId="41" applyFont="1" applyFill="1" applyBorder="1" applyAlignment="1"/>
    <xf numFmtId="0" fontId="45" fillId="5" borderId="25" xfId="41" applyFont="1" applyFill="1" applyBorder="1" applyAlignment="1">
      <alignment horizontal="left"/>
    </xf>
    <xf numFmtId="0" fontId="45" fillId="5" borderId="25" xfId="41" applyFont="1" applyFill="1" applyBorder="1" applyAlignment="1"/>
    <xf numFmtId="0" fontId="45" fillId="5" borderId="26" xfId="41" applyFont="1" applyFill="1" applyBorder="1" applyAlignment="1"/>
    <xf numFmtId="0" fontId="45" fillId="12" borderId="33" xfId="41" applyFont="1" applyFill="1" applyBorder="1" applyAlignment="1">
      <alignment horizontal="left"/>
    </xf>
    <xf numFmtId="0" fontId="40" fillId="12" borderId="33" xfId="41" applyFill="1" applyBorder="1" applyAlignment="1"/>
    <xf numFmtId="0" fontId="45" fillId="5" borderId="33" xfId="41" applyFont="1" applyFill="1" applyBorder="1" applyAlignment="1">
      <alignment horizontal="left"/>
    </xf>
    <xf numFmtId="0" fontId="40" fillId="5" borderId="33" xfId="41" applyFill="1" applyBorder="1" applyAlignment="1"/>
    <xf numFmtId="44" fontId="45" fillId="5" borderId="33" xfId="41" applyNumberFormat="1" applyFont="1" applyFill="1" applyBorder="1" applyAlignment="1"/>
    <xf numFmtId="44" fontId="0" fillId="12" borderId="33" xfId="42" applyFont="1" applyFill="1" applyBorder="1" applyAlignment="1"/>
    <xf numFmtId="44" fontId="45" fillId="12" borderId="33" xfId="42" applyFont="1" applyFill="1" applyBorder="1" applyAlignment="1"/>
    <xf numFmtId="44" fontId="45" fillId="12" borderId="34" xfId="42" applyFont="1" applyFill="1" applyBorder="1" applyAlignment="1"/>
    <xf numFmtId="44" fontId="45" fillId="0" borderId="0" xfId="42" applyFont="1" applyFill="1" applyBorder="1" applyAlignment="1"/>
    <xf numFmtId="44" fontId="0" fillId="5" borderId="33" xfId="42" applyFont="1" applyFill="1" applyBorder="1" applyAlignment="1"/>
    <xf numFmtId="44" fontId="45" fillId="5" borderId="33" xfId="42" applyFont="1" applyFill="1" applyBorder="1" applyAlignment="1"/>
    <xf numFmtId="44" fontId="45" fillId="5" borderId="34" xfId="42" applyFont="1" applyFill="1" applyBorder="1" applyAlignment="1"/>
    <xf numFmtId="0" fontId="45" fillId="0" borderId="0" xfId="41" applyFont="1" applyBorder="1" applyAlignment="1"/>
    <xf numFmtId="0" fontId="44" fillId="14" borderId="14" xfId="41" applyFont="1" applyFill="1" applyBorder="1" applyAlignment="1">
      <alignment horizontal="left" vertical="center" wrapText="1"/>
    </xf>
    <xf numFmtId="0" fontId="45" fillId="12" borderId="10" xfId="41" applyFont="1" applyFill="1" applyBorder="1" applyAlignment="1"/>
    <xf numFmtId="0" fontId="44" fillId="0" borderId="0" xfId="41" applyFont="1" applyFill="1" applyBorder="1" applyAlignment="1"/>
    <xf numFmtId="44" fontId="39" fillId="15" borderId="7" xfId="42" applyFont="1" applyFill="1" applyBorder="1" applyAlignment="1">
      <alignment wrapText="1"/>
    </xf>
    <xf numFmtId="0" fontId="40" fillId="13" borderId="47" xfId="41" applyFill="1" applyBorder="1" applyAlignment="1"/>
    <xf numFmtId="0" fontId="45" fillId="0" borderId="0" xfId="41" applyFont="1" applyBorder="1" applyAlignment="1">
      <alignment horizontal="left" vertical="center"/>
    </xf>
    <xf numFmtId="0" fontId="44" fillId="14" borderId="14" xfId="41" applyFont="1" applyFill="1" applyBorder="1" applyAlignment="1">
      <alignment horizontal="left" vertical="center"/>
    </xf>
    <xf numFmtId="0" fontId="44" fillId="14" borderId="11" xfId="41" applyFont="1" applyFill="1" applyBorder="1" applyAlignment="1"/>
    <xf numFmtId="0" fontId="44" fillId="14" borderId="12" xfId="41" applyFont="1" applyFill="1" applyBorder="1" applyAlignment="1"/>
    <xf numFmtId="0" fontId="44" fillId="14" borderId="8" xfId="41" applyFont="1" applyFill="1" applyBorder="1" applyAlignment="1"/>
    <xf numFmtId="0" fontId="44" fillId="14" borderId="13" xfId="41" applyFont="1" applyFill="1" applyBorder="1" applyAlignment="1"/>
    <xf numFmtId="0" fontId="44" fillId="14" borderId="33" xfId="41" applyFont="1" applyFill="1" applyBorder="1" applyAlignment="1"/>
    <xf numFmtId="0" fontId="44" fillId="12" borderId="48" xfId="41" applyFont="1" applyFill="1" applyBorder="1" applyAlignment="1">
      <alignment horizontal="left" vertical="center"/>
    </xf>
    <xf numFmtId="0" fontId="45" fillId="12" borderId="24" xfId="41" applyFont="1" applyFill="1" applyBorder="1" applyAlignment="1"/>
    <xf numFmtId="0" fontId="45" fillId="12" borderId="25" xfId="41" applyFont="1" applyFill="1" applyBorder="1" applyAlignment="1"/>
    <xf numFmtId="0" fontId="40" fillId="12" borderId="25" xfId="41" applyFill="1" applyBorder="1" applyAlignment="1"/>
    <xf numFmtId="0" fontId="45" fillId="12" borderId="26" xfId="41" applyFont="1" applyFill="1" applyBorder="1" applyAlignment="1"/>
    <xf numFmtId="0" fontId="44" fillId="12" borderId="49" xfId="41" applyFont="1" applyFill="1" applyBorder="1" applyAlignment="1">
      <alignment horizontal="left" vertical="center"/>
    </xf>
    <xf numFmtId="0" fontId="45" fillId="12" borderId="32" xfId="41" applyFont="1" applyFill="1" applyBorder="1" applyAlignment="1"/>
    <xf numFmtId="0" fontId="44" fillId="0" borderId="0" xfId="41" applyFont="1" applyBorder="1" applyAlignment="1">
      <alignment horizontal="left" vertical="center"/>
    </xf>
    <xf numFmtId="0" fontId="44" fillId="11" borderId="14" xfId="41" applyFont="1" applyFill="1" applyBorder="1" applyAlignment="1">
      <alignment horizontal="left" vertical="center"/>
    </xf>
    <xf numFmtId="0" fontId="44" fillId="11" borderId="11" xfId="41" applyFont="1" applyFill="1" applyBorder="1" applyAlignment="1"/>
    <xf numFmtId="0" fontId="44" fillId="11" borderId="12" xfId="41" applyFont="1" applyFill="1" applyBorder="1" applyAlignment="1"/>
    <xf numFmtId="0" fontId="44" fillId="11" borderId="47" xfId="41" applyFont="1" applyFill="1" applyBorder="1" applyAlignment="1"/>
    <xf numFmtId="0" fontId="39" fillId="0" borderId="0" xfId="41" applyFont="1" applyBorder="1" applyAlignment="1"/>
    <xf numFmtId="0" fontId="44" fillId="12" borderId="21" xfId="41" applyFont="1" applyFill="1" applyBorder="1" applyAlignment="1">
      <alignment horizontal="left" vertical="center"/>
    </xf>
    <xf numFmtId="0" fontId="45" fillId="12" borderId="18" xfId="41" applyFont="1" applyFill="1" applyBorder="1" applyAlignment="1"/>
    <xf numFmtId="0" fontId="45" fillId="12" borderId="19" xfId="41" applyFont="1" applyFill="1" applyBorder="1" applyAlignment="1"/>
    <xf numFmtId="0" fontId="45" fillId="12" borderId="50" xfId="41" applyFont="1" applyFill="1" applyBorder="1" applyAlignment="1"/>
    <xf numFmtId="0" fontId="39" fillId="14" borderId="12" xfId="41" applyFont="1" applyFill="1" applyBorder="1" applyAlignment="1"/>
    <xf numFmtId="0" fontId="44" fillId="14" borderId="47" xfId="41" applyFont="1" applyFill="1" applyBorder="1" applyAlignment="1"/>
    <xf numFmtId="0" fontId="40" fillId="12" borderId="19" xfId="41" applyFill="1" applyBorder="1" applyAlignment="1"/>
    <xf numFmtId="0" fontId="45" fillId="12" borderId="20" xfId="41" applyFont="1" applyFill="1" applyBorder="1" applyAlignment="1"/>
    <xf numFmtId="44" fontId="0" fillId="12" borderId="50" xfId="42" applyFont="1" applyFill="1" applyBorder="1" applyAlignment="1"/>
    <xf numFmtId="0" fontId="44" fillId="14" borderId="14" xfId="41" applyFont="1" applyFill="1" applyBorder="1" applyAlignment="1">
      <alignment horizontal="center" vertical="center"/>
    </xf>
    <xf numFmtId="0" fontId="39" fillId="14" borderId="11" xfId="41" applyFont="1" applyFill="1" applyBorder="1" applyAlignment="1">
      <alignment horizontal="center" vertical="center"/>
    </xf>
    <xf numFmtId="0" fontId="39" fillId="14" borderId="12" xfId="41" applyFont="1" applyFill="1" applyBorder="1" applyAlignment="1">
      <alignment horizontal="center" vertical="center" wrapText="1"/>
    </xf>
    <xf numFmtId="0" fontId="39" fillId="14" borderId="13" xfId="41" applyFont="1" applyFill="1" applyBorder="1" applyAlignment="1">
      <alignment horizontal="center" wrapText="1"/>
    </xf>
    <xf numFmtId="0" fontId="39" fillId="14" borderId="12" xfId="41" applyFont="1" applyFill="1" applyBorder="1" applyAlignment="1">
      <alignment horizontal="center" wrapText="1"/>
    </xf>
    <xf numFmtId="0" fontId="39" fillId="14" borderId="47" xfId="41" applyFont="1" applyFill="1" applyBorder="1" applyAlignment="1">
      <alignment horizontal="center" wrapText="1"/>
    </xf>
    <xf numFmtId="0" fontId="40" fillId="12" borderId="24" xfId="41" applyFill="1" applyBorder="1" applyAlignment="1"/>
    <xf numFmtId="0" fontId="40" fillId="12" borderId="26" xfId="41" applyFill="1" applyBorder="1" applyAlignment="1"/>
    <xf numFmtId="2" fontId="40" fillId="12" borderId="25" xfId="41" applyNumberFormat="1" applyFill="1" applyBorder="1" applyAlignment="1"/>
    <xf numFmtId="1" fontId="40" fillId="12" borderId="25" xfId="41" applyNumberFormat="1" applyFill="1" applyBorder="1" applyAlignment="1"/>
    <xf numFmtId="172" fontId="40" fillId="12" borderId="25" xfId="41" applyNumberFormat="1" applyFill="1" applyBorder="1" applyAlignment="1"/>
    <xf numFmtId="1" fontId="40" fillId="12" borderId="23" xfId="41" applyNumberFormat="1" applyFill="1" applyBorder="1" applyAlignment="1"/>
    <xf numFmtId="0" fontId="44" fillId="5" borderId="36" xfId="41" applyFont="1" applyFill="1" applyBorder="1" applyAlignment="1">
      <alignment horizontal="left" vertical="center"/>
    </xf>
    <xf numFmtId="0" fontId="40" fillId="5" borderId="32" xfId="41" applyFill="1" applyBorder="1" applyAlignment="1"/>
    <xf numFmtId="0" fontId="40" fillId="5" borderId="34" xfId="41" applyFill="1" applyBorder="1" applyAlignment="1"/>
    <xf numFmtId="2" fontId="40" fillId="5" borderId="33" xfId="41" applyNumberFormat="1" applyFill="1" applyBorder="1" applyAlignment="1"/>
    <xf numFmtId="1" fontId="40" fillId="5" borderId="33" xfId="41" applyNumberFormat="1" applyFill="1" applyBorder="1" applyAlignment="1"/>
    <xf numFmtId="172" fontId="40" fillId="5" borderId="33" xfId="41" applyNumberFormat="1" applyFill="1" applyBorder="1" applyAlignment="1"/>
    <xf numFmtId="1" fontId="40" fillId="5" borderId="30" xfId="41" applyNumberFormat="1" applyFill="1" applyBorder="1" applyAlignment="1"/>
    <xf numFmtId="0" fontId="44" fillId="12" borderId="36" xfId="41" applyFont="1" applyFill="1" applyBorder="1" applyAlignment="1">
      <alignment horizontal="left" vertical="center"/>
    </xf>
    <xf numFmtId="0" fontId="40" fillId="12" borderId="32" xfId="41" applyFill="1" applyBorder="1" applyAlignment="1"/>
    <xf numFmtId="0" fontId="40" fillId="12" borderId="34" xfId="41" applyFill="1" applyBorder="1" applyAlignment="1"/>
    <xf numFmtId="2" fontId="40" fillId="12" borderId="33" xfId="41" applyNumberFormat="1" applyFill="1" applyBorder="1" applyAlignment="1"/>
    <xf numFmtId="1" fontId="40" fillId="12" borderId="33" xfId="41" applyNumberFormat="1" applyFill="1" applyBorder="1" applyAlignment="1"/>
    <xf numFmtId="172" fontId="40" fillId="12" borderId="33" xfId="41" applyNumberFormat="1" applyFill="1" applyBorder="1" applyAlignment="1"/>
    <xf numFmtId="1" fontId="40" fillId="12" borderId="30" xfId="41" applyNumberFormat="1" applyFill="1" applyBorder="1" applyAlignment="1"/>
    <xf numFmtId="0" fontId="44" fillId="5" borderId="49" xfId="41" applyFont="1" applyFill="1" applyBorder="1" applyAlignment="1">
      <alignment horizontal="left" vertical="center"/>
    </xf>
    <xf numFmtId="0" fontId="40" fillId="5" borderId="51" xfId="41" applyFill="1" applyBorder="1" applyAlignment="1"/>
    <xf numFmtId="0" fontId="40" fillId="5" borderId="52" xfId="41" applyFill="1" applyBorder="1" applyAlignment="1"/>
    <xf numFmtId="0" fontId="40" fillId="5" borderId="53" xfId="41" applyFill="1" applyBorder="1" applyAlignment="1"/>
    <xf numFmtId="2" fontId="40" fillId="5" borderId="52" xfId="41" applyNumberFormat="1" applyFill="1" applyBorder="1" applyAlignment="1"/>
    <xf numFmtId="1" fontId="40" fillId="5" borderId="52" xfId="41" applyNumberFormat="1" applyFill="1" applyBorder="1" applyAlignment="1"/>
    <xf numFmtId="172" fontId="40" fillId="5" borderId="52" xfId="41" applyNumberFormat="1" applyFill="1" applyBorder="1" applyAlignment="1"/>
    <xf numFmtId="1" fontId="40" fillId="5" borderId="54" xfId="41" applyNumberFormat="1" applyFill="1" applyBorder="1" applyAlignment="1"/>
    <xf numFmtId="0" fontId="44" fillId="0" borderId="0" xfId="41" applyFont="1" applyFill="1" applyBorder="1" applyAlignment="1">
      <alignment horizontal="left" vertical="center"/>
    </xf>
    <xf numFmtId="2" fontId="40" fillId="0" borderId="0" xfId="41" applyNumberFormat="1" applyFill="1" applyAlignment="1"/>
    <xf numFmtId="1" fontId="40" fillId="0" borderId="0" xfId="41" applyNumberFormat="1" applyFill="1" applyAlignment="1"/>
    <xf numFmtId="172" fontId="40" fillId="0" borderId="0" xfId="41" applyNumberFormat="1" applyFill="1" applyAlignment="1"/>
    <xf numFmtId="0" fontId="40" fillId="0" borderId="0" xfId="41" applyFill="1" applyAlignment="1"/>
    <xf numFmtId="0" fontId="39" fillId="14" borderId="55" xfId="41" applyFont="1" applyFill="1" applyBorder="1" applyAlignment="1">
      <alignment horizontal="left" vertical="center" wrapText="1"/>
    </xf>
    <xf numFmtId="0" fontId="39" fillId="14" borderId="12" xfId="41" applyFont="1" applyFill="1" applyBorder="1" applyAlignment="1">
      <alignment vertical="center"/>
    </xf>
    <xf numFmtId="0" fontId="39" fillId="14" borderId="12" xfId="41" applyFont="1" applyFill="1" applyBorder="1" applyAlignment="1">
      <alignment vertical="center" wrapText="1"/>
    </xf>
    <xf numFmtId="0" fontId="39" fillId="14" borderId="47" xfId="41" applyFont="1" applyFill="1" applyBorder="1" applyAlignment="1">
      <alignment vertical="center"/>
    </xf>
    <xf numFmtId="0" fontId="40" fillId="0" borderId="56" xfId="41" applyBorder="1" applyAlignment="1"/>
    <xf numFmtId="44" fontId="0" fillId="12" borderId="57" xfId="42" applyFont="1" applyFill="1" applyBorder="1" applyAlignment="1">
      <alignment horizontal="left" vertical="center"/>
    </xf>
    <xf numFmtId="8" fontId="40" fillId="12" borderId="19" xfId="41" applyNumberFormat="1" applyFill="1" applyBorder="1" applyAlignment="1"/>
    <xf numFmtId="44" fontId="40" fillId="12" borderId="19" xfId="41" applyNumberFormat="1" applyFill="1" applyBorder="1" applyAlignment="1"/>
    <xf numFmtId="9" fontId="40" fillId="12" borderId="50" xfId="41" applyNumberFormat="1" applyFill="1" applyBorder="1" applyAlignment="1"/>
    <xf numFmtId="0" fontId="44" fillId="14" borderId="11" xfId="41" applyFont="1" applyFill="1" applyBorder="1" applyAlignment="1">
      <alignment vertical="center"/>
    </xf>
    <xf numFmtId="0" fontId="44" fillId="14" borderId="13" xfId="41" applyFont="1" applyFill="1" applyBorder="1" applyAlignment="1">
      <alignment vertical="center" wrapText="1"/>
    </xf>
    <xf numFmtId="0" fontId="44" fillId="11" borderId="47" xfId="41" applyFont="1" applyFill="1" applyBorder="1" applyAlignment="1">
      <alignment vertical="center" wrapText="1"/>
    </xf>
    <xf numFmtId="0" fontId="45" fillId="13" borderId="23" xfId="41" applyFont="1" applyFill="1" applyBorder="1" applyAlignment="1"/>
    <xf numFmtId="0" fontId="45" fillId="5" borderId="32" xfId="41" applyFont="1" applyFill="1" applyBorder="1" applyAlignment="1"/>
    <xf numFmtId="0" fontId="45" fillId="5" borderId="30" xfId="41" applyFont="1" applyFill="1" applyBorder="1" applyAlignment="1"/>
    <xf numFmtId="0" fontId="45" fillId="12" borderId="51" xfId="41" applyFont="1" applyFill="1" applyBorder="1" applyAlignment="1"/>
    <xf numFmtId="0" fontId="45" fillId="12" borderId="53" xfId="41" applyFont="1" applyFill="1" applyBorder="1" applyAlignment="1"/>
    <xf numFmtId="0" fontId="45" fillId="13" borderId="54" xfId="41" applyFont="1" applyFill="1" applyBorder="1" applyAlignment="1"/>
    <xf numFmtId="0" fontId="44" fillId="14" borderId="7" xfId="41" applyFont="1" applyFill="1" applyBorder="1" applyAlignment="1">
      <alignment horizontal="left" vertical="center"/>
    </xf>
    <xf numFmtId="0" fontId="44" fillId="14" borderId="14" xfId="41" applyFont="1" applyFill="1" applyBorder="1" applyAlignment="1"/>
    <xf numFmtId="0" fontId="44" fillId="12" borderId="27" xfId="41" applyFont="1" applyFill="1" applyBorder="1" applyAlignment="1">
      <alignment horizontal="left" vertical="center"/>
    </xf>
    <xf numFmtId="0" fontId="45" fillId="12" borderId="48" xfId="41" applyFont="1" applyFill="1" applyBorder="1" applyAlignment="1"/>
    <xf numFmtId="0" fontId="44" fillId="12" borderId="42" xfId="41" applyFont="1" applyFill="1" applyBorder="1" applyAlignment="1">
      <alignment horizontal="left" vertical="center"/>
    </xf>
    <xf numFmtId="0" fontId="40" fillId="12" borderId="46" xfId="41" applyFill="1" applyBorder="1" applyAlignment="1"/>
    <xf numFmtId="0" fontId="44" fillId="12" borderId="58" xfId="41" applyFont="1" applyFill="1" applyBorder="1" applyAlignment="1">
      <alignment horizontal="left" vertical="center"/>
    </xf>
    <xf numFmtId="0" fontId="40" fillId="12" borderId="49" xfId="41" applyFill="1" applyBorder="1" applyAlignment="1"/>
    <xf numFmtId="0" fontId="45" fillId="0" borderId="0" xfId="41" applyFont="1" applyFill="1" applyBorder="1" applyAlignment="1">
      <alignment horizontal="left" vertical="center"/>
    </xf>
    <xf numFmtId="0" fontId="39" fillId="14" borderId="11" xfId="41" applyFont="1" applyFill="1" applyBorder="1" applyAlignment="1"/>
    <xf numFmtId="0" fontId="39" fillId="14" borderId="47" xfId="41" applyFont="1" applyFill="1" applyBorder="1" applyAlignment="1"/>
    <xf numFmtId="44" fontId="0" fillId="12" borderId="24" xfId="42" applyFont="1" applyFill="1" applyBorder="1" applyAlignment="1"/>
    <xf numFmtId="0" fontId="40" fillId="12" borderId="23" xfId="41" applyFill="1" applyBorder="1" applyAlignment="1"/>
    <xf numFmtId="44" fontId="0" fillId="5" borderId="30" xfId="42" applyFont="1" applyFill="1" applyBorder="1" applyAlignment="1"/>
    <xf numFmtId="44" fontId="0" fillId="12" borderId="32" xfId="42" applyFont="1" applyFill="1" applyBorder="1" applyAlignment="1"/>
    <xf numFmtId="0" fontId="40" fillId="12" borderId="30" xfId="41" applyFill="1" applyBorder="1" applyAlignment="1"/>
    <xf numFmtId="173" fontId="0" fillId="5" borderId="51" xfId="42" applyNumberFormat="1" applyFont="1" applyFill="1" applyBorder="1" applyAlignment="1"/>
    <xf numFmtId="0" fontId="40" fillId="5" borderId="54" xfId="41" applyFill="1" applyBorder="1" applyAlignment="1"/>
    <xf numFmtId="6" fontId="39" fillId="14" borderId="11" xfId="41" applyNumberFormat="1" applyFont="1" applyFill="1" applyBorder="1" applyAlignment="1"/>
    <xf numFmtId="20" fontId="40" fillId="0" borderId="0" xfId="41" applyNumberFormat="1" applyAlignment="1"/>
    <xf numFmtId="6" fontId="40" fillId="12" borderId="24" xfId="41" applyNumberFormat="1" applyFill="1" applyBorder="1" applyAlignment="1">
      <alignment horizontal="right"/>
    </xf>
    <xf numFmtId="0" fontId="40" fillId="12" borderId="23" xfId="41" applyFill="1" applyBorder="1" applyAlignment="1">
      <alignment horizontal="right"/>
    </xf>
    <xf numFmtId="6" fontId="40" fillId="5" borderId="32" xfId="41" applyNumberFormat="1" applyFill="1" applyBorder="1" applyAlignment="1">
      <alignment horizontal="right"/>
    </xf>
    <xf numFmtId="0" fontId="40" fillId="5" borderId="30" xfId="41" applyFill="1" applyBorder="1" applyAlignment="1">
      <alignment horizontal="right"/>
    </xf>
    <xf numFmtId="174" fontId="40" fillId="12" borderId="32" xfId="41" applyNumberFormat="1" applyFill="1" applyBorder="1" applyAlignment="1">
      <alignment horizontal="right"/>
    </xf>
    <xf numFmtId="0" fontId="40" fillId="12" borderId="30" xfId="41" applyFill="1" applyBorder="1" applyAlignment="1">
      <alignment horizontal="right"/>
    </xf>
    <xf numFmtId="8" fontId="40" fillId="5" borderId="51" xfId="41" applyNumberFormat="1" applyFill="1" applyBorder="1" applyAlignment="1">
      <alignment horizontal="right"/>
    </xf>
    <xf numFmtId="0" fontId="40" fillId="5" borderId="54" xfId="41" applyFill="1" applyBorder="1" applyAlignment="1">
      <alignment horizontal="right"/>
    </xf>
    <xf numFmtId="8" fontId="40" fillId="0" borderId="0" xfId="41" applyNumberFormat="1" applyAlignment="1"/>
    <xf numFmtId="8" fontId="40" fillId="12" borderId="10" xfId="41" applyNumberFormat="1" applyFill="1" applyBorder="1" applyAlignment="1"/>
    <xf numFmtId="0" fontId="40" fillId="0" borderId="0" xfId="41" applyAlignment="1">
      <alignment horizontal="left" vertical="center"/>
    </xf>
    <xf numFmtId="0" fontId="44" fillId="14" borderId="55" xfId="41" applyFont="1" applyFill="1" applyBorder="1" applyAlignment="1">
      <alignment horizontal="left" vertical="center"/>
    </xf>
    <xf numFmtId="175" fontId="0" fillId="12" borderId="57" xfId="42" applyNumberFormat="1" applyFont="1" applyFill="1" applyBorder="1" applyAlignment="1">
      <alignment horizontal="left" vertical="center"/>
    </xf>
    <xf numFmtId="0" fontId="45" fillId="0" borderId="0" xfId="41" applyFont="1" applyAlignment="1"/>
    <xf numFmtId="0" fontId="44" fillId="14" borderId="28" xfId="41" applyFont="1" applyFill="1" applyBorder="1" applyAlignment="1">
      <alignment horizontal="left" vertical="center"/>
    </xf>
    <xf numFmtId="0" fontId="40" fillId="12" borderId="59" xfId="41" applyFill="1" applyBorder="1" applyAlignment="1"/>
    <xf numFmtId="0" fontId="44" fillId="14" borderId="36" xfId="41" applyFont="1" applyFill="1" applyBorder="1" applyAlignment="1">
      <alignment horizontal="left" vertical="center"/>
    </xf>
    <xf numFmtId="0" fontId="40" fillId="12" borderId="60" xfId="41" applyFill="1" applyBorder="1" applyAlignment="1"/>
    <xf numFmtId="0" fontId="44" fillId="14" borderId="49" xfId="41" applyFont="1" applyFill="1" applyBorder="1" applyAlignment="1">
      <alignment horizontal="left" vertical="center"/>
    </xf>
    <xf numFmtId="0" fontId="40" fillId="12" borderId="61" xfId="41" applyFill="1" applyBorder="1" applyAlignment="1"/>
    <xf numFmtId="0" fontId="39" fillId="0" borderId="23" xfId="41" applyFont="1" applyBorder="1" applyAlignment="1">
      <alignment horizontal="left" wrapText="1"/>
    </xf>
    <xf numFmtId="0" fontId="43" fillId="0" borderId="30" xfId="41" applyFont="1" applyBorder="1" applyAlignment="1">
      <alignment horizontal="left" wrapText="1"/>
    </xf>
    <xf numFmtId="0" fontId="39" fillId="0" borderId="30" xfId="41" applyFont="1" applyBorder="1" applyAlignment="1">
      <alignment horizontal="left" wrapText="1"/>
    </xf>
    <xf numFmtId="0" fontId="40" fillId="0" borderId="30" xfId="41" applyBorder="1" applyAlignment="1">
      <alignment horizontal="left" wrapText="1"/>
    </xf>
    <xf numFmtId="167" fontId="0" fillId="11" borderId="33" xfId="42" applyNumberFormat="1" applyFont="1" applyFill="1" applyBorder="1" applyAlignment="1">
      <alignment horizontal="right" vertical="center" indent="3"/>
    </xf>
    <xf numFmtId="167" fontId="0" fillId="0" borderId="24" xfId="42" applyNumberFormat="1" applyFont="1" applyBorder="1" applyAlignment="1">
      <alignment horizontal="right" vertical="center"/>
    </xf>
    <xf numFmtId="167" fontId="0" fillId="0" borderId="32" xfId="42" applyNumberFormat="1" applyFont="1" applyBorder="1" applyAlignment="1">
      <alignment horizontal="right" vertical="center"/>
    </xf>
    <xf numFmtId="167" fontId="0" fillId="0" borderId="39" xfId="42" applyNumberFormat="1" applyFont="1" applyBorder="1" applyAlignment="1">
      <alignment horizontal="right" vertical="center"/>
    </xf>
    <xf numFmtId="167" fontId="0" fillId="0" borderId="43" xfId="42" applyNumberFormat="1" applyFont="1" applyBorder="1" applyAlignment="1">
      <alignment horizontal="right" vertical="center"/>
    </xf>
    <xf numFmtId="167" fontId="0" fillId="13" borderId="10" xfId="42" applyNumberFormat="1" applyFont="1" applyFill="1" applyBorder="1" applyAlignment="1"/>
    <xf numFmtId="0" fontId="42" fillId="12" borderId="11" xfId="41" applyFont="1" applyFill="1" applyBorder="1" applyAlignment="1">
      <alignment horizontal="center"/>
    </xf>
    <xf numFmtId="167" fontId="47" fillId="0" borderId="18" xfId="41" applyNumberFormat="1" applyFont="1" applyBorder="1" applyAlignment="1"/>
    <xf numFmtId="0" fontId="46" fillId="0" borderId="0" xfId="41" applyFont="1">
      <alignment vertical="center"/>
    </xf>
    <xf numFmtId="9" fontId="0" fillId="0" borderId="0" xfId="38" applyFont="1" applyAlignment="1">
      <alignment horizontal="left"/>
    </xf>
    <xf numFmtId="0" fontId="39" fillId="0" borderId="38" xfId="41" applyFont="1" applyBorder="1" applyAlignment="1">
      <alignment horizontal="left" wrapText="1"/>
    </xf>
    <xf numFmtId="0" fontId="25" fillId="0" borderId="0" xfId="37"/>
    <xf numFmtId="0" fontId="29" fillId="0" borderId="0" xfId="37" applyFont="1" applyAlignment="1">
      <alignment horizontal="left" wrapText="1"/>
    </xf>
    <xf numFmtId="169" fontId="25" fillId="0" borderId="0" xfId="37" applyNumberFormat="1"/>
    <xf numFmtId="166" fontId="23" fillId="4" borderId="0" xfId="0" applyNumberFormat="1" applyFont="1" applyFill="1" applyAlignment="1"/>
    <xf numFmtId="0" fontId="17" fillId="4" borderId="0" xfId="0" applyFont="1" applyFill="1" applyAlignment="1"/>
    <xf numFmtId="0" fontId="25" fillId="0" borderId="0" xfId="37" applyAlignment="1">
      <alignment wrapText="1"/>
    </xf>
    <xf numFmtId="165" fontId="19" fillId="0" borderId="0" xfId="37" applyNumberFormat="1" applyFont="1" applyAlignment="1">
      <alignment wrapText="1"/>
    </xf>
    <xf numFmtId="165" fontId="19" fillId="0" borderId="0" xfId="37" applyNumberFormat="1" applyFont="1" applyAlignment="1">
      <alignment horizontal="right" wrapText="1"/>
    </xf>
    <xf numFmtId="176" fontId="29" fillId="0" borderId="4" xfId="37" applyNumberFormat="1" applyFont="1" applyBorder="1" applyAlignment="1">
      <alignment horizontal="right" wrapText="1"/>
    </xf>
    <xf numFmtId="44" fontId="25" fillId="0" borderId="0" xfId="37" applyNumberFormat="1"/>
    <xf numFmtId="171" fontId="19" fillId="0" borderId="0" xfId="37" applyNumberFormat="1" applyFont="1" applyAlignment="1">
      <alignment horizontal="right" wrapText="1"/>
    </xf>
    <xf numFmtId="171" fontId="25" fillId="0" borderId="0" xfId="37" applyNumberFormat="1"/>
    <xf numFmtId="0" fontId="48" fillId="4" borderId="0" xfId="0" applyFont="1" applyFill="1"/>
    <xf numFmtId="166" fontId="24" fillId="0" borderId="0" xfId="1" applyNumberFormat="1" applyFont="1"/>
    <xf numFmtId="0" fontId="12" fillId="0" borderId="0" xfId="0" applyFont="1"/>
    <xf numFmtId="0" fontId="12" fillId="0" borderId="0" xfId="0" applyFont="1" applyAlignment="1">
      <alignment horizontal="center"/>
    </xf>
    <xf numFmtId="0" fontId="49" fillId="0" borderId="0" xfId="0" applyFont="1" applyAlignment="1">
      <alignment horizontal="center"/>
    </xf>
    <xf numFmtId="0" fontId="39" fillId="0" borderId="0" xfId="0" applyFont="1"/>
    <xf numFmtId="166" fontId="12" fillId="0" borderId="0" xfId="1" applyNumberFormat="1" applyFont="1"/>
    <xf numFmtId="166" fontId="12" fillId="0" borderId="0" xfId="1" applyNumberFormat="1" applyFont="1" applyFill="1"/>
    <xf numFmtId="166" fontId="39" fillId="0" borderId="0" xfId="1" applyNumberFormat="1" applyFont="1"/>
    <xf numFmtId="9" fontId="12" fillId="0" borderId="0" xfId="38" applyFont="1"/>
    <xf numFmtId="166" fontId="34" fillId="0" borderId="0" xfId="1" applyNumberFormat="1" applyFont="1"/>
    <xf numFmtId="0" fontId="39" fillId="0" borderId="0" xfId="0" applyFont="1" applyAlignment="1">
      <alignment horizontal="center"/>
    </xf>
    <xf numFmtId="0" fontId="12" fillId="0" borderId="0" xfId="0" applyFont="1" applyAlignment="1">
      <alignment horizontal="left"/>
    </xf>
    <xf numFmtId="168" fontId="12" fillId="0" borderId="0" xfId="0" applyNumberFormat="1" applyFont="1"/>
    <xf numFmtId="6" fontId="12" fillId="0" borderId="0" xfId="0" applyNumberFormat="1" applyFont="1"/>
    <xf numFmtId="0" fontId="39" fillId="0" borderId="0" xfId="0" applyFont="1" applyAlignment="1">
      <alignment horizontal="left"/>
    </xf>
    <xf numFmtId="168" fontId="39" fillId="0" borderId="0" xfId="0" applyNumberFormat="1" applyFont="1"/>
    <xf numFmtId="0" fontId="39" fillId="0" borderId="0" xfId="0" applyFont="1" applyAlignment="1">
      <alignment horizontal="right"/>
    </xf>
    <xf numFmtId="168" fontId="12" fillId="0" borderId="0" xfId="1" applyNumberFormat="1" applyFont="1"/>
    <xf numFmtId="168" fontId="39" fillId="0" borderId="0" xfId="1" applyNumberFormat="1" applyFont="1"/>
    <xf numFmtId="0" fontId="50" fillId="0" borderId="0" xfId="0" applyFont="1"/>
    <xf numFmtId="0" fontId="11" fillId="0" borderId="0" xfId="0" applyFont="1"/>
    <xf numFmtId="0" fontId="18" fillId="5" borderId="0" xfId="0" applyFont="1" applyFill="1" applyAlignment="1">
      <alignment horizontal="center"/>
    </xf>
    <xf numFmtId="43" fontId="0" fillId="11" borderId="33" xfId="36" applyFont="1" applyFill="1" applyBorder="1" applyAlignment="1">
      <alignment horizontal="right" vertical="center" indent="3"/>
    </xf>
    <xf numFmtId="0" fontId="10" fillId="0" borderId="0" xfId="0" applyFont="1"/>
    <xf numFmtId="166" fontId="0" fillId="0" borderId="0" xfId="0" applyNumberFormat="1" applyAlignment="1">
      <alignment horizontal="right"/>
    </xf>
    <xf numFmtId="0" fontId="51" fillId="0" borderId="0" xfId="0" applyFont="1" applyAlignment="1">
      <alignment horizontal="left"/>
    </xf>
    <xf numFmtId="0" fontId="52" fillId="0" borderId="0" xfId="0" applyFont="1" applyAlignment="1">
      <alignment horizontal="left"/>
    </xf>
    <xf numFmtId="0" fontId="0" fillId="0" borderId="0" xfId="0" applyAlignment="1">
      <alignment horizontal="right"/>
    </xf>
    <xf numFmtId="0" fontId="52" fillId="0" borderId="0" xfId="0" applyFont="1" applyAlignment="1">
      <alignment horizontal="center"/>
    </xf>
    <xf numFmtId="0" fontId="39" fillId="0" borderId="0" xfId="0" applyFont="1" applyFill="1" applyAlignment="1">
      <alignment horizontal="center"/>
    </xf>
    <xf numFmtId="0" fontId="39" fillId="0" borderId="0" xfId="0" applyFont="1" applyFill="1" applyAlignment="1">
      <alignment horizontal="center" wrapText="1"/>
    </xf>
    <xf numFmtId="0" fontId="0" fillId="4" borderId="0" xfId="0" applyFill="1"/>
    <xf numFmtId="0" fontId="0" fillId="4" borderId="0" xfId="0" applyFill="1" applyAlignment="1">
      <alignment horizontal="center"/>
    </xf>
    <xf numFmtId="0" fontId="25" fillId="4" borderId="0" xfId="37" applyFill="1"/>
    <xf numFmtId="0" fontId="18" fillId="4" borderId="0" xfId="0" applyFont="1" applyFill="1" applyAlignment="1"/>
    <xf numFmtId="9" fontId="39" fillId="0" borderId="0" xfId="38" applyFont="1"/>
    <xf numFmtId="0" fontId="25" fillId="0" borderId="0" xfId="37"/>
    <xf numFmtId="0" fontId="29" fillId="0" borderId="0" xfId="37" applyFont="1" applyAlignment="1">
      <alignment horizontal="left" wrapText="1"/>
    </xf>
    <xf numFmtId="164" fontId="52" fillId="0" borderId="0" xfId="0" applyNumberFormat="1" applyFont="1"/>
    <xf numFmtId="164" fontId="52" fillId="0" borderId="0" xfId="0" applyNumberFormat="1" applyFont="1" applyFill="1"/>
    <xf numFmtId="0" fontId="8" fillId="0" borderId="0" xfId="0" applyFont="1"/>
    <xf numFmtId="168" fontId="36" fillId="0" borderId="0" xfId="0" applyNumberFormat="1" applyFont="1" applyBorder="1"/>
    <xf numFmtId="9" fontId="36" fillId="0" borderId="0" xfId="0" applyNumberFormat="1" applyFont="1"/>
    <xf numFmtId="167" fontId="0" fillId="2" borderId="0" xfId="0" applyNumberFormat="1" applyFill="1"/>
    <xf numFmtId="10" fontId="0" fillId="0" borderId="0" xfId="0" applyNumberFormat="1"/>
    <xf numFmtId="0" fontId="0" fillId="0" borderId="0" xfId="0" quotePrefix="1"/>
    <xf numFmtId="167" fontId="32" fillId="0" borderId="0" xfId="0" applyNumberFormat="1" applyFont="1"/>
    <xf numFmtId="0" fontId="32" fillId="0" borderId="0" xfId="0" applyFont="1"/>
    <xf numFmtId="0" fontId="17" fillId="0" borderId="17" xfId="44" applyFont="1" applyFill="1" applyBorder="1"/>
    <xf numFmtId="0" fontId="8" fillId="0" borderId="17" xfId="44" applyFill="1" applyBorder="1"/>
    <xf numFmtId="0" fontId="39" fillId="0" borderId="17" xfId="44" applyFont="1" applyFill="1" applyBorder="1"/>
    <xf numFmtId="0" fontId="8" fillId="0" borderId="0" xfId="44" applyFill="1"/>
    <xf numFmtId="0" fontId="45" fillId="12" borderId="0" xfId="44" applyFont="1" applyFill="1"/>
    <xf numFmtId="0" fontId="8" fillId="12" borderId="0" xfId="44" applyFill="1"/>
    <xf numFmtId="0" fontId="39" fillId="0" borderId="0" xfId="44" applyFont="1" applyFill="1"/>
    <xf numFmtId="0" fontId="39" fillId="0" borderId="0" xfId="44" applyFont="1" applyFill="1" applyBorder="1" applyAlignment="1">
      <alignment horizontal="center"/>
    </xf>
    <xf numFmtId="0" fontId="8" fillId="0" borderId="0" xfId="44" applyFill="1" applyBorder="1" applyAlignment="1">
      <alignment horizontal="center"/>
    </xf>
    <xf numFmtId="169" fontId="39" fillId="0" borderId="34" xfId="45" applyNumberFormat="1" applyFont="1" applyFill="1" applyBorder="1" applyAlignment="1">
      <alignment horizontal="center"/>
    </xf>
    <xf numFmtId="169" fontId="39" fillId="0" borderId="31" xfId="45" applyNumberFormat="1" applyFont="1" applyFill="1" applyBorder="1" applyAlignment="1">
      <alignment horizontal="center"/>
    </xf>
    <xf numFmtId="169" fontId="39" fillId="0" borderId="32" xfId="45" applyNumberFormat="1" applyFont="1" applyFill="1" applyBorder="1" applyAlignment="1">
      <alignment horizontal="center"/>
    </xf>
    <xf numFmtId="0" fontId="39" fillId="0" borderId="0" xfId="44" applyFont="1" applyFill="1" applyAlignment="1">
      <alignment horizontal="center"/>
    </xf>
    <xf numFmtId="169" fontId="39" fillId="0" borderId="0" xfId="44" applyNumberFormat="1" applyFont="1" applyFill="1" applyAlignment="1">
      <alignment horizontal="center"/>
    </xf>
    <xf numFmtId="0" fontId="57" fillId="12" borderId="0" xfId="44" applyFont="1" applyFill="1"/>
    <xf numFmtId="0" fontId="57" fillId="0" borderId="0" xfId="44" applyFont="1" applyFill="1"/>
    <xf numFmtId="3" fontId="57" fillId="12" borderId="0" xfId="45" applyNumberFormat="1" applyFont="1" applyFill="1" applyAlignment="1">
      <alignment horizontal="right" indent="3"/>
    </xf>
    <xf numFmtId="3" fontId="0" fillId="0" borderId="0" xfId="45" applyNumberFormat="1" applyFont="1" applyFill="1" applyAlignment="1">
      <alignment horizontal="right" indent="3"/>
    </xf>
    <xf numFmtId="3" fontId="39" fillId="0" borderId="0" xfId="45" applyNumberFormat="1" applyFont="1" applyFill="1" applyAlignment="1">
      <alignment horizontal="right" indent="3"/>
    </xf>
    <xf numFmtId="169" fontId="8" fillId="0" borderId="0" xfId="44" applyNumberFormat="1" applyFill="1"/>
    <xf numFmtId="43" fontId="8" fillId="0" borderId="0" xfId="44" applyNumberFormat="1" applyFill="1"/>
    <xf numFmtId="0" fontId="39" fillId="0" borderId="62" xfId="44" applyFont="1" applyFill="1" applyBorder="1"/>
    <xf numFmtId="0" fontId="8" fillId="0" borderId="62" xfId="44" applyFill="1" applyBorder="1"/>
    <xf numFmtId="3" fontId="0" fillId="0" borderId="62" xfId="45" applyNumberFormat="1" applyFont="1" applyFill="1" applyBorder="1" applyAlignment="1">
      <alignment horizontal="right" indent="3"/>
    </xf>
    <xf numFmtId="3" fontId="39" fillId="0" borderId="62" xfId="45" applyNumberFormat="1" applyFont="1" applyFill="1" applyBorder="1" applyAlignment="1">
      <alignment horizontal="right" indent="3"/>
    </xf>
    <xf numFmtId="3" fontId="8" fillId="0" borderId="0" xfId="44" applyNumberFormat="1" applyFill="1" applyAlignment="1">
      <alignment horizontal="right" indent="3"/>
    </xf>
    <xf numFmtId="3" fontId="39" fillId="0" borderId="0" xfId="44" applyNumberFormat="1" applyFont="1" applyFill="1" applyAlignment="1">
      <alignment horizontal="right" indent="3"/>
    </xf>
    <xf numFmtId="3" fontId="57" fillId="12" borderId="0" xfId="44" applyNumberFormat="1" applyFont="1" applyFill="1" applyAlignment="1">
      <alignment horizontal="right" indent="3"/>
    </xf>
    <xf numFmtId="0" fontId="8" fillId="0" borderId="0" xfId="44" applyAlignment="1">
      <alignment vertical="center"/>
    </xf>
    <xf numFmtId="0" fontId="8" fillId="0" borderId="62" xfId="44" applyFont="1" applyFill="1" applyBorder="1"/>
    <xf numFmtId="0" fontId="8" fillId="0" borderId="0" xfId="44"/>
    <xf numFmtId="3" fontId="8" fillId="0" borderId="62" xfId="44" applyNumberFormat="1" applyFill="1" applyBorder="1" applyAlignment="1">
      <alignment horizontal="right" indent="3"/>
    </xf>
    <xf numFmtId="3" fontId="39" fillId="0" borderId="62" xfId="44" applyNumberFormat="1" applyFont="1" applyFill="1" applyBorder="1" applyAlignment="1">
      <alignment horizontal="right" indent="3"/>
    </xf>
    <xf numFmtId="0" fontId="39" fillId="0" borderId="17" xfId="44" applyFont="1" applyBorder="1"/>
    <xf numFmtId="0" fontId="8" fillId="0" borderId="17" xfId="44" applyBorder="1"/>
    <xf numFmtId="0" fontId="39" fillId="0" borderId="0" xfId="44" applyFont="1"/>
    <xf numFmtId="0" fontId="58" fillId="0" borderId="0" xfId="44" applyFont="1"/>
    <xf numFmtId="177" fontId="39" fillId="0" borderId="0" xfId="44" applyNumberFormat="1" applyFont="1" applyAlignment="1">
      <alignment horizontal="center"/>
    </xf>
    <xf numFmtId="0" fontId="39" fillId="0" borderId="0" xfId="44" applyFont="1" applyAlignment="1">
      <alignment horizontal="center"/>
    </xf>
    <xf numFmtId="0" fontId="8" fillId="0" borderId="0" xfId="44" applyAlignment="1">
      <alignment horizontal="left"/>
    </xf>
    <xf numFmtId="0" fontId="58" fillId="0" borderId="0" xfId="44" applyFont="1" applyAlignment="1">
      <alignment horizontal="left"/>
    </xf>
    <xf numFmtId="0" fontId="35" fillId="0" borderId="0" xfId="44" applyFont="1" applyFill="1" applyBorder="1" applyAlignment="1" applyProtection="1">
      <alignment horizontal="left"/>
    </xf>
    <xf numFmtId="169" fontId="0" fillId="0" borderId="0" xfId="45" applyNumberFormat="1" applyFont="1"/>
    <xf numFmtId="0" fontId="39" fillId="0" borderId="0" xfId="44" applyFont="1" applyAlignment="1">
      <alignment horizontal="left"/>
    </xf>
    <xf numFmtId="0" fontId="39" fillId="0" borderId="62" xfId="44" applyFont="1" applyBorder="1" applyAlignment="1">
      <alignment horizontal="left"/>
    </xf>
    <xf numFmtId="169" fontId="39" fillId="0" borderId="62" xfId="45" applyNumberFormat="1" applyFont="1" applyBorder="1"/>
    <xf numFmtId="0" fontId="25" fillId="0" borderId="0" xfId="37" applyAlignment="1">
      <alignment horizontal="right"/>
    </xf>
    <xf numFmtId="169" fontId="33" fillId="0" borderId="0" xfId="37" applyNumberFormat="1" applyFont="1"/>
    <xf numFmtId="3" fontId="25" fillId="0" borderId="0" xfId="37" applyNumberFormat="1"/>
    <xf numFmtId="0" fontId="26" fillId="0" borderId="0" xfId="37" applyFont="1" applyAlignment="1"/>
    <xf numFmtId="0" fontId="27" fillId="0" borderId="0" xfId="37" applyFont="1" applyAlignment="1"/>
    <xf numFmtId="3" fontId="19" fillId="0" borderId="0" xfId="37" applyNumberFormat="1" applyFont="1" applyAlignment="1">
      <alignment wrapText="1"/>
    </xf>
    <xf numFmtId="3" fontId="19" fillId="0" borderId="0" xfId="37" applyNumberFormat="1" applyFont="1" applyAlignment="1">
      <alignment horizontal="right" wrapText="1"/>
    </xf>
    <xf numFmtId="3" fontId="19" fillId="2" borderId="0" xfId="37" applyNumberFormat="1" applyFont="1" applyFill="1" applyAlignment="1">
      <alignment horizontal="right" wrapText="1"/>
    </xf>
    <xf numFmtId="3" fontId="29" fillId="0" borderId="4" xfId="37" applyNumberFormat="1" applyFont="1" applyBorder="1" applyAlignment="1">
      <alignment horizontal="right" wrapText="1"/>
    </xf>
    <xf numFmtId="0" fontId="25" fillId="2" borderId="0" xfId="37" applyFill="1"/>
    <xf numFmtId="0" fontId="59" fillId="0" borderId="0" xfId="37" applyFont="1" applyAlignment="1">
      <alignment horizontal="left" wrapText="1"/>
    </xf>
    <xf numFmtId="3" fontId="29" fillId="2" borderId="4" xfId="37" applyNumberFormat="1" applyFont="1" applyFill="1" applyBorder="1" applyAlignment="1">
      <alignment horizontal="right" wrapText="1"/>
    </xf>
    <xf numFmtId="6" fontId="25" fillId="0" borderId="0" xfId="37" applyNumberFormat="1"/>
    <xf numFmtId="0" fontId="19" fillId="0" borderId="0" xfId="37" applyFont="1" applyAlignment="1"/>
    <xf numFmtId="3" fontId="25" fillId="0" borderId="0" xfId="37" applyNumberFormat="1" applyAlignment="1"/>
    <xf numFmtId="0" fontId="25" fillId="0" borderId="0" xfId="37"/>
    <xf numFmtId="0" fontId="7" fillId="0" borderId="0" xfId="0" applyFont="1" applyAlignment="1">
      <alignment horizontal="left"/>
    </xf>
    <xf numFmtId="0" fontId="7" fillId="0" borderId="0" xfId="0" applyFont="1" applyAlignment="1">
      <alignment horizontal="center"/>
    </xf>
    <xf numFmtId="9" fontId="36" fillId="2" borderId="0" xfId="38" applyFont="1" applyFill="1"/>
    <xf numFmtId="0" fontId="7" fillId="0" borderId="0" xfId="0" applyFont="1"/>
    <xf numFmtId="0" fontId="25" fillId="0" borderId="0" xfId="37"/>
    <xf numFmtId="171" fontId="60" fillId="6" borderId="3" xfId="37" applyNumberFormat="1" applyFont="1" applyFill="1" applyBorder="1" applyAlignment="1">
      <alignment horizontal="right" wrapText="1"/>
    </xf>
    <xf numFmtId="171" fontId="60" fillId="3" borderId="3" xfId="37" applyNumberFormat="1" applyFont="1" applyFill="1" applyBorder="1" applyAlignment="1">
      <alignment horizontal="right" wrapText="1"/>
    </xf>
    <xf numFmtId="0" fontId="63" fillId="0" borderId="1" xfId="37" applyFont="1" applyBorder="1" applyAlignment="1">
      <alignment horizontal="center" wrapText="1"/>
    </xf>
    <xf numFmtId="0" fontId="64" fillId="0" borderId="0" xfId="37" applyFont="1" applyAlignment="1">
      <alignment horizontal="left" wrapText="1"/>
    </xf>
    <xf numFmtId="171" fontId="65" fillId="0" borderId="0" xfId="37" applyNumberFormat="1" applyFont="1" applyAlignment="1">
      <alignment wrapText="1"/>
    </xf>
    <xf numFmtId="171" fontId="65" fillId="0" borderId="0" xfId="37" applyNumberFormat="1" applyFont="1" applyAlignment="1">
      <alignment horizontal="right" wrapText="1"/>
    </xf>
    <xf numFmtId="170" fontId="64" fillId="0" borderId="4" xfId="37" applyNumberFormat="1" applyFont="1" applyBorder="1" applyAlignment="1">
      <alignment horizontal="right" wrapText="1"/>
    </xf>
    <xf numFmtId="0" fontId="65" fillId="0" borderId="0" xfId="37" applyFont="1" applyAlignment="1">
      <alignment horizontal="left" wrapText="1"/>
    </xf>
    <xf numFmtId="0" fontId="65" fillId="0" borderId="0" xfId="37" applyFont="1" applyAlignment="1">
      <alignment horizontal="right" wrapText="1"/>
    </xf>
    <xf numFmtId="0" fontId="0" fillId="0" borderId="0" xfId="0" applyFill="1" applyAlignment="1">
      <alignment horizontal="left"/>
    </xf>
    <xf numFmtId="166" fontId="66" fillId="0" borderId="0" xfId="1" applyNumberFormat="1" applyFont="1" applyFill="1"/>
    <xf numFmtId="166" fontId="66" fillId="0" borderId="0" xfId="1" applyNumberFormat="1" applyFont="1"/>
    <xf numFmtId="166" fontId="14" fillId="0" borderId="0" xfId="0" applyNumberFormat="1" applyFont="1" applyAlignment="1">
      <alignment horizontal="right"/>
    </xf>
    <xf numFmtId="0" fontId="14" fillId="0" borderId="0" xfId="0" applyFont="1" applyAlignment="1">
      <alignment horizontal="right"/>
    </xf>
    <xf numFmtId="0" fontId="6" fillId="0" borderId="0" xfId="0" applyFont="1"/>
    <xf numFmtId="0" fontId="5" fillId="0" borderId="0" xfId="0" applyFont="1"/>
    <xf numFmtId="179" fontId="39" fillId="0" borderId="0" xfId="0" applyNumberFormat="1" applyFont="1"/>
    <xf numFmtId="0" fontId="17" fillId="3" borderId="0" xfId="0" applyFont="1" applyFill="1" applyAlignment="1"/>
    <xf numFmtId="167" fontId="20" fillId="3" borderId="0" xfId="1" applyNumberFormat="1" applyFont="1" applyFill="1" applyAlignment="1"/>
    <xf numFmtId="43" fontId="34" fillId="0" borderId="0" xfId="36" applyFont="1"/>
    <xf numFmtId="0" fontId="51" fillId="0" borderId="0" xfId="0" applyFont="1"/>
    <xf numFmtId="166" fontId="51" fillId="0" borderId="0" xfId="1" applyNumberFormat="1" applyFont="1"/>
    <xf numFmtId="166" fontId="51" fillId="0" borderId="0" xfId="0" applyNumberFormat="1" applyFont="1"/>
    <xf numFmtId="0" fontId="51" fillId="0" borderId="0" xfId="0" applyFont="1" applyAlignment="1">
      <alignment horizontal="center"/>
    </xf>
    <xf numFmtId="0" fontId="67" fillId="0" borderId="0" xfId="0" applyFont="1"/>
    <xf numFmtId="166" fontId="67" fillId="0" borderId="0" xfId="1" applyNumberFormat="1" applyFont="1"/>
    <xf numFmtId="166" fontId="67" fillId="0" borderId="0" xfId="0" applyNumberFormat="1" applyFont="1"/>
    <xf numFmtId="9" fontId="0" fillId="0" borderId="0" xfId="0" applyNumberFormat="1"/>
    <xf numFmtId="178" fontId="0" fillId="0" borderId="0" xfId="0" applyNumberFormat="1"/>
    <xf numFmtId="178" fontId="0" fillId="0" borderId="0" xfId="38" applyNumberFormat="1" applyFont="1"/>
    <xf numFmtId="167" fontId="17" fillId="4" borderId="0" xfId="1" applyNumberFormat="1" applyFont="1" applyFill="1" applyAlignment="1"/>
    <xf numFmtId="167" fontId="23" fillId="4" borderId="0" xfId="0" applyNumberFormat="1" applyFont="1" applyFill="1"/>
    <xf numFmtId="0" fontId="25" fillId="0" borderId="0" xfId="37"/>
    <xf numFmtId="0" fontId="25" fillId="0" borderId="0" xfId="37" applyAlignment="1">
      <alignment wrapText="1"/>
    </xf>
    <xf numFmtId="0" fontId="25" fillId="0" borderId="0" xfId="37"/>
    <xf numFmtId="0" fontId="29" fillId="0" borderId="0" xfId="37" applyFont="1" applyAlignment="1">
      <alignment horizontal="left" wrapText="1"/>
    </xf>
    <xf numFmtId="0" fontId="70" fillId="0" borderId="1" xfId="37" applyFont="1" applyBorder="1" applyAlignment="1">
      <alignment horizontal="center" wrapText="1"/>
    </xf>
    <xf numFmtId="0" fontId="71" fillId="0" borderId="0" xfId="37" applyFont="1" applyAlignment="1">
      <alignment horizontal="left" wrapText="1"/>
    </xf>
    <xf numFmtId="165" fontId="72" fillId="0" borderId="0" xfId="37" applyNumberFormat="1" applyFont="1" applyAlignment="1">
      <alignment wrapText="1"/>
    </xf>
    <xf numFmtId="171" fontId="72" fillId="0" borderId="0" xfId="37" applyNumberFormat="1" applyFont="1" applyAlignment="1">
      <alignment horizontal="right" wrapText="1"/>
    </xf>
    <xf numFmtId="171" fontId="72" fillId="0" borderId="0" xfId="37" applyNumberFormat="1" applyFont="1" applyAlignment="1">
      <alignment wrapText="1"/>
    </xf>
    <xf numFmtId="171" fontId="71" fillId="0" borderId="4" xfId="37" applyNumberFormat="1" applyFont="1" applyBorder="1" applyAlignment="1">
      <alignment horizontal="right" wrapText="1"/>
    </xf>
    <xf numFmtId="171" fontId="72" fillId="9" borderId="0" xfId="37" applyNumberFormat="1" applyFont="1" applyFill="1" applyAlignment="1">
      <alignment horizontal="right" wrapText="1"/>
    </xf>
    <xf numFmtId="165" fontId="72" fillId="0" borderId="0" xfId="37" applyNumberFormat="1" applyFont="1" applyAlignment="1">
      <alignment horizontal="right" wrapText="1"/>
    </xf>
    <xf numFmtId="0" fontId="73" fillId="4" borderId="0" xfId="0" applyFont="1" applyFill="1" applyAlignment="1">
      <alignment horizontal="center" wrapText="1"/>
    </xf>
    <xf numFmtId="0" fontId="73" fillId="4" borderId="0" xfId="0" quotePrefix="1" applyFont="1" applyFill="1" applyAlignment="1">
      <alignment horizontal="center" wrapText="1"/>
    </xf>
    <xf numFmtId="0" fontId="4" fillId="0" borderId="0" xfId="0" applyFont="1"/>
    <xf numFmtId="171" fontId="71" fillId="0" borderId="4" xfId="37" applyNumberFormat="1" applyFont="1" applyFill="1" applyBorder="1" applyAlignment="1">
      <alignment horizontal="right" wrapText="1"/>
    </xf>
    <xf numFmtId="180" fontId="25" fillId="0" borderId="0" xfId="37" applyNumberFormat="1"/>
    <xf numFmtId="171" fontId="72" fillId="0" borderId="0" xfId="37" applyNumberFormat="1" applyFont="1" applyFill="1" applyAlignment="1">
      <alignment horizontal="right" wrapText="1"/>
    </xf>
    <xf numFmtId="0" fontId="0" fillId="2" borderId="0" xfId="0" applyFill="1"/>
    <xf numFmtId="44" fontId="32" fillId="0" borderId="0" xfId="0" applyNumberFormat="1" applyFont="1"/>
    <xf numFmtId="9" fontId="12" fillId="2" borderId="0" xfId="38" applyFont="1" applyFill="1"/>
    <xf numFmtId="166" fontId="74" fillId="0" borderId="0" xfId="0" applyNumberFormat="1" applyFont="1"/>
    <xf numFmtId="0" fontId="25" fillId="0" borderId="0" xfId="37"/>
    <xf numFmtId="0" fontId="29" fillId="0" borderId="0" xfId="37" applyFont="1" applyAlignment="1">
      <alignment horizontal="left" wrapText="1"/>
    </xf>
    <xf numFmtId="0" fontId="3" fillId="0" borderId="0" xfId="0" applyFont="1" applyAlignment="1">
      <alignment horizontal="left"/>
    </xf>
    <xf numFmtId="0" fontId="3" fillId="0" borderId="0" xfId="0" applyFont="1" applyAlignment="1">
      <alignment horizontal="center"/>
    </xf>
    <xf numFmtId="9" fontId="33" fillId="0" borderId="0" xfId="0" applyNumberFormat="1" applyFont="1"/>
    <xf numFmtId="168" fontId="35" fillId="0" borderId="0" xfId="0" applyNumberFormat="1" applyFont="1" applyBorder="1"/>
    <xf numFmtId="0" fontId="51" fillId="0" borderId="0" xfId="0" applyFont="1" applyFill="1" applyAlignment="1">
      <alignment horizontal="center"/>
    </xf>
    <xf numFmtId="168" fontId="39" fillId="0" borderId="0" xfId="0" applyNumberFormat="1" applyFont="1" applyFill="1"/>
    <xf numFmtId="168" fontId="12" fillId="0" borderId="0" xfId="0" applyNumberFormat="1" applyFont="1" applyFill="1"/>
    <xf numFmtId="0" fontId="3" fillId="0" borderId="0" xfId="0" applyFont="1"/>
    <xf numFmtId="168" fontId="12" fillId="0" borderId="0" xfId="1" applyNumberFormat="1" applyFont="1" applyFill="1"/>
    <xf numFmtId="166" fontId="14" fillId="2" borderId="0" xfId="0" applyNumberFormat="1" applyFont="1" applyFill="1"/>
    <xf numFmtId="181" fontId="0" fillId="0" borderId="0" xfId="1" applyNumberFormat="1" applyFont="1"/>
    <xf numFmtId="182" fontId="74" fillId="0" borderId="0" xfId="0" applyNumberFormat="1" applyFont="1"/>
    <xf numFmtId="0" fontId="2" fillId="0" borderId="0" xfId="0" applyFont="1"/>
    <xf numFmtId="171" fontId="72" fillId="4" borderId="0" xfId="37" applyNumberFormat="1" applyFont="1" applyFill="1" applyAlignment="1">
      <alignment horizontal="right" wrapText="1"/>
    </xf>
    <xf numFmtId="169" fontId="0" fillId="0" borderId="0" xfId="36" applyNumberFormat="1" applyFont="1"/>
    <xf numFmtId="169" fontId="0" fillId="0" borderId="0" xfId="0" applyNumberFormat="1"/>
    <xf numFmtId="43" fontId="0" fillId="0" borderId="0" xfId="0" applyNumberFormat="1"/>
    <xf numFmtId="1" fontId="0" fillId="0" borderId="0" xfId="0" applyNumberFormat="1"/>
    <xf numFmtId="166" fontId="51" fillId="0" borderId="0" xfId="0" applyNumberFormat="1" applyFont="1" applyAlignment="1">
      <alignment horizontal="center"/>
    </xf>
    <xf numFmtId="0" fontId="2" fillId="0" borderId="0" xfId="0" applyFont="1" applyFill="1"/>
    <xf numFmtId="0" fontId="12" fillId="0" borderId="0" xfId="0" applyFont="1" applyFill="1"/>
    <xf numFmtId="171" fontId="71" fillId="0" borderId="0" xfId="37" applyNumberFormat="1" applyFont="1" applyBorder="1" applyAlignment="1">
      <alignment horizontal="right" wrapText="1"/>
    </xf>
    <xf numFmtId="0" fontId="19" fillId="3" borderId="2" xfId="37" applyFont="1" applyFill="1" applyBorder="1" applyAlignment="1">
      <alignment horizontal="left" vertical="center" wrapText="1"/>
    </xf>
    <xf numFmtId="0" fontId="19" fillId="3" borderId="3" xfId="37" applyFont="1" applyFill="1" applyBorder="1" applyAlignment="1">
      <alignment horizontal="left" vertical="center" wrapText="1"/>
    </xf>
    <xf numFmtId="171" fontId="60" fillId="3" borderId="3" xfId="37" applyNumberFormat="1" applyFont="1" applyFill="1" applyBorder="1" applyAlignment="1">
      <alignment horizontal="right" vertical="center" wrapText="1"/>
    </xf>
    <xf numFmtId="0" fontId="25" fillId="0" borderId="0" xfId="37" applyAlignment="1">
      <alignment vertical="center"/>
    </xf>
    <xf numFmtId="169" fontId="19" fillId="0" borderId="0" xfId="36" applyNumberFormat="1" applyFont="1" applyAlignment="1">
      <alignment vertical="center"/>
    </xf>
    <xf numFmtId="169" fontId="19" fillId="9" borderId="0" xfId="36" applyNumberFormat="1" applyFont="1" applyFill="1" applyAlignment="1">
      <alignment vertical="center"/>
    </xf>
    <xf numFmtId="0" fontId="21" fillId="3" borderId="0" xfId="0" applyFont="1" applyFill="1"/>
    <xf numFmtId="167" fontId="17" fillId="3" borderId="0" xfId="1" applyNumberFormat="1" applyFont="1" applyFill="1" applyAlignment="1"/>
    <xf numFmtId="183" fontId="3" fillId="0" borderId="0" xfId="1" applyNumberFormat="1" applyFont="1" applyAlignment="1">
      <alignment horizontal="center"/>
    </xf>
    <xf numFmtId="0" fontId="39" fillId="0" borderId="0" xfId="0" applyFont="1" applyAlignment="1">
      <alignment horizontal="center" wrapText="1"/>
    </xf>
    <xf numFmtId="0" fontId="1" fillId="0" borderId="0" xfId="0" applyFont="1" applyAlignment="1">
      <alignment horizontal="center"/>
    </xf>
    <xf numFmtId="0" fontId="25" fillId="0" borderId="0" xfId="37"/>
    <xf numFmtId="0" fontId="29" fillId="0" borderId="0" xfId="37" applyFont="1" applyAlignment="1">
      <alignment horizontal="left" wrapText="1"/>
    </xf>
    <xf numFmtId="166" fontId="77" fillId="0" borderId="0" xfId="1" applyNumberFormat="1" applyFont="1"/>
    <xf numFmtId="169" fontId="77" fillId="0" borderId="0" xfId="36" applyNumberFormat="1" applyFont="1"/>
    <xf numFmtId="42" fontId="0" fillId="0" borderId="0" xfId="1" applyNumberFormat="1" applyFont="1"/>
    <xf numFmtId="0" fontId="25" fillId="4" borderId="0" xfId="37" applyFill="1" applyAlignment="1">
      <alignment horizontal="center"/>
    </xf>
    <xf numFmtId="0" fontId="54" fillId="4" borderId="0" xfId="37" applyFont="1" applyFill="1" applyAlignment="1">
      <alignment horizontal="center"/>
    </xf>
    <xf numFmtId="0" fontId="56" fillId="4" borderId="0" xfId="37" applyFont="1" applyFill="1" applyAlignment="1">
      <alignment horizontal="center"/>
    </xf>
    <xf numFmtId="17" fontId="55" fillId="4" borderId="0" xfId="37" quotePrefix="1" applyNumberFormat="1" applyFont="1" applyFill="1" applyAlignment="1">
      <alignment horizontal="center"/>
    </xf>
    <xf numFmtId="0" fontId="55" fillId="4" borderId="0" xfId="37" applyFont="1" applyFill="1" applyAlignment="1">
      <alignment horizontal="center"/>
    </xf>
    <xf numFmtId="0" fontId="9" fillId="0" borderId="0" xfId="0" applyFont="1" applyAlignment="1">
      <alignment horizontal="left" wrapText="1"/>
    </xf>
    <xf numFmtId="0" fontId="53" fillId="8" borderId="0" xfId="0" applyFont="1" applyFill="1" applyAlignment="1">
      <alignment horizontal="center"/>
    </xf>
    <xf numFmtId="0" fontId="68" fillId="0" borderId="0" xfId="37" applyFont="1" applyAlignment="1">
      <alignment horizontal="center"/>
    </xf>
    <xf numFmtId="0" fontId="25" fillId="0" borderId="0" xfId="37"/>
    <xf numFmtId="0" fontId="69" fillId="0" borderId="0" xfId="37" applyFont="1" applyAlignment="1">
      <alignment horizontal="center"/>
    </xf>
    <xf numFmtId="0" fontId="72" fillId="0" borderId="0" xfId="37" applyFont="1" applyAlignment="1">
      <alignment horizontal="center"/>
    </xf>
    <xf numFmtId="0" fontId="18" fillId="5" borderId="0" xfId="0" applyFont="1" applyFill="1" applyAlignment="1">
      <alignment horizontal="center"/>
    </xf>
    <xf numFmtId="0" fontId="24" fillId="0" borderId="0" xfId="0" applyFont="1" applyAlignment="1">
      <alignment horizontal="center" textRotation="90" wrapText="1"/>
    </xf>
    <xf numFmtId="0" fontId="12" fillId="0" borderId="1" xfId="0" applyFont="1" applyBorder="1" applyAlignment="1">
      <alignment horizontal="center"/>
    </xf>
    <xf numFmtId="0" fontId="78" fillId="8" borderId="0" xfId="0" applyFont="1" applyFill="1" applyAlignment="1">
      <alignment horizontal="center"/>
    </xf>
    <xf numFmtId="0" fontId="18" fillId="0" borderId="0" xfId="0" applyFont="1" applyAlignment="1">
      <alignment horizontal="center"/>
    </xf>
    <xf numFmtId="0" fontId="34" fillId="9" borderId="8" xfId="44" applyFont="1" applyFill="1" applyBorder="1" applyAlignment="1">
      <alignment horizontal="center"/>
    </xf>
    <xf numFmtId="0" fontId="34" fillId="9" borderId="10" xfId="44" applyFont="1" applyFill="1" applyBorder="1" applyAlignment="1">
      <alignment horizontal="center"/>
    </xf>
    <xf numFmtId="0" fontId="8" fillId="0" borderId="7" xfId="44" applyFill="1" applyBorder="1" applyAlignment="1">
      <alignment horizontal="center"/>
    </xf>
    <xf numFmtId="0" fontId="8" fillId="0" borderId="8" xfId="44" applyFill="1" applyBorder="1" applyAlignment="1">
      <alignment horizontal="center"/>
    </xf>
    <xf numFmtId="0" fontId="8" fillId="0" borderId="10" xfId="44" applyFill="1" applyBorder="1" applyAlignment="1">
      <alignment horizontal="center"/>
    </xf>
    <xf numFmtId="0" fontId="38" fillId="16" borderId="34" xfId="44" applyFont="1" applyFill="1" applyBorder="1" applyAlignment="1">
      <alignment horizontal="center"/>
    </xf>
    <xf numFmtId="0" fontId="38" fillId="16" borderId="31" xfId="44" applyFont="1" applyFill="1" applyBorder="1" applyAlignment="1">
      <alignment horizontal="center"/>
    </xf>
    <xf numFmtId="0" fontId="38" fillId="16" borderId="32" xfId="44" applyFont="1" applyFill="1" applyBorder="1" applyAlignment="1">
      <alignment horizontal="center"/>
    </xf>
    <xf numFmtId="0" fontId="38" fillId="17" borderId="41" xfId="44" applyFont="1" applyFill="1" applyBorder="1" applyAlignment="1">
      <alignment horizontal="center"/>
    </xf>
    <xf numFmtId="0" fontId="38" fillId="17" borderId="4" xfId="44" applyFont="1" applyFill="1" applyBorder="1" applyAlignment="1">
      <alignment horizontal="center"/>
    </xf>
    <xf numFmtId="0" fontId="38" fillId="17" borderId="39" xfId="44" applyFont="1" applyFill="1" applyBorder="1" applyAlignment="1">
      <alignment horizontal="center"/>
    </xf>
    <xf numFmtId="0" fontId="29" fillId="0" borderId="0" xfId="37" applyFont="1" applyAlignment="1">
      <alignment horizontal="left" wrapText="1"/>
    </xf>
    <xf numFmtId="0" fontId="26" fillId="0" borderId="0" xfId="37" applyFont="1" applyAlignment="1">
      <alignment horizontal="center"/>
    </xf>
    <xf numFmtId="0" fontId="27" fillId="0" borderId="0" xfId="37" applyFont="1" applyAlignment="1">
      <alignment horizontal="center"/>
    </xf>
    <xf numFmtId="0" fontId="65" fillId="0" borderId="0" xfId="37" applyFont="1" applyAlignment="1">
      <alignment horizontal="center"/>
    </xf>
    <xf numFmtId="0" fontId="61" fillId="0" borderId="0" xfId="37" applyFont="1" applyAlignment="1">
      <alignment horizontal="center"/>
    </xf>
    <xf numFmtId="0" fontId="62" fillId="0" borderId="0" xfId="37" applyFont="1" applyAlignment="1">
      <alignment horizontal="center"/>
    </xf>
    <xf numFmtId="0" fontId="63" fillId="0" borderId="1" xfId="37" applyFont="1" applyBorder="1" applyAlignment="1">
      <alignment horizontal="center" wrapText="1"/>
    </xf>
    <xf numFmtId="0" fontId="25" fillId="0" borderId="0" xfId="37" applyAlignment="1">
      <alignment wrapText="1"/>
    </xf>
    <xf numFmtId="0" fontId="19" fillId="0" borderId="0" xfId="37" applyFont="1" applyAlignment="1">
      <alignment horizontal="center"/>
    </xf>
    <xf numFmtId="0" fontId="44" fillId="5" borderId="35" xfId="41" applyFont="1" applyFill="1" applyBorder="1" applyAlignment="1">
      <alignment horizontal="left"/>
    </xf>
    <xf numFmtId="0" fontId="44" fillId="5" borderId="31" xfId="41" applyFont="1" applyFill="1" applyBorder="1" applyAlignment="1">
      <alignment horizontal="left"/>
    </xf>
    <xf numFmtId="0" fontId="44" fillId="5" borderId="32" xfId="41" applyFont="1" applyFill="1" applyBorder="1" applyAlignment="1">
      <alignment horizontal="left"/>
    </xf>
    <xf numFmtId="0" fontId="39" fillId="11" borderId="7" xfId="41" applyFont="1" applyFill="1" applyBorder="1" applyAlignment="1">
      <alignment horizontal="center"/>
    </xf>
    <xf numFmtId="0" fontId="39" fillId="11" borderId="8" xfId="41" applyFont="1" applyFill="1" applyBorder="1" applyAlignment="1">
      <alignment horizontal="center"/>
    </xf>
    <xf numFmtId="0" fontId="39" fillId="0" borderId="22" xfId="41" applyFont="1" applyBorder="1" applyAlignment="1">
      <alignment horizontal="center" vertical="center"/>
    </xf>
    <xf numFmtId="0" fontId="40" fillId="0" borderId="29" xfId="41" applyBorder="1" applyAlignment="1">
      <alignment horizontal="center" vertical="center"/>
    </xf>
    <xf numFmtId="0" fontId="40" fillId="0" borderId="37" xfId="41" applyBorder="1" applyAlignment="1">
      <alignment horizontal="center" vertical="center"/>
    </xf>
    <xf numFmtId="0" fontId="44" fillId="12" borderId="35" xfId="41" applyFont="1" applyFill="1" applyBorder="1" applyAlignment="1">
      <alignment horizontal="left"/>
    </xf>
    <xf numFmtId="0" fontId="44" fillId="12" borderId="31" xfId="41" applyFont="1" applyFill="1" applyBorder="1" applyAlignment="1">
      <alignment horizontal="left"/>
    </xf>
    <xf numFmtId="0" fontId="44" fillId="12" borderId="32" xfId="41" applyFont="1" applyFill="1" applyBorder="1" applyAlignment="1">
      <alignment horizontal="left"/>
    </xf>
    <xf numFmtId="0" fontId="44" fillId="12" borderId="34" xfId="41" applyFont="1" applyFill="1" applyBorder="1" applyAlignment="1">
      <alignment horizontal="left"/>
    </xf>
    <xf numFmtId="0" fontId="44" fillId="5" borderId="34" xfId="41" applyFont="1" applyFill="1" applyBorder="1" applyAlignment="1">
      <alignment horizontal="left"/>
    </xf>
    <xf numFmtId="0" fontId="39" fillId="11" borderId="6" xfId="41" applyFont="1" applyFill="1" applyBorder="1" applyAlignment="1">
      <alignment horizontal="left" vertical="top" wrapText="1"/>
    </xf>
    <xf numFmtId="0" fontId="39" fillId="11" borderId="0" xfId="41" applyFont="1" applyFill="1" applyBorder="1" applyAlignment="1">
      <alignment horizontal="left" vertical="top" wrapText="1"/>
    </xf>
    <xf numFmtId="0" fontId="44" fillId="5" borderId="42" xfId="41" applyFont="1" applyFill="1" applyBorder="1" applyAlignment="1">
      <alignment horizontal="left"/>
    </xf>
    <xf numFmtId="0" fontId="44" fillId="5" borderId="4" xfId="41" applyFont="1" applyFill="1" applyBorder="1" applyAlignment="1">
      <alignment horizontal="left"/>
    </xf>
    <xf numFmtId="0" fontId="44" fillId="5" borderId="39" xfId="41" applyFont="1" applyFill="1" applyBorder="1" applyAlignment="1">
      <alignment horizontal="left"/>
    </xf>
    <xf numFmtId="0" fontId="44" fillId="12" borderId="34" xfId="41" applyFont="1" applyFill="1" applyBorder="1" applyAlignment="1">
      <alignment horizontal="center"/>
    </xf>
    <xf numFmtId="0" fontId="44" fillId="12" borderId="31" xfId="41" applyFont="1" applyFill="1" applyBorder="1" applyAlignment="1">
      <alignment horizontal="center"/>
    </xf>
    <xf numFmtId="0" fontId="44" fillId="12" borderId="32" xfId="41" applyFont="1" applyFill="1" applyBorder="1" applyAlignment="1">
      <alignment horizontal="center"/>
    </xf>
    <xf numFmtId="0" fontId="44" fillId="5" borderId="26" xfId="41" applyFont="1" applyFill="1" applyBorder="1" applyAlignment="1">
      <alignment horizontal="left"/>
    </xf>
    <xf numFmtId="0" fontId="44" fillId="5" borderId="1" xfId="41" applyFont="1" applyFill="1" applyBorder="1" applyAlignment="1">
      <alignment horizontal="left"/>
    </xf>
    <xf numFmtId="0" fontId="44" fillId="5" borderId="24" xfId="41" applyFont="1" applyFill="1" applyBorder="1" applyAlignment="1">
      <alignment horizontal="left"/>
    </xf>
  </cellXfs>
  <cellStyles count="46">
    <cellStyle name="Comma" xfId="36" builtinId="3"/>
    <cellStyle name="Comma 2" xfId="40"/>
    <cellStyle name="Comma 2 2" xfId="45"/>
    <cellStyle name="Currency" xfId="1" builtinId="4"/>
    <cellStyle name="Currency 2" xfId="39"/>
    <cellStyle name="Currency 2 2" xfId="4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Normal 2" xfId="37"/>
    <cellStyle name="Normal 2 2" xfId="44"/>
    <cellStyle name="Normal 4" xfId="41"/>
    <cellStyle name="Percent" xfId="38" builtinId="5"/>
    <cellStyle name="Percent 2" xfId="4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Revenue by Month</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'Rev Trend'!$B$3</c:f>
              <c:strCache>
                <c:ptCount val="1"/>
                <c:pt idx="0">
                  <c:v>Recurring</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'Rev Trend'!$C$2:$N$2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 Trend'!$C$3:$N$3</c:f>
              <c:numCache>
                <c:formatCode>_-"$"* #,##0_-;\-"$"* #,##0_-;_-"$"* "-"??_-;_-@_-</c:formatCode>
                <c:ptCount val="12"/>
                <c:pt idx="0">
                  <c:v>6250</c:v>
                </c:pt>
                <c:pt idx="1">
                  <c:v>6250</c:v>
                </c:pt>
                <c:pt idx="2">
                  <c:v>6250</c:v>
                </c:pt>
                <c:pt idx="3">
                  <c:v>6250</c:v>
                </c:pt>
                <c:pt idx="4">
                  <c:v>6250</c:v>
                </c:pt>
                <c:pt idx="5">
                  <c:v>6250</c:v>
                </c:pt>
                <c:pt idx="6">
                  <c:v>6250</c:v>
                </c:pt>
                <c:pt idx="7">
                  <c:v>6250</c:v>
                </c:pt>
                <c:pt idx="8">
                  <c:v>6250</c:v>
                </c:pt>
                <c:pt idx="9">
                  <c:v>6250</c:v>
                </c:pt>
                <c:pt idx="10">
                  <c:v>6250</c:v>
                </c:pt>
                <c:pt idx="11">
                  <c:v>6250</c:v>
                </c:pt>
              </c:numCache>
            </c:numRef>
          </c:val>
        </c:ser>
        <c:ser>
          <c:idx val="1"/>
          <c:order val="1"/>
          <c:tx>
            <c:strRef>
              <c:f>'Rev Trend'!$B$4</c:f>
              <c:strCache>
                <c:ptCount val="1"/>
                <c:pt idx="0">
                  <c:v>Fundraiser</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'Rev Trend'!$C$2:$N$2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 Trend'!$C$4:$N$4</c:f>
              <c:numCache>
                <c:formatCode>_-"$"* #,##0_-;\-"$"* #,##0_-;_-"$"* "-"??_-;_-@_-</c:formatCode>
                <c:ptCount val="12"/>
                <c:pt idx="0">
                  <c:v>0</c:v>
                </c:pt>
                <c:pt idx="1">
                  <c:v>0</c:v>
                </c:pt>
                <c:pt idx="2">
                  <c:v>0</c:v>
                </c:pt>
                <c:pt idx="3">
                  <c:v>0</c:v>
                </c:pt>
                <c:pt idx="4">
                  <c:v>0</c:v>
                </c:pt>
                <c:pt idx="5">
                  <c:v>0</c:v>
                </c:pt>
                <c:pt idx="6">
                  <c:v>0</c:v>
                </c:pt>
                <c:pt idx="7">
                  <c:v>0</c:v>
                </c:pt>
                <c:pt idx="8">
                  <c:v>10000</c:v>
                </c:pt>
                <c:pt idx="9">
                  <c:v>127000</c:v>
                </c:pt>
                <c:pt idx="10">
                  <c:v>8000</c:v>
                </c:pt>
                <c:pt idx="11">
                  <c:v>5000</c:v>
                </c:pt>
              </c:numCache>
            </c:numRef>
          </c:val>
        </c:ser>
        <c:ser>
          <c:idx val="2"/>
          <c:order val="2"/>
          <c:tx>
            <c:strRef>
              <c:f>'Rev Trend'!$B$5</c:f>
              <c:strCache>
                <c:ptCount val="1"/>
                <c:pt idx="0">
                  <c:v>One Time</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'Rev Trend'!$C$2:$N$2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 Trend'!$C$5:$N$5</c:f>
              <c:numCache>
                <c:formatCode>_-"$"* #,##0_-;\-"$"* #,##0_-;_-"$"* "-"??_-;_-@_-</c:formatCode>
                <c:ptCount val="12"/>
                <c:pt idx="0">
                  <c:v>0</c:v>
                </c:pt>
                <c:pt idx="1">
                  <c:v>0</c:v>
                </c:pt>
                <c:pt idx="2">
                  <c:v>0</c:v>
                </c:pt>
                <c:pt idx="3">
                  <c:v>10000</c:v>
                </c:pt>
                <c:pt idx="4">
                  <c:v>20000</c:v>
                </c:pt>
                <c:pt idx="5">
                  <c:v>20000</c:v>
                </c:pt>
                <c:pt idx="6">
                  <c:v>20000</c:v>
                </c:pt>
                <c:pt idx="7">
                  <c:v>20000</c:v>
                </c:pt>
                <c:pt idx="8">
                  <c:v>10000</c:v>
                </c:pt>
                <c:pt idx="9">
                  <c:v>10000</c:v>
                </c:pt>
                <c:pt idx="10">
                  <c:v>10000</c:v>
                </c:pt>
                <c:pt idx="11">
                  <c:v>10000</c:v>
                </c:pt>
              </c:numCache>
            </c:numRef>
          </c:val>
        </c:ser>
        <c:ser>
          <c:idx val="3"/>
          <c:order val="3"/>
          <c:tx>
            <c:strRef>
              <c:f>'Rev Trend'!$B$6</c:f>
              <c:strCache>
                <c:ptCount val="1"/>
                <c:pt idx="0">
                  <c:v>Grant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'Rev Trend'!$C$2:$N$2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 Trend'!$C$6:$N$6</c:f>
              <c:numCache>
                <c:formatCode>_-"$"* #,##0_-;\-"$"* #,##0_-;_-"$"* "-"??_-;_-@_-</c:formatCode>
                <c:ptCount val="12"/>
                <c:pt idx="0">
                  <c:v>11200</c:v>
                </c:pt>
                <c:pt idx="1">
                  <c:v>0</c:v>
                </c:pt>
                <c:pt idx="2">
                  <c:v>1800</c:v>
                </c:pt>
                <c:pt idx="3">
                  <c:v>3600</c:v>
                </c:pt>
                <c:pt idx="4">
                  <c:v>8600</c:v>
                </c:pt>
                <c:pt idx="5">
                  <c:v>8500</c:v>
                </c:pt>
                <c:pt idx="6">
                  <c:v>12200</c:v>
                </c:pt>
                <c:pt idx="7">
                  <c:v>9350</c:v>
                </c:pt>
                <c:pt idx="8">
                  <c:v>20000</c:v>
                </c:pt>
                <c:pt idx="9">
                  <c:v>10000</c:v>
                </c:pt>
                <c:pt idx="10">
                  <c:v>5000</c:v>
                </c:pt>
                <c:pt idx="11">
                  <c:v>10000</c:v>
                </c:pt>
              </c:numCache>
            </c:numRef>
          </c:val>
        </c:ser>
        <c:ser>
          <c:idx val="4"/>
          <c:order val="4"/>
          <c:tx>
            <c:strRef>
              <c:f>'Rev Trend'!$B$7</c:f>
              <c:strCache>
                <c:ptCount val="1"/>
                <c:pt idx="0">
                  <c:v>Produce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'Rev Trend'!$C$2:$N$2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 Trend'!$C$7:$N$7</c:f>
              <c:numCache>
                <c:formatCode>_-"$"* #,##0_-;\-"$"* #,##0_-;_-"$"* "-"??_-;_-@_-</c:formatCode>
                <c:ptCount val="12"/>
                <c:pt idx="0">
                  <c:v>0</c:v>
                </c:pt>
                <c:pt idx="1">
                  <c:v>0</c:v>
                </c:pt>
                <c:pt idx="2">
                  <c:v>0</c:v>
                </c:pt>
                <c:pt idx="3">
                  <c:v>0</c:v>
                </c:pt>
                <c:pt idx="4">
                  <c:v>0</c:v>
                </c:pt>
                <c:pt idx="5">
                  <c:v>1585.5624</c:v>
                </c:pt>
                <c:pt idx="6">
                  <c:v>3963.9059999999999</c:v>
                </c:pt>
                <c:pt idx="7">
                  <c:v>4756.6872000000003</c:v>
                </c:pt>
                <c:pt idx="8">
                  <c:v>4756.6871999999994</c:v>
                </c:pt>
                <c:pt idx="9">
                  <c:v>3171.1248000000001</c:v>
                </c:pt>
                <c:pt idx="10">
                  <c:v>1585.5624</c:v>
                </c:pt>
                <c:pt idx="11">
                  <c:v>0</c:v>
                </c:pt>
              </c:numCache>
            </c:numRef>
          </c:val>
        </c:ser>
        <c:ser>
          <c:idx val="5"/>
          <c:order val="5"/>
          <c:tx>
            <c:strRef>
              <c:f>'Rev Trend'!$B$8</c:f>
              <c:strCache>
                <c:ptCount val="1"/>
                <c:pt idx="0">
                  <c:v>Other</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'Rev Trend'!$C$2:$N$2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'Rev Trend'!$C$8:$N$8</c:f>
              <c:numCache>
                <c:formatCode>_-"$"* #,##0_-;\-"$"* #,##0_-;_-"$"* "-"??_-;_-@_-</c:formatCode>
                <c:ptCount val="12"/>
                <c:pt idx="0">
                  <c:v>0</c:v>
                </c:pt>
                <c:pt idx="1">
                  <c:v>0</c:v>
                </c:pt>
                <c:pt idx="2">
                  <c:v>0</c:v>
                </c:pt>
                <c:pt idx="3">
                  <c:v>200</c:v>
                </c:pt>
                <c:pt idx="4">
                  <c:v>1000</c:v>
                </c:pt>
                <c:pt idx="5">
                  <c:v>0</c:v>
                </c:pt>
                <c:pt idx="6">
                  <c:v>400</c:v>
                </c:pt>
                <c:pt idx="7">
                  <c:v>0</c:v>
                </c:pt>
                <c:pt idx="8">
                  <c:v>0</c:v>
                </c:pt>
                <c:pt idx="9">
                  <c:v>0</c:v>
                </c:pt>
                <c:pt idx="10">
                  <c:v>0</c:v>
                </c:pt>
                <c:pt idx="11">
                  <c:v>400</c:v>
                </c:pt>
              </c:numCache>
            </c:numRef>
          </c:val>
        </c:ser>
        <c:dLbls>
          <c:showLegendKey val="0"/>
          <c:showVal val="0"/>
          <c:showCatName val="0"/>
          <c:showSerName val="0"/>
          <c:showPercent val="0"/>
          <c:showBubbleSize val="0"/>
        </c:dLbls>
        <c:gapWidth val="150"/>
        <c:shape val="box"/>
        <c:axId val="528650912"/>
        <c:axId val="528649736"/>
        <c:axId val="0"/>
      </c:bar3DChart>
      <c:catAx>
        <c:axId val="5286509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649736"/>
        <c:crosses val="autoZero"/>
        <c:auto val="1"/>
        <c:lblAlgn val="ctr"/>
        <c:lblOffset val="100"/>
        <c:noMultiLvlLbl val="0"/>
      </c:catAx>
      <c:valAx>
        <c:axId val="528649736"/>
        <c:scaling>
          <c:orientation val="minMax"/>
          <c:max val="60000"/>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65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94292438952635E-2"/>
          <c:y val="7.5556905629809643E-2"/>
          <c:w val="0.96763754045307449"/>
          <c:h val="0.87543890701390148"/>
        </c:manualLayout>
      </c:layout>
      <c:lineChart>
        <c:grouping val="standard"/>
        <c:varyColors val="0"/>
        <c:ser>
          <c:idx val="0"/>
          <c:order val="0"/>
          <c:tx>
            <c:strRef>
              <c:f>'Cash Bal'!$A$8</c:f>
              <c:strCache>
                <c:ptCount val="1"/>
                <c:pt idx="0">
                  <c:v>Ending Cash</c:v>
                </c:pt>
              </c:strCache>
            </c:strRef>
          </c:tx>
          <c:spPr>
            <a:ln w="25400" cap="rnd">
              <a:solidFill>
                <a:schemeClr val="accent4">
                  <a:lumMod val="60000"/>
                  <a:lumOff val="40000"/>
                </a:schemeClr>
              </a:solidFill>
              <a:round/>
            </a:ln>
            <a:effectLst>
              <a:outerShdw dist="25400" dir="2700000" algn="tl" rotWithShape="0">
                <a:schemeClr val="accent1"/>
              </a:outerShdw>
            </a:effectLst>
          </c:spPr>
          <c:marker>
            <c:symbol val="none"/>
          </c:marker>
          <c:dLbls>
            <c:dLbl>
              <c:idx val="0"/>
              <c:layout>
                <c:manualLayout>
                  <c:x val="-4.4941420783940471E-2"/>
                  <c:y val="-1.41200201714574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6663032505552192E-2"/>
                  <c:y val="3.1265758951084216E-2"/>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9.1487179487179493E-2"/>
                      <c:h val="4.6575895108421583E-2"/>
                    </c:manualLayout>
                  </c15:layout>
                </c:ext>
              </c:extLst>
            </c:dLbl>
            <c:dLbl>
              <c:idx val="2"/>
              <c:layout>
                <c:manualLayout>
                  <c:x val="-5.5197831040350726E-2"/>
                  <c:y val="3.63086232980332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9337025179544865E-2"/>
                  <c:y val="3.63086232980332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9337025179544865E-2"/>
                  <c:y val="2.42057488653555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4.6406622249141882E-2"/>
                  <c:y val="4.23600605143720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7871823714343398E-2"/>
                  <c:y val="6.65658093797276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4941420783940471E-2"/>
                  <c:y val="3.429147755925365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4941420783940575E-2"/>
                  <c:y val="2.82400403429147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9337025179544969E-2"/>
                  <c:y val="-1.41200201714574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6406622249141931E-2"/>
                  <c:y val="-3.02571860816944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5.5170026823559391E-4"/>
                  <c:y val="-4.841149773071104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val>
            <c:numRef>
              <c:f>'Cash Bal'!$C$8:$N$8</c:f>
              <c:numCache>
                <c:formatCode>_-"$"* #,##0_-;\-"$"* #,##0_-;_-"$"* "-"??_-;_-@_-</c:formatCode>
                <c:ptCount val="12"/>
                <c:pt idx="0">
                  <c:v>377483.61909585691</c:v>
                </c:pt>
                <c:pt idx="1">
                  <c:v>338628.26103804185</c:v>
                </c:pt>
                <c:pt idx="2">
                  <c:v>296409.87339781428</c:v>
                </c:pt>
                <c:pt idx="3">
                  <c:v>266482.72971828294</c:v>
                </c:pt>
                <c:pt idx="4">
                  <c:v>267139.32985201135</c:v>
                </c:pt>
                <c:pt idx="5">
                  <c:v>260909.94208839745</c:v>
                </c:pt>
                <c:pt idx="6">
                  <c:v>257838.73175920112</c:v>
                </c:pt>
                <c:pt idx="7">
                  <c:v>259002.85244540311</c:v>
                </c:pt>
                <c:pt idx="8">
                  <c:v>277963.61559918616</c:v>
                </c:pt>
                <c:pt idx="9">
                  <c:v>383203.51502581022</c:v>
                </c:pt>
                <c:pt idx="10">
                  <c:v>383372.25843019312</c:v>
                </c:pt>
                <c:pt idx="11">
                  <c:v>384473.45829895989</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528650128"/>
        <c:axId val="528652088"/>
      </c:lineChart>
      <c:catAx>
        <c:axId val="5286501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spc="30" baseline="0">
                <a:solidFill>
                  <a:schemeClr val="lt1"/>
                </a:solidFill>
                <a:latin typeface="+mn-lt"/>
                <a:ea typeface="+mn-ea"/>
                <a:cs typeface="+mn-cs"/>
              </a:defRPr>
            </a:pPr>
            <a:endParaRPr lang="en-US"/>
          </a:p>
        </c:txPr>
        <c:crossAx val="528652088"/>
        <c:crosses val="autoZero"/>
        <c:auto val="1"/>
        <c:lblAlgn val="ctr"/>
        <c:lblOffset val="100"/>
        <c:noMultiLvlLbl val="0"/>
      </c:catAx>
      <c:valAx>
        <c:axId val="528652088"/>
        <c:scaling>
          <c:orientation val="minMax"/>
        </c:scaling>
        <c:delete val="1"/>
        <c:axPos val="l"/>
        <c:numFmt formatCode="_-&quot;$&quot;* #,##0_-;\-&quot;$&quot;* #,##0_-;_-&quot;$&quot;* &quot;-&quot;??_-;_-@_-" sourceLinked="1"/>
        <c:majorTickMark val="none"/>
        <c:minorTickMark val="none"/>
        <c:tickLblPos val="nextTo"/>
        <c:crossAx val="528650128"/>
        <c:crosses val="autoZero"/>
        <c:crossBetween val="between"/>
      </c:valAx>
      <c:spPr>
        <a:noFill/>
        <a:ln>
          <a:noFill/>
        </a:ln>
        <a:effectLst/>
      </c:spPr>
    </c:plotArea>
    <c:plotVisOnly val="1"/>
    <c:dispBlanksAs val="gap"/>
    <c:showDLblsOverMax val="0"/>
  </c:chart>
  <c:spPr>
    <a:gradFill>
      <a:gsLst>
        <a:gs pos="0">
          <a:schemeClr val="bg1"/>
        </a:gs>
        <a:gs pos="53000">
          <a:schemeClr val="bg1">
            <a:lumMod val="85000"/>
          </a:schemeClr>
        </a:gs>
        <a:gs pos="92027">
          <a:schemeClr val="accent1">
            <a:lumMod val="75000"/>
          </a:schemeClr>
        </a:gs>
        <a:gs pos="76000">
          <a:schemeClr val="accent1">
            <a:lumMod val="60000"/>
            <a:lumOff val="40000"/>
          </a:schemeClr>
        </a:gs>
        <a:gs pos="100000">
          <a:schemeClr val="accent1">
            <a:lumMod val="50000"/>
          </a:schemeClr>
        </a:gs>
      </a:gsLst>
      <a:lin ang="5400000" scaled="1"/>
    </a:gradFill>
    <a:ln w="9525" cap="flat" cmpd="sng" algn="ctr">
      <a:solidFill>
        <a:schemeClr val="lt1">
          <a:lumMod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theme="1"/>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5</xdr:row>
      <xdr:rowOff>129540</xdr:rowOff>
    </xdr:from>
    <xdr:to>
      <xdr:col>5</xdr:col>
      <xdr:colOff>209550</xdr:colOff>
      <xdr:row>9</xdr:row>
      <xdr:rowOff>94993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77290" y="1043940"/>
          <a:ext cx="2156460" cy="69697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0.23751</cdr:x>
      <cdr:y>0.07317</cdr:y>
    </cdr:from>
    <cdr:to>
      <cdr:x>0.74625</cdr:x>
      <cdr:y>0.1997</cdr:y>
    </cdr:to>
    <cdr:sp macro="" textlink="">
      <cdr:nvSpPr>
        <cdr:cNvPr id="2" name="TextBox 1"/>
        <cdr:cNvSpPr txBox="1"/>
      </cdr:nvSpPr>
      <cdr:spPr>
        <a:xfrm xmlns:a="http://schemas.openxmlformats.org/drawingml/2006/main">
          <a:off x="2058677" y="460663"/>
          <a:ext cx="4409631" cy="796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800">
            <a:solidFill>
              <a:sysClr val="windowText" lastClr="000000"/>
            </a:solidFill>
          </a:endParaRPr>
        </a:p>
        <a:p xmlns:a="http://schemas.openxmlformats.org/drawingml/2006/main">
          <a:pPr algn="ctr"/>
          <a:r>
            <a:rPr lang="en-US" sz="2000" b="1">
              <a:solidFill>
                <a:sysClr val="windowText" lastClr="000000"/>
              </a:solidFill>
            </a:rPr>
            <a:t>CASH BALANCE TRENDED</a:t>
          </a:r>
        </a:p>
      </cdr:txBody>
    </cdr:sp>
  </cdr:relSizeAnchor>
  <cdr:relSizeAnchor xmlns:cdr="http://schemas.openxmlformats.org/drawingml/2006/chartDrawing">
    <cdr:from>
      <cdr:x>0.3707</cdr:x>
      <cdr:y>0</cdr:y>
    </cdr:from>
    <cdr:to>
      <cdr:x>0.61941</cdr:x>
      <cdr:y>0.1107</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213100" y="0"/>
          <a:ext cx="2155754" cy="696973"/>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2487083</xdr:colOff>
      <xdr:row>0</xdr:row>
      <xdr:rowOff>0</xdr:rowOff>
    </xdr:from>
    <xdr:to>
      <xdr:col>4</xdr:col>
      <xdr:colOff>314254</xdr:colOff>
      <xdr:row>0</xdr:row>
      <xdr:rowOff>696973</xdr:rowOff>
    </xdr:to>
    <xdr:pic>
      <xdr:nvPicPr>
        <xdr:cNvPr id="2" name="Picture 1"/>
        <xdr:cNvPicPr>
          <a:picLocks noChangeAspect="1"/>
        </xdr:cNvPicPr>
      </xdr:nvPicPr>
      <xdr:blipFill>
        <a:blip xmlns:r="http://schemas.openxmlformats.org/officeDocument/2006/relationships" r:embed="rId1"/>
        <a:stretch>
          <a:fillRect/>
        </a:stretch>
      </xdr:blipFill>
      <xdr:spPr>
        <a:xfrm>
          <a:off x="2645833" y="0"/>
          <a:ext cx="2162810" cy="6969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316230</xdr:colOff>
      <xdr:row>0</xdr:row>
      <xdr:rowOff>87630</xdr:rowOff>
    </xdr:from>
    <xdr:to>
      <xdr:col>10</xdr:col>
      <xdr:colOff>66675</xdr:colOff>
      <xdr:row>2</xdr:row>
      <xdr:rowOff>34033</xdr:rowOff>
    </xdr:to>
    <xdr:pic>
      <xdr:nvPicPr>
        <xdr:cNvPr id="2" name="Picture 1"/>
        <xdr:cNvPicPr>
          <a:picLocks noChangeAspect="1"/>
        </xdr:cNvPicPr>
      </xdr:nvPicPr>
      <xdr:blipFill>
        <a:blip xmlns:r="http://schemas.openxmlformats.org/officeDocument/2006/relationships" r:embed="rId1"/>
        <a:stretch>
          <a:fillRect/>
        </a:stretch>
      </xdr:blipFill>
      <xdr:spPr>
        <a:xfrm>
          <a:off x="4869180" y="87630"/>
          <a:ext cx="2160270" cy="6988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251460</xdr:colOff>
      <xdr:row>12</xdr:row>
      <xdr:rowOff>42545</xdr:rowOff>
    </xdr:from>
    <xdr:to>
      <xdr:col>13</xdr:col>
      <xdr:colOff>439420</xdr:colOff>
      <xdr:row>38</xdr:row>
      <xdr:rowOff>151765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177800</xdr:colOff>
      <xdr:row>12</xdr:row>
      <xdr:rowOff>53340</xdr:rowOff>
    </xdr:from>
    <xdr:to>
      <xdr:col>2</xdr:col>
      <xdr:colOff>22860</xdr:colOff>
      <xdr:row>13</xdr:row>
      <xdr:rowOff>22860</xdr:rowOff>
    </xdr:to>
    <xdr:sp macro="" textlink="">
      <xdr:nvSpPr>
        <xdr:cNvPr id="5" name="TextBox 4"/>
        <xdr:cNvSpPr txBox="1"/>
      </xdr:nvSpPr>
      <xdr:spPr>
        <a:xfrm>
          <a:off x="838200" y="2415540"/>
          <a:ext cx="594360" cy="1663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tx1"/>
              </a:solidFill>
              <a:latin typeface="Arial" panose="020B0604020202020204" pitchFamily="34" charset="0"/>
              <a:cs typeface="Arial" panose="020B0604020202020204" pitchFamily="34" charset="0"/>
            </a:rPr>
            <a:t>$160,000</a:t>
          </a:r>
        </a:p>
      </xdr:txBody>
    </xdr:sp>
    <xdr:clientData/>
  </xdr:twoCellAnchor>
  <xdr:twoCellAnchor editAs="oneCell">
    <xdr:from>
      <xdr:col>1</xdr:col>
      <xdr:colOff>366723</xdr:colOff>
      <xdr:row>13</xdr:row>
      <xdr:rowOff>38661</xdr:rowOff>
    </xdr:from>
    <xdr:to>
      <xdr:col>1</xdr:col>
      <xdr:colOff>442778</xdr:colOff>
      <xdr:row>15</xdr:row>
      <xdr:rowOff>134159</xdr:rowOff>
    </xdr:to>
    <xdr:pic>
      <xdr:nvPicPr>
        <xdr:cNvPr id="6" name="Picture 5"/>
        <xdr:cNvPicPr>
          <a:picLocks noChangeAspect="1"/>
        </xdr:cNvPicPr>
      </xdr:nvPicPr>
      <xdr:blipFill>
        <a:blip xmlns:r="http://schemas.openxmlformats.org/officeDocument/2006/relationships" r:embed="rId2"/>
        <a:stretch>
          <a:fillRect/>
        </a:stretch>
      </xdr:blipFill>
      <xdr:spPr>
        <a:xfrm rot="5926780">
          <a:off x="842777" y="2848732"/>
          <a:ext cx="495548" cy="76055"/>
        </a:xfrm>
        <a:prstGeom prst="rect">
          <a:avLst/>
        </a:prstGeom>
      </xdr:spPr>
    </xdr:pic>
    <xdr:clientData/>
  </xdr:twoCellAnchor>
  <xdr:twoCellAnchor>
    <xdr:from>
      <xdr:col>2</xdr:col>
      <xdr:colOff>175260</xdr:colOff>
      <xdr:row>30</xdr:row>
      <xdr:rowOff>144780</xdr:rowOff>
    </xdr:from>
    <xdr:to>
      <xdr:col>12</xdr:col>
      <xdr:colOff>251460</xdr:colOff>
      <xdr:row>30</xdr:row>
      <xdr:rowOff>152400</xdr:rowOff>
    </xdr:to>
    <xdr:cxnSp macro="">
      <xdr:nvCxnSpPr>
        <xdr:cNvPr id="9" name="Straight Connector 8"/>
        <xdr:cNvCxnSpPr/>
      </xdr:nvCxnSpPr>
      <xdr:spPr>
        <a:xfrm flipV="1">
          <a:off x="1592580" y="6088380"/>
          <a:ext cx="6751320" cy="762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47625</xdr:colOff>
      <xdr:row>8</xdr:row>
      <xdr:rowOff>133350</xdr:rowOff>
    </xdr:from>
    <xdr:to>
      <xdr:col>9</xdr:col>
      <xdr:colOff>117404</xdr:colOff>
      <xdr:row>12</xdr:row>
      <xdr:rowOff>30223</xdr:rowOff>
    </xdr:to>
    <xdr:pic>
      <xdr:nvPicPr>
        <xdr:cNvPr id="7" name="Picture 6"/>
        <xdr:cNvPicPr>
          <a:picLocks noChangeAspect="1"/>
        </xdr:cNvPicPr>
      </xdr:nvPicPr>
      <xdr:blipFill>
        <a:blip xmlns:r="http://schemas.openxmlformats.org/officeDocument/2006/relationships" r:embed="rId3"/>
        <a:stretch>
          <a:fillRect/>
        </a:stretch>
      </xdr:blipFill>
      <xdr:spPr>
        <a:xfrm>
          <a:off x="4248150" y="1733550"/>
          <a:ext cx="2155754" cy="6969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0</xdr:row>
      <xdr:rowOff>28575</xdr:rowOff>
    </xdr:from>
    <xdr:to>
      <xdr:col>4</xdr:col>
      <xdr:colOff>31679</xdr:colOff>
      <xdr:row>0</xdr:row>
      <xdr:rowOff>725548</xdr:rowOff>
    </xdr:to>
    <xdr:pic>
      <xdr:nvPicPr>
        <xdr:cNvPr id="2" name="Picture 1"/>
        <xdr:cNvPicPr>
          <a:picLocks noChangeAspect="1"/>
        </xdr:cNvPicPr>
      </xdr:nvPicPr>
      <xdr:blipFill>
        <a:blip xmlns:r="http://schemas.openxmlformats.org/officeDocument/2006/relationships" r:embed="rId1"/>
        <a:stretch>
          <a:fillRect/>
        </a:stretch>
      </xdr:blipFill>
      <xdr:spPr>
        <a:xfrm>
          <a:off x="1628775" y="28575"/>
          <a:ext cx="2155754" cy="6969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1638300</xdr:colOff>
      <xdr:row>0</xdr:row>
      <xdr:rowOff>0</xdr:rowOff>
    </xdr:from>
    <xdr:to>
      <xdr:col>4</xdr:col>
      <xdr:colOff>180217</xdr:colOff>
      <xdr:row>0</xdr:row>
      <xdr:rowOff>696973</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5520" y="0"/>
          <a:ext cx="2156460" cy="6969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10243</xdr:colOff>
      <xdr:row>5</xdr:row>
      <xdr:rowOff>153629</xdr:rowOff>
    </xdr:from>
    <xdr:to>
      <xdr:col>8</xdr:col>
      <xdr:colOff>143387</xdr:colOff>
      <xdr:row>9</xdr:row>
      <xdr:rowOff>215080</xdr:rowOff>
    </xdr:to>
    <xdr:cxnSp macro="">
      <xdr:nvCxnSpPr>
        <xdr:cNvPr id="2" name="Straight Connector 1"/>
        <xdr:cNvCxnSpPr/>
      </xdr:nvCxnSpPr>
      <xdr:spPr>
        <a:xfrm flipH="1">
          <a:off x="4067893" y="8602304"/>
          <a:ext cx="5229019" cy="8425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140677</xdr:colOff>
      <xdr:row>6</xdr:row>
      <xdr:rowOff>109904</xdr:rowOff>
    </xdr:from>
    <xdr:to>
      <xdr:col>14</xdr:col>
      <xdr:colOff>14654</xdr:colOff>
      <xdr:row>6</xdr:row>
      <xdr:rowOff>111370</xdr:rowOff>
    </xdr:to>
    <xdr:cxnSp macro="">
      <xdr:nvCxnSpPr>
        <xdr:cNvPr id="3" name="Straight Arrow Connector 2"/>
        <xdr:cNvCxnSpPr/>
      </xdr:nvCxnSpPr>
      <xdr:spPr>
        <a:xfrm flipV="1">
          <a:off x="5870331" y="1399442"/>
          <a:ext cx="3925765" cy="14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7</xdr:row>
      <xdr:rowOff>99647</xdr:rowOff>
    </xdr:from>
    <xdr:to>
      <xdr:col>17</xdr:col>
      <xdr:colOff>4885</xdr:colOff>
      <xdr:row>7</xdr:row>
      <xdr:rowOff>102577</xdr:rowOff>
    </xdr:to>
    <xdr:cxnSp macro="">
      <xdr:nvCxnSpPr>
        <xdr:cNvPr id="5" name="Straight Arrow Connector 4"/>
        <xdr:cNvCxnSpPr/>
      </xdr:nvCxnSpPr>
      <xdr:spPr>
        <a:xfrm>
          <a:off x="5886938" y="1574801"/>
          <a:ext cx="5714024" cy="29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158261</xdr:colOff>
      <xdr:row>9</xdr:row>
      <xdr:rowOff>99648</xdr:rowOff>
    </xdr:from>
    <xdr:to>
      <xdr:col>11</xdr:col>
      <xdr:colOff>549519</xdr:colOff>
      <xdr:row>9</xdr:row>
      <xdr:rowOff>117231</xdr:rowOff>
    </xdr:to>
    <xdr:cxnSp macro="">
      <xdr:nvCxnSpPr>
        <xdr:cNvPr id="10" name="Straight Arrow Connector 9"/>
        <xdr:cNvCxnSpPr/>
      </xdr:nvCxnSpPr>
      <xdr:spPr>
        <a:xfrm>
          <a:off x="5887915" y="2275744"/>
          <a:ext cx="2706566" cy="17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164122</xdr:colOff>
      <xdr:row>10</xdr:row>
      <xdr:rowOff>92808</xdr:rowOff>
    </xdr:from>
    <xdr:to>
      <xdr:col>8</xdr:col>
      <xdr:colOff>14654</xdr:colOff>
      <xdr:row>10</xdr:row>
      <xdr:rowOff>93786</xdr:rowOff>
    </xdr:to>
    <xdr:cxnSp macro="">
      <xdr:nvCxnSpPr>
        <xdr:cNvPr id="12" name="Straight Arrow Connector 11"/>
        <xdr:cNvCxnSpPr/>
      </xdr:nvCxnSpPr>
      <xdr:spPr>
        <a:xfrm flipV="1">
          <a:off x="5898660" y="2442308"/>
          <a:ext cx="436686" cy="9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18</xdr:row>
      <xdr:rowOff>0</xdr:rowOff>
    </xdr:from>
    <xdr:to>
      <xdr:col>10</xdr:col>
      <xdr:colOff>500765</xdr:colOff>
      <xdr:row>39</xdr:row>
      <xdr:rowOff>133927</xdr:rowOff>
    </xdr:to>
    <xdr:pic>
      <xdr:nvPicPr>
        <xdr:cNvPr id="8" name="Picture 7"/>
        <xdr:cNvPicPr>
          <a:picLocks noChangeAspect="1"/>
        </xdr:cNvPicPr>
      </xdr:nvPicPr>
      <xdr:blipFill>
        <a:blip xmlns:r="http://schemas.openxmlformats.org/officeDocument/2006/relationships" r:embed="rId1"/>
        <a:stretch>
          <a:fillRect/>
        </a:stretch>
      </xdr:blipFill>
      <xdr:spPr>
        <a:xfrm>
          <a:off x="307731" y="3700096"/>
          <a:ext cx="7659169" cy="41344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3" workbookViewId="0">
      <selection activeCell="A19" sqref="A19:G19"/>
    </sheetView>
  </sheetViews>
  <sheetFormatPr defaultColWidth="8.125" defaultRowHeight="15" x14ac:dyDescent="0.25"/>
  <cols>
    <col min="1" max="16384" width="8.125" style="357"/>
  </cols>
  <sheetData>
    <row r="1" spans="1:7" x14ac:dyDescent="0.25">
      <c r="A1" s="50"/>
      <c r="B1" s="50"/>
      <c r="C1" s="50"/>
      <c r="D1" s="50"/>
      <c r="E1" s="50"/>
      <c r="F1" s="50"/>
      <c r="G1" s="50"/>
    </row>
    <row r="15" spans="1:7" ht="28.5" x14ac:dyDescent="0.45">
      <c r="A15" s="534" t="s">
        <v>1213</v>
      </c>
      <c r="B15" s="534"/>
      <c r="C15" s="534"/>
      <c r="D15" s="534"/>
      <c r="E15" s="534"/>
      <c r="F15" s="534"/>
      <c r="G15" s="534"/>
    </row>
    <row r="16" spans="1:7" ht="23.25" x14ac:dyDescent="0.35">
      <c r="A16" s="536"/>
      <c r="B16" s="537"/>
      <c r="C16" s="537"/>
      <c r="D16" s="537"/>
      <c r="E16" s="537"/>
      <c r="F16" s="537"/>
      <c r="G16" s="537"/>
    </row>
    <row r="17" spans="1:7" x14ac:dyDescent="0.25">
      <c r="A17" s="533"/>
      <c r="B17" s="533"/>
      <c r="C17" s="533"/>
      <c r="D17" s="533"/>
      <c r="E17" s="533"/>
      <c r="F17" s="533"/>
      <c r="G17" s="533"/>
    </row>
    <row r="18" spans="1:7" ht="23.25" x14ac:dyDescent="0.35">
      <c r="A18" s="535" t="s">
        <v>1290</v>
      </c>
      <c r="B18" s="535"/>
      <c r="C18" s="535"/>
      <c r="D18" s="535"/>
      <c r="E18" s="535"/>
      <c r="F18" s="535"/>
      <c r="G18" s="535"/>
    </row>
    <row r="19" spans="1:7" ht="144.6" customHeight="1" x14ac:dyDescent="0.25">
      <c r="A19" s="533"/>
      <c r="B19" s="533"/>
      <c r="C19" s="533"/>
      <c r="D19" s="533"/>
      <c r="E19" s="533"/>
      <c r="F19" s="533"/>
      <c r="G19" s="533"/>
    </row>
    <row r="20" spans="1:7" x14ac:dyDescent="0.25">
      <c r="A20" s="533"/>
      <c r="B20" s="533"/>
      <c r="C20" s="533"/>
      <c r="D20" s="533"/>
      <c r="E20" s="533"/>
      <c r="F20" s="533"/>
      <c r="G20" s="533"/>
    </row>
    <row r="21" spans="1:7" x14ac:dyDescent="0.25">
      <c r="A21" s="533"/>
      <c r="B21" s="533"/>
      <c r="C21" s="533"/>
      <c r="D21" s="533"/>
      <c r="E21" s="533"/>
      <c r="F21" s="533"/>
      <c r="G21" s="533"/>
    </row>
    <row r="24" spans="1:7" x14ac:dyDescent="0.25">
      <c r="A24" s="50"/>
      <c r="B24" s="50"/>
      <c r="C24" s="50"/>
      <c r="D24" s="50"/>
      <c r="E24" s="50"/>
      <c r="F24" s="50"/>
      <c r="G24" s="50"/>
    </row>
  </sheetData>
  <mergeCells count="7">
    <mergeCell ref="A21:G21"/>
    <mergeCell ref="A15:G15"/>
    <mergeCell ref="A18:G18"/>
    <mergeCell ref="A16:G16"/>
    <mergeCell ref="A17:G17"/>
    <mergeCell ref="A19:G19"/>
    <mergeCell ref="A20:G20"/>
  </mergeCells>
  <printOptions horizontalCentered="1"/>
  <pageMargins left="0.7" right="0.7" top="0.75" bottom="0.75" header="0.3" footer="0.3"/>
  <pageSetup scale="13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X29"/>
  <sheetViews>
    <sheetView workbookViewId="0">
      <selection activeCell="F26" sqref="F26:F28"/>
    </sheetView>
  </sheetViews>
  <sheetFormatPr defaultRowHeight="15.75" outlineLevelRow="1" x14ac:dyDescent="0.25"/>
  <cols>
    <col min="2" max="2" width="21" customWidth="1"/>
    <col min="3" max="3" width="11.25" customWidth="1"/>
    <col min="15" max="15" width="10.875" customWidth="1"/>
  </cols>
  <sheetData>
    <row r="2" spans="1:24" outlineLevel="1" x14ac:dyDescent="0.25">
      <c r="A2" s="1" t="s">
        <v>34</v>
      </c>
      <c r="C2" s="31" t="s">
        <v>519</v>
      </c>
      <c r="D2" s="31"/>
      <c r="E2" s="31" t="s">
        <v>124</v>
      </c>
    </row>
    <row r="3" spans="1:24" outlineLevel="1" x14ac:dyDescent="0.25">
      <c r="B3" t="s">
        <v>32</v>
      </c>
      <c r="C3" s="23">
        <f>9620*12*1.03*1.03</f>
        <v>122470.296</v>
      </c>
      <c r="D3" s="468">
        <f>1700/C3</f>
        <v>1.3880916887797837E-2</v>
      </c>
      <c r="G3" s="466">
        <v>0.06</v>
      </c>
      <c r="H3" s="49">
        <f>C3*G3</f>
        <v>7348.2177599999995</v>
      </c>
    </row>
    <row r="4" spans="1:24" outlineLevel="1" x14ac:dyDescent="0.25">
      <c r="B4" t="s">
        <v>517</v>
      </c>
      <c r="C4" s="23">
        <f>25*10*12</f>
        <v>3000</v>
      </c>
      <c r="D4" s="468">
        <f>1700/C4</f>
        <v>0.56666666666666665</v>
      </c>
      <c r="E4" s="49"/>
      <c r="G4" s="466">
        <v>0.06</v>
      </c>
      <c r="H4" s="49"/>
    </row>
    <row r="5" spans="1:24" outlineLevel="1" x14ac:dyDescent="0.25">
      <c r="B5" t="s">
        <v>35</v>
      </c>
      <c r="C5" s="9">
        <f>2166*12*1.03</f>
        <v>26771.760000000002</v>
      </c>
      <c r="D5" s="468">
        <f>1000/C5</f>
        <v>3.7352792644189246E-2</v>
      </c>
      <c r="G5" s="466">
        <f>G4</f>
        <v>0.06</v>
      </c>
      <c r="H5" s="49">
        <f>C5*G5</f>
        <v>1606.3056000000001</v>
      </c>
    </row>
    <row r="6" spans="1:24" outlineLevel="1" x14ac:dyDescent="0.25">
      <c r="B6" t="s">
        <v>1206</v>
      </c>
      <c r="C6" s="9">
        <v>35000</v>
      </c>
      <c r="D6" s="468">
        <f>1000/C6</f>
        <v>2.8571428571428571E-2</v>
      </c>
      <c r="E6" s="367">
        <f>C6/12</f>
        <v>2916.6666666666665</v>
      </c>
      <c r="G6" s="466">
        <f>G5</f>
        <v>0.06</v>
      </c>
      <c r="H6" s="49">
        <f>C6*G6</f>
        <v>2100</v>
      </c>
      <c r="I6" s="49">
        <f>SUM(H3:H6)</f>
        <v>11054.523359999999</v>
      </c>
      <c r="M6" s="11"/>
    </row>
    <row r="7" spans="1:24" outlineLevel="1" x14ac:dyDescent="0.25">
      <c r="B7" t="s">
        <v>1207</v>
      </c>
      <c r="C7" s="9">
        <f>25*4*50</f>
        <v>5000</v>
      </c>
      <c r="D7" s="468"/>
      <c r="E7" s="367"/>
      <c r="G7" s="466"/>
      <c r="H7" s="49"/>
      <c r="I7" s="49"/>
      <c r="X7" s="49"/>
    </row>
    <row r="8" spans="1:24" outlineLevel="1" x14ac:dyDescent="0.25">
      <c r="B8" s="1" t="s">
        <v>33</v>
      </c>
      <c r="C8" s="30">
        <f>SUM(C3:C7)</f>
        <v>192242.05600000001</v>
      </c>
      <c r="E8" s="367">
        <f>SUM(Wages!J19:J21)</f>
        <v>1800</v>
      </c>
      <c r="F8" t="s">
        <v>516</v>
      </c>
      <c r="I8" s="49"/>
    </row>
    <row r="9" spans="1:24" outlineLevel="1" x14ac:dyDescent="0.25">
      <c r="C9" s="12"/>
      <c r="E9" s="367">
        <f>SUM(E6:E8)</f>
        <v>4716.6666666666661</v>
      </c>
      <c r="F9" t="s">
        <v>242</v>
      </c>
    </row>
    <row r="10" spans="1:24" ht="27.75" customHeight="1" outlineLevel="1" x14ac:dyDescent="0.25">
      <c r="A10" s="1" t="s">
        <v>230</v>
      </c>
      <c r="C10" s="21">
        <f>I6</f>
        <v>11054.523359999999</v>
      </c>
      <c r="D10" s="466">
        <v>0.06</v>
      </c>
      <c r="J10" s="49"/>
      <c r="K10" s="466"/>
      <c r="L10" s="467"/>
      <c r="M10" s="466"/>
    </row>
    <row r="14" spans="1:24" x14ac:dyDescent="0.25">
      <c r="C14">
        <f>C13*12</f>
        <v>0</v>
      </c>
    </row>
    <row r="16" spans="1:24" x14ac:dyDescent="0.25">
      <c r="H16" s="351" t="s">
        <v>505</v>
      </c>
      <c r="J16" s="352">
        <v>1</v>
      </c>
      <c r="K16" s="352">
        <v>1</v>
      </c>
      <c r="L16" s="352">
        <v>1</v>
      </c>
      <c r="M16" s="352">
        <v>1</v>
      </c>
      <c r="N16" s="352">
        <v>2</v>
      </c>
      <c r="O16" s="352">
        <v>2</v>
      </c>
      <c r="P16" s="352">
        <v>1</v>
      </c>
      <c r="Q16" s="352">
        <v>1</v>
      </c>
      <c r="R16" s="352">
        <v>1</v>
      </c>
      <c r="S16" s="352">
        <v>1</v>
      </c>
    </row>
    <row r="17" spans="1:23" x14ac:dyDescent="0.25">
      <c r="H17" s="348" t="s">
        <v>504</v>
      </c>
      <c r="J17" s="352">
        <v>2</v>
      </c>
      <c r="K17" s="352">
        <v>4</v>
      </c>
      <c r="L17" s="352">
        <v>4</v>
      </c>
      <c r="M17" s="352">
        <v>5</v>
      </c>
      <c r="N17" s="352">
        <v>4</v>
      </c>
      <c r="O17" s="352">
        <v>5</v>
      </c>
      <c r="P17" s="352">
        <v>4</v>
      </c>
      <c r="Q17" s="352">
        <v>4</v>
      </c>
      <c r="R17" s="352">
        <v>5</v>
      </c>
      <c r="S17" s="352">
        <v>2</v>
      </c>
      <c r="U17">
        <f>J16*J17+K16*K17+L16*L17+M16*M17+N16*N17+O16*O17+P16*P17+Q16*Q17+R16*R17+S16*S17</f>
        <v>48</v>
      </c>
    </row>
    <row r="18" spans="1:23" ht="31.5" outlineLevel="1" x14ac:dyDescent="0.25">
      <c r="A18" s="1" t="s">
        <v>25</v>
      </c>
      <c r="C18" s="22" t="s">
        <v>421</v>
      </c>
      <c r="D18" s="22" t="s">
        <v>422</v>
      </c>
      <c r="E18" s="3" t="s">
        <v>27</v>
      </c>
      <c r="F18" s="3" t="s">
        <v>26</v>
      </c>
      <c r="H18" s="8"/>
      <c r="I18" t="s">
        <v>78</v>
      </c>
      <c r="J18" t="s">
        <v>79</v>
      </c>
      <c r="K18" t="s">
        <v>80</v>
      </c>
      <c r="L18" t="s">
        <v>81</v>
      </c>
      <c r="M18" t="s">
        <v>82</v>
      </c>
      <c r="N18" t="s">
        <v>83</v>
      </c>
      <c r="O18" t="s">
        <v>84</v>
      </c>
      <c r="P18" t="s">
        <v>85</v>
      </c>
      <c r="Q18" t="s">
        <v>86</v>
      </c>
      <c r="R18" t="s">
        <v>87</v>
      </c>
      <c r="S18" t="s">
        <v>88</v>
      </c>
      <c r="T18" t="s">
        <v>89</v>
      </c>
    </row>
    <row r="19" spans="1:23" outlineLevel="1" x14ac:dyDescent="0.25">
      <c r="B19" s="4" t="s">
        <v>510</v>
      </c>
      <c r="C19" s="350">
        <v>25</v>
      </c>
      <c r="D19" s="349">
        <f>U17</f>
        <v>48</v>
      </c>
      <c r="E19" s="6">
        <v>12</v>
      </c>
      <c r="F19" s="9">
        <f t="shared" ref="F19:F28" si="0">C19*D19*E19</f>
        <v>14400</v>
      </c>
      <c r="H19" s="7"/>
      <c r="J19" s="12">
        <f t="shared" ref="J19:S24" si="1">$E$19*$C$19*J$17*J$16</f>
        <v>600</v>
      </c>
      <c r="K19" s="12">
        <f t="shared" si="1"/>
        <v>1200</v>
      </c>
      <c r="L19" s="12">
        <f t="shared" si="1"/>
        <v>1200</v>
      </c>
      <c r="M19" s="12">
        <f t="shared" si="1"/>
        <v>1500</v>
      </c>
      <c r="N19" s="12">
        <f t="shared" si="1"/>
        <v>2400</v>
      </c>
      <c r="O19" s="12">
        <f t="shared" si="1"/>
        <v>3000</v>
      </c>
      <c r="P19" s="12">
        <f t="shared" si="1"/>
        <v>1200</v>
      </c>
      <c r="Q19" s="12">
        <f t="shared" si="1"/>
        <v>1200</v>
      </c>
      <c r="R19" s="12">
        <f t="shared" si="1"/>
        <v>1500</v>
      </c>
      <c r="S19" s="12">
        <f t="shared" si="1"/>
        <v>600</v>
      </c>
      <c r="U19" s="12">
        <f t="shared" ref="U19:U28" si="2">SUM(I19:T19)</f>
        <v>14400</v>
      </c>
    </row>
    <row r="20" spans="1:23" outlineLevel="1" x14ac:dyDescent="0.25">
      <c r="B20" s="4" t="s">
        <v>511</v>
      </c>
      <c r="C20" s="4">
        <f t="shared" ref="C20:E24" si="3">C19</f>
        <v>25</v>
      </c>
      <c r="D20" s="4">
        <f t="shared" si="3"/>
        <v>48</v>
      </c>
      <c r="E20" s="6">
        <f t="shared" si="3"/>
        <v>12</v>
      </c>
      <c r="F20" s="9">
        <f t="shared" si="0"/>
        <v>14400</v>
      </c>
      <c r="G20" s="11"/>
      <c r="J20" s="12">
        <f t="shared" si="1"/>
        <v>600</v>
      </c>
      <c r="K20" s="12">
        <f t="shared" si="1"/>
        <v>1200</v>
      </c>
      <c r="L20" s="12">
        <f t="shared" si="1"/>
        <v>1200</v>
      </c>
      <c r="M20" s="12">
        <f t="shared" si="1"/>
        <v>1500</v>
      </c>
      <c r="N20" s="12">
        <f t="shared" si="1"/>
        <v>2400</v>
      </c>
      <c r="O20" s="12">
        <f t="shared" si="1"/>
        <v>3000</v>
      </c>
      <c r="P20" s="12">
        <f t="shared" si="1"/>
        <v>1200</v>
      </c>
      <c r="Q20" s="12">
        <f t="shared" si="1"/>
        <v>1200</v>
      </c>
      <c r="R20" s="12">
        <f t="shared" si="1"/>
        <v>1500</v>
      </c>
      <c r="S20" s="12">
        <f t="shared" si="1"/>
        <v>600</v>
      </c>
      <c r="U20" s="12">
        <f t="shared" si="2"/>
        <v>14400</v>
      </c>
    </row>
    <row r="21" spans="1:23" outlineLevel="1" x14ac:dyDescent="0.25">
      <c r="B21" s="4" t="s">
        <v>512</v>
      </c>
      <c r="C21" s="4">
        <f t="shared" si="3"/>
        <v>25</v>
      </c>
      <c r="D21" s="4">
        <f t="shared" si="3"/>
        <v>48</v>
      </c>
      <c r="E21" s="6">
        <f t="shared" si="3"/>
        <v>12</v>
      </c>
      <c r="F21" s="9">
        <f t="shared" si="0"/>
        <v>14400</v>
      </c>
      <c r="J21" s="12">
        <f t="shared" si="1"/>
        <v>600</v>
      </c>
      <c r="K21" s="12">
        <f t="shared" si="1"/>
        <v>1200</v>
      </c>
      <c r="L21" s="12">
        <f t="shared" si="1"/>
        <v>1200</v>
      </c>
      <c r="M21" s="12">
        <f t="shared" si="1"/>
        <v>1500</v>
      </c>
      <c r="N21" s="12">
        <f t="shared" si="1"/>
        <v>2400</v>
      </c>
      <c r="O21" s="12">
        <f t="shared" si="1"/>
        <v>3000</v>
      </c>
      <c r="P21" s="12">
        <f t="shared" si="1"/>
        <v>1200</v>
      </c>
      <c r="Q21" s="12">
        <f t="shared" si="1"/>
        <v>1200</v>
      </c>
      <c r="R21" s="12">
        <f t="shared" si="1"/>
        <v>1500</v>
      </c>
      <c r="S21" s="12">
        <f t="shared" si="1"/>
        <v>600</v>
      </c>
      <c r="U21" s="12">
        <f t="shared" si="2"/>
        <v>14400</v>
      </c>
    </row>
    <row r="22" spans="1:23" outlineLevel="1" x14ac:dyDescent="0.25">
      <c r="B22" s="4" t="s">
        <v>513</v>
      </c>
      <c r="C22" s="4">
        <f t="shared" si="3"/>
        <v>25</v>
      </c>
      <c r="D22" s="4">
        <f t="shared" si="3"/>
        <v>48</v>
      </c>
      <c r="E22" s="6">
        <f t="shared" si="3"/>
        <v>12</v>
      </c>
      <c r="F22" s="9">
        <f t="shared" si="0"/>
        <v>14400</v>
      </c>
      <c r="J22" s="12">
        <f t="shared" si="1"/>
        <v>600</v>
      </c>
      <c r="K22" s="12">
        <f t="shared" si="1"/>
        <v>1200</v>
      </c>
      <c r="L22" s="12">
        <f t="shared" si="1"/>
        <v>1200</v>
      </c>
      <c r="M22" s="12">
        <f t="shared" si="1"/>
        <v>1500</v>
      </c>
      <c r="N22" s="12">
        <f t="shared" si="1"/>
        <v>2400</v>
      </c>
      <c r="O22" s="12">
        <f t="shared" si="1"/>
        <v>3000</v>
      </c>
      <c r="P22" s="12">
        <f t="shared" si="1"/>
        <v>1200</v>
      </c>
      <c r="Q22" s="12">
        <f t="shared" si="1"/>
        <v>1200</v>
      </c>
      <c r="R22" s="12">
        <f t="shared" si="1"/>
        <v>1500</v>
      </c>
      <c r="S22" s="12">
        <f t="shared" si="1"/>
        <v>600</v>
      </c>
      <c r="U22" s="12">
        <f t="shared" si="2"/>
        <v>14400</v>
      </c>
      <c r="V22">
        <v>70000</v>
      </c>
      <c r="W22" s="368">
        <v>2.7E-2</v>
      </c>
    </row>
    <row r="23" spans="1:23" outlineLevel="1" x14ac:dyDescent="0.25">
      <c r="B23" s="4" t="s">
        <v>514</v>
      </c>
      <c r="C23" s="4">
        <f t="shared" si="3"/>
        <v>25</v>
      </c>
      <c r="D23" s="4">
        <f t="shared" si="3"/>
        <v>48</v>
      </c>
      <c r="E23" s="6">
        <f t="shared" si="3"/>
        <v>12</v>
      </c>
      <c r="F23" s="9">
        <f t="shared" si="0"/>
        <v>14400</v>
      </c>
      <c r="J23" s="12">
        <f t="shared" si="1"/>
        <v>600</v>
      </c>
      <c r="K23" s="12">
        <f t="shared" si="1"/>
        <v>1200</v>
      </c>
      <c r="L23" s="12">
        <f t="shared" si="1"/>
        <v>1200</v>
      </c>
      <c r="M23" s="12">
        <f t="shared" si="1"/>
        <v>1500</v>
      </c>
      <c r="N23" s="12">
        <f t="shared" si="1"/>
        <v>2400</v>
      </c>
      <c r="O23" s="12">
        <f t="shared" si="1"/>
        <v>3000</v>
      </c>
      <c r="P23" s="12">
        <f t="shared" si="1"/>
        <v>1200</v>
      </c>
      <c r="Q23" s="12">
        <f t="shared" si="1"/>
        <v>1200</v>
      </c>
      <c r="R23" s="12">
        <f t="shared" si="1"/>
        <v>1500</v>
      </c>
      <c r="S23" s="12">
        <f t="shared" si="1"/>
        <v>600</v>
      </c>
      <c r="U23" s="12">
        <f t="shared" si="2"/>
        <v>14400</v>
      </c>
      <c r="W23">
        <f>V22*W22</f>
        <v>1890</v>
      </c>
    </row>
    <row r="24" spans="1:23" outlineLevel="1" x14ac:dyDescent="0.25">
      <c r="B24" s="4" t="s">
        <v>515</v>
      </c>
      <c r="C24" s="4">
        <f t="shared" si="3"/>
        <v>25</v>
      </c>
      <c r="D24" s="4">
        <f t="shared" si="3"/>
        <v>48</v>
      </c>
      <c r="E24" s="6">
        <f t="shared" si="3"/>
        <v>12</v>
      </c>
      <c r="F24" s="9">
        <f t="shared" si="0"/>
        <v>14400</v>
      </c>
      <c r="J24" s="12">
        <f t="shared" si="1"/>
        <v>600</v>
      </c>
      <c r="K24" s="12">
        <f t="shared" si="1"/>
        <v>1200</v>
      </c>
      <c r="L24" s="12">
        <f t="shared" si="1"/>
        <v>1200</v>
      </c>
      <c r="M24" s="12">
        <f t="shared" si="1"/>
        <v>1500</v>
      </c>
      <c r="N24" s="12">
        <f t="shared" si="1"/>
        <v>2400</v>
      </c>
      <c r="O24" s="12">
        <f t="shared" si="1"/>
        <v>3000</v>
      </c>
      <c r="P24" s="12">
        <f t="shared" si="1"/>
        <v>1200</v>
      </c>
      <c r="Q24" s="12">
        <f t="shared" si="1"/>
        <v>1200</v>
      </c>
      <c r="R24" s="12">
        <f t="shared" si="1"/>
        <v>1500</v>
      </c>
      <c r="S24" s="12">
        <f t="shared" si="1"/>
        <v>600</v>
      </c>
      <c r="U24" s="12">
        <f t="shared" si="2"/>
        <v>14400</v>
      </c>
    </row>
    <row r="25" spans="1:23" outlineLevel="1" x14ac:dyDescent="0.25">
      <c r="B25" s="4" t="s">
        <v>111</v>
      </c>
      <c r="C25" s="350">
        <v>0</v>
      </c>
      <c r="D25" s="350">
        <v>52</v>
      </c>
      <c r="E25" s="6">
        <f>E23</f>
        <v>12</v>
      </c>
      <c r="F25" s="9">
        <f t="shared" si="0"/>
        <v>0</v>
      </c>
      <c r="G25" s="309">
        <f>F25/F29</f>
        <v>0</v>
      </c>
      <c r="I25" s="12">
        <f t="shared" ref="I25:T25" si="4">$F$25/12</f>
        <v>0</v>
      </c>
      <c r="J25" s="12">
        <f t="shared" si="4"/>
        <v>0</v>
      </c>
      <c r="K25" s="12">
        <f t="shared" si="4"/>
        <v>0</v>
      </c>
      <c r="L25" s="12">
        <f t="shared" si="4"/>
        <v>0</v>
      </c>
      <c r="M25" s="12">
        <f t="shared" si="4"/>
        <v>0</v>
      </c>
      <c r="N25" s="12">
        <f t="shared" si="4"/>
        <v>0</v>
      </c>
      <c r="O25" s="12">
        <f t="shared" si="4"/>
        <v>0</v>
      </c>
      <c r="P25" s="12">
        <f t="shared" si="4"/>
        <v>0</v>
      </c>
      <c r="Q25" s="12">
        <f t="shared" si="4"/>
        <v>0</v>
      </c>
      <c r="R25" s="12">
        <f t="shared" si="4"/>
        <v>0</v>
      </c>
      <c r="S25" s="12">
        <f t="shared" si="4"/>
        <v>0</v>
      </c>
      <c r="T25" s="12">
        <f t="shared" si="4"/>
        <v>0</v>
      </c>
      <c r="U25" s="12">
        <f t="shared" si="2"/>
        <v>0</v>
      </c>
    </row>
    <row r="26" spans="1:23" outlineLevel="1" x14ac:dyDescent="0.25">
      <c r="B26" s="4" t="s">
        <v>29</v>
      </c>
      <c r="C26" s="350">
        <v>16</v>
      </c>
      <c r="D26" s="350">
        <v>6</v>
      </c>
      <c r="E26" s="6">
        <f>E25</f>
        <v>12</v>
      </c>
      <c r="F26" s="9">
        <f t="shared" si="0"/>
        <v>1152</v>
      </c>
      <c r="G26" t="s">
        <v>227</v>
      </c>
      <c r="N26" s="11">
        <f>$C26*$D26/6*1*$E26</f>
        <v>192</v>
      </c>
      <c r="O26" s="11">
        <f>$C26*$D26/D26*4*$E26</f>
        <v>768</v>
      </c>
      <c r="P26" s="11">
        <f>$C26*$D26/D26*1*$E26</f>
        <v>192</v>
      </c>
      <c r="U26" s="12">
        <f t="shared" si="2"/>
        <v>1152</v>
      </c>
    </row>
    <row r="27" spans="1:23" outlineLevel="1" x14ac:dyDescent="0.25">
      <c r="B27" s="4" t="s">
        <v>30</v>
      </c>
      <c r="C27" s="350">
        <v>16</v>
      </c>
      <c r="D27" s="350">
        <v>6</v>
      </c>
      <c r="E27" s="6">
        <f>E26</f>
        <v>12</v>
      </c>
      <c r="F27" s="9">
        <f t="shared" si="0"/>
        <v>1152</v>
      </c>
      <c r="G27" t="s">
        <v>227</v>
      </c>
      <c r="N27" s="11">
        <f>$C27*$D27/6*1*$E27</f>
        <v>192</v>
      </c>
      <c r="O27" s="11">
        <f>$C27*$D27/D27*4*$E27</f>
        <v>768</v>
      </c>
      <c r="P27" s="11">
        <f>$C27*$D27/D27*1*$E27</f>
        <v>192</v>
      </c>
      <c r="U27" s="12">
        <f t="shared" si="2"/>
        <v>1152</v>
      </c>
    </row>
    <row r="28" spans="1:23" outlineLevel="1" x14ac:dyDescent="0.25">
      <c r="B28" s="4" t="s">
        <v>31</v>
      </c>
      <c r="C28" s="350">
        <v>16</v>
      </c>
      <c r="D28" s="350">
        <v>6</v>
      </c>
      <c r="E28" s="6">
        <f>E27</f>
        <v>12</v>
      </c>
      <c r="F28" s="9">
        <f t="shared" si="0"/>
        <v>1152</v>
      </c>
      <c r="G28" t="s">
        <v>227</v>
      </c>
      <c r="N28" s="11">
        <f>$C28*$D28/6*1*$E28</f>
        <v>192</v>
      </c>
      <c r="O28" s="11">
        <f>$C28*$D28/D28*4*$E28</f>
        <v>768</v>
      </c>
      <c r="P28" s="11">
        <f>$C28*$D28/D28*1*$E28</f>
        <v>192</v>
      </c>
      <c r="U28" s="12">
        <f t="shared" si="2"/>
        <v>1152</v>
      </c>
    </row>
    <row r="29" spans="1:23" outlineLevel="1" x14ac:dyDescent="0.25">
      <c r="B29" s="2" t="s">
        <v>26</v>
      </c>
      <c r="F29" s="30">
        <f>SUM(F19:F28)</f>
        <v>89856</v>
      </c>
      <c r="H29" s="24" t="str">
        <f>IF(F29=U29,"  ","ERROR")</f>
        <v xml:space="preserve">  </v>
      </c>
      <c r="I29" s="12">
        <f t="shared" ref="I29:U29" si="5">SUM(I19:I28)</f>
        <v>0</v>
      </c>
      <c r="J29" s="12">
        <f t="shared" si="5"/>
        <v>3600</v>
      </c>
      <c r="K29" s="12">
        <f t="shared" si="5"/>
        <v>7200</v>
      </c>
      <c r="L29" s="12">
        <f t="shared" si="5"/>
        <v>7200</v>
      </c>
      <c r="M29" s="12">
        <f t="shared" si="5"/>
        <v>9000</v>
      </c>
      <c r="N29" s="12">
        <f t="shared" si="5"/>
        <v>14976</v>
      </c>
      <c r="O29" s="12">
        <f t="shared" si="5"/>
        <v>20304</v>
      </c>
      <c r="P29" s="12">
        <f t="shared" si="5"/>
        <v>7776</v>
      </c>
      <c r="Q29" s="12">
        <f t="shared" si="5"/>
        <v>7200</v>
      </c>
      <c r="R29" s="12">
        <f t="shared" si="5"/>
        <v>9000</v>
      </c>
      <c r="S29" s="12">
        <f t="shared" si="5"/>
        <v>3600</v>
      </c>
      <c r="T29" s="12">
        <f t="shared" si="5"/>
        <v>0</v>
      </c>
      <c r="U29" s="12">
        <f t="shared" si="5"/>
        <v>89856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56"/>
  <sheetViews>
    <sheetView topLeftCell="A13" zoomScaleNormal="100" workbookViewId="0">
      <selection activeCell="C11" sqref="C11"/>
    </sheetView>
  </sheetViews>
  <sheetFormatPr defaultColWidth="11" defaultRowHeight="15.75" x14ac:dyDescent="0.25"/>
  <cols>
    <col min="1" max="1" width="8.375" customWidth="1"/>
    <col min="2" max="2" width="20.125" bestFit="1" customWidth="1"/>
    <col min="3" max="3" width="11.125" customWidth="1"/>
    <col min="4" max="4" width="10.625" customWidth="1"/>
    <col min="5" max="5" width="10.375" customWidth="1"/>
    <col min="6" max="6" width="11" customWidth="1"/>
    <col min="7" max="7" width="12.5" customWidth="1"/>
    <col min="8" max="8" width="12" bestFit="1" customWidth="1"/>
    <col min="9" max="10" width="12.375" bestFit="1" customWidth="1"/>
    <col min="11" max="11" width="51.125" customWidth="1"/>
  </cols>
  <sheetData>
    <row r="1" spans="1:11" ht="23.25" x14ac:dyDescent="0.35">
      <c r="A1" s="548" t="s">
        <v>20</v>
      </c>
      <c r="B1" s="548"/>
      <c r="C1" s="548"/>
      <c r="D1" s="548"/>
      <c r="E1" s="548"/>
      <c r="F1" s="548"/>
    </row>
    <row r="2" spans="1:11" x14ac:dyDescent="0.25">
      <c r="K2" s="476"/>
    </row>
    <row r="3" spans="1:11" x14ac:dyDescent="0.25">
      <c r="A3" s="1" t="s">
        <v>21</v>
      </c>
      <c r="E3" s="1" t="s">
        <v>416</v>
      </c>
      <c r="K3" s="476"/>
    </row>
    <row r="4" spans="1:11" x14ac:dyDescent="0.25">
      <c r="B4" s="4" t="str">
        <f>Revenue!B7</f>
        <v>Kale</v>
      </c>
      <c r="C4" s="362">
        <v>4</v>
      </c>
      <c r="E4" t="str">
        <f>HistoricalView!A36</f>
        <v xml:space="preserve">   Total Electricity</v>
      </c>
      <c r="G4" s="9">
        <f>HistoricalView!AA36</f>
        <v>8500</v>
      </c>
      <c r="H4" s="509"/>
      <c r="K4" s="476"/>
    </row>
    <row r="5" spans="1:11" x14ac:dyDescent="0.25">
      <c r="B5" s="4" t="str">
        <f>Revenue!B8</f>
        <v>Collards</v>
      </c>
      <c r="C5" s="362">
        <v>5</v>
      </c>
      <c r="E5" t="str">
        <f>HistoricalView!A37</f>
        <v xml:space="preserve">   Equipment </v>
      </c>
      <c r="G5" s="9">
        <f>HistoricalView!AA37</f>
        <v>3700</v>
      </c>
      <c r="H5" s="509"/>
      <c r="K5" s="476"/>
    </row>
    <row r="6" spans="1:11" x14ac:dyDescent="0.25">
      <c r="B6" s="4">
        <f>Revenue!B9</f>
        <v>0</v>
      </c>
      <c r="C6" s="362"/>
      <c r="E6" t="str">
        <f>HistoricalView!A38</f>
        <v xml:space="preserve">   Equipment Hire</v>
      </c>
      <c r="G6" s="9">
        <f>HistoricalView!AA38</f>
        <v>1000</v>
      </c>
      <c r="H6" s="509"/>
      <c r="K6" s="476"/>
    </row>
    <row r="7" spans="1:11" x14ac:dyDescent="0.25">
      <c r="B7" s="4" t="str">
        <f>Revenue!B10</f>
        <v>Broccoli</v>
      </c>
      <c r="C7" s="362">
        <v>40</v>
      </c>
      <c r="E7" t="str">
        <f>HistoricalView!A39</f>
        <v xml:space="preserve">   Farm Tools &amp; Machinery</v>
      </c>
      <c r="G7" s="9">
        <f>HistoricalView!AA39</f>
        <v>2000</v>
      </c>
      <c r="H7" s="509"/>
      <c r="K7" s="476"/>
    </row>
    <row r="8" spans="1:11" x14ac:dyDescent="0.25">
      <c r="B8" s="4" t="str">
        <f>Revenue!B11</f>
        <v>Butternut Squash -FR</v>
      </c>
      <c r="C8" s="362">
        <v>141</v>
      </c>
      <c r="E8" t="str">
        <f>HistoricalView!A40</f>
        <v xml:space="preserve">   Fencing</v>
      </c>
      <c r="G8" s="9">
        <f>HistoricalView!AA40</f>
        <v>2500</v>
      </c>
      <c r="H8" s="509"/>
      <c r="K8" s="476"/>
    </row>
    <row r="9" spans="1:11" x14ac:dyDescent="0.25">
      <c r="B9" s="4" t="str">
        <f>Revenue!B12</f>
        <v>Butternut Squash</v>
      </c>
      <c r="C9" s="362">
        <v>141</v>
      </c>
      <c r="E9" t="str">
        <f>HistoricalView!A41</f>
        <v xml:space="preserve">   Fertilizer</v>
      </c>
      <c r="G9" s="9">
        <f>HistoricalView!AA41</f>
        <v>1000</v>
      </c>
      <c r="H9" s="509"/>
      <c r="K9" s="476"/>
    </row>
    <row r="10" spans="1:11" x14ac:dyDescent="0.25">
      <c r="B10" s="4" t="str">
        <f>Revenue!B13</f>
        <v>Cabbage</v>
      </c>
      <c r="C10" s="363">
        <v>6</v>
      </c>
      <c r="E10" t="str">
        <f>HistoricalView!A42</f>
        <v xml:space="preserve">   Freight &amp; delivery - COS</v>
      </c>
      <c r="G10" s="9">
        <f>HistoricalView!AA42</f>
        <v>750</v>
      </c>
      <c r="H10" s="509"/>
      <c r="K10" s="476"/>
    </row>
    <row r="11" spans="1:11" x14ac:dyDescent="0.25">
      <c r="B11" s="4" t="str">
        <f>Revenue!B14</f>
        <v>Cauliflower</v>
      </c>
      <c r="C11" s="363"/>
      <c r="E11" t="str">
        <f>HistoricalView!A43</f>
        <v xml:space="preserve">   Fuel</v>
      </c>
      <c r="G11" s="9">
        <f>HistoricalView!AA43</f>
        <v>0</v>
      </c>
      <c r="H11" s="509"/>
      <c r="K11" s="476"/>
    </row>
    <row r="12" spans="1:11" x14ac:dyDescent="0.25">
      <c r="B12" s="4" t="str">
        <f>Revenue!B15</f>
        <v>Corn - Sweet</v>
      </c>
      <c r="C12" s="362">
        <v>60</v>
      </c>
      <c r="E12" t="str">
        <f>HistoricalView!A44</f>
        <v xml:space="preserve">      Fuel for Farm Equipment</v>
      </c>
      <c r="G12" s="9">
        <f>HistoricalView!AA44</f>
        <v>425</v>
      </c>
      <c r="H12" s="509"/>
      <c r="K12" s="476"/>
    </row>
    <row r="13" spans="1:11" x14ac:dyDescent="0.25">
      <c r="B13" s="4" t="str">
        <f>Revenue!B16</f>
        <v>Cucumbers</v>
      </c>
      <c r="C13" s="362">
        <v>91</v>
      </c>
      <c r="E13" t="str">
        <f>HistoricalView!A45</f>
        <v xml:space="preserve">      Fuel for Vehicles</v>
      </c>
      <c r="G13" s="9">
        <f>HistoricalView!AA45</f>
        <v>1400</v>
      </c>
      <c r="H13" s="509"/>
      <c r="K13" s="476"/>
    </row>
    <row r="14" spans="1:11" x14ac:dyDescent="0.25">
      <c r="B14" s="4" t="str">
        <f>Revenue!B17</f>
        <v>Eggplant</v>
      </c>
      <c r="C14" s="362">
        <v>39</v>
      </c>
      <c r="E14" t="str">
        <f>HistoricalView!A46</f>
        <v xml:space="preserve">   Total Fuel</v>
      </c>
      <c r="G14" s="9"/>
      <c r="H14" s="509"/>
      <c r="K14" s="476"/>
    </row>
    <row r="15" spans="1:11" x14ac:dyDescent="0.25">
      <c r="B15" s="4" t="str">
        <f>Revenue!B18</f>
        <v>Field Tomato</v>
      </c>
      <c r="C15" s="362">
        <v>13</v>
      </c>
      <c r="E15" t="str">
        <f>HistoricalView!A47</f>
        <v xml:space="preserve">   Greenhouse Building Materials</v>
      </c>
      <c r="G15" s="9">
        <f>HistoricalView!AA47</f>
        <v>6000</v>
      </c>
      <c r="H15" s="509"/>
      <c r="K15" s="476"/>
    </row>
    <row r="16" spans="1:11" x14ac:dyDescent="0.25">
      <c r="B16" s="4" t="str">
        <f>Revenue!B19</f>
        <v>Tomatos</v>
      </c>
      <c r="C16" s="362">
        <v>100</v>
      </c>
      <c r="E16" t="str">
        <f>HistoricalView!A48</f>
        <v xml:space="preserve">   Growing medium</v>
      </c>
      <c r="G16" s="9">
        <f>HistoricalView!AA48</f>
        <v>3200</v>
      </c>
      <c r="H16" s="509"/>
      <c r="K16" s="476"/>
    </row>
    <row r="17" spans="2:11" x14ac:dyDescent="0.25">
      <c r="B17" s="4" t="str">
        <f>Revenue!B20</f>
        <v>Lunchbox Pepper</v>
      </c>
      <c r="C17" s="362">
        <v>27</v>
      </c>
      <c r="E17" t="str">
        <f>HistoricalView!A49</f>
        <v xml:space="preserve">   Insecticide</v>
      </c>
      <c r="G17" s="9">
        <f>HistoricalView!AA49</f>
        <v>2400</v>
      </c>
      <c r="H17" s="509"/>
      <c r="K17" s="476"/>
    </row>
    <row r="18" spans="2:11" x14ac:dyDescent="0.25">
      <c r="B18" s="4" t="str">
        <f>Revenue!B21</f>
        <v>Habanero</v>
      </c>
      <c r="C18" s="362">
        <v>8</v>
      </c>
      <c r="E18" t="str">
        <f>HistoricalView!A50</f>
        <v xml:space="preserve">   Irrigation Supplies</v>
      </c>
      <c r="G18" s="9">
        <f>HistoricalView!AA50</f>
        <v>7000</v>
      </c>
      <c r="H18" s="509"/>
      <c r="K18" s="476"/>
    </row>
    <row r="19" spans="2:11" x14ac:dyDescent="0.25">
      <c r="B19" s="448" t="str">
        <f>Revenue!B22</f>
        <v>Poblano</v>
      </c>
      <c r="C19" s="363">
        <v>8</v>
      </c>
      <c r="E19" t="str">
        <f>HistoricalView!A51</f>
        <v xml:space="preserve">   Packaging</v>
      </c>
      <c r="G19" s="9">
        <f>HistoricalView!AA51</f>
        <v>2500</v>
      </c>
      <c r="H19" s="509"/>
      <c r="K19" s="476"/>
    </row>
    <row r="20" spans="2:11" x14ac:dyDescent="0.25">
      <c r="B20" s="448" t="str">
        <f>Revenue!B23</f>
        <v>Jalapenos</v>
      </c>
      <c r="C20" s="363">
        <v>10</v>
      </c>
      <c r="E20" t="str">
        <f>HistoricalView!A52</f>
        <v xml:space="preserve">   Propane</v>
      </c>
      <c r="G20" s="9">
        <f>HistoricalView!AA52</f>
        <v>2600</v>
      </c>
      <c r="H20" s="509"/>
      <c r="K20" s="476"/>
    </row>
    <row r="21" spans="2:11" x14ac:dyDescent="0.25">
      <c r="B21" s="448" t="str">
        <f>Revenue!B24</f>
        <v>Bell Peppers - Field</v>
      </c>
      <c r="C21" s="363">
        <v>7</v>
      </c>
      <c r="E21" t="str">
        <f>HistoricalView!A53</f>
        <v xml:space="preserve">   Pumps &amp; Piping</v>
      </c>
      <c r="G21" s="9">
        <f>HistoricalView!AA53</f>
        <v>150</v>
      </c>
      <c r="H21" s="509"/>
      <c r="K21" s="476"/>
    </row>
    <row r="22" spans="2:11" x14ac:dyDescent="0.25">
      <c r="B22" s="448" t="str">
        <f>Revenue!B25</f>
        <v>Bell Peppers</v>
      </c>
      <c r="C22" s="363">
        <v>63</v>
      </c>
      <c r="E22" t="str">
        <f>HistoricalView!A54</f>
        <v xml:space="preserve">   Repairs &amp; Maintenance</v>
      </c>
      <c r="G22" s="9">
        <f>HistoricalView!AA54</f>
        <v>28900</v>
      </c>
      <c r="H22" s="509"/>
      <c r="K22" s="476"/>
    </row>
    <row r="23" spans="2:11" x14ac:dyDescent="0.25">
      <c r="B23" s="448" t="str">
        <f>Revenue!B26</f>
        <v>Red Potato</v>
      </c>
      <c r="C23" s="363">
        <v>600</v>
      </c>
      <c r="E23" t="s">
        <v>1277</v>
      </c>
      <c r="G23" s="9">
        <f>HistoricalView!AA56</f>
        <v>2000</v>
      </c>
      <c r="K23" s="476"/>
    </row>
    <row r="24" spans="2:11" x14ac:dyDescent="0.25">
      <c r="B24" s="448" t="str">
        <f>Revenue!B27</f>
        <v>Roma Tomatoes</v>
      </c>
      <c r="C24" s="363"/>
      <c r="G24" s="9"/>
      <c r="K24" s="476"/>
    </row>
    <row r="25" spans="2:11" x14ac:dyDescent="0.25">
      <c r="B25" s="448" t="str">
        <f>Revenue!B28</f>
        <v>Spaghetti</v>
      </c>
      <c r="C25" s="363"/>
      <c r="E25" t="str">
        <f>HistoricalView!A58</f>
        <v xml:space="preserve">   Telephone</v>
      </c>
      <c r="G25" s="9">
        <f>HistoricalView!AA58</f>
        <v>180</v>
      </c>
      <c r="K25" s="476"/>
    </row>
    <row r="26" spans="2:11" x14ac:dyDescent="0.25">
      <c r="B26" s="448" t="str">
        <f>Revenue!B29</f>
        <v>Sweet Potato</v>
      </c>
      <c r="C26" s="363"/>
      <c r="E26" t="str">
        <f>HistoricalView!A59</f>
        <v xml:space="preserve">      Internet</v>
      </c>
      <c r="G26" s="9">
        <f>HistoricalView!AA59</f>
        <v>1404</v>
      </c>
      <c r="K26" s="476"/>
    </row>
    <row r="27" spans="2:11" x14ac:dyDescent="0.25">
      <c r="B27" s="448" t="str">
        <f>Revenue!B30</f>
        <v>Yellow Summer Squash</v>
      </c>
      <c r="C27" s="363">
        <v>263</v>
      </c>
      <c r="G27" s="9"/>
      <c r="K27" s="476"/>
    </row>
    <row r="28" spans="2:11" x14ac:dyDescent="0.25">
      <c r="B28" s="448" t="str">
        <f>Revenue!B31</f>
        <v>Zucchini</v>
      </c>
      <c r="C28" s="363">
        <v>130</v>
      </c>
      <c r="G28" s="9"/>
      <c r="K28" s="476"/>
    </row>
    <row r="29" spans="2:11" x14ac:dyDescent="0.25">
      <c r="B29" s="448" t="str">
        <f>Revenue!B32</f>
        <v>Cover Crop Seed</v>
      </c>
      <c r="C29" s="363"/>
      <c r="G29" s="9"/>
      <c r="H29" s="335"/>
      <c r="K29" s="476"/>
    </row>
    <row r="30" spans="2:11" x14ac:dyDescent="0.25">
      <c r="B30" s="448" t="str">
        <f>Revenue!B33</f>
        <v>Tomatillos</v>
      </c>
      <c r="C30" s="363">
        <v>7</v>
      </c>
      <c r="H30" s="434"/>
      <c r="K30" s="476"/>
    </row>
    <row r="31" spans="2:11" x14ac:dyDescent="0.25">
      <c r="B31" s="448" t="str">
        <f>Revenue!B34</f>
        <v>Okra</v>
      </c>
      <c r="C31" s="363">
        <v>5</v>
      </c>
      <c r="E31" s="2" t="s">
        <v>418</v>
      </c>
      <c r="F31" s="1"/>
      <c r="G31" s="21">
        <f>SUM(G4:G29)</f>
        <v>77609</v>
      </c>
      <c r="H31" s="434"/>
      <c r="K31" s="476"/>
    </row>
    <row r="32" spans="2:11" x14ac:dyDescent="0.25">
      <c r="B32" s="448" t="str">
        <f>Revenue!B35</f>
        <v>Peas</v>
      </c>
      <c r="C32" s="363"/>
      <c r="E32" s="4"/>
      <c r="H32" s="434"/>
      <c r="K32" s="476"/>
    </row>
    <row r="33" spans="2:11" x14ac:dyDescent="0.25">
      <c r="B33" s="448" t="str">
        <f>Revenue!B36</f>
        <v>Pumpkins</v>
      </c>
      <c r="C33" s="363">
        <v>122</v>
      </c>
      <c r="E33" s="4"/>
      <c r="H33" s="434"/>
      <c r="K33" s="476"/>
    </row>
    <row r="34" spans="2:11" x14ac:dyDescent="0.25">
      <c r="B34" s="448" t="str">
        <f>Revenue!B37</f>
        <v>Watermelons</v>
      </c>
      <c r="C34" s="363">
        <v>401.3</v>
      </c>
      <c r="E34" s="4" t="s">
        <v>418</v>
      </c>
      <c r="G34" s="12">
        <f>G31</f>
        <v>77609</v>
      </c>
      <c r="H34" s="434"/>
      <c r="K34" s="476"/>
    </row>
    <row r="35" spans="2:11" x14ac:dyDescent="0.25">
      <c r="B35" s="448" t="str">
        <f>Revenue!B38</f>
        <v>Green Beans</v>
      </c>
      <c r="C35" s="363">
        <v>20</v>
      </c>
      <c r="E35" s="4" t="s">
        <v>417</v>
      </c>
      <c r="G35" s="12">
        <f>C39</f>
        <v>1768</v>
      </c>
      <c r="H35" s="434"/>
    </row>
    <row r="36" spans="2:11" x14ac:dyDescent="0.25">
      <c r="B36" s="448" t="str">
        <f>Revenue!B39</f>
        <v>Winter Squash</v>
      </c>
      <c r="C36" s="363">
        <v>120</v>
      </c>
      <c r="E36" s="4" t="s">
        <v>419</v>
      </c>
      <c r="G36" s="12">
        <f>Wages!F29</f>
        <v>89856</v>
      </c>
      <c r="H36" s="434"/>
    </row>
    <row r="37" spans="2:11" x14ac:dyDescent="0.25">
      <c r="B37" s="4"/>
      <c r="C37" s="362"/>
      <c r="E37" s="4"/>
      <c r="G37" s="12"/>
    </row>
    <row r="38" spans="2:11" x14ac:dyDescent="0.25">
      <c r="B38" s="4"/>
      <c r="C38" s="362"/>
      <c r="E38" s="4"/>
      <c r="G38" s="12"/>
    </row>
    <row r="39" spans="2:11" x14ac:dyDescent="0.25">
      <c r="B39" s="2" t="s">
        <v>417</v>
      </c>
      <c r="C39" s="5">
        <f>SUM(C4:C32)</f>
        <v>1768</v>
      </c>
      <c r="E39" s="2" t="s">
        <v>420</v>
      </c>
      <c r="F39" s="1"/>
      <c r="G39" s="21">
        <f>SUM(G34:G36)</f>
        <v>169233</v>
      </c>
      <c r="H39" s="24" t="str">
        <f>IF(G39=HistoricalView!AA61,"  ","ERROR")</f>
        <v xml:space="preserve">  </v>
      </c>
      <c r="I39" s="12"/>
    </row>
    <row r="41" spans="2:11" x14ac:dyDescent="0.25">
      <c r="G41" s="12"/>
    </row>
    <row r="42" spans="2:11" x14ac:dyDescent="0.25">
      <c r="G42" s="12"/>
    </row>
    <row r="54" spans="1:3" x14ac:dyDescent="0.25">
      <c r="A54" s="24"/>
    </row>
    <row r="56" spans="1:3" x14ac:dyDescent="0.25">
      <c r="B56" s="1"/>
      <c r="C56" s="12"/>
    </row>
  </sheetData>
  <sortState ref="B4:C34">
    <sortCondition ref="B34"/>
  </sortState>
  <mergeCells count="1">
    <mergeCell ref="A1:F1"/>
  </mergeCells>
  <pageMargins left="0.25" right="0.25"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P41"/>
  <sheetViews>
    <sheetView workbookViewId="0">
      <selection activeCell="N13" sqref="N13"/>
    </sheetView>
  </sheetViews>
  <sheetFormatPr defaultRowHeight="15.75" outlineLevelCol="1" x14ac:dyDescent="0.25"/>
  <cols>
    <col min="1" max="1" width="11.875" customWidth="1" outlineLevel="1"/>
    <col min="2" max="2" width="12.125" bestFit="1" customWidth="1"/>
    <col min="3" max="13" width="9.5" customWidth="1"/>
    <col min="14" max="14" width="10" customWidth="1"/>
  </cols>
  <sheetData>
    <row r="3" spans="1:16" s="31" customFormat="1" x14ac:dyDescent="0.25">
      <c r="C3" s="31" t="s">
        <v>78</v>
      </c>
      <c r="D3" s="31" t="s">
        <v>79</v>
      </c>
      <c r="E3" s="31" t="s">
        <v>80</v>
      </c>
      <c r="F3" s="31" t="s">
        <v>81</v>
      </c>
      <c r="G3" s="31" t="s">
        <v>82</v>
      </c>
      <c r="H3" s="31" t="s">
        <v>83</v>
      </c>
      <c r="I3" s="31" t="s">
        <v>84</v>
      </c>
      <c r="J3" s="31" t="s">
        <v>85</v>
      </c>
      <c r="K3" s="31" t="s">
        <v>86</v>
      </c>
      <c r="L3" s="31" t="s">
        <v>87</v>
      </c>
      <c r="M3" s="31" t="s">
        <v>88</v>
      </c>
      <c r="N3" s="31" t="s">
        <v>89</v>
      </c>
    </row>
    <row r="4" spans="1:16" s="31" customFormat="1" x14ac:dyDescent="0.25">
      <c r="A4" s="31" t="s">
        <v>1165</v>
      </c>
      <c r="C4" s="49">
        <f>(6.2%+1.45%)*Wages!C10</f>
        <v>845.67103703999987</v>
      </c>
      <c r="N4" s="49"/>
    </row>
    <row r="5" spans="1:16" x14ac:dyDescent="0.25">
      <c r="B5" s="370">
        <f>Wages!C3/12</f>
        <v>10205.858</v>
      </c>
      <c r="C5" s="49">
        <f t="shared" ref="C5:N7" si="0">(6.2%+1.45%)*$B5</f>
        <v>780.74813700000004</v>
      </c>
      <c r="D5" s="49">
        <f t="shared" si="0"/>
        <v>780.74813700000004</v>
      </c>
      <c r="E5" s="49">
        <f t="shared" si="0"/>
        <v>780.74813700000004</v>
      </c>
      <c r="F5" s="49">
        <f t="shared" si="0"/>
        <v>780.74813700000004</v>
      </c>
      <c r="G5" s="49">
        <f t="shared" si="0"/>
        <v>780.74813700000004</v>
      </c>
      <c r="H5" s="49">
        <f t="shared" si="0"/>
        <v>780.74813700000004</v>
      </c>
      <c r="I5" s="49">
        <f t="shared" si="0"/>
        <v>780.74813700000004</v>
      </c>
      <c r="J5" s="49">
        <f t="shared" si="0"/>
        <v>780.74813700000004</v>
      </c>
      <c r="K5" s="49">
        <f t="shared" si="0"/>
        <v>780.74813700000004</v>
      </c>
      <c r="L5" s="49">
        <f t="shared" si="0"/>
        <v>780.74813700000004</v>
      </c>
      <c r="M5" s="49">
        <f t="shared" si="0"/>
        <v>780.74813700000004</v>
      </c>
      <c r="N5" s="49">
        <f t="shared" si="0"/>
        <v>780.74813700000004</v>
      </c>
    </row>
    <row r="6" spans="1:16" x14ac:dyDescent="0.25">
      <c r="B6" s="370">
        <f>Wages!C5/12</f>
        <v>2230.98</v>
      </c>
      <c r="C6" s="49">
        <f t="shared" si="0"/>
        <v>170.66997000000001</v>
      </c>
      <c r="D6" s="49">
        <f t="shared" si="0"/>
        <v>170.66997000000001</v>
      </c>
      <c r="E6" s="49">
        <f t="shared" si="0"/>
        <v>170.66997000000001</v>
      </c>
      <c r="F6" s="49">
        <f t="shared" si="0"/>
        <v>170.66997000000001</v>
      </c>
      <c r="G6" s="49">
        <f t="shared" si="0"/>
        <v>170.66997000000001</v>
      </c>
      <c r="H6" s="49">
        <f t="shared" si="0"/>
        <v>170.66997000000001</v>
      </c>
      <c r="I6" s="49">
        <f t="shared" si="0"/>
        <v>170.66997000000001</v>
      </c>
      <c r="J6" s="49">
        <f t="shared" si="0"/>
        <v>170.66997000000001</v>
      </c>
      <c r="K6" s="49">
        <f t="shared" si="0"/>
        <v>170.66997000000001</v>
      </c>
      <c r="L6" s="49">
        <f t="shared" si="0"/>
        <v>170.66997000000001</v>
      </c>
      <c r="M6" s="49">
        <f t="shared" si="0"/>
        <v>170.66997000000001</v>
      </c>
      <c r="N6" s="49">
        <f t="shared" si="0"/>
        <v>170.66997000000001</v>
      </c>
    </row>
    <row r="7" spans="1:16" x14ac:dyDescent="0.25">
      <c r="B7" s="370">
        <f>Wages!C6/12</f>
        <v>2916.6666666666665</v>
      </c>
      <c r="C7" s="49">
        <f t="shared" si="0"/>
        <v>223.12499999999997</v>
      </c>
      <c r="D7" s="49">
        <f t="shared" si="0"/>
        <v>223.12499999999997</v>
      </c>
      <c r="E7" s="49">
        <f t="shared" si="0"/>
        <v>223.12499999999997</v>
      </c>
      <c r="F7" s="49">
        <f t="shared" si="0"/>
        <v>223.12499999999997</v>
      </c>
      <c r="G7" s="49">
        <f t="shared" si="0"/>
        <v>223.12499999999997</v>
      </c>
      <c r="H7" s="49">
        <f t="shared" si="0"/>
        <v>223.12499999999997</v>
      </c>
      <c r="I7" s="49">
        <f t="shared" si="0"/>
        <v>223.12499999999997</v>
      </c>
      <c r="J7" s="49">
        <f t="shared" si="0"/>
        <v>223.12499999999997</v>
      </c>
      <c r="K7" s="49">
        <f t="shared" si="0"/>
        <v>223.12499999999997</v>
      </c>
      <c r="L7" s="49">
        <f t="shared" si="0"/>
        <v>223.12499999999997</v>
      </c>
      <c r="M7" s="49">
        <f t="shared" si="0"/>
        <v>223.12499999999997</v>
      </c>
      <c r="N7" s="49">
        <f t="shared" si="0"/>
        <v>223.12499999999997</v>
      </c>
    </row>
    <row r="8" spans="1:16" x14ac:dyDescent="0.25">
      <c r="A8" s="371" t="s">
        <v>526</v>
      </c>
      <c r="C8" s="49">
        <f>(6.2%+1.45%)*SUM(Wages!I$19:I$25)</f>
        <v>0</v>
      </c>
      <c r="D8" s="49">
        <f>(6.2%+1.45%)*SUM(Wages!J$19:J$25)</f>
        <v>275.39999999999998</v>
      </c>
      <c r="E8" s="49">
        <f>(6.2%+1.45%)*SUM(Wages!K$19:K$25)</f>
        <v>550.79999999999995</v>
      </c>
      <c r="F8" s="49">
        <f>(6.2%+1.45%)*SUM(Wages!L$19:L$25)</f>
        <v>550.79999999999995</v>
      </c>
      <c r="G8" s="49">
        <f>(6.2%+1.45%)*SUM(Wages!M$19:M$25)</f>
        <v>688.5</v>
      </c>
      <c r="H8" s="49">
        <f>(6.2%+1.45%)*SUM(Wages!N$19:N$25)</f>
        <v>1101.5999999999999</v>
      </c>
      <c r="I8" s="49">
        <f>(6.2%+1.45%)*SUM(Wages!O$19:O$25)</f>
        <v>1377</v>
      </c>
      <c r="J8" s="49">
        <f>(6.2%+1.45%)*SUM(Wages!P$19:P$25)</f>
        <v>550.79999999999995</v>
      </c>
      <c r="K8" s="49">
        <f>(6.2%+1.45%)*SUM(Wages!Q$19:Q$25)</f>
        <v>550.79999999999995</v>
      </c>
      <c r="L8" s="49">
        <f>(6.2%+1.45%)*SUM(Wages!R$19:R$25)</f>
        <v>688.5</v>
      </c>
      <c r="M8" s="49">
        <f>(6.2%+1.45%)*SUM(Wages!S$19:S$25)</f>
        <v>275.39999999999998</v>
      </c>
      <c r="N8" s="49">
        <f>(6.2%+1.45%)*SUM(Wages!T$19:T$25)</f>
        <v>0</v>
      </c>
    </row>
    <row r="9" spans="1:16" x14ac:dyDescent="0.25">
      <c r="B9" s="351" t="s">
        <v>1271</v>
      </c>
      <c r="C9" s="49">
        <f t="shared" ref="C9:M9" si="1">SUM(C4:C8)</f>
        <v>2020.2141440399998</v>
      </c>
      <c r="D9" s="49">
        <f t="shared" si="1"/>
        <v>1449.9431070000001</v>
      </c>
      <c r="E9" s="49">
        <f t="shared" si="1"/>
        <v>1725.3431069999999</v>
      </c>
      <c r="F9" s="49">
        <f t="shared" si="1"/>
        <v>1725.3431069999999</v>
      </c>
      <c r="G9" s="49">
        <f t="shared" si="1"/>
        <v>1863.043107</v>
      </c>
      <c r="H9" s="49">
        <f t="shared" si="1"/>
        <v>2276.1431069999999</v>
      </c>
      <c r="I9" s="49">
        <f t="shared" si="1"/>
        <v>2551.543107</v>
      </c>
      <c r="J9" s="49">
        <f t="shared" si="1"/>
        <v>1725.3431069999999</v>
      </c>
      <c r="K9" s="49">
        <f t="shared" si="1"/>
        <v>1725.3431069999999</v>
      </c>
      <c r="L9" s="49">
        <f t="shared" si="1"/>
        <v>1863.043107</v>
      </c>
      <c r="M9" s="49">
        <f t="shared" si="1"/>
        <v>1449.9431070000001</v>
      </c>
      <c r="N9" s="49">
        <f>SUM(N4:N8)</f>
        <v>1174.543107</v>
      </c>
      <c r="O9" s="49">
        <f>SUM(C9:N9)</f>
        <v>21549.78832104</v>
      </c>
      <c r="P9" s="489" t="s">
        <v>1211</v>
      </c>
    </row>
    <row r="10" spans="1:16" x14ac:dyDescent="0.25">
      <c r="B10" s="351" t="s">
        <v>1272</v>
      </c>
      <c r="C10" s="510">
        <f>C41</f>
        <v>409.12233999999995</v>
      </c>
      <c r="D10" s="510">
        <f t="shared" ref="D10:N10" si="2">D41</f>
        <v>296.92234000000002</v>
      </c>
      <c r="E10" s="510">
        <f t="shared" si="2"/>
        <v>330.49433999999997</v>
      </c>
      <c r="F10" s="510">
        <f t="shared" si="2"/>
        <v>264.16499999999996</v>
      </c>
      <c r="G10" s="510">
        <f t="shared" si="2"/>
        <v>297</v>
      </c>
      <c r="H10" s="510">
        <f t="shared" si="2"/>
        <v>475.20000000000005</v>
      </c>
      <c r="I10" s="510">
        <f t="shared" si="2"/>
        <v>19.8</v>
      </c>
      <c r="J10" s="510">
        <f t="shared" si="2"/>
        <v>0</v>
      </c>
      <c r="K10" s="510">
        <f t="shared" si="2"/>
        <v>0</v>
      </c>
      <c r="L10" s="510">
        <f t="shared" si="2"/>
        <v>0</v>
      </c>
      <c r="M10" s="510">
        <f t="shared" si="2"/>
        <v>0</v>
      </c>
      <c r="N10" s="510">
        <f t="shared" si="2"/>
        <v>0</v>
      </c>
      <c r="O10" s="49">
        <f>SUM(C10:N10)</f>
        <v>2092.7040200000001</v>
      </c>
      <c r="P10" t="s">
        <v>1214</v>
      </c>
    </row>
    <row r="11" spans="1:16" x14ac:dyDescent="0.25">
      <c r="B11" s="351" t="s">
        <v>1273</v>
      </c>
      <c r="C11" s="49">
        <f>SUM(C9:C10)</f>
        <v>2429.33648404</v>
      </c>
      <c r="D11" s="49">
        <f t="shared" ref="D11:O11" si="3">SUM(D9:D10)</f>
        <v>1746.8654470000001</v>
      </c>
      <c r="E11" s="49">
        <f t="shared" si="3"/>
        <v>2055.8374469999999</v>
      </c>
      <c r="F11" s="49">
        <f t="shared" si="3"/>
        <v>1989.5081069999999</v>
      </c>
      <c r="G11" s="49">
        <f t="shared" si="3"/>
        <v>2160.043107</v>
      </c>
      <c r="H11" s="49">
        <f t="shared" si="3"/>
        <v>2751.3431069999997</v>
      </c>
      <c r="I11" s="49">
        <f t="shared" si="3"/>
        <v>2571.3431070000001</v>
      </c>
      <c r="J11" s="49">
        <f t="shared" si="3"/>
        <v>1725.3431069999999</v>
      </c>
      <c r="K11" s="49">
        <f t="shared" si="3"/>
        <v>1725.3431069999999</v>
      </c>
      <c r="L11" s="49">
        <f t="shared" si="3"/>
        <v>1863.043107</v>
      </c>
      <c r="M11" s="49">
        <f t="shared" si="3"/>
        <v>1449.9431070000001</v>
      </c>
      <c r="N11" s="49">
        <f t="shared" si="3"/>
        <v>1174.543107</v>
      </c>
      <c r="O11" s="49">
        <f t="shared" si="3"/>
        <v>23642.492341040001</v>
      </c>
    </row>
    <row r="12" spans="1:16" x14ac:dyDescent="0.25">
      <c r="B12" s="351"/>
    </row>
    <row r="20" spans="1:15" x14ac:dyDescent="0.25">
      <c r="J20" t="s">
        <v>520</v>
      </c>
      <c r="K20" s="368">
        <v>6.2E-2</v>
      </c>
      <c r="L20" s="369" t="s">
        <v>523</v>
      </c>
      <c r="N20" s="49">
        <f>K20*(Wages!$C$6+Wages!$C$5+Wages!$C$3)</f>
        <v>11423.007472000001</v>
      </c>
    </row>
    <row r="21" spans="1:15" x14ac:dyDescent="0.25">
      <c r="A21" t="s">
        <v>1212</v>
      </c>
      <c r="B21" s="490">
        <v>122470.296</v>
      </c>
      <c r="C21" s="49">
        <v>7000</v>
      </c>
      <c r="D21" s="49"/>
      <c r="E21" s="49"/>
      <c r="F21" s="49"/>
      <c r="G21" s="49">
        <f>SUM(C21:F21)</f>
        <v>7000</v>
      </c>
      <c r="H21" s="49"/>
      <c r="I21" s="49"/>
      <c r="J21" t="s">
        <v>521</v>
      </c>
      <c r="K21" s="368">
        <v>1.4500000000000001E-2</v>
      </c>
      <c r="L21" s="369" t="s">
        <v>523</v>
      </c>
      <c r="N21" s="49">
        <f>K21*(Wages!$C$6+Wages!$C$5+Wages!$C$3)</f>
        <v>2671.5098120000002</v>
      </c>
    </row>
    <row r="22" spans="1:15" x14ac:dyDescent="0.25">
      <c r="B22" s="490">
        <f>Wages!C5</f>
        <v>26771.760000000002</v>
      </c>
      <c r="C22" s="49">
        <f t="shared" ref="C22:C23" si="4">B22/12</f>
        <v>2230.98</v>
      </c>
      <c r="D22" s="49">
        <f>C22</f>
        <v>2230.98</v>
      </c>
      <c r="E22" s="49">
        <f t="shared" ref="E22:F22" si="5">D22</f>
        <v>2230.98</v>
      </c>
      <c r="F22" s="49">
        <f t="shared" si="5"/>
        <v>2230.98</v>
      </c>
      <c r="G22" s="49">
        <f t="shared" ref="G22:G24" si="6">SUM(C22:F22)</f>
        <v>8923.92</v>
      </c>
      <c r="J22" t="s">
        <v>522</v>
      </c>
      <c r="K22" s="368">
        <v>6.0000000000000001E-3</v>
      </c>
      <c r="L22" t="s">
        <v>524</v>
      </c>
      <c r="N22" s="49">
        <f>7000*3*0.6%</f>
        <v>126</v>
      </c>
    </row>
    <row r="23" spans="1:15" x14ac:dyDescent="0.25">
      <c r="B23" s="490">
        <f>Wages!C6</f>
        <v>35000</v>
      </c>
      <c r="C23" s="49">
        <f t="shared" si="4"/>
        <v>2916.6666666666665</v>
      </c>
      <c r="D23" s="49">
        <f>C23</f>
        <v>2916.6666666666665</v>
      </c>
      <c r="G23" s="49">
        <f t="shared" si="6"/>
        <v>5833.333333333333</v>
      </c>
      <c r="L23" t="s">
        <v>525</v>
      </c>
      <c r="N23" s="49">
        <f>(6.2%+1.45%)*Wages!$C$10</f>
        <v>845.67103703999987</v>
      </c>
    </row>
    <row r="24" spans="1:15" x14ac:dyDescent="0.25">
      <c r="C24" s="49"/>
      <c r="G24" s="49">
        <f t="shared" si="6"/>
        <v>0</v>
      </c>
    </row>
    <row r="25" spans="1:15" x14ac:dyDescent="0.25">
      <c r="A25" t="s">
        <v>1209</v>
      </c>
      <c r="B25" s="368">
        <v>2.7E-2</v>
      </c>
      <c r="C25" s="11">
        <f>SUM(C21:C23)*$B$25</f>
        <v>327.98645999999997</v>
      </c>
      <c r="D25" s="11">
        <f t="shared" ref="D25:F25" si="7">SUM(D21:D23)*$B$25</f>
        <v>138.98645999999999</v>
      </c>
      <c r="E25" s="11">
        <f t="shared" si="7"/>
        <v>60.236460000000001</v>
      </c>
      <c r="F25" s="11">
        <f t="shared" si="7"/>
        <v>60.236460000000001</v>
      </c>
      <c r="J25" t="s">
        <v>1210</v>
      </c>
      <c r="K25" s="368">
        <v>2.7E-2</v>
      </c>
      <c r="N25" s="49">
        <f>K25*Wages!C8</f>
        <v>5190.5355120000004</v>
      </c>
    </row>
    <row r="28" spans="1:15" x14ac:dyDescent="0.25">
      <c r="B28" s="510">
        <f>SUM(C28:N28)</f>
        <v>7000</v>
      </c>
      <c r="C28">
        <v>7000</v>
      </c>
      <c r="J28" s="511"/>
      <c r="K28" s="511"/>
      <c r="L28" s="511"/>
      <c r="M28" s="511"/>
      <c r="N28" s="511"/>
      <c r="O28" s="509">
        <f>Wages!C3</f>
        <v>122470.296</v>
      </c>
    </row>
    <row r="29" spans="1:15" x14ac:dyDescent="0.25">
      <c r="B29" s="510">
        <f>SUM(C29:N29)</f>
        <v>1250</v>
      </c>
      <c r="C29" s="512">
        <f t="shared" ref="C29:E30" si="8">$O29/12</f>
        <v>250</v>
      </c>
      <c r="D29" s="512">
        <f t="shared" si="8"/>
        <v>250</v>
      </c>
      <c r="E29" s="512">
        <f t="shared" si="8"/>
        <v>250</v>
      </c>
      <c r="F29" s="512">
        <v>500</v>
      </c>
      <c r="J29" s="511"/>
      <c r="K29" s="511"/>
      <c r="L29" s="511"/>
      <c r="M29" s="511"/>
      <c r="N29" s="511"/>
      <c r="O29" s="509">
        <f>Wages!C4</f>
        <v>3000</v>
      </c>
    </row>
    <row r="30" spans="1:15" x14ac:dyDescent="0.25">
      <c r="B30" s="510">
        <f>SUM(C30:N30)</f>
        <v>6997.9400000000005</v>
      </c>
      <c r="C30" s="512">
        <f t="shared" si="8"/>
        <v>2230.98</v>
      </c>
      <c r="D30" s="512">
        <f t="shared" si="8"/>
        <v>2230.98</v>
      </c>
      <c r="E30" s="512">
        <f t="shared" si="8"/>
        <v>2230.98</v>
      </c>
      <c r="F30" s="512">
        <v>305</v>
      </c>
      <c r="J30" s="511"/>
      <c r="K30" s="511"/>
      <c r="L30" s="511"/>
      <c r="M30" s="511"/>
      <c r="N30" s="511"/>
      <c r="O30" s="509">
        <f>Wages!C5</f>
        <v>26771.760000000002</v>
      </c>
    </row>
    <row r="31" spans="1:15" x14ac:dyDescent="0.25">
      <c r="B31" s="510">
        <f>SUM(C31:N31)</f>
        <v>6167.333333333333</v>
      </c>
      <c r="C31" s="512">
        <f>$O31/12</f>
        <v>2916.6666666666665</v>
      </c>
      <c r="D31" s="512">
        <f>$O31/12</f>
        <v>2916.6666666666665</v>
      </c>
      <c r="E31" s="512">
        <v>334</v>
      </c>
      <c r="F31" s="512"/>
      <c r="J31" s="511"/>
      <c r="K31" s="511"/>
      <c r="L31" s="511"/>
      <c r="M31" s="511"/>
      <c r="N31" s="511"/>
      <c r="O31" s="509">
        <f>Wages!C6</f>
        <v>35000</v>
      </c>
    </row>
    <row r="32" spans="1:15" x14ac:dyDescent="0.25">
      <c r="A32" t="s">
        <v>1264</v>
      </c>
      <c r="B32" s="510">
        <f t="shared" ref="B32:B37" si="9">SUM(C32:N32)</f>
        <v>7000</v>
      </c>
      <c r="C32">
        <f>Wages!I19</f>
        <v>0</v>
      </c>
      <c r="D32">
        <f>Wages!J19</f>
        <v>600</v>
      </c>
      <c r="E32">
        <f>Wages!K19</f>
        <v>1200</v>
      </c>
      <c r="F32">
        <f>Wages!L19</f>
        <v>1200</v>
      </c>
      <c r="G32">
        <f>Wages!M19</f>
        <v>1500</v>
      </c>
      <c r="H32">
        <f>Wages!N19</f>
        <v>2400</v>
      </c>
      <c r="I32">
        <v>100</v>
      </c>
    </row>
    <row r="33" spans="1:9" x14ac:dyDescent="0.25">
      <c r="A33" t="s">
        <v>1265</v>
      </c>
      <c r="B33" s="510">
        <f t="shared" si="9"/>
        <v>7000</v>
      </c>
      <c r="C33">
        <f>Wages!I20</f>
        <v>0</v>
      </c>
      <c r="D33">
        <f>Wages!J20</f>
        <v>600</v>
      </c>
      <c r="E33">
        <f>Wages!K20</f>
        <v>1200</v>
      </c>
      <c r="F33">
        <f>Wages!L20</f>
        <v>1200</v>
      </c>
      <c r="G33">
        <f>Wages!M20</f>
        <v>1500</v>
      </c>
      <c r="H33">
        <f>Wages!N20</f>
        <v>2400</v>
      </c>
      <c r="I33">
        <v>100</v>
      </c>
    </row>
    <row r="34" spans="1:9" x14ac:dyDescent="0.25">
      <c r="A34" t="s">
        <v>1266</v>
      </c>
      <c r="B34" s="510">
        <f t="shared" si="9"/>
        <v>7000</v>
      </c>
      <c r="C34">
        <f>Wages!I21</f>
        <v>0</v>
      </c>
      <c r="D34">
        <f>Wages!J21</f>
        <v>600</v>
      </c>
      <c r="E34">
        <f>Wages!K21</f>
        <v>1200</v>
      </c>
      <c r="F34">
        <f>Wages!L21</f>
        <v>1200</v>
      </c>
      <c r="G34">
        <f>Wages!M21</f>
        <v>1500</v>
      </c>
      <c r="H34">
        <f>Wages!N21</f>
        <v>2400</v>
      </c>
      <c r="I34">
        <v>100</v>
      </c>
    </row>
    <row r="35" spans="1:9" x14ac:dyDescent="0.25">
      <c r="A35" t="s">
        <v>1267</v>
      </c>
      <c r="B35" s="510">
        <f t="shared" si="9"/>
        <v>7000</v>
      </c>
      <c r="C35">
        <f>Wages!I22</f>
        <v>0</v>
      </c>
      <c r="D35">
        <f>Wages!J22</f>
        <v>600</v>
      </c>
      <c r="E35">
        <f>Wages!K22</f>
        <v>1200</v>
      </c>
      <c r="F35">
        <f>Wages!L22</f>
        <v>1200</v>
      </c>
      <c r="G35">
        <f>Wages!M22</f>
        <v>1500</v>
      </c>
      <c r="H35">
        <f>Wages!N22</f>
        <v>2400</v>
      </c>
      <c r="I35">
        <v>100</v>
      </c>
    </row>
    <row r="36" spans="1:9" x14ac:dyDescent="0.25">
      <c r="A36" t="s">
        <v>1268</v>
      </c>
      <c r="B36" s="510">
        <f t="shared" si="9"/>
        <v>7000</v>
      </c>
      <c r="C36">
        <f>Wages!I23</f>
        <v>0</v>
      </c>
      <c r="D36">
        <f>Wages!J23</f>
        <v>600</v>
      </c>
      <c r="E36">
        <f>Wages!K23</f>
        <v>1200</v>
      </c>
      <c r="F36">
        <f>Wages!L23</f>
        <v>1200</v>
      </c>
      <c r="G36">
        <f>Wages!M23</f>
        <v>1500</v>
      </c>
      <c r="H36">
        <f>Wages!N23</f>
        <v>2400</v>
      </c>
      <c r="I36">
        <v>100</v>
      </c>
    </row>
    <row r="37" spans="1:9" x14ac:dyDescent="0.25">
      <c r="A37" t="s">
        <v>1269</v>
      </c>
      <c r="B37" s="510">
        <f t="shared" si="9"/>
        <v>7000</v>
      </c>
      <c r="C37">
        <f>Wages!I24</f>
        <v>0</v>
      </c>
      <c r="D37">
        <f>Wages!J24</f>
        <v>600</v>
      </c>
      <c r="E37">
        <f>Wages!K24</f>
        <v>1200</v>
      </c>
      <c r="F37">
        <f>Wages!L24</f>
        <v>1200</v>
      </c>
      <c r="G37">
        <f>Wages!M24</f>
        <v>1500</v>
      </c>
      <c r="H37">
        <f>Wages!N24</f>
        <v>2400</v>
      </c>
      <c r="I37">
        <v>100</v>
      </c>
    </row>
    <row r="39" spans="1:9" x14ac:dyDescent="0.25">
      <c r="A39" t="s">
        <v>1209</v>
      </c>
      <c r="B39" s="368">
        <v>2.7E-2</v>
      </c>
      <c r="C39" s="511">
        <f>$B39*SUM(C$28:C$37)</f>
        <v>334.73645999999997</v>
      </c>
      <c r="D39" s="511">
        <f t="shared" ref="D39:I40" si="10">$B39*SUM(D$28:D$37)</f>
        <v>242.93646000000001</v>
      </c>
      <c r="E39" s="511">
        <f t="shared" si="10"/>
        <v>270.40445999999997</v>
      </c>
      <c r="F39" s="511">
        <f t="shared" si="10"/>
        <v>216.13499999999999</v>
      </c>
      <c r="G39" s="511">
        <f t="shared" si="10"/>
        <v>243</v>
      </c>
      <c r="H39" s="511">
        <f t="shared" si="10"/>
        <v>388.8</v>
      </c>
      <c r="I39" s="511">
        <f t="shared" si="10"/>
        <v>16.2</v>
      </c>
    </row>
    <row r="40" spans="1:9" x14ac:dyDescent="0.25">
      <c r="A40" t="s">
        <v>522</v>
      </c>
      <c r="B40" s="368">
        <v>6.0000000000000001E-3</v>
      </c>
      <c r="C40" s="511">
        <f>$B40*SUM(C$28:C$37)</f>
        <v>74.38588</v>
      </c>
      <c r="D40" s="511">
        <f t="shared" si="10"/>
        <v>53.985880000000009</v>
      </c>
      <c r="E40" s="511">
        <f t="shared" si="10"/>
        <v>60.089880000000001</v>
      </c>
      <c r="F40" s="511">
        <f t="shared" si="10"/>
        <v>48.03</v>
      </c>
      <c r="G40" s="511">
        <f t="shared" si="10"/>
        <v>54</v>
      </c>
      <c r="H40" s="511">
        <f t="shared" si="10"/>
        <v>86.4</v>
      </c>
      <c r="I40" s="511">
        <f t="shared" si="10"/>
        <v>3.6</v>
      </c>
    </row>
    <row r="41" spans="1:9" x14ac:dyDescent="0.25">
      <c r="B41" t="s">
        <v>1270</v>
      </c>
      <c r="C41" s="511">
        <f>SUM(C39:C40)</f>
        <v>409.12233999999995</v>
      </c>
      <c r="D41" s="511">
        <f t="shared" ref="D41:I41" si="11">SUM(D39:D40)</f>
        <v>296.92234000000002</v>
      </c>
      <c r="E41" s="511">
        <f t="shared" si="11"/>
        <v>330.49433999999997</v>
      </c>
      <c r="F41" s="511">
        <f t="shared" si="11"/>
        <v>264.16499999999996</v>
      </c>
      <c r="G41" s="511">
        <f t="shared" si="11"/>
        <v>297</v>
      </c>
      <c r="H41" s="511">
        <f t="shared" si="11"/>
        <v>475.20000000000005</v>
      </c>
      <c r="I41" s="511">
        <f t="shared" si="11"/>
        <v>19.8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Y72"/>
  <sheetViews>
    <sheetView showGridLines="0" zoomScale="80" zoomScaleNormal="80" workbookViewId="0">
      <pane xSplit="1" ySplit="7" topLeftCell="B8" activePane="bottomRight" state="frozen"/>
      <selection activeCell="A19" sqref="A19:G19"/>
      <selection pane="topRight" activeCell="A19" sqref="A19:G19"/>
      <selection pane="bottomLeft" activeCell="A19" sqref="A19:G19"/>
      <selection pane="bottomRight" activeCell="F78" sqref="F78"/>
    </sheetView>
  </sheetViews>
  <sheetFormatPr defaultColWidth="8.125" defaultRowHeight="15" outlineLevelRow="1" outlineLevelCol="2" x14ac:dyDescent="0.25"/>
  <cols>
    <col min="1" max="1" width="13.875" style="378" customWidth="1"/>
    <col min="2" max="2" width="15.875" style="375" customWidth="1"/>
    <col min="3" max="3" width="8.625" style="375" customWidth="1"/>
    <col min="4" max="4" width="5.875" style="375" bestFit="1" customWidth="1"/>
    <col min="5" max="5" width="2.375" style="375" customWidth="1"/>
    <col min="6" max="10" width="11.625" style="375" customWidth="1" outlineLevel="1"/>
    <col min="11" max="12" width="11.625" style="375" hidden="1" customWidth="1" outlineLevel="2"/>
    <col min="13" max="13" width="11.625" style="375" customWidth="1" outlineLevel="1" collapsed="1"/>
    <col min="14" max="14" width="2.875" style="375" customWidth="1"/>
    <col min="15" max="16" width="9.875" style="375" bestFit="1" customWidth="1"/>
    <col min="17" max="17" width="10.125" style="375" customWidth="1"/>
    <col min="18" max="19" width="10.875" style="375" customWidth="1"/>
    <col min="20" max="20" width="10.375" style="375" bestFit="1" customWidth="1"/>
    <col min="21" max="21" width="10.875" style="375" customWidth="1"/>
    <col min="22" max="22" width="8.875" style="375" bestFit="1" customWidth="1"/>
    <col min="23" max="23" width="10.375" style="378" bestFit="1" customWidth="1"/>
    <col min="24" max="24" width="9.125" style="375" bestFit="1" customWidth="1"/>
    <col min="25" max="16384" width="8.125" style="375"/>
  </cols>
  <sheetData>
    <row r="1" spans="1:25" ht="21.75" thickBot="1" x14ac:dyDescent="0.4">
      <c r="A1" s="372" t="s">
        <v>532</v>
      </c>
      <c r="B1" s="373"/>
      <c r="C1" s="373"/>
      <c r="D1" s="373"/>
      <c r="E1" s="373"/>
      <c r="F1" s="373"/>
      <c r="G1" s="373"/>
      <c r="H1" s="373"/>
      <c r="I1" s="373"/>
      <c r="J1" s="373"/>
      <c r="K1" s="373"/>
      <c r="L1" s="373"/>
      <c r="M1" s="373"/>
      <c r="N1" s="373"/>
      <c r="O1" s="373"/>
      <c r="P1" s="373"/>
      <c r="Q1" s="373"/>
      <c r="R1" s="373"/>
      <c r="S1" s="373"/>
      <c r="T1" s="373"/>
      <c r="U1" s="373"/>
      <c r="V1" s="373"/>
      <c r="W1" s="374"/>
    </row>
    <row r="2" spans="1:25" x14ac:dyDescent="0.25">
      <c r="A2" s="376" t="s">
        <v>533</v>
      </c>
      <c r="B2" s="377"/>
    </row>
    <row r="3" spans="1:25" ht="15.75" thickBot="1" x14ac:dyDescent="0.3"/>
    <row r="4" spans="1:25" ht="15.75" thickBot="1" x14ac:dyDescent="0.3">
      <c r="F4" s="549" t="s">
        <v>534</v>
      </c>
      <c r="G4" s="549"/>
      <c r="H4" s="549"/>
      <c r="I4" s="549"/>
      <c r="J4" s="549"/>
      <c r="K4" s="549"/>
      <c r="L4" s="549"/>
      <c r="M4" s="550"/>
      <c r="O4" s="551" t="s">
        <v>535</v>
      </c>
      <c r="P4" s="552"/>
      <c r="Q4" s="552"/>
      <c r="R4" s="552"/>
      <c r="S4" s="552"/>
      <c r="T4" s="552"/>
      <c r="U4" s="552"/>
      <c r="V4" s="552"/>
      <c r="W4" s="553"/>
    </row>
    <row r="5" spans="1:25" x14ac:dyDescent="0.25">
      <c r="F5" s="379"/>
      <c r="G5" s="379"/>
      <c r="H5" s="379"/>
      <c r="I5" s="379"/>
      <c r="J5" s="379"/>
      <c r="K5" s="379"/>
      <c r="L5" s="379"/>
      <c r="M5" s="379"/>
      <c r="O5" s="380"/>
      <c r="P5" s="380"/>
      <c r="Q5" s="380"/>
      <c r="R5" s="380"/>
      <c r="S5" s="380"/>
      <c r="T5" s="380"/>
      <c r="U5" s="380"/>
      <c r="V5" s="380"/>
      <c r="W5" s="380"/>
    </row>
    <row r="6" spans="1:25" x14ac:dyDescent="0.25">
      <c r="F6" s="554" t="s">
        <v>536</v>
      </c>
      <c r="G6" s="555"/>
      <c r="H6" s="555"/>
      <c r="I6" s="556"/>
      <c r="J6" s="557" t="s">
        <v>537</v>
      </c>
      <c r="K6" s="558"/>
      <c r="L6" s="558"/>
      <c r="M6" s="559"/>
      <c r="O6" s="380"/>
      <c r="P6" s="380"/>
      <c r="Q6" s="380"/>
      <c r="R6" s="380"/>
      <c r="S6" s="380"/>
      <c r="T6" s="380"/>
      <c r="U6" s="380"/>
      <c r="V6" s="380"/>
      <c r="W6" s="380"/>
    </row>
    <row r="7" spans="1:25" s="378" customFormat="1" x14ac:dyDescent="0.25">
      <c r="B7" s="378" t="s">
        <v>538</v>
      </c>
      <c r="C7" s="378" t="s">
        <v>539</v>
      </c>
      <c r="D7" s="378" t="s">
        <v>540</v>
      </c>
      <c r="F7" s="381" t="s">
        <v>541</v>
      </c>
      <c r="G7" s="382" t="s">
        <v>542</v>
      </c>
      <c r="H7" s="382" t="s">
        <v>543</v>
      </c>
      <c r="I7" s="383" t="s">
        <v>544</v>
      </c>
      <c r="J7" s="381" t="s">
        <v>545</v>
      </c>
      <c r="K7" s="382" t="s">
        <v>546</v>
      </c>
      <c r="L7" s="382" t="s">
        <v>547</v>
      </c>
      <c r="M7" s="383" t="s">
        <v>548</v>
      </c>
      <c r="O7" s="384" t="s">
        <v>541</v>
      </c>
      <c r="P7" s="384" t="s">
        <v>542</v>
      </c>
      <c r="Q7" s="384" t="s">
        <v>543</v>
      </c>
      <c r="R7" s="385" t="s">
        <v>544</v>
      </c>
      <c r="S7" s="385" t="s">
        <v>547</v>
      </c>
      <c r="T7" s="384" t="s">
        <v>545</v>
      </c>
      <c r="U7" s="385" t="str">
        <f>K7</f>
        <v>Travel Fees</v>
      </c>
      <c r="V7" s="384" t="s">
        <v>497</v>
      </c>
      <c r="W7" s="384" t="s">
        <v>549</v>
      </c>
    </row>
    <row r="8" spans="1:25" ht="15.75" x14ac:dyDescent="0.25">
      <c r="A8" s="378" t="s">
        <v>78</v>
      </c>
      <c r="B8" s="377" t="s">
        <v>550</v>
      </c>
      <c r="C8" s="386">
        <v>1</v>
      </c>
      <c r="D8" s="386">
        <v>2</v>
      </c>
      <c r="E8" s="387"/>
      <c r="F8" s="388">
        <v>230</v>
      </c>
      <c r="G8" s="388">
        <v>50</v>
      </c>
      <c r="H8" s="388">
        <v>50</v>
      </c>
      <c r="I8" s="388">
        <v>10</v>
      </c>
      <c r="J8" s="388">
        <v>415</v>
      </c>
      <c r="K8" s="388">
        <v>0</v>
      </c>
      <c r="L8" s="388">
        <v>0</v>
      </c>
      <c r="M8" s="388">
        <v>50</v>
      </c>
      <c r="N8" s="389"/>
      <c r="O8" s="389">
        <f>+C8*F8*D8</f>
        <v>460</v>
      </c>
      <c r="P8" s="389">
        <f>+C8*G8*D8</f>
        <v>100</v>
      </c>
      <c r="Q8" s="389">
        <f>+C8*H8*D8</f>
        <v>100</v>
      </c>
      <c r="R8" s="389">
        <f>I8*D8*C8</f>
        <v>20</v>
      </c>
      <c r="S8" s="389">
        <f>L8*C8</f>
        <v>0</v>
      </c>
      <c r="T8" s="389">
        <f>+C8*J8</f>
        <v>415</v>
      </c>
      <c r="U8" s="389">
        <f>+C8*K8</f>
        <v>0</v>
      </c>
      <c r="V8" s="389">
        <f>+C8*M8</f>
        <v>50</v>
      </c>
      <c r="W8" s="390">
        <f>SUM(O8:V8)</f>
        <v>1145</v>
      </c>
      <c r="X8" s="391"/>
      <c r="Y8" s="392"/>
    </row>
    <row r="9" spans="1:25" ht="15.75" hidden="1" outlineLevel="1" x14ac:dyDescent="0.25">
      <c r="B9" s="377" t="s">
        <v>550</v>
      </c>
      <c r="C9" s="386">
        <v>0</v>
      </c>
      <c r="D9" s="386">
        <v>0</v>
      </c>
      <c r="E9" s="387"/>
      <c r="F9" s="388">
        <f>F8</f>
        <v>230</v>
      </c>
      <c r="G9" s="388">
        <f>G8</f>
        <v>50</v>
      </c>
      <c r="H9" s="388">
        <f t="shared" ref="H9:L10" si="0">H8</f>
        <v>50</v>
      </c>
      <c r="I9" s="388">
        <f t="shared" si="0"/>
        <v>10</v>
      </c>
      <c r="J9" s="388">
        <f t="shared" si="0"/>
        <v>415</v>
      </c>
      <c r="K9" s="388">
        <f t="shared" si="0"/>
        <v>0</v>
      </c>
      <c r="L9" s="388">
        <f t="shared" si="0"/>
        <v>0</v>
      </c>
      <c r="M9" s="388">
        <v>50</v>
      </c>
      <c r="N9" s="389"/>
      <c r="O9" s="389">
        <f>+C9*F9*D9</f>
        <v>0</v>
      </c>
      <c r="P9" s="389">
        <f>+C9*G9*D9</f>
        <v>0</v>
      </c>
      <c r="Q9" s="389">
        <f>+C9*H9*D9</f>
        <v>0</v>
      </c>
      <c r="R9" s="389">
        <f>I9*D9*C9</f>
        <v>0</v>
      </c>
      <c r="S9" s="389">
        <f>L9*C9</f>
        <v>0</v>
      </c>
      <c r="T9" s="389">
        <f>+C9*J9</f>
        <v>0</v>
      </c>
      <c r="U9" s="389">
        <f>+C9*K9</f>
        <v>0</v>
      </c>
      <c r="V9" s="389">
        <f>+C9*M9</f>
        <v>0</v>
      </c>
      <c r="W9" s="390">
        <f>SUM(O9:V9)</f>
        <v>0</v>
      </c>
    </row>
    <row r="10" spans="1:25" ht="15.75" hidden="1" outlineLevel="1" x14ac:dyDescent="0.25">
      <c r="B10" s="377" t="s">
        <v>551</v>
      </c>
      <c r="C10" s="386"/>
      <c r="D10" s="386"/>
      <c r="E10" s="387"/>
      <c r="F10" s="388">
        <f>F9</f>
        <v>230</v>
      </c>
      <c r="G10" s="388">
        <f>G9</f>
        <v>50</v>
      </c>
      <c r="H10" s="388">
        <f t="shared" si="0"/>
        <v>50</v>
      </c>
      <c r="I10" s="388">
        <f t="shared" si="0"/>
        <v>10</v>
      </c>
      <c r="J10" s="388">
        <f t="shared" si="0"/>
        <v>415</v>
      </c>
      <c r="K10" s="388">
        <f t="shared" si="0"/>
        <v>0</v>
      </c>
      <c r="L10" s="388">
        <f t="shared" si="0"/>
        <v>0</v>
      </c>
      <c r="M10" s="388">
        <v>50</v>
      </c>
      <c r="N10" s="389"/>
      <c r="O10" s="389">
        <f>+C10*F10*D10</f>
        <v>0</v>
      </c>
      <c r="P10" s="389">
        <f>+C10*G10*D10</f>
        <v>0</v>
      </c>
      <c r="Q10" s="389">
        <f>+C10*H10*D10</f>
        <v>0</v>
      </c>
      <c r="R10" s="389">
        <f>I10*D10*C10</f>
        <v>0</v>
      </c>
      <c r="S10" s="389">
        <f>L10*C10</f>
        <v>0</v>
      </c>
      <c r="T10" s="389">
        <f>+C10*J10</f>
        <v>0</v>
      </c>
      <c r="U10" s="389">
        <f>+C10*K10</f>
        <v>0</v>
      </c>
      <c r="V10" s="389">
        <f>+C10*M10</f>
        <v>0</v>
      </c>
      <c r="W10" s="390">
        <f>SUM(O10:V10)</f>
        <v>0</v>
      </c>
    </row>
    <row r="11" spans="1:25" ht="16.5" hidden="1" outlineLevel="1" thickBot="1" x14ac:dyDescent="0.3">
      <c r="A11" s="393" t="s">
        <v>552</v>
      </c>
      <c r="B11" s="394"/>
      <c r="C11" s="394">
        <f>SUM(C8:C10)</f>
        <v>1</v>
      </c>
      <c r="D11" s="394"/>
      <c r="E11" s="394"/>
      <c r="F11" s="395">
        <f t="shared" ref="F11:M11" si="1">SUM(F8:F10)</f>
        <v>690</v>
      </c>
      <c r="G11" s="395">
        <f t="shared" si="1"/>
        <v>150</v>
      </c>
      <c r="H11" s="395">
        <f t="shared" si="1"/>
        <v>150</v>
      </c>
      <c r="I11" s="395">
        <f t="shared" si="1"/>
        <v>30</v>
      </c>
      <c r="J11" s="395">
        <f>SUM(J8:J10)</f>
        <v>1245</v>
      </c>
      <c r="K11" s="395">
        <f t="shared" si="1"/>
        <v>0</v>
      </c>
      <c r="L11" s="395">
        <f t="shared" si="1"/>
        <v>0</v>
      </c>
      <c r="M11" s="395">
        <f t="shared" si="1"/>
        <v>150</v>
      </c>
      <c r="N11" s="389"/>
      <c r="O11" s="395">
        <f t="shared" ref="O11:W11" si="2">SUM(O8:O10)</f>
        <v>460</v>
      </c>
      <c r="P11" s="395">
        <f t="shared" si="2"/>
        <v>100</v>
      </c>
      <c r="Q11" s="395">
        <f t="shared" si="2"/>
        <v>100</v>
      </c>
      <c r="R11" s="395">
        <f>SUM(R8:R10)</f>
        <v>20</v>
      </c>
      <c r="S11" s="395">
        <f>SUM(S8:S10)</f>
        <v>0</v>
      </c>
      <c r="T11" s="395">
        <f>SUM(T8:T10)</f>
        <v>415</v>
      </c>
      <c r="U11" s="395">
        <f>SUM(U8:U10)</f>
        <v>0</v>
      </c>
      <c r="V11" s="395">
        <f t="shared" si="2"/>
        <v>50</v>
      </c>
      <c r="W11" s="396">
        <f t="shared" si="2"/>
        <v>1145</v>
      </c>
    </row>
    <row r="12" spans="1:25" ht="15.75" hidden="1" outlineLevel="1" thickTop="1" x14ac:dyDescent="0.25">
      <c r="F12" s="397"/>
      <c r="G12" s="397"/>
      <c r="H12" s="397"/>
      <c r="I12" s="397"/>
      <c r="J12" s="397"/>
      <c r="K12" s="397"/>
      <c r="L12" s="397"/>
      <c r="M12" s="397"/>
      <c r="N12" s="397"/>
      <c r="O12" s="397"/>
      <c r="P12" s="397"/>
      <c r="Q12" s="397"/>
      <c r="R12" s="397"/>
      <c r="S12" s="397"/>
      <c r="T12" s="397"/>
      <c r="U12" s="397"/>
      <c r="V12" s="397"/>
      <c r="W12" s="398"/>
    </row>
    <row r="13" spans="1:25" ht="15.75" collapsed="1" x14ac:dyDescent="0.25">
      <c r="A13" s="378" t="s">
        <v>79</v>
      </c>
      <c r="B13" s="377" t="str">
        <f>B8</f>
        <v>Conf/Seminar</v>
      </c>
      <c r="C13" s="386">
        <v>0</v>
      </c>
      <c r="D13" s="386">
        <v>2</v>
      </c>
      <c r="F13" s="399">
        <f t="shared" ref="F13:H15" si="3">F8</f>
        <v>230</v>
      </c>
      <c r="G13" s="399">
        <f>G8</f>
        <v>50</v>
      </c>
      <c r="H13" s="399">
        <f t="shared" si="3"/>
        <v>50</v>
      </c>
      <c r="I13" s="399">
        <f>I10</f>
        <v>10</v>
      </c>
      <c r="J13" s="399">
        <f>J8</f>
        <v>415</v>
      </c>
      <c r="K13" s="399">
        <f>K10</f>
        <v>0</v>
      </c>
      <c r="L13" s="399">
        <f t="shared" ref="L13" si="4">L10</f>
        <v>0</v>
      </c>
      <c r="M13" s="388">
        <f>M8</f>
        <v>50</v>
      </c>
      <c r="N13" s="389"/>
      <c r="O13" s="389">
        <f>+C13*F13*D13</f>
        <v>0</v>
      </c>
      <c r="P13" s="389">
        <f>+C13*G13*D13</f>
        <v>0</v>
      </c>
      <c r="Q13" s="389">
        <f>+C13*H13*D13</f>
        <v>0</v>
      </c>
      <c r="R13" s="389">
        <f>I13*D13*C13</f>
        <v>0</v>
      </c>
      <c r="S13" s="389">
        <f>L13*C13</f>
        <v>0</v>
      </c>
      <c r="T13" s="389">
        <f>+C13*J13</f>
        <v>0</v>
      </c>
      <c r="U13" s="389">
        <f>+C13*K13</f>
        <v>0</v>
      </c>
      <c r="V13" s="389">
        <f>+C13*M13</f>
        <v>0</v>
      </c>
      <c r="W13" s="390">
        <f>SUM(O13:V13)</f>
        <v>0</v>
      </c>
    </row>
    <row r="14" spans="1:25" ht="15.75" hidden="1" outlineLevel="1" x14ac:dyDescent="0.25">
      <c r="B14" s="377" t="str">
        <f t="shared" ref="B14:B15" si="5">B9</f>
        <v>Conf/Seminar</v>
      </c>
      <c r="C14" s="386"/>
      <c r="D14" s="386"/>
      <c r="F14" s="399">
        <f t="shared" si="3"/>
        <v>230</v>
      </c>
      <c r="G14" s="399">
        <f>G8</f>
        <v>50</v>
      </c>
      <c r="H14" s="399">
        <f t="shared" si="3"/>
        <v>50</v>
      </c>
      <c r="I14" s="399">
        <f>I13</f>
        <v>10</v>
      </c>
      <c r="J14" s="399">
        <f>J9</f>
        <v>415</v>
      </c>
      <c r="K14" s="399">
        <f>K13</f>
        <v>0</v>
      </c>
      <c r="L14" s="399">
        <f t="shared" ref="L14:L15" si="6">L13</f>
        <v>0</v>
      </c>
      <c r="M14" s="388">
        <f>M9</f>
        <v>50</v>
      </c>
      <c r="N14" s="389"/>
      <c r="O14" s="389">
        <f>+C14*F14*D14</f>
        <v>0</v>
      </c>
      <c r="P14" s="389">
        <f>+C14*G14*D14</f>
        <v>0</v>
      </c>
      <c r="Q14" s="389">
        <f>+C14*H14*D14</f>
        <v>0</v>
      </c>
      <c r="R14" s="389">
        <f>I14*D14*C14</f>
        <v>0</v>
      </c>
      <c r="S14" s="389">
        <f>L14*C14</f>
        <v>0</v>
      </c>
      <c r="T14" s="389">
        <f>+C14*J14</f>
        <v>0</v>
      </c>
      <c r="U14" s="389">
        <f>+C14*K14</f>
        <v>0</v>
      </c>
      <c r="V14" s="389">
        <f>+C14*M14</f>
        <v>0</v>
      </c>
      <c r="W14" s="390">
        <f>SUM(O14:V14)</f>
        <v>0</v>
      </c>
    </row>
    <row r="15" spans="1:25" ht="15.75" hidden="1" outlineLevel="1" x14ac:dyDescent="0.25">
      <c r="B15" s="377" t="str">
        <f t="shared" si="5"/>
        <v>Corp/Region mtg</v>
      </c>
      <c r="C15" s="386"/>
      <c r="D15" s="386"/>
      <c r="F15" s="399">
        <f t="shared" si="3"/>
        <v>230</v>
      </c>
      <c r="G15" s="399">
        <f>G8</f>
        <v>50</v>
      </c>
      <c r="H15" s="399">
        <f t="shared" si="3"/>
        <v>50</v>
      </c>
      <c r="I15" s="399">
        <f>I14</f>
        <v>10</v>
      </c>
      <c r="J15" s="399">
        <f>J10</f>
        <v>415</v>
      </c>
      <c r="K15" s="399">
        <f>K14</f>
        <v>0</v>
      </c>
      <c r="L15" s="399">
        <f t="shared" si="6"/>
        <v>0</v>
      </c>
      <c r="M15" s="388">
        <f>M10</f>
        <v>50</v>
      </c>
      <c r="N15" s="389"/>
      <c r="O15" s="389">
        <f>+C15*F15*D15</f>
        <v>0</v>
      </c>
      <c r="P15" s="389">
        <f>+C15*G15*D15</f>
        <v>0</v>
      </c>
      <c r="Q15" s="389">
        <f>+C15*H15*D15</f>
        <v>0</v>
      </c>
      <c r="R15" s="389">
        <f>I15*D15*C15</f>
        <v>0</v>
      </c>
      <c r="S15" s="389">
        <f>L15*C15</f>
        <v>0</v>
      </c>
      <c r="T15" s="389">
        <f>+C15*J15</f>
        <v>0</v>
      </c>
      <c r="U15" s="389">
        <f>+C15*K15</f>
        <v>0</v>
      </c>
      <c r="V15" s="389">
        <f>+C15*M15</f>
        <v>0</v>
      </c>
      <c r="W15" s="390">
        <f>SUM(O15:V15)</f>
        <v>0</v>
      </c>
    </row>
    <row r="16" spans="1:25" ht="16.5" hidden="1" outlineLevel="1" thickBot="1" x14ac:dyDescent="0.3">
      <c r="A16" s="393" t="s">
        <v>553</v>
      </c>
      <c r="B16" s="394"/>
      <c r="C16" s="394">
        <f>SUM(C13:C15)</f>
        <v>0</v>
      </c>
      <c r="D16" s="394"/>
      <c r="E16" s="394"/>
      <c r="F16" s="395">
        <f t="shared" ref="F16:M16" si="7">SUM(F13:F15)</f>
        <v>690</v>
      </c>
      <c r="G16" s="395">
        <f t="shared" si="7"/>
        <v>150</v>
      </c>
      <c r="H16" s="395">
        <f t="shared" si="7"/>
        <v>150</v>
      </c>
      <c r="I16" s="395">
        <f>SUM(I13:I15)</f>
        <v>30</v>
      </c>
      <c r="J16" s="395">
        <f>SUM(J13:J15)</f>
        <v>1245</v>
      </c>
      <c r="K16" s="395">
        <f t="shared" si="7"/>
        <v>0</v>
      </c>
      <c r="L16" s="395">
        <f t="shared" si="7"/>
        <v>0</v>
      </c>
      <c r="M16" s="395">
        <f t="shared" si="7"/>
        <v>150</v>
      </c>
      <c r="N16" s="389"/>
      <c r="O16" s="395">
        <f t="shared" ref="O16:W16" si="8">SUM(O13:O15)</f>
        <v>0</v>
      </c>
      <c r="P16" s="395">
        <f t="shared" si="8"/>
        <v>0</v>
      </c>
      <c r="Q16" s="395">
        <f t="shared" si="8"/>
        <v>0</v>
      </c>
      <c r="R16" s="395">
        <f>SUM(R13:R15)</f>
        <v>0</v>
      </c>
      <c r="S16" s="395">
        <f>SUM(S13:S15)</f>
        <v>0</v>
      </c>
      <c r="T16" s="395">
        <f>SUM(T13:T15)</f>
        <v>0</v>
      </c>
      <c r="U16" s="395">
        <f>SUM(U13:U15)</f>
        <v>0</v>
      </c>
      <c r="V16" s="395">
        <f t="shared" si="8"/>
        <v>0</v>
      </c>
      <c r="W16" s="396">
        <f t="shared" si="8"/>
        <v>0</v>
      </c>
    </row>
    <row r="17" spans="1:25" ht="15.75" hidden="1" outlineLevel="1" thickTop="1" x14ac:dyDescent="0.25">
      <c r="F17" s="397"/>
      <c r="G17" s="397"/>
      <c r="H17" s="397"/>
      <c r="I17" s="397"/>
      <c r="J17" s="397"/>
      <c r="K17" s="397"/>
      <c r="L17" s="397"/>
      <c r="M17" s="397"/>
      <c r="N17" s="397"/>
      <c r="O17" s="397"/>
      <c r="P17" s="397"/>
      <c r="Q17" s="397"/>
      <c r="R17" s="397"/>
      <c r="S17" s="397"/>
      <c r="T17" s="397"/>
      <c r="U17" s="397"/>
      <c r="V17" s="397"/>
      <c r="W17" s="398"/>
    </row>
    <row r="18" spans="1:25" ht="15.75" collapsed="1" x14ac:dyDescent="0.25">
      <c r="A18" s="378" t="s">
        <v>80</v>
      </c>
      <c r="B18" s="377" t="str">
        <f>B13</f>
        <v>Conf/Seminar</v>
      </c>
      <c r="C18" s="386">
        <v>0</v>
      </c>
      <c r="D18" s="386">
        <v>2</v>
      </c>
      <c r="F18" s="399">
        <f t="shared" ref="F18:F20" si="9">F13</f>
        <v>230</v>
      </c>
      <c r="G18" s="399">
        <f>G8</f>
        <v>50</v>
      </c>
      <c r="H18" s="399">
        <f>H8</f>
        <v>50</v>
      </c>
      <c r="I18" s="399">
        <f t="shared" ref="I18:L19" si="10">I13</f>
        <v>10</v>
      </c>
      <c r="J18" s="399">
        <f>J8</f>
        <v>415</v>
      </c>
      <c r="K18" s="399">
        <f t="shared" si="10"/>
        <v>0</v>
      </c>
      <c r="L18" s="399">
        <f t="shared" si="10"/>
        <v>0</v>
      </c>
      <c r="M18" s="388">
        <f>M13</f>
        <v>50</v>
      </c>
      <c r="N18" s="389"/>
      <c r="O18" s="389">
        <f>+C18*F18*D18</f>
        <v>0</v>
      </c>
      <c r="P18" s="389">
        <f>+C18*G18*D18</f>
        <v>0</v>
      </c>
      <c r="Q18" s="389">
        <f>+C18*H18*D18</f>
        <v>0</v>
      </c>
      <c r="R18" s="389">
        <f>I18*D18*C18</f>
        <v>0</v>
      </c>
      <c r="S18" s="389">
        <f>L18*C18</f>
        <v>0</v>
      </c>
      <c r="T18" s="389">
        <f>+C18*J18</f>
        <v>0</v>
      </c>
      <c r="U18" s="389">
        <f>+C18*K18</f>
        <v>0</v>
      </c>
      <c r="V18" s="389">
        <f>+C18*M18</f>
        <v>0</v>
      </c>
      <c r="W18" s="390">
        <f>SUM(O18:V18)</f>
        <v>0</v>
      </c>
    </row>
    <row r="19" spans="1:25" ht="15.75" hidden="1" outlineLevel="1" x14ac:dyDescent="0.25">
      <c r="B19" s="377" t="str">
        <f t="shared" ref="B19:B20" si="11">B14</f>
        <v>Conf/Seminar</v>
      </c>
      <c r="C19" s="386"/>
      <c r="D19" s="386"/>
      <c r="F19" s="399">
        <f t="shared" si="9"/>
        <v>230</v>
      </c>
      <c r="G19" s="399">
        <f>G18</f>
        <v>50</v>
      </c>
      <c r="H19" s="399">
        <f>H18</f>
        <v>50</v>
      </c>
      <c r="I19" s="399">
        <f t="shared" si="10"/>
        <v>10</v>
      </c>
      <c r="J19" s="399">
        <f>J18</f>
        <v>415</v>
      </c>
      <c r="K19" s="399">
        <f t="shared" si="10"/>
        <v>0</v>
      </c>
      <c r="L19" s="399">
        <f t="shared" si="10"/>
        <v>0</v>
      </c>
      <c r="M19" s="388">
        <f>M14</f>
        <v>50</v>
      </c>
      <c r="N19" s="389"/>
      <c r="O19" s="389">
        <f>+C19*F19*D19</f>
        <v>0</v>
      </c>
      <c r="P19" s="389">
        <f>+C19*G19*D19</f>
        <v>0</v>
      </c>
      <c r="Q19" s="389">
        <f>+C19*H19*D19</f>
        <v>0</v>
      </c>
      <c r="R19" s="389">
        <f>I19*D19*C19</f>
        <v>0</v>
      </c>
      <c r="S19" s="389">
        <f>L19*C19</f>
        <v>0</v>
      </c>
      <c r="T19" s="389">
        <f>+C19*J19</f>
        <v>0</v>
      </c>
      <c r="U19" s="389">
        <f>+C19*K19</f>
        <v>0</v>
      </c>
      <c r="V19" s="389">
        <f>+C19*M19</f>
        <v>0</v>
      </c>
      <c r="W19" s="390">
        <f>SUM(O19:V19)</f>
        <v>0</v>
      </c>
    </row>
    <row r="20" spans="1:25" ht="15.75" hidden="1" outlineLevel="1" x14ac:dyDescent="0.25">
      <c r="B20" s="377" t="str">
        <f t="shared" si="11"/>
        <v>Corp/Region mtg</v>
      </c>
      <c r="C20" s="386"/>
      <c r="D20" s="386"/>
      <c r="F20" s="399">
        <f t="shared" si="9"/>
        <v>230</v>
      </c>
      <c r="G20" s="399">
        <f>G19</f>
        <v>50</v>
      </c>
      <c r="H20" s="399">
        <f>H18</f>
        <v>50</v>
      </c>
      <c r="I20" s="399">
        <f>I19</f>
        <v>10</v>
      </c>
      <c r="J20" s="399">
        <f>J18</f>
        <v>415</v>
      </c>
      <c r="K20" s="399">
        <f>K19</f>
        <v>0</v>
      </c>
      <c r="L20" s="399">
        <f t="shared" ref="L20" si="12">L19</f>
        <v>0</v>
      </c>
      <c r="M20" s="388">
        <f>M15</f>
        <v>50</v>
      </c>
      <c r="N20" s="389"/>
      <c r="O20" s="389">
        <f>+C20*F20*D20</f>
        <v>0</v>
      </c>
      <c r="P20" s="389">
        <f>+C20*G20*D20</f>
        <v>0</v>
      </c>
      <c r="Q20" s="389">
        <f>+C20*H20*D20</f>
        <v>0</v>
      </c>
      <c r="R20" s="389">
        <f>I20*D20*C20</f>
        <v>0</v>
      </c>
      <c r="S20" s="389">
        <f>L20*C20</f>
        <v>0</v>
      </c>
      <c r="T20" s="389">
        <f>+C20*J20</f>
        <v>0</v>
      </c>
      <c r="U20" s="389">
        <f>+C20*K20</f>
        <v>0</v>
      </c>
      <c r="V20" s="389">
        <f>+C20*M20</f>
        <v>0</v>
      </c>
      <c r="W20" s="390">
        <f>SUM(O20:V20)</f>
        <v>0</v>
      </c>
    </row>
    <row r="21" spans="1:25" ht="16.5" hidden="1" outlineLevel="1" thickBot="1" x14ac:dyDescent="0.3">
      <c r="A21" s="393" t="s">
        <v>554</v>
      </c>
      <c r="B21" s="394"/>
      <c r="C21" s="394">
        <f>SUM(C18:C20)</f>
        <v>0</v>
      </c>
      <c r="D21" s="394"/>
      <c r="E21" s="394"/>
      <c r="F21" s="395">
        <f t="shared" ref="F21:M21" si="13">SUM(F18:F20)</f>
        <v>690</v>
      </c>
      <c r="G21" s="395">
        <f t="shared" si="13"/>
        <v>150</v>
      </c>
      <c r="H21" s="395">
        <f t="shared" si="13"/>
        <v>150</v>
      </c>
      <c r="I21" s="395">
        <f>SUM(I18:I20)</f>
        <v>30</v>
      </c>
      <c r="J21" s="395">
        <f>SUM(J18:J20)</f>
        <v>1245</v>
      </c>
      <c r="K21" s="395">
        <f t="shared" si="13"/>
        <v>0</v>
      </c>
      <c r="L21" s="395">
        <f t="shared" si="13"/>
        <v>0</v>
      </c>
      <c r="M21" s="395">
        <f t="shared" si="13"/>
        <v>150</v>
      </c>
      <c r="N21" s="389"/>
      <c r="O21" s="395">
        <f t="shared" ref="O21:W21" si="14">SUM(O18:O20)</f>
        <v>0</v>
      </c>
      <c r="P21" s="395">
        <f t="shared" si="14"/>
        <v>0</v>
      </c>
      <c r="Q21" s="395">
        <f t="shared" si="14"/>
        <v>0</v>
      </c>
      <c r="R21" s="395">
        <f>SUM(R18:R20)</f>
        <v>0</v>
      </c>
      <c r="S21" s="395">
        <f>SUM(S18:S20)</f>
        <v>0</v>
      </c>
      <c r="T21" s="395">
        <f>SUM(T18:T20)</f>
        <v>0</v>
      </c>
      <c r="U21" s="395">
        <f>SUM(U18:U20)</f>
        <v>0</v>
      </c>
      <c r="V21" s="395">
        <f t="shared" si="14"/>
        <v>0</v>
      </c>
      <c r="W21" s="396">
        <f t="shared" si="14"/>
        <v>0</v>
      </c>
    </row>
    <row r="22" spans="1:25" ht="15.75" hidden="1" outlineLevel="1" thickTop="1" x14ac:dyDescent="0.25">
      <c r="F22" s="397"/>
      <c r="G22" s="397"/>
      <c r="H22" s="397"/>
      <c r="I22" s="397"/>
      <c r="J22" s="397"/>
      <c r="K22" s="397"/>
      <c r="L22" s="397"/>
      <c r="M22" s="397"/>
      <c r="N22" s="397"/>
      <c r="O22" s="397"/>
      <c r="P22" s="397"/>
      <c r="Q22" s="397"/>
      <c r="R22" s="397"/>
      <c r="S22" s="397"/>
      <c r="T22" s="397"/>
      <c r="U22" s="397"/>
      <c r="V22" s="397"/>
      <c r="W22" s="398"/>
    </row>
    <row r="23" spans="1:25" ht="15.75" collapsed="1" x14ac:dyDescent="0.25">
      <c r="A23" s="378" t="s">
        <v>81</v>
      </c>
      <c r="B23" s="377" t="str">
        <f>B18</f>
        <v>Conf/Seminar</v>
      </c>
      <c r="C23" s="386">
        <v>0</v>
      </c>
      <c r="D23" s="386">
        <v>2</v>
      </c>
      <c r="F23" s="399">
        <f t="shared" ref="F23:H23" si="15">F18</f>
        <v>230</v>
      </c>
      <c r="G23" s="399">
        <f t="shared" si="15"/>
        <v>50</v>
      </c>
      <c r="H23" s="399">
        <f t="shared" si="15"/>
        <v>50</v>
      </c>
      <c r="I23" s="399">
        <f>I18</f>
        <v>10</v>
      </c>
      <c r="J23" s="399">
        <f>J18</f>
        <v>415</v>
      </c>
      <c r="K23" s="399">
        <f>K18</f>
        <v>0</v>
      </c>
      <c r="L23" s="399">
        <f t="shared" ref="L23:L24" si="16">L18</f>
        <v>0</v>
      </c>
      <c r="M23" s="388">
        <f>M18</f>
        <v>50</v>
      </c>
      <c r="N23" s="389"/>
      <c r="O23" s="389">
        <f>+C23*F23*D23</f>
        <v>0</v>
      </c>
      <c r="P23" s="389">
        <f>+C23*G23*D23</f>
        <v>0</v>
      </c>
      <c r="Q23" s="389">
        <f>+C23*H23*D23</f>
        <v>0</v>
      </c>
      <c r="R23" s="389">
        <f>C23*D23*I23</f>
        <v>0</v>
      </c>
      <c r="S23" s="389">
        <f>L23*C23</f>
        <v>0</v>
      </c>
      <c r="T23" s="389">
        <f>+C23*J23</f>
        <v>0</v>
      </c>
      <c r="U23" s="389">
        <f>+C23*K23</f>
        <v>0</v>
      </c>
      <c r="V23" s="389">
        <f>+C23*M23</f>
        <v>0</v>
      </c>
      <c r="W23" s="390">
        <f>SUM(O23:V23)</f>
        <v>0</v>
      </c>
    </row>
    <row r="24" spans="1:25" ht="15.75" hidden="1" outlineLevel="1" x14ac:dyDescent="0.25">
      <c r="B24" s="377" t="s">
        <v>555</v>
      </c>
      <c r="C24" s="386"/>
      <c r="D24" s="386"/>
      <c r="F24" s="399">
        <f t="shared" ref="F24:H26" si="17">F18</f>
        <v>230</v>
      </c>
      <c r="G24" s="399">
        <f t="shared" si="17"/>
        <v>50</v>
      </c>
      <c r="H24" s="399">
        <f t="shared" si="17"/>
        <v>50</v>
      </c>
      <c r="I24" s="399">
        <f>I19</f>
        <v>10</v>
      </c>
      <c r="J24" s="399">
        <f>J23</f>
        <v>415</v>
      </c>
      <c r="K24" s="399">
        <f>K19</f>
        <v>0</v>
      </c>
      <c r="L24" s="399">
        <f t="shared" si="16"/>
        <v>0</v>
      </c>
      <c r="M24" s="388">
        <f>M18</f>
        <v>50</v>
      </c>
      <c r="N24" s="389"/>
      <c r="O24" s="389">
        <f>+C24*F24*D24</f>
        <v>0</v>
      </c>
      <c r="P24" s="389">
        <f>+C24*G24*D24</f>
        <v>0</v>
      </c>
      <c r="Q24" s="389">
        <f>+C24*H24*D24</f>
        <v>0</v>
      </c>
      <c r="R24" s="389">
        <f>C24*D24*I24</f>
        <v>0</v>
      </c>
      <c r="S24" s="389">
        <f>L24*C24</f>
        <v>0</v>
      </c>
      <c r="T24" s="389">
        <f>+C24*J24</f>
        <v>0</v>
      </c>
      <c r="U24" s="389">
        <f>+C24*K24</f>
        <v>0</v>
      </c>
      <c r="V24" s="389">
        <f>+C24*M24</f>
        <v>0</v>
      </c>
      <c r="W24" s="390">
        <f>SUM(O24:V24)</f>
        <v>0</v>
      </c>
    </row>
    <row r="25" spans="1:25" ht="15.75" hidden="1" outlineLevel="1" x14ac:dyDescent="0.25">
      <c r="B25" s="377" t="str">
        <f t="shared" ref="B25:B26" si="18">B19</f>
        <v>Conf/Seminar</v>
      </c>
      <c r="C25" s="386"/>
      <c r="D25" s="386"/>
      <c r="F25" s="399">
        <f t="shared" si="17"/>
        <v>230</v>
      </c>
      <c r="G25" s="399">
        <f t="shared" si="17"/>
        <v>50</v>
      </c>
      <c r="H25" s="399">
        <f t="shared" si="17"/>
        <v>50</v>
      </c>
      <c r="I25" s="399">
        <f>I24</f>
        <v>10</v>
      </c>
      <c r="J25" s="399">
        <f>J19</f>
        <v>415</v>
      </c>
      <c r="K25" s="399">
        <f>K24</f>
        <v>0</v>
      </c>
      <c r="L25" s="399">
        <f t="shared" ref="L25:L26" si="19">L24</f>
        <v>0</v>
      </c>
      <c r="M25" s="388">
        <f>M19</f>
        <v>50</v>
      </c>
      <c r="N25" s="389"/>
      <c r="O25" s="389">
        <f>+C25*F25*D25</f>
        <v>0</v>
      </c>
      <c r="P25" s="389">
        <f>+C25*G25*D25</f>
        <v>0</v>
      </c>
      <c r="Q25" s="389">
        <f>+C25*H25*D25</f>
        <v>0</v>
      </c>
      <c r="R25" s="389">
        <f>C25*D25*I25</f>
        <v>0</v>
      </c>
      <c r="S25" s="389">
        <f>L25*C25</f>
        <v>0</v>
      </c>
      <c r="T25" s="389">
        <f>+C25*J25</f>
        <v>0</v>
      </c>
      <c r="U25" s="389">
        <f>+C25*K25</f>
        <v>0</v>
      </c>
      <c r="V25" s="389">
        <f>+C25*M25</f>
        <v>0</v>
      </c>
      <c r="W25" s="390">
        <f>SUM(O25:V25)</f>
        <v>0</v>
      </c>
      <c r="Y25" s="400"/>
    </row>
    <row r="26" spans="1:25" ht="15.75" hidden="1" outlineLevel="1" x14ac:dyDescent="0.25">
      <c r="B26" s="377" t="str">
        <f t="shared" si="18"/>
        <v>Corp/Region mtg</v>
      </c>
      <c r="C26" s="386"/>
      <c r="D26" s="386"/>
      <c r="F26" s="399">
        <f t="shared" si="17"/>
        <v>230</v>
      </c>
      <c r="G26" s="399">
        <f t="shared" si="17"/>
        <v>50</v>
      </c>
      <c r="H26" s="399">
        <f t="shared" si="17"/>
        <v>50</v>
      </c>
      <c r="I26" s="399">
        <f>I25</f>
        <v>10</v>
      </c>
      <c r="J26" s="399">
        <f>J20</f>
        <v>415</v>
      </c>
      <c r="K26" s="399">
        <f>K25</f>
        <v>0</v>
      </c>
      <c r="L26" s="399">
        <f t="shared" si="19"/>
        <v>0</v>
      </c>
      <c r="M26" s="388">
        <f>M20</f>
        <v>50</v>
      </c>
      <c r="N26" s="389"/>
      <c r="O26" s="389">
        <f>+C26*F26*D26</f>
        <v>0</v>
      </c>
      <c r="P26" s="389">
        <f>+C26*G26*D26</f>
        <v>0</v>
      </c>
      <c r="Q26" s="389">
        <f>+C26*H26*D26</f>
        <v>0</v>
      </c>
      <c r="R26" s="389">
        <f>C26*D26*I26</f>
        <v>0</v>
      </c>
      <c r="S26" s="389">
        <f>L26*C26</f>
        <v>0</v>
      </c>
      <c r="T26" s="389">
        <f>+C26*J26</f>
        <v>0</v>
      </c>
      <c r="U26" s="389">
        <f>+C26*K26</f>
        <v>0</v>
      </c>
      <c r="V26" s="389">
        <f>+C26*M26</f>
        <v>0</v>
      </c>
      <c r="W26" s="390">
        <f>SUM(O26:V26)</f>
        <v>0</v>
      </c>
    </row>
    <row r="27" spans="1:25" ht="16.5" hidden="1" outlineLevel="1" thickBot="1" x14ac:dyDescent="0.3">
      <c r="A27" s="393" t="s">
        <v>556</v>
      </c>
      <c r="B27" s="394"/>
      <c r="C27" s="394">
        <f>SUM(C23:C26)</f>
        <v>0</v>
      </c>
      <c r="D27" s="394"/>
      <c r="E27" s="394"/>
      <c r="F27" s="395">
        <f t="shared" ref="F27:M27" si="20">SUM(F23:F26)</f>
        <v>920</v>
      </c>
      <c r="G27" s="395">
        <f t="shared" si="20"/>
        <v>200</v>
      </c>
      <c r="H27" s="395">
        <f t="shared" si="20"/>
        <v>200</v>
      </c>
      <c r="I27" s="395">
        <f>SUM(I23:I26)</f>
        <v>40</v>
      </c>
      <c r="J27" s="395">
        <f>SUM(J23:J26)</f>
        <v>1660</v>
      </c>
      <c r="K27" s="395">
        <f t="shared" si="20"/>
        <v>0</v>
      </c>
      <c r="L27" s="395">
        <f t="shared" si="20"/>
        <v>0</v>
      </c>
      <c r="M27" s="395">
        <f t="shared" si="20"/>
        <v>200</v>
      </c>
      <c r="N27" s="389"/>
      <c r="O27" s="395">
        <f t="shared" ref="O27:W27" si="21">SUM(O23:O26)</f>
        <v>0</v>
      </c>
      <c r="P27" s="395">
        <f t="shared" si="21"/>
        <v>0</v>
      </c>
      <c r="Q27" s="395">
        <f t="shared" si="21"/>
        <v>0</v>
      </c>
      <c r="R27" s="395">
        <f>SUM(R23:R26)</f>
        <v>0</v>
      </c>
      <c r="S27" s="395">
        <f>SUM(S23:S26)</f>
        <v>0</v>
      </c>
      <c r="T27" s="395">
        <f>SUM(T23:T26)</f>
        <v>0</v>
      </c>
      <c r="U27" s="395">
        <f>SUM(U23:U26)</f>
        <v>0</v>
      </c>
      <c r="V27" s="395">
        <f t="shared" si="21"/>
        <v>0</v>
      </c>
      <c r="W27" s="396">
        <f t="shared" si="21"/>
        <v>0</v>
      </c>
    </row>
    <row r="28" spans="1:25" ht="15.75" hidden="1" outlineLevel="1" thickTop="1" x14ac:dyDescent="0.25">
      <c r="F28" s="397"/>
      <c r="G28" s="397"/>
      <c r="H28" s="397"/>
      <c r="I28" s="397"/>
      <c r="J28" s="397"/>
      <c r="K28" s="397"/>
      <c r="L28" s="397"/>
      <c r="M28" s="397"/>
      <c r="N28" s="397"/>
      <c r="O28" s="397"/>
      <c r="P28" s="397"/>
      <c r="Q28" s="397"/>
      <c r="R28" s="397"/>
      <c r="S28" s="397"/>
      <c r="T28" s="397"/>
      <c r="U28" s="397"/>
      <c r="V28" s="397"/>
      <c r="W28" s="398"/>
    </row>
    <row r="29" spans="1:25" ht="15.75" collapsed="1" x14ac:dyDescent="0.25">
      <c r="A29" s="378" t="s">
        <v>82</v>
      </c>
      <c r="B29" s="377" t="str">
        <f>B23</f>
        <v>Conf/Seminar</v>
      </c>
      <c r="C29" s="386">
        <v>1</v>
      </c>
      <c r="D29" s="386">
        <v>2</v>
      </c>
      <c r="E29" s="387"/>
      <c r="F29" s="399">
        <f t="shared" ref="F29:H29" si="22">F23</f>
        <v>230</v>
      </c>
      <c r="G29" s="399">
        <f t="shared" si="22"/>
        <v>50</v>
      </c>
      <c r="H29" s="399">
        <f t="shared" si="22"/>
        <v>50</v>
      </c>
      <c r="I29" s="399">
        <f>I24</f>
        <v>10</v>
      </c>
      <c r="J29" s="399">
        <f>J23</f>
        <v>415</v>
      </c>
      <c r="K29" s="399">
        <f>K24</f>
        <v>0</v>
      </c>
      <c r="L29" s="399">
        <f t="shared" ref="L29:L30" si="23">L24</f>
        <v>0</v>
      </c>
      <c r="M29" s="388">
        <f>M23</f>
        <v>50</v>
      </c>
      <c r="N29" s="389"/>
      <c r="O29" s="389">
        <f>+C29*F29*D29</f>
        <v>460</v>
      </c>
      <c r="P29" s="389">
        <f>+C29*G29*D29</f>
        <v>100</v>
      </c>
      <c r="Q29" s="389">
        <f>+C29*H29*D29</f>
        <v>100</v>
      </c>
      <c r="R29" s="389">
        <f>I29*D29*C29</f>
        <v>20</v>
      </c>
      <c r="S29" s="389">
        <f>L29*C29</f>
        <v>0</v>
      </c>
      <c r="T29" s="389">
        <f>+C29*J29</f>
        <v>415</v>
      </c>
      <c r="U29" s="389">
        <f>+C29*K29</f>
        <v>0</v>
      </c>
      <c r="V29" s="389">
        <f>+C29*M29</f>
        <v>50</v>
      </c>
      <c r="W29" s="390">
        <f>SUM(O29:V29)</f>
        <v>1145</v>
      </c>
    </row>
    <row r="30" spans="1:25" ht="15.75" hidden="1" outlineLevel="1" x14ac:dyDescent="0.25">
      <c r="B30" s="377" t="str">
        <f t="shared" ref="B30:B31" si="24">B25</f>
        <v>Conf/Seminar</v>
      </c>
      <c r="C30" s="386"/>
      <c r="D30" s="386"/>
      <c r="E30" s="387"/>
      <c r="F30" s="399">
        <f t="shared" ref="F30:H31" si="25">F25</f>
        <v>230</v>
      </c>
      <c r="G30" s="399">
        <f t="shared" si="25"/>
        <v>50</v>
      </c>
      <c r="H30" s="399">
        <f t="shared" si="25"/>
        <v>50</v>
      </c>
      <c r="I30" s="399">
        <f>I25</f>
        <v>10</v>
      </c>
      <c r="J30" s="399">
        <f>J25</f>
        <v>415</v>
      </c>
      <c r="K30" s="399">
        <f>K25</f>
        <v>0</v>
      </c>
      <c r="L30" s="399">
        <f t="shared" si="23"/>
        <v>0</v>
      </c>
      <c r="M30" s="388">
        <f>M25</f>
        <v>50</v>
      </c>
      <c r="N30" s="389"/>
      <c r="O30" s="389">
        <f>+C30*F30*D30</f>
        <v>0</v>
      </c>
      <c r="P30" s="389">
        <f>+C30*G30*D30</f>
        <v>0</v>
      </c>
      <c r="Q30" s="389">
        <f>+C30*H30*D30</f>
        <v>0</v>
      </c>
      <c r="R30" s="389">
        <f>I30*D30*C30</f>
        <v>0</v>
      </c>
      <c r="S30" s="389">
        <f>L30*C30</f>
        <v>0</v>
      </c>
      <c r="T30" s="389">
        <f>+C30*J30</f>
        <v>0</v>
      </c>
      <c r="U30" s="389">
        <f>+C30*K30</f>
        <v>0</v>
      </c>
      <c r="V30" s="389">
        <f>+C30*M30</f>
        <v>0</v>
      </c>
      <c r="W30" s="390">
        <f>SUM(O30:V30)</f>
        <v>0</v>
      </c>
    </row>
    <row r="31" spans="1:25" ht="15.75" hidden="1" outlineLevel="1" x14ac:dyDescent="0.25">
      <c r="B31" s="377" t="str">
        <f t="shared" si="24"/>
        <v>Corp/Region mtg</v>
      </c>
      <c r="C31" s="386"/>
      <c r="D31" s="386"/>
      <c r="E31" s="387"/>
      <c r="F31" s="399">
        <f t="shared" si="25"/>
        <v>230</v>
      </c>
      <c r="G31" s="399">
        <f t="shared" si="25"/>
        <v>50</v>
      </c>
      <c r="H31" s="399">
        <f t="shared" si="25"/>
        <v>50</v>
      </c>
      <c r="I31" s="399">
        <f>I30</f>
        <v>10</v>
      </c>
      <c r="J31" s="399">
        <f>J26</f>
        <v>415</v>
      </c>
      <c r="K31" s="399">
        <f>K30</f>
        <v>0</v>
      </c>
      <c r="L31" s="399">
        <f t="shared" ref="L31" si="26">L30</f>
        <v>0</v>
      </c>
      <c r="M31" s="388">
        <f>M26</f>
        <v>50</v>
      </c>
      <c r="N31" s="389"/>
      <c r="O31" s="389">
        <f>+C31*F31*D31</f>
        <v>0</v>
      </c>
      <c r="P31" s="389">
        <f>+C31*G31*D31</f>
        <v>0</v>
      </c>
      <c r="Q31" s="389">
        <f>+C31*H31*D31</f>
        <v>0</v>
      </c>
      <c r="R31" s="389">
        <f>I31*D31*C31</f>
        <v>0</v>
      </c>
      <c r="S31" s="389">
        <f>L31*C31</f>
        <v>0</v>
      </c>
      <c r="T31" s="389">
        <f>+C31*J31</f>
        <v>0</v>
      </c>
      <c r="U31" s="389">
        <f>+C31*K31</f>
        <v>0</v>
      </c>
      <c r="V31" s="389">
        <f>+C31*M31</f>
        <v>0</v>
      </c>
      <c r="W31" s="390">
        <f>SUM(O31:V31)</f>
        <v>0</v>
      </c>
    </row>
    <row r="32" spans="1:25" ht="16.5" hidden="1" outlineLevel="1" thickBot="1" x14ac:dyDescent="0.3">
      <c r="A32" s="393" t="s">
        <v>557</v>
      </c>
      <c r="B32" s="394"/>
      <c r="C32" s="394">
        <f>SUM(C29:C31)</f>
        <v>1</v>
      </c>
      <c r="D32" s="394"/>
      <c r="E32" s="394"/>
      <c r="F32" s="395">
        <f t="shared" ref="F32:M32" si="27">SUM(F29:F31)</f>
        <v>690</v>
      </c>
      <c r="G32" s="395">
        <f t="shared" si="27"/>
        <v>150</v>
      </c>
      <c r="H32" s="395">
        <f t="shared" si="27"/>
        <v>150</v>
      </c>
      <c r="I32" s="395">
        <f>SUM(I29:I31)</f>
        <v>30</v>
      </c>
      <c r="J32" s="395">
        <f>SUM(J29:J31)</f>
        <v>1245</v>
      </c>
      <c r="K32" s="395">
        <f t="shared" si="27"/>
        <v>0</v>
      </c>
      <c r="L32" s="395">
        <f t="shared" si="27"/>
        <v>0</v>
      </c>
      <c r="M32" s="395">
        <f t="shared" si="27"/>
        <v>150</v>
      </c>
      <c r="N32" s="389"/>
      <c r="O32" s="395">
        <f t="shared" ref="O32:W32" si="28">SUM(O29:O31)</f>
        <v>460</v>
      </c>
      <c r="P32" s="395">
        <f t="shared" si="28"/>
        <v>100</v>
      </c>
      <c r="Q32" s="395">
        <f t="shared" si="28"/>
        <v>100</v>
      </c>
      <c r="R32" s="395">
        <f>SUM(R29:R31)</f>
        <v>20</v>
      </c>
      <c r="S32" s="395">
        <f>SUM(S29:S31)</f>
        <v>0</v>
      </c>
      <c r="T32" s="395">
        <f>SUM(T29:T31)</f>
        <v>415</v>
      </c>
      <c r="U32" s="395">
        <f>SUM(U29:U31)</f>
        <v>0</v>
      </c>
      <c r="V32" s="395">
        <f t="shared" si="28"/>
        <v>50</v>
      </c>
      <c r="W32" s="396">
        <f t="shared" si="28"/>
        <v>1145</v>
      </c>
    </row>
    <row r="33" spans="1:25" ht="15.75" hidden="1" outlineLevel="1" thickTop="1" x14ac:dyDescent="0.25">
      <c r="F33" s="397"/>
      <c r="G33" s="397"/>
      <c r="H33" s="397"/>
      <c r="I33" s="397"/>
      <c r="J33" s="397"/>
      <c r="K33" s="397"/>
      <c r="L33" s="397"/>
      <c r="M33" s="397"/>
      <c r="N33" s="397"/>
      <c r="O33" s="397"/>
      <c r="P33" s="397"/>
      <c r="Q33" s="397"/>
      <c r="R33" s="397"/>
      <c r="S33" s="397"/>
      <c r="T33" s="397"/>
      <c r="U33" s="397"/>
      <c r="V33" s="397"/>
      <c r="W33" s="398"/>
    </row>
    <row r="34" spans="1:25" ht="15.75" collapsed="1" x14ac:dyDescent="0.25">
      <c r="A34" s="378" t="s">
        <v>83</v>
      </c>
      <c r="B34" s="377" t="str">
        <f>B29</f>
        <v>Conf/Seminar</v>
      </c>
      <c r="C34" s="386">
        <v>0</v>
      </c>
      <c r="D34" s="386">
        <v>2</v>
      </c>
      <c r="F34" s="399">
        <f t="shared" ref="F34:L36" si="29">F29</f>
        <v>230</v>
      </c>
      <c r="G34" s="399">
        <f t="shared" si="29"/>
        <v>50</v>
      </c>
      <c r="H34" s="399">
        <f t="shared" si="29"/>
        <v>50</v>
      </c>
      <c r="I34" s="399">
        <f t="shared" si="29"/>
        <v>10</v>
      </c>
      <c r="J34" s="399">
        <f t="shared" si="29"/>
        <v>415</v>
      </c>
      <c r="K34" s="399">
        <f t="shared" si="29"/>
        <v>0</v>
      </c>
      <c r="L34" s="399">
        <f t="shared" si="29"/>
        <v>0</v>
      </c>
      <c r="M34" s="388">
        <f>M29</f>
        <v>50</v>
      </c>
      <c r="N34" s="389"/>
      <c r="O34" s="389">
        <f>+C34*F34*D34</f>
        <v>0</v>
      </c>
      <c r="P34" s="389">
        <f>+C34*G34*D34</f>
        <v>0</v>
      </c>
      <c r="Q34" s="389">
        <f>+C34*H34*D34</f>
        <v>0</v>
      </c>
      <c r="R34" s="389">
        <f>I34*D34*C34</f>
        <v>0</v>
      </c>
      <c r="S34" s="389">
        <f>L34*C34</f>
        <v>0</v>
      </c>
      <c r="T34" s="389">
        <f>+C34*J34</f>
        <v>0</v>
      </c>
      <c r="U34" s="389">
        <f>+C34*K34</f>
        <v>0</v>
      </c>
      <c r="V34" s="389">
        <f>+C34*M34</f>
        <v>0</v>
      </c>
      <c r="W34" s="390">
        <f>SUM(O34:V34)</f>
        <v>0</v>
      </c>
    </row>
    <row r="35" spans="1:25" ht="15.75" hidden="1" outlineLevel="1" x14ac:dyDescent="0.25">
      <c r="B35" s="377" t="str">
        <f t="shared" ref="B35:B36" si="30">B30</f>
        <v>Conf/Seminar</v>
      </c>
      <c r="C35" s="386"/>
      <c r="D35" s="386"/>
      <c r="F35" s="399">
        <f t="shared" si="29"/>
        <v>230</v>
      </c>
      <c r="G35" s="399">
        <f t="shared" si="29"/>
        <v>50</v>
      </c>
      <c r="H35" s="399">
        <f t="shared" si="29"/>
        <v>50</v>
      </c>
      <c r="I35" s="399">
        <f t="shared" si="29"/>
        <v>10</v>
      </c>
      <c r="J35" s="399">
        <f t="shared" si="29"/>
        <v>415</v>
      </c>
      <c r="K35" s="399">
        <f t="shared" si="29"/>
        <v>0</v>
      </c>
      <c r="L35" s="399">
        <f t="shared" si="29"/>
        <v>0</v>
      </c>
      <c r="M35" s="388">
        <f>M30</f>
        <v>50</v>
      </c>
      <c r="N35" s="389"/>
      <c r="O35" s="389">
        <f>+C35*F35*D35</f>
        <v>0</v>
      </c>
      <c r="P35" s="389">
        <f>+C35*G35*D35</f>
        <v>0</v>
      </c>
      <c r="Q35" s="389">
        <f>+C35*H35*D35</f>
        <v>0</v>
      </c>
      <c r="R35" s="389">
        <f>I35*D35*C35</f>
        <v>0</v>
      </c>
      <c r="S35" s="389">
        <f>L35*C35</f>
        <v>0</v>
      </c>
      <c r="T35" s="389">
        <f>+C35*J35</f>
        <v>0</v>
      </c>
      <c r="U35" s="389">
        <f>+C35*K35</f>
        <v>0</v>
      </c>
      <c r="V35" s="389">
        <f>+C35*M35</f>
        <v>0</v>
      </c>
      <c r="W35" s="390">
        <f>SUM(O35:V35)</f>
        <v>0</v>
      </c>
    </row>
    <row r="36" spans="1:25" ht="15.75" hidden="1" outlineLevel="1" x14ac:dyDescent="0.25">
      <c r="B36" s="377" t="str">
        <f t="shared" si="30"/>
        <v>Corp/Region mtg</v>
      </c>
      <c r="C36" s="386"/>
      <c r="D36" s="386"/>
      <c r="F36" s="399">
        <f t="shared" si="29"/>
        <v>230</v>
      </c>
      <c r="G36" s="399">
        <f t="shared" si="29"/>
        <v>50</v>
      </c>
      <c r="H36" s="399">
        <f t="shared" si="29"/>
        <v>50</v>
      </c>
      <c r="I36" s="399">
        <f>I35</f>
        <v>10</v>
      </c>
      <c r="J36" s="399">
        <f>J31</f>
        <v>415</v>
      </c>
      <c r="K36" s="399">
        <f>K35</f>
        <v>0</v>
      </c>
      <c r="L36" s="399">
        <f t="shared" ref="L36" si="31">L35</f>
        <v>0</v>
      </c>
      <c r="M36" s="388">
        <f>M31</f>
        <v>50</v>
      </c>
      <c r="N36" s="389"/>
      <c r="O36" s="389">
        <f>+C36*F36*D36</f>
        <v>0</v>
      </c>
      <c r="P36" s="389">
        <f>+C36*G36*D36</f>
        <v>0</v>
      </c>
      <c r="Q36" s="389">
        <f>+C36*H36*D36</f>
        <v>0</v>
      </c>
      <c r="R36" s="389">
        <f>I36*D36*C36</f>
        <v>0</v>
      </c>
      <c r="S36" s="389">
        <f>L36*C36</f>
        <v>0</v>
      </c>
      <c r="T36" s="389">
        <f>+C36*J36</f>
        <v>0</v>
      </c>
      <c r="U36" s="389">
        <f>+C36*K36</f>
        <v>0</v>
      </c>
      <c r="V36" s="389">
        <f>+C36*M36</f>
        <v>0</v>
      </c>
      <c r="W36" s="390">
        <f>SUM(O36:V36)</f>
        <v>0</v>
      </c>
    </row>
    <row r="37" spans="1:25" ht="16.5" hidden="1" outlineLevel="1" thickBot="1" x14ac:dyDescent="0.3">
      <c r="A37" s="393" t="s">
        <v>558</v>
      </c>
      <c r="B37" s="394"/>
      <c r="C37" s="401">
        <f>SUM(C34:C36)</f>
        <v>0</v>
      </c>
      <c r="D37" s="401">
        <f>SUM(D34:D36)</f>
        <v>2</v>
      </c>
      <c r="E37" s="394"/>
      <c r="F37" s="395">
        <f t="shared" ref="F37:M37" si="32">SUM(F34:F36)</f>
        <v>690</v>
      </c>
      <c r="G37" s="395">
        <f t="shared" si="32"/>
        <v>150</v>
      </c>
      <c r="H37" s="395">
        <f t="shared" si="32"/>
        <v>150</v>
      </c>
      <c r="I37" s="395">
        <f>SUM(I34:I36)</f>
        <v>30</v>
      </c>
      <c r="J37" s="395">
        <f>SUM(J34:J36)</f>
        <v>1245</v>
      </c>
      <c r="K37" s="395">
        <f t="shared" si="32"/>
        <v>0</v>
      </c>
      <c r="L37" s="395">
        <f t="shared" si="32"/>
        <v>0</v>
      </c>
      <c r="M37" s="395">
        <f t="shared" si="32"/>
        <v>150</v>
      </c>
      <c r="N37" s="389"/>
      <c r="O37" s="395">
        <f t="shared" ref="O37:W37" si="33">SUM(O34:O36)</f>
        <v>0</v>
      </c>
      <c r="P37" s="395">
        <f t="shared" si="33"/>
        <v>0</v>
      </c>
      <c r="Q37" s="395">
        <f t="shared" si="33"/>
        <v>0</v>
      </c>
      <c r="R37" s="395">
        <f>SUM(R34:R36)</f>
        <v>0</v>
      </c>
      <c r="S37" s="395">
        <f>SUM(S34:S36)</f>
        <v>0</v>
      </c>
      <c r="T37" s="395">
        <f>SUM(T34:T36)</f>
        <v>0</v>
      </c>
      <c r="U37" s="395">
        <f>SUM(U34:U36)</f>
        <v>0</v>
      </c>
      <c r="V37" s="395">
        <f t="shared" si="33"/>
        <v>0</v>
      </c>
      <c r="W37" s="396">
        <f t="shared" si="33"/>
        <v>0</v>
      </c>
    </row>
    <row r="38" spans="1:25" ht="15.75" hidden="1" outlineLevel="1" thickTop="1" x14ac:dyDescent="0.25">
      <c r="F38" s="397"/>
      <c r="G38" s="397"/>
      <c r="H38" s="397"/>
      <c r="I38" s="397"/>
      <c r="J38" s="397"/>
      <c r="K38" s="397"/>
      <c r="L38" s="397"/>
      <c r="M38" s="397"/>
      <c r="N38" s="397"/>
      <c r="O38" s="397"/>
      <c r="P38" s="397"/>
      <c r="Q38" s="397"/>
      <c r="R38" s="397"/>
      <c r="S38" s="397"/>
      <c r="T38" s="397"/>
      <c r="U38" s="397"/>
      <c r="V38" s="397"/>
      <c r="W38" s="398"/>
    </row>
    <row r="39" spans="1:25" ht="15.75" collapsed="1" x14ac:dyDescent="0.25">
      <c r="A39" s="378" t="s">
        <v>84</v>
      </c>
      <c r="B39" s="377" t="str">
        <f>B34</f>
        <v>Conf/Seminar</v>
      </c>
      <c r="C39" s="386">
        <v>0</v>
      </c>
      <c r="D39" s="386">
        <v>2</v>
      </c>
      <c r="F39" s="399">
        <f t="shared" ref="F39:L41" si="34">F34</f>
        <v>230</v>
      </c>
      <c r="G39" s="399">
        <f t="shared" si="34"/>
        <v>50</v>
      </c>
      <c r="H39" s="399">
        <f t="shared" si="34"/>
        <v>50</v>
      </c>
      <c r="I39" s="399">
        <f t="shared" si="34"/>
        <v>10</v>
      </c>
      <c r="J39" s="399">
        <f t="shared" si="34"/>
        <v>415</v>
      </c>
      <c r="K39" s="399">
        <f t="shared" si="34"/>
        <v>0</v>
      </c>
      <c r="L39" s="399">
        <f t="shared" si="34"/>
        <v>0</v>
      </c>
      <c r="M39" s="388">
        <f>M34</f>
        <v>50</v>
      </c>
      <c r="N39" s="389"/>
      <c r="O39" s="389">
        <f>+C39*F39*D39</f>
        <v>0</v>
      </c>
      <c r="P39" s="389">
        <f>+C39*G39*D39</f>
        <v>0</v>
      </c>
      <c r="Q39" s="389">
        <f>+C39*H39*D39</f>
        <v>0</v>
      </c>
      <c r="R39" s="389">
        <f>I39*D39*C39</f>
        <v>0</v>
      </c>
      <c r="S39" s="389">
        <f>L39*C39</f>
        <v>0</v>
      </c>
      <c r="T39" s="389">
        <f>+C39*J39</f>
        <v>0</v>
      </c>
      <c r="U39" s="389">
        <f>+C39*K39</f>
        <v>0</v>
      </c>
      <c r="V39" s="389">
        <f>+C39*M39</f>
        <v>0</v>
      </c>
      <c r="W39" s="390">
        <f>SUM(O39:V39)</f>
        <v>0</v>
      </c>
      <c r="Y39" s="402"/>
    </row>
    <row r="40" spans="1:25" ht="15.75" hidden="1" outlineLevel="1" x14ac:dyDescent="0.25">
      <c r="B40" s="377" t="str">
        <f t="shared" ref="B40:B41" si="35">B35</f>
        <v>Conf/Seminar</v>
      </c>
      <c r="C40" s="386"/>
      <c r="D40" s="386"/>
      <c r="F40" s="399">
        <f t="shared" si="34"/>
        <v>230</v>
      </c>
      <c r="G40" s="399">
        <f t="shared" si="34"/>
        <v>50</v>
      </c>
      <c r="H40" s="399">
        <f t="shared" si="34"/>
        <v>50</v>
      </c>
      <c r="I40" s="399">
        <f t="shared" si="34"/>
        <v>10</v>
      </c>
      <c r="J40" s="399">
        <f t="shared" si="34"/>
        <v>415</v>
      </c>
      <c r="K40" s="399">
        <f t="shared" si="34"/>
        <v>0</v>
      </c>
      <c r="L40" s="399">
        <f t="shared" si="34"/>
        <v>0</v>
      </c>
      <c r="M40" s="388">
        <f>M35</f>
        <v>50</v>
      </c>
      <c r="N40" s="389"/>
      <c r="O40" s="389">
        <f>+C40*F40*D40</f>
        <v>0</v>
      </c>
      <c r="P40" s="389">
        <f>+C40*G40*D40</f>
        <v>0</v>
      </c>
      <c r="Q40" s="389">
        <f>+C40*H40*D40</f>
        <v>0</v>
      </c>
      <c r="R40" s="389">
        <f>I40*D40*C40</f>
        <v>0</v>
      </c>
      <c r="S40" s="389">
        <f>L40*C40</f>
        <v>0</v>
      </c>
      <c r="T40" s="389">
        <f>+C40*J40</f>
        <v>0</v>
      </c>
      <c r="U40" s="389">
        <f>+C40*K40</f>
        <v>0</v>
      </c>
      <c r="V40" s="389">
        <f>+C40*M40</f>
        <v>0</v>
      </c>
      <c r="W40" s="390">
        <f>SUM(O40:V40)</f>
        <v>0</v>
      </c>
      <c r="Y40" s="402"/>
    </row>
    <row r="41" spans="1:25" ht="15.75" hidden="1" outlineLevel="1" x14ac:dyDescent="0.25">
      <c r="B41" s="377" t="str">
        <f t="shared" si="35"/>
        <v>Corp/Region mtg</v>
      </c>
      <c r="C41" s="386"/>
      <c r="D41" s="386"/>
      <c r="F41" s="399">
        <f t="shared" si="34"/>
        <v>230</v>
      </c>
      <c r="G41" s="399">
        <f t="shared" si="34"/>
        <v>50</v>
      </c>
      <c r="H41" s="399">
        <f t="shared" si="34"/>
        <v>50</v>
      </c>
      <c r="I41" s="399">
        <f>I40</f>
        <v>10</v>
      </c>
      <c r="J41" s="399">
        <f>J36</f>
        <v>415</v>
      </c>
      <c r="K41" s="399">
        <f>K40</f>
        <v>0</v>
      </c>
      <c r="L41" s="399">
        <f t="shared" ref="L41" si="36">L40</f>
        <v>0</v>
      </c>
      <c r="M41" s="388">
        <f>M36</f>
        <v>50</v>
      </c>
      <c r="N41" s="389"/>
      <c r="O41" s="389">
        <f>+C41*F41*D41</f>
        <v>0</v>
      </c>
      <c r="P41" s="389">
        <f>+C41*G41*D41</f>
        <v>0</v>
      </c>
      <c r="Q41" s="389">
        <f>+C41*H41*D41</f>
        <v>0</v>
      </c>
      <c r="R41" s="389">
        <f>I41*D41*C41</f>
        <v>0</v>
      </c>
      <c r="S41" s="389">
        <f>L41*C41</f>
        <v>0</v>
      </c>
      <c r="T41" s="389">
        <f>+C41*J41</f>
        <v>0</v>
      </c>
      <c r="U41" s="389">
        <f>+C41*K41</f>
        <v>0</v>
      </c>
      <c r="V41" s="389">
        <f>+C41*M41</f>
        <v>0</v>
      </c>
      <c r="W41" s="390">
        <f>SUM(O41:V41)</f>
        <v>0</v>
      </c>
    </row>
    <row r="42" spans="1:25" ht="16.5" hidden="1" outlineLevel="1" thickBot="1" x14ac:dyDescent="0.3">
      <c r="A42" s="393" t="s">
        <v>559</v>
      </c>
      <c r="B42" s="394"/>
      <c r="C42" s="401">
        <f>SUM(C39:C41)</f>
        <v>0</v>
      </c>
      <c r="D42" s="401">
        <f>SUM(D39:D41)</f>
        <v>2</v>
      </c>
      <c r="E42" s="394"/>
      <c r="F42" s="395">
        <f t="shared" ref="F42:M42" si="37">SUM(F39:F41)</f>
        <v>690</v>
      </c>
      <c r="G42" s="395">
        <f t="shared" si="37"/>
        <v>150</v>
      </c>
      <c r="H42" s="395">
        <f t="shared" si="37"/>
        <v>150</v>
      </c>
      <c r="I42" s="395">
        <f>SUM(I39:I41)</f>
        <v>30</v>
      </c>
      <c r="J42" s="395">
        <f>SUM(J39:J41)</f>
        <v>1245</v>
      </c>
      <c r="K42" s="395">
        <f t="shared" si="37"/>
        <v>0</v>
      </c>
      <c r="L42" s="395">
        <f t="shared" si="37"/>
        <v>0</v>
      </c>
      <c r="M42" s="395">
        <f t="shared" si="37"/>
        <v>150</v>
      </c>
      <c r="N42" s="389"/>
      <c r="O42" s="395">
        <f t="shared" ref="O42:W42" si="38">SUM(O39:O41)</f>
        <v>0</v>
      </c>
      <c r="P42" s="395">
        <f t="shared" si="38"/>
        <v>0</v>
      </c>
      <c r="Q42" s="395">
        <f t="shared" si="38"/>
        <v>0</v>
      </c>
      <c r="R42" s="395">
        <f>SUM(R39:R41)</f>
        <v>0</v>
      </c>
      <c r="S42" s="395">
        <f>SUM(S39:S41)</f>
        <v>0</v>
      </c>
      <c r="T42" s="395">
        <f>SUM(T39:T41)</f>
        <v>0</v>
      </c>
      <c r="U42" s="395">
        <f>SUM(U39:U41)</f>
        <v>0</v>
      </c>
      <c r="V42" s="395">
        <f t="shared" si="38"/>
        <v>0</v>
      </c>
      <c r="W42" s="396">
        <f t="shared" si="38"/>
        <v>0</v>
      </c>
    </row>
    <row r="43" spans="1:25" ht="15.75" hidden="1" outlineLevel="1" thickTop="1" x14ac:dyDescent="0.25">
      <c r="F43" s="397"/>
      <c r="G43" s="397"/>
      <c r="H43" s="397"/>
      <c r="I43" s="397"/>
      <c r="J43" s="397"/>
      <c r="K43" s="397"/>
      <c r="L43" s="397"/>
      <c r="M43" s="397"/>
      <c r="N43" s="397"/>
      <c r="O43" s="397"/>
      <c r="P43" s="397"/>
      <c r="Q43" s="397"/>
      <c r="R43" s="397"/>
      <c r="S43" s="397"/>
      <c r="T43" s="397"/>
      <c r="U43" s="397"/>
      <c r="V43" s="397"/>
      <c r="W43" s="398"/>
    </row>
    <row r="44" spans="1:25" ht="15.75" collapsed="1" x14ac:dyDescent="0.25">
      <c r="A44" s="378" t="s">
        <v>85</v>
      </c>
      <c r="B44" s="377" t="str">
        <f>B39</f>
        <v>Conf/Seminar</v>
      </c>
      <c r="C44" s="386">
        <v>0</v>
      </c>
      <c r="D44" s="386">
        <v>2</v>
      </c>
      <c r="F44" s="399">
        <f t="shared" ref="F44:H44" si="39">F39</f>
        <v>230</v>
      </c>
      <c r="G44" s="399">
        <f t="shared" si="39"/>
        <v>50</v>
      </c>
      <c r="H44" s="399">
        <f t="shared" si="39"/>
        <v>50</v>
      </c>
      <c r="I44" s="399">
        <f>I39</f>
        <v>10</v>
      </c>
      <c r="J44" s="399">
        <f>J39</f>
        <v>415</v>
      </c>
      <c r="K44" s="399">
        <f>K39</f>
        <v>0</v>
      </c>
      <c r="L44" s="399">
        <f t="shared" ref="L44:L45" si="40">L39</f>
        <v>0</v>
      </c>
      <c r="M44" s="388">
        <f>M39</f>
        <v>50</v>
      </c>
      <c r="N44" s="389"/>
      <c r="O44" s="389">
        <f>+C44*F44*D44</f>
        <v>0</v>
      </c>
      <c r="P44" s="389">
        <f>+C44*G44*D44</f>
        <v>0</v>
      </c>
      <c r="Q44" s="389">
        <f>+C44*H44*D44</f>
        <v>0</v>
      </c>
      <c r="R44" s="389">
        <f>C44*D44*I44</f>
        <v>0</v>
      </c>
      <c r="S44" s="389">
        <f>L44*C44</f>
        <v>0</v>
      </c>
      <c r="T44" s="389">
        <f>+C44*J44</f>
        <v>0</v>
      </c>
      <c r="U44" s="389">
        <f>+C44*K44</f>
        <v>0</v>
      </c>
      <c r="V44" s="389">
        <f>+C44*M44</f>
        <v>0</v>
      </c>
      <c r="W44" s="390">
        <f>SUM(O44:V44)</f>
        <v>0</v>
      </c>
    </row>
    <row r="45" spans="1:25" ht="15.75" hidden="1" outlineLevel="1" x14ac:dyDescent="0.25">
      <c r="B45" s="377" t="s">
        <v>555</v>
      </c>
      <c r="C45" s="386"/>
      <c r="D45" s="386"/>
      <c r="F45" s="399">
        <f t="shared" ref="F45:H47" si="41">F39</f>
        <v>230</v>
      </c>
      <c r="G45" s="399">
        <f t="shared" si="41"/>
        <v>50</v>
      </c>
      <c r="H45" s="399">
        <f t="shared" si="41"/>
        <v>50</v>
      </c>
      <c r="I45" s="399">
        <f>I40</f>
        <v>10</v>
      </c>
      <c r="J45" s="399">
        <v>1000</v>
      </c>
      <c r="K45" s="399">
        <f>K40</f>
        <v>0</v>
      </c>
      <c r="L45" s="399">
        <f t="shared" si="40"/>
        <v>0</v>
      </c>
      <c r="M45" s="388">
        <f>M39</f>
        <v>50</v>
      </c>
      <c r="N45" s="389"/>
      <c r="O45" s="389">
        <f>+C45*F45*D45</f>
        <v>0</v>
      </c>
      <c r="P45" s="389">
        <f>+C45*G45*D45</f>
        <v>0</v>
      </c>
      <c r="Q45" s="389">
        <f>+C45*H45*D45</f>
        <v>0</v>
      </c>
      <c r="R45" s="389">
        <f>C45*D45*I45</f>
        <v>0</v>
      </c>
      <c r="S45" s="389">
        <f>L45*C45</f>
        <v>0</v>
      </c>
      <c r="T45" s="389">
        <f>+C45*J45</f>
        <v>0</v>
      </c>
      <c r="U45" s="389">
        <f>+C45*K45</f>
        <v>0</v>
      </c>
      <c r="V45" s="389">
        <f>+C45*M45</f>
        <v>0</v>
      </c>
      <c r="W45" s="390">
        <f>SUM(O45:V45)</f>
        <v>0</v>
      </c>
    </row>
    <row r="46" spans="1:25" ht="15.75" hidden="1" outlineLevel="1" x14ac:dyDescent="0.25">
      <c r="B46" s="377" t="str">
        <f t="shared" ref="B46:B47" si="42">B40</f>
        <v>Conf/Seminar</v>
      </c>
      <c r="C46" s="386"/>
      <c r="D46" s="386"/>
      <c r="F46" s="399">
        <f t="shared" si="41"/>
        <v>230</v>
      </c>
      <c r="G46" s="399">
        <f t="shared" si="41"/>
        <v>50</v>
      </c>
      <c r="H46" s="399">
        <f t="shared" si="41"/>
        <v>50</v>
      </c>
      <c r="I46" s="399">
        <f>I45</f>
        <v>10</v>
      </c>
      <c r="J46" s="399">
        <f>J40</f>
        <v>415</v>
      </c>
      <c r="K46" s="399">
        <f>K45</f>
        <v>0</v>
      </c>
      <c r="L46" s="399">
        <f t="shared" ref="L46:L47" si="43">L45</f>
        <v>0</v>
      </c>
      <c r="M46" s="388">
        <f>M40</f>
        <v>50</v>
      </c>
      <c r="N46" s="389"/>
      <c r="O46" s="389">
        <f>+C46*F46*D46</f>
        <v>0</v>
      </c>
      <c r="P46" s="389">
        <f>+C46*G46*D46</f>
        <v>0</v>
      </c>
      <c r="Q46" s="389">
        <f>+C46*H46*D46</f>
        <v>0</v>
      </c>
      <c r="R46" s="389">
        <f>C46*D46*I46</f>
        <v>0</v>
      </c>
      <c r="S46" s="389">
        <f>L46*C46</f>
        <v>0</v>
      </c>
      <c r="T46" s="389">
        <f>+C46*J46</f>
        <v>0</v>
      </c>
      <c r="U46" s="389">
        <f>+C46*K46</f>
        <v>0</v>
      </c>
      <c r="V46" s="389">
        <f>+C46*M46</f>
        <v>0</v>
      </c>
      <c r="W46" s="390">
        <f>SUM(O46:V46)</f>
        <v>0</v>
      </c>
    </row>
    <row r="47" spans="1:25" ht="15.75" hidden="1" outlineLevel="1" x14ac:dyDescent="0.25">
      <c r="B47" s="377" t="str">
        <f t="shared" si="42"/>
        <v>Corp/Region mtg</v>
      </c>
      <c r="C47" s="386"/>
      <c r="D47" s="386"/>
      <c r="F47" s="399">
        <f t="shared" si="41"/>
        <v>230</v>
      </c>
      <c r="G47" s="399">
        <f t="shared" si="41"/>
        <v>50</v>
      </c>
      <c r="H47" s="399">
        <f t="shared" si="41"/>
        <v>50</v>
      </c>
      <c r="I47" s="399">
        <f>I46</f>
        <v>10</v>
      </c>
      <c r="J47" s="399">
        <f>J41</f>
        <v>415</v>
      </c>
      <c r="K47" s="399">
        <f>K46</f>
        <v>0</v>
      </c>
      <c r="L47" s="399">
        <f t="shared" si="43"/>
        <v>0</v>
      </c>
      <c r="M47" s="388">
        <f>M41</f>
        <v>50</v>
      </c>
      <c r="N47" s="389"/>
      <c r="O47" s="389">
        <f>+C47*F47*D47</f>
        <v>0</v>
      </c>
      <c r="P47" s="389">
        <f>+C47*G47*D47</f>
        <v>0</v>
      </c>
      <c r="Q47" s="389">
        <f>+C47*H47*D47</f>
        <v>0</v>
      </c>
      <c r="R47" s="389">
        <f>C47*D47*I47</f>
        <v>0</v>
      </c>
      <c r="S47" s="389">
        <f>L47*C47</f>
        <v>0</v>
      </c>
      <c r="T47" s="389">
        <f>+C47*J47</f>
        <v>0</v>
      </c>
      <c r="U47" s="389">
        <f>+C47*K47</f>
        <v>0</v>
      </c>
      <c r="V47" s="389">
        <f>+C47*M47</f>
        <v>0</v>
      </c>
      <c r="W47" s="390">
        <f>SUM(O47:V47)</f>
        <v>0</v>
      </c>
    </row>
    <row r="48" spans="1:25" ht="16.5" hidden="1" outlineLevel="1" thickBot="1" x14ac:dyDescent="0.3">
      <c r="A48" s="393" t="s">
        <v>560</v>
      </c>
      <c r="B48" s="394"/>
      <c r="C48" s="394">
        <f>SUM(C44:C47)</f>
        <v>0</v>
      </c>
      <c r="D48" s="394">
        <f>SUM(D44:D47)</f>
        <v>2</v>
      </c>
      <c r="E48" s="394"/>
      <c r="F48" s="395">
        <f t="shared" ref="F48:M48" si="44">SUM(F44:F47)</f>
        <v>920</v>
      </c>
      <c r="G48" s="395">
        <f t="shared" si="44"/>
        <v>200</v>
      </c>
      <c r="H48" s="395">
        <f t="shared" si="44"/>
        <v>200</v>
      </c>
      <c r="I48" s="395">
        <f>SUM(I44:I47)</f>
        <v>40</v>
      </c>
      <c r="J48" s="395">
        <f>SUM(J44:J47)</f>
        <v>2245</v>
      </c>
      <c r="K48" s="395">
        <f t="shared" si="44"/>
        <v>0</v>
      </c>
      <c r="L48" s="395">
        <f t="shared" si="44"/>
        <v>0</v>
      </c>
      <c r="M48" s="395">
        <f t="shared" si="44"/>
        <v>200</v>
      </c>
      <c r="N48" s="389"/>
      <c r="O48" s="395">
        <f t="shared" ref="O48:W48" si="45">SUM(O44:O47)</f>
        <v>0</v>
      </c>
      <c r="P48" s="395">
        <f t="shared" si="45"/>
        <v>0</v>
      </c>
      <c r="Q48" s="395">
        <f t="shared" si="45"/>
        <v>0</v>
      </c>
      <c r="R48" s="395">
        <f>SUM(R44:R47)</f>
        <v>0</v>
      </c>
      <c r="S48" s="395">
        <f>SUM(S44:S47)</f>
        <v>0</v>
      </c>
      <c r="T48" s="395">
        <f>SUM(T44:T47)</f>
        <v>0</v>
      </c>
      <c r="U48" s="395">
        <f>SUM(U44:U47)</f>
        <v>0</v>
      </c>
      <c r="V48" s="395">
        <f t="shared" si="45"/>
        <v>0</v>
      </c>
      <c r="W48" s="396">
        <f t="shared" si="45"/>
        <v>0</v>
      </c>
    </row>
    <row r="49" spans="1:25" ht="15.75" hidden="1" outlineLevel="1" thickTop="1" x14ac:dyDescent="0.25">
      <c r="F49" s="397"/>
      <c r="G49" s="397"/>
      <c r="H49" s="397"/>
      <c r="I49" s="397"/>
      <c r="J49" s="397"/>
      <c r="K49" s="397"/>
      <c r="L49" s="397"/>
      <c r="M49" s="397"/>
      <c r="N49" s="397"/>
      <c r="O49" s="397"/>
      <c r="P49" s="397"/>
      <c r="Q49" s="397"/>
      <c r="R49" s="397"/>
      <c r="S49" s="397"/>
      <c r="T49" s="397"/>
      <c r="U49" s="397"/>
      <c r="V49" s="397"/>
      <c r="W49" s="398"/>
    </row>
    <row r="50" spans="1:25" ht="15.75" collapsed="1" x14ac:dyDescent="0.25">
      <c r="A50" s="378" t="s">
        <v>86</v>
      </c>
      <c r="B50" s="377" t="str">
        <f>B44</f>
        <v>Conf/Seminar</v>
      </c>
      <c r="C50" s="386">
        <v>0</v>
      </c>
      <c r="D50" s="386">
        <v>2</v>
      </c>
      <c r="F50" s="399">
        <f t="shared" ref="F50:H50" si="46">F44</f>
        <v>230</v>
      </c>
      <c r="G50" s="399">
        <f t="shared" si="46"/>
        <v>50</v>
      </c>
      <c r="H50" s="399">
        <f t="shared" si="46"/>
        <v>50</v>
      </c>
      <c r="I50" s="399">
        <f>I45</f>
        <v>10</v>
      </c>
      <c r="J50" s="399">
        <f>J44</f>
        <v>415</v>
      </c>
      <c r="K50" s="399">
        <f>K45</f>
        <v>0</v>
      </c>
      <c r="L50" s="399">
        <f t="shared" ref="L50:L51" si="47">L45</f>
        <v>0</v>
      </c>
      <c r="M50" s="388">
        <f>M44</f>
        <v>50</v>
      </c>
      <c r="N50" s="389"/>
      <c r="O50" s="389">
        <f>+C50*F50*D50</f>
        <v>0</v>
      </c>
      <c r="P50" s="389">
        <f>+C50*G50*D50</f>
        <v>0</v>
      </c>
      <c r="Q50" s="389">
        <f>+C50*H50*D50</f>
        <v>0</v>
      </c>
      <c r="R50" s="389">
        <f>I50*D50*C50</f>
        <v>0</v>
      </c>
      <c r="S50" s="389">
        <f>L50*C50</f>
        <v>0</v>
      </c>
      <c r="T50" s="389">
        <f>+C50*J50</f>
        <v>0</v>
      </c>
      <c r="U50" s="389">
        <f>+C50*K50</f>
        <v>0</v>
      </c>
      <c r="V50" s="389">
        <f>+C50*M50</f>
        <v>0</v>
      </c>
      <c r="W50" s="390">
        <f>SUM(O50:V50)</f>
        <v>0</v>
      </c>
    </row>
    <row r="51" spans="1:25" ht="15.75" hidden="1" outlineLevel="1" x14ac:dyDescent="0.25">
      <c r="B51" s="377" t="str">
        <f t="shared" ref="B51:B52" si="48">B46</f>
        <v>Conf/Seminar</v>
      </c>
      <c r="C51" s="386"/>
      <c r="D51" s="386"/>
      <c r="F51" s="399">
        <f t="shared" ref="F51:H52" si="49">F46</f>
        <v>230</v>
      </c>
      <c r="G51" s="399">
        <f t="shared" si="49"/>
        <v>50</v>
      </c>
      <c r="H51" s="399">
        <f t="shared" si="49"/>
        <v>50</v>
      </c>
      <c r="I51" s="399">
        <f>I46</f>
        <v>10</v>
      </c>
      <c r="J51" s="399">
        <f>J46</f>
        <v>415</v>
      </c>
      <c r="K51" s="399">
        <f>K46</f>
        <v>0</v>
      </c>
      <c r="L51" s="399">
        <f t="shared" si="47"/>
        <v>0</v>
      </c>
      <c r="M51" s="388">
        <f>M46</f>
        <v>50</v>
      </c>
      <c r="N51" s="389"/>
      <c r="O51" s="389">
        <f>+C51*F51*D51</f>
        <v>0</v>
      </c>
      <c r="P51" s="389">
        <f>+C51*G51*D51</f>
        <v>0</v>
      </c>
      <c r="Q51" s="389">
        <f>+C51*H51*D51</f>
        <v>0</v>
      </c>
      <c r="R51" s="389">
        <f>I51*D51*C51</f>
        <v>0</v>
      </c>
      <c r="S51" s="389">
        <f>L51*C51</f>
        <v>0</v>
      </c>
      <c r="T51" s="389">
        <f>+C51*J51</f>
        <v>0</v>
      </c>
      <c r="U51" s="389">
        <f>+C51*K51</f>
        <v>0</v>
      </c>
      <c r="V51" s="389">
        <f>+C51*M51</f>
        <v>0</v>
      </c>
      <c r="W51" s="390">
        <f>SUM(O51:V51)</f>
        <v>0</v>
      </c>
    </row>
    <row r="52" spans="1:25" ht="15.75" hidden="1" outlineLevel="1" x14ac:dyDescent="0.25">
      <c r="B52" s="377" t="str">
        <f t="shared" si="48"/>
        <v>Corp/Region mtg</v>
      </c>
      <c r="C52" s="386"/>
      <c r="D52" s="386"/>
      <c r="F52" s="399">
        <f t="shared" si="49"/>
        <v>230</v>
      </c>
      <c r="G52" s="399">
        <f t="shared" si="49"/>
        <v>50</v>
      </c>
      <c r="H52" s="399">
        <f t="shared" si="49"/>
        <v>50</v>
      </c>
      <c r="I52" s="399">
        <f>I51</f>
        <v>10</v>
      </c>
      <c r="J52" s="399">
        <f>J47</f>
        <v>415</v>
      </c>
      <c r="K52" s="399">
        <f>K51</f>
        <v>0</v>
      </c>
      <c r="L52" s="399">
        <f t="shared" ref="L52" si="50">L51</f>
        <v>0</v>
      </c>
      <c r="M52" s="388">
        <f>M47</f>
        <v>50</v>
      </c>
      <c r="N52" s="389"/>
      <c r="O52" s="389">
        <f>+C52*F52*D52</f>
        <v>0</v>
      </c>
      <c r="P52" s="389">
        <f>+C52*G52*D52</f>
        <v>0</v>
      </c>
      <c r="Q52" s="389">
        <f>+C52*H52*D52</f>
        <v>0</v>
      </c>
      <c r="R52" s="389">
        <f>I52*D52*C52</f>
        <v>0</v>
      </c>
      <c r="S52" s="389">
        <f>L52*C52</f>
        <v>0</v>
      </c>
      <c r="T52" s="389">
        <f>+C52*J52</f>
        <v>0</v>
      </c>
      <c r="U52" s="389">
        <f>+C52*K52</f>
        <v>0</v>
      </c>
      <c r="V52" s="389">
        <f>+C52*M52</f>
        <v>0</v>
      </c>
      <c r="W52" s="390">
        <f>SUM(O52:V52)</f>
        <v>0</v>
      </c>
    </row>
    <row r="53" spans="1:25" ht="16.5" hidden="1" outlineLevel="1" thickBot="1" x14ac:dyDescent="0.3">
      <c r="A53" s="393" t="s">
        <v>561</v>
      </c>
      <c r="B53" s="394"/>
      <c r="C53" s="401">
        <f>SUM(C50:C52)</f>
        <v>0</v>
      </c>
      <c r="D53" s="401">
        <f>SUM(D50:D52)</f>
        <v>2</v>
      </c>
      <c r="E53" s="394"/>
      <c r="F53" s="395">
        <f t="shared" ref="F53:M53" si="51">SUM(F50:F52)</f>
        <v>690</v>
      </c>
      <c r="G53" s="395">
        <f t="shared" si="51"/>
        <v>150</v>
      </c>
      <c r="H53" s="395">
        <f t="shared" si="51"/>
        <v>150</v>
      </c>
      <c r="I53" s="395">
        <f>SUM(I50:I52)</f>
        <v>30</v>
      </c>
      <c r="J53" s="395">
        <f>SUM(J50:J52)</f>
        <v>1245</v>
      </c>
      <c r="K53" s="395">
        <f t="shared" si="51"/>
        <v>0</v>
      </c>
      <c r="L53" s="395">
        <f t="shared" si="51"/>
        <v>0</v>
      </c>
      <c r="M53" s="395">
        <f t="shared" si="51"/>
        <v>150</v>
      </c>
      <c r="N53" s="389"/>
      <c r="O53" s="395">
        <f t="shared" ref="O53:W53" si="52">SUM(O50:O52)</f>
        <v>0</v>
      </c>
      <c r="P53" s="395">
        <f t="shared" si="52"/>
        <v>0</v>
      </c>
      <c r="Q53" s="395">
        <f t="shared" si="52"/>
        <v>0</v>
      </c>
      <c r="R53" s="395">
        <f>SUM(R50:R52)</f>
        <v>0</v>
      </c>
      <c r="S53" s="395">
        <f>SUM(S50:S52)</f>
        <v>0</v>
      </c>
      <c r="T53" s="395">
        <f>SUM(T50:T52)</f>
        <v>0</v>
      </c>
      <c r="U53" s="395">
        <f>SUM(U50:U52)</f>
        <v>0</v>
      </c>
      <c r="V53" s="395">
        <f t="shared" si="52"/>
        <v>0</v>
      </c>
      <c r="W53" s="396">
        <f t="shared" si="52"/>
        <v>0</v>
      </c>
    </row>
    <row r="54" spans="1:25" ht="15.75" hidden="1" outlineLevel="1" thickTop="1" x14ac:dyDescent="0.25">
      <c r="F54" s="397"/>
      <c r="G54" s="397"/>
      <c r="H54" s="397"/>
      <c r="I54" s="397"/>
      <c r="J54" s="397"/>
      <c r="K54" s="397"/>
      <c r="L54" s="397"/>
      <c r="M54" s="397"/>
      <c r="N54" s="397"/>
      <c r="O54" s="397"/>
      <c r="P54" s="397"/>
      <c r="Q54" s="397"/>
      <c r="R54" s="397"/>
      <c r="S54" s="397"/>
      <c r="T54" s="397"/>
      <c r="U54" s="397"/>
      <c r="V54" s="397"/>
      <c r="W54" s="398"/>
    </row>
    <row r="55" spans="1:25" ht="15.75" collapsed="1" x14ac:dyDescent="0.25">
      <c r="A55" s="378" t="s">
        <v>87</v>
      </c>
      <c r="B55" s="377" t="str">
        <f>B50</f>
        <v>Conf/Seminar</v>
      </c>
      <c r="C55" s="386">
        <v>1</v>
      </c>
      <c r="D55" s="386">
        <v>2</v>
      </c>
      <c r="F55" s="399">
        <f t="shared" ref="F55:L57" si="53">F50</f>
        <v>230</v>
      </c>
      <c r="G55" s="399">
        <f t="shared" si="53"/>
        <v>50</v>
      </c>
      <c r="H55" s="399">
        <f t="shared" si="53"/>
        <v>50</v>
      </c>
      <c r="I55" s="399">
        <f t="shared" si="53"/>
        <v>10</v>
      </c>
      <c r="J55" s="399">
        <f t="shared" si="53"/>
        <v>415</v>
      </c>
      <c r="K55" s="399">
        <f t="shared" si="53"/>
        <v>0</v>
      </c>
      <c r="L55" s="399">
        <f t="shared" si="53"/>
        <v>0</v>
      </c>
      <c r="M55" s="388">
        <f>M50</f>
        <v>50</v>
      </c>
      <c r="N55" s="389"/>
      <c r="O55" s="389">
        <f>+C55*F55*D55</f>
        <v>460</v>
      </c>
      <c r="P55" s="389">
        <f>+C55*G55*D55</f>
        <v>100</v>
      </c>
      <c r="Q55" s="389">
        <f>+C55*H55*D55</f>
        <v>100</v>
      </c>
      <c r="R55" s="389">
        <f>I55*D55*C55</f>
        <v>20</v>
      </c>
      <c r="S55" s="389">
        <f>L55*C55</f>
        <v>0</v>
      </c>
      <c r="T55" s="389">
        <f>+C55*J55</f>
        <v>415</v>
      </c>
      <c r="U55" s="389">
        <f>+C55*K55</f>
        <v>0</v>
      </c>
      <c r="V55" s="389">
        <f>+C55*M55</f>
        <v>50</v>
      </c>
      <c r="W55" s="390">
        <f>SUM(O55:V55)</f>
        <v>1145</v>
      </c>
    </row>
    <row r="56" spans="1:25" ht="15.75" hidden="1" outlineLevel="1" x14ac:dyDescent="0.25">
      <c r="B56" s="377" t="str">
        <f t="shared" ref="B56:B57" si="54">B51</f>
        <v>Conf/Seminar</v>
      </c>
      <c r="C56" s="386"/>
      <c r="D56" s="386"/>
      <c r="F56" s="399">
        <f t="shared" si="53"/>
        <v>230</v>
      </c>
      <c r="G56" s="399">
        <f t="shared" si="53"/>
        <v>50</v>
      </c>
      <c r="H56" s="399">
        <f t="shared" si="53"/>
        <v>50</v>
      </c>
      <c r="I56" s="399">
        <f t="shared" si="53"/>
        <v>10</v>
      </c>
      <c r="J56" s="399">
        <f t="shared" si="53"/>
        <v>415</v>
      </c>
      <c r="K56" s="399">
        <f t="shared" si="53"/>
        <v>0</v>
      </c>
      <c r="L56" s="399">
        <f t="shared" si="53"/>
        <v>0</v>
      </c>
      <c r="M56" s="388">
        <f>M51</f>
        <v>50</v>
      </c>
      <c r="N56" s="389"/>
      <c r="O56" s="389">
        <f>+C56*F56*D56</f>
        <v>0</v>
      </c>
      <c r="P56" s="389">
        <f>+C56*G56*D56</f>
        <v>0</v>
      </c>
      <c r="Q56" s="389">
        <f>+C56*H56*D56</f>
        <v>0</v>
      </c>
      <c r="R56" s="389">
        <f>I56*D56*C56</f>
        <v>0</v>
      </c>
      <c r="S56" s="389">
        <f>L56*C56</f>
        <v>0</v>
      </c>
      <c r="T56" s="389">
        <f>+C56*J56</f>
        <v>0</v>
      </c>
      <c r="U56" s="389">
        <f>+C56*K56</f>
        <v>0</v>
      </c>
      <c r="V56" s="389">
        <f>+C56*M56</f>
        <v>0</v>
      </c>
      <c r="W56" s="390">
        <f>SUM(O56:V56)</f>
        <v>0</v>
      </c>
      <c r="Y56" s="375" t="s">
        <v>562</v>
      </c>
    </row>
    <row r="57" spans="1:25" ht="15.75" hidden="1" outlineLevel="1" x14ac:dyDescent="0.25">
      <c r="B57" s="377" t="str">
        <f t="shared" si="54"/>
        <v>Corp/Region mtg</v>
      </c>
      <c r="C57" s="386"/>
      <c r="D57" s="386"/>
      <c r="F57" s="399">
        <f t="shared" si="53"/>
        <v>230</v>
      </c>
      <c r="G57" s="399">
        <f t="shared" si="53"/>
        <v>50</v>
      </c>
      <c r="H57" s="399">
        <f t="shared" si="53"/>
        <v>50</v>
      </c>
      <c r="I57" s="399">
        <f>I56</f>
        <v>10</v>
      </c>
      <c r="J57" s="399">
        <f>J52</f>
        <v>415</v>
      </c>
      <c r="K57" s="399">
        <f>K56</f>
        <v>0</v>
      </c>
      <c r="L57" s="399">
        <f t="shared" ref="L57" si="55">L56</f>
        <v>0</v>
      </c>
      <c r="M57" s="388">
        <f>M52</f>
        <v>50</v>
      </c>
      <c r="N57" s="389"/>
      <c r="O57" s="389">
        <f>+C57*F57*D57</f>
        <v>0</v>
      </c>
      <c r="P57" s="389">
        <f>+C57*G57*D57</f>
        <v>0</v>
      </c>
      <c r="Q57" s="389">
        <f>+C57*H57*D57</f>
        <v>0</v>
      </c>
      <c r="R57" s="389">
        <f>I57*D57*C57</f>
        <v>0</v>
      </c>
      <c r="S57" s="389">
        <f>L57*C57</f>
        <v>0</v>
      </c>
      <c r="T57" s="389">
        <f>+C57*J57</f>
        <v>0</v>
      </c>
      <c r="U57" s="389">
        <f>+C57*K57</f>
        <v>0</v>
      </c>
      <c r="V57" s="389">
        <f>+C57*M57</f>
        <v>0</v>
      </c>
      <c r="W57" s="390">
        <f>SUM(O57:V57)</f>
        <v>0</v>
      </c>
    </row>
    <row r="58" spans="1:25" ht="16.5" hidden="1" outlineLevel="1" thickBot="1" x14ac:dyDescent="0.3">
      <c r="A58" s="393" t="s">
        <v>563</v>
      </c>
      <c r="B58" s="394"/>
      <c r="C58" s="401">
        <f>SUM(C55:C57)</f>
        <v>1</v>
      </c>
      <c r="D58" s="401">
        <f>SUM(D55:D57)</f>
        <v>2</v>
      </c>
      <c r="E58" s="394"/>
      <c r="F58" s="395">
        <f t="shared" ref="F58:M58" si="56">SUM(F55:F57)</f>
        <v>690</v>
      </c>
      <c r="G58" s="395">
        <f t="shared" si="56"/>
        <v>150</v>
      </c>
      <c r="H58" s="395">
        <f t="shared" si="56"/>
        <v>150</v>
      </c>
      <c r="I58" s="395">
        <f>SUM(I55:I57)</f>
        <v>30</v>
      </c>
      <c r="J58" s="395">
        <f>SUM(J55:J57)</f>
        <v>1245</v>
      </c>
      <c r="K58" s="395">
        <f t="shared" si="56"/>
        <v>0</v>
      </c>
      <c r="L58" s="395">
        <f t="shared" si="56"/>
        <v>0</v>
      </c>
      <c r="M58" s="395">
        <f t="shared" si="56"/>
        <v>150</v>
      </c>
      <c r="N58" s="389"/>
      <c r="O58" s="395">
        <f t="shared" ref="O58:W58" si="57">SUM(O55:O57)</f>
        <v>460</v>
      </c>
      <c r="P58" s="395">
        <f t="shared" si="57"/>
        <v>100</v>
      </c>
      <c r="Q58" s="395">
        <f t="shared" si="57"/>
        <v>100</v>
      </c>
      <c r="R58" s="395">
        <f>SUM(R55:R57)</f>
        <v>20</v>
      </c>
      <c r="S58" s="395">
        <f>SUM(S55:S57)</f>
        <v>0</v>
      </c>
      <c r="T58" s="395">
        <f>SUM(T55:T57)</f>
        <v>415</v>
      </c>
      <c r="U58" s="395">
        <f>SUM(U55:U57)</f>
        <v>0</v>
      </c>
      <c r="V58" s="395">
        <f t="shared" si="57"/>
        <v>50</v>
      </c>
      <c r="W58" s="396">
        <f t="shared" si="57"/>
        <v>1145</v>
      </c>
    </row>
    <row r="59" spans="1:25" ht="15.75" hidden="1" outlineLevel="1" thickTop="1" x14ac:dyDescent="0.25">
      <c r="F59" s="397"/>
      <c r="G59" s="397"/>
      <c r="H59" s="397"/>
      <c r="I59" s="397"/>
      <c r="J59" s="397"/>
      <c r="K59" s="397"/>
      <c r="L59" s="397"/>
      <c r="M59" s="397"/>
      <c r="N59" s="397"/>
      <c r="O59" s="397"/>
      <c r="P59" s="397"/>
      <c r="Q59" s="397"/>
      <c r="R59" s="397"/>
      <c r="S59" s="397"/>
      <c r="T59" s="397"/>
      <c r="U59" s="397"/>
      <c r="V59" s="397"/>
      <c r="W59" s="398"/>
    </row>
    <row r="60" spans="1:25" ht="15.75" collapsed="1" x14ac:dyDescent="0.25">
      <c r="A60" s="378" t="s">
        <v>88</v>
      </c>
      <c r="B60" s="377" t="str">
        <f>B55</f>
        <v>Conf/Seminar</v>
      </c>
      <c r="C60" s="386">
        <v>0</v>
      </c>
      <c r="D60" s="386">
        <v>2</v>
      </c>
      <c r="F60" s="399">
        <f t="shared" ref="F60:L62" si="58">F55</f>
        <v>230</v>
      </c>
      <c r="G60" s="399">
        <f t="shared" si="58"/>
        <v>50</v>
      </c>
      <c r="H60" s="399">
        <f t="shared" si="58"/>
        <v>50</v>
      </c>
      <c r="I60" s="399">
        <f t="shared" si="58"/>
        <v>10</v>
      </c>
      <c r="J60" s="399">
        <f t="shared" si="58"/>
        <v>415</v>
      </c>
      <c r="K60" s="399">
        <f t="shared" si="58"/>
        <v>0</v>
      </c>
      <c r="L60" s="399">
        <f t="shared" si="58"/>
        <v>0</v>
      </c>
      <c r="M60" s="388">
        <f>M55</f>
        <v>50</v>
      </c>
      <c r="N60" s="389"/>
      <c r="O60" s="389">
        <f>+C60*F60*D60</f>
        <v>0</v>
      </c>
      <c r="P60" s="389">
        <f>+C60*G60*D60</f>
        <v>0</v>
      </c>
      <c r="Q60" s="389">
        <f>+C60*H60*D60</f>
        <v>0</v>
      </c>
      <c r="R60" s="389">
        <f>I60*D60*C60</f>
        <v>0</v>
      </c>
      <c r="S60" s="389">
        <f>L60*C60</f>
        <v>0</v>
      </c>
      <c r="T60" s="389">
        <f>+C60*J60</f>
        <v>0</v>
      </c>
      <c r="U60" s="389">
        <f>+C60*K60</f>
        <v>0</v>
      </c>
      <c r="V60" s="389">
        <f>+C60*M60</f>
        <v>0</v>
      </c>
      <c r="W60" s="390">
        <f>SUM(O60:V60)</f>
        <v>0</v>
      </c>
    </row>
    <row r="61" spans="1:25" ht="15.75" hidden="1" outlineLevel="1" x14ac:dyDescent="0.25">
      <c r="B61" s="377" t="str">
        <f t="shared" ref="B61:B62" si="59">B56</f>
        <v>Conf/Seminar</v>
      </c>
      <c r="C61" s="386"/>
      <c r="D61" s="386"/>
      <c r="F61" s="399">
        <f t="shared" si="58"/>
        <v>230</v>
      </c>
      <c r="G61" s="399">
        <f t="shared" si="58"/>
        <v>50</v>
      </c>
      <c r="H61" s="399">
        <f t="shared" si="58"/>
        <v>50</v>
      </c>
      <c r="I61" s="399">
        <f t="shared" si="58"/>
        <v>10</v>
      </c>
      <c r="J61" s="399">
        <f t="shared" si="58"/>
        <v>415</v>
      </c>
      <c r="K61" s="399">
        <f t="shared" si="58"/>
        <v>0</v>
      </c>
      <c r="L61" s="399">
        <f t="shared" si="58"/>
        <v>0</v>
      </c>
      <c r="M61" s="388">
        <f>M56</f>
        <v>50</v>
      </c>
      <c r="N61" s="389"/>
      <c r="O61" s="389">
        <f>+C61*F61*D61</f>
        <v>0</v>
      </c>
      <c r="P61" s="389">
        <f>+C61*G61*D61</f>
        <v>0</v>
      </c>
      <c r="Q61" s="389">
        <f>+C61*H61*D61</f>
        <v>0</v>
      </c>
      <c r="R61" s="389">
        <f>I61*D61*C61</f>
        <v>0</v>
      </c>
      <c r="S61" s="389">
        <f>L61*C61</f>
        <v>0</v>
      </c>
      <c r="T61" s="389">
        <f>+C61*J61</f>
        <v>0</v>
      </c>
      <c r="U61" s="389">
        <f>+C61*K61</f>
        <v>0</v>
      </c>
      <c r="V61" s="389">
        <f>+C61*M61</f>
        <v>0</v>
      </c>
      <c r="W61" s="390">
        <f>SUM(O61:V61)</f>
        <v>0</v>
      </c>
    </row>
    <row r="62" spans="1:25" ht="15.75" hidden="1" outlineLevel="1" x14ac:dyDescent="0.25">
      <c r="B62" s="377" t="str">
        <f t="shared" si="59"/>
        <v>Corp/Region mtg</v>
      </c>
      <c r="C62" s="386"/>
      <c r="D62" s="386"/>
      <c r="F62" s="399">
        <f t="shared" si="58"/>
        <v>230</v>
      </c>
      <c r="G62" s="399">
        <f t="shared" si="58"/>
        <v>50</v>
      </c>
      <c r="H62" s="399">
        <f t="shared" si="58"/>
        <v>50</v>
      </c>
      <c r="I62" s="399">
        <f>I61</f>
        <v>10</v>
      </c>
      <c r="J62" s="399">
        <f>J57</f>
        <v>415</v>
      </c>
      <c r="K62" s="399">
        <f>K61</f>
        <v>0</v>
      </c>
      <c r="L62" s="399">
        <f t="shared" ref="L62" si="60">L61</f>
        <v>0</v>
      </c>
      <c r="M62" s="388">
        <f>M57</f>
        <v>50</v>
      </c>
      <c r="N62" s="389"/>
      <c r="O62" s="389">
        <f>+C62*F62*D62</f>
        <v>0</v>
      </c>
      <c r="P62" s="389">
        <f>+C62*G62*D62</f>
        <v>0</v>
      </c>
      <c r="Q62" s="389">
        <f>+C62*H62*D62</f>
        <v>0</v>
      </c>
      <c r="R62" s="389">
        <f>I62*D62*C62</f>
        <v>0</v>
      </c>
      <c r="S62" s="389">
        <f>L62*C62</f>
        <v>0</v>
      </c>
      <c r="T62" s="389">
        <f>+C62*J62</f>
        <v>0</v>
      </c>
      <c r="U62" s="389">
        <f>+C62*K62</f>
        <v>0</v>
      </c>
      <c r="V62" s="389">
        <f>+C62*M62</f>
        <v>0</v>
      </c>
      <c r="W62" s="390">
        <f>SUM(O62:V62)</f>
        <v>0</v>
      </c>
    </row>
    <row r="63" spans="1:25" ht="16.5" hidden="1" outlineLevel="1" thickBot="1" x14ac:dyDescent="0.3">
      <c r="A63" s="393" t="s">
        <v>564</v>
      </c>
      <c r="B63" s="394"/>
      <c r="C63" s="401">
        <f>SUM(C60:C62)</f>
        <v>0</v>
      </c>
      <c r="D63" s="401">
        <f>SUM(D60:D62)</f>
        <v>2</v>
      </c>
      <c r="E63" s="394"/>
      <c r="F63" s="395">
        <f t="shared" ref="F63:M63" si="61">SUM(F60:F62)</f>
        <v>690</v>
      </c>
      <c r="G63" s="395">
        <f t="shared" si="61"/>
        <v>150</v>
      </c>
      <c r="H63" s="395">
        <f t="shared" si="61"/>
        <v>150</v>
      </c>
      <c r="I63" s="395">
        <f>SUM(I60:I62)</f>
        <v>30</v>
      </c>
      <c r="J63" s="395">
        <f>SUM(J60:J62)</f>
        <v>1245</v>
      </c>
      <c r="K63" s="395">
        <f t="shared" si="61"/>
        <v>0</v>
      </c>
      <c r="L63" s="395">
        <f t="shared" si="61"/>
        <v>0</v>
      </c>
      <c r="M63" s="395">
        <f t="shared" si="61"/>
        <v>150</v>
      </c>
      <c r="N63" s="389"/>
      <c r="O63" s="395">
        <f t="shared" ref="O63:W63" si="62">SUM(O60:O62)</f>
        <v>0</v>
      </c>
      <c r="P63" s="395">
        <f t="shared" si="62"/>
        <v>0</v>
      </c>
      <c r="Q63" s="395">
        <f t="shared" si="62"/>
        <v>0</v>
      </c>
      <c r="R63" s="395">
        <f>SUM(R60:R62)</f>
        <v>0</v>
      </c>
      <c r="S63" s="395">
        <f>SUM(S60:S62)</f>
        <v>0</v>
      </c>
      <c r="T63" s="395">
        <f>SUM(T60:T62)</f>
        <v>0</v>
      </c>
      <c r="U63" s="395">
        <f>SUM(U60:U62)</f>
        <v>0</v>
      </c>
      <c r="V63" s="395">
        <f t="shared" si="62"/>
        <v>0</v>
      </c>
      <c r="W63" s="396">
        <f t="shared" si="62"/>
        <v>0</v>
      </c>
    </row>
    <row r="64" spans="1:25" ht="15.75" hidden="1" outlineLevel="1" thickTop="1" x14ac:dyDescent="0.25">
      <c r="F64" s="397"/>
      <c r="G64" s="397"/>
      <c r="H64" s="397"/>
      <c r="I64" s="397"/>
      <c r="J64" s="397"/>
      <c r="K64" s="397"/>
      <c r="L64" s="397"/>
      <c r="M64" s="397"/>
      <c r="N64" s="397"/>
      <c r="O64" s="397"/>
      <c r="P64" s="397"/>
      <c r="Q64" s="397"/>
      <c r="R64" s="397"/>
      <c r="S64" s="397"/>
      <c r="T64" s="397"/>
      <c r="U64" s="397"/>
      <c r="V64" s="397"/>
      <c r="W64" s="398"/>
    </row>
    <row r="65" spans="1:23" ht="15.75" collapsed="1" x14ac:dyDescent="0.25">
      <c r="A65" s="378" t="s">
        <v>89</v>
      </c>
      <c r="B65" s="377" t="str">
        <f>B60</f>
        <v>Conf/Seminar</v>
      </c>
      <c r="C65" s="386">
        <v>0</v>
      </c>
      <c r="D65" s="386">
        <v>2</v>
      </c>
      <c r="F65" s="399">
        <f t="shared" ref="F65:L66" si="63">F60</f>
        <v>230</v>
      </c>
      <c r="G65" s="399">
        <f t="shared" si="63"/>
        <v>50</v>
      </c>
      <c r="H65" s="399">
        <f t="shared" si="63"/>
        <v>50</v>
      </c>
      <c r="I65" s="399">
        <f t="shared" si="63"/>
        <v>10</v>
      </c>
      <c r="J65" s="399">
        <f t="shared" si="63"/>
        <v>415</v>
      </c>
      <c r="K65" s="399">
        <f t="shared" si="63"/>
        <v>0</v>
      </c>
      <c r="L65" s="399">
        <f t="shared" si="63"/>
        <v>0</v>
      </c>
      <c r="M65" s="388">
        <f>M60</f>
        <v>50</v>
      </c>
      <c r="N65" s="389"/>
      <c r="O65" s="389">
        <f>+C65*F65*D65</f>
        <v>0</v>
      </c>
      <c r="P65" s="389">
        <f>+C65*G65*D65</f>
        <v>0</v>
      </c>
      <c r="Q65" s="389">
        <f>+C65*H65*D65</f>
        <v>0</v>
      </c>
      <c r="R65" s="389">
        <f>I65*D65*C65</f>
        <v>0</v>
      </c>
      <c r="S65" s="389">
        <f>L65*C65</f>
        <v>0</v>
      </c>
      <c r="T65" s="389">
        <f>+C65*J65</f>
        <v>0</v>
      </c>
      <c r="U65" s="389">
        <f>+C65*K65</f>
        <v>0</v>
      </c>
      <c r="V65" s="389">
        <f>+C65*M65</f>
        <v>0</v>
      </c>
      <c r="W65" s="390">
        <f>SUM(O65:V65)</f>
        <v>0</v>
      </c>
    </row>
    <row r="66" spans="1:23" ht="15.75" hidden="1" outlineLevel="1" x14ac:dyDescent="0.25">
      <c r="B66" s="377" t="str">
        <f t="shared" ref="B66" si="64">B61</f>
        <v>Conf/Seminar</v>
      </c>
      <c r="C66" s="386"/>
      <c r="D66" s="386"/>
      <c r="F66" s="399">
        <f t="shared" si="63"/>
        <v>230</v>
      </c>
      <c r="G66" s="399">
        <f t="shared" si="63"/>
        <v>50</v>
      </c>
      <c r="H66" s="399">
        <f t="shared" si="63"/>
        <v>50</v>
      </c>
      <c r="I66" s="399">
        <f t="shared" si="63"/>
        <v>10</v>
      </c>
      <c r="J66" s="399">
        <f t="shared" si="63"/>
        <v>415</v>
      </c>
      <c r="K66" s="399">
        <f t="shared" si="63"/>
        <v>0</v>
      </c>
      <c r="L66" s="399">
        <f t="shared" si="63"/>
        <v>0</v>
      </c>
      <c r="M66" s="388">
        <f>M61</f>
        <v>50</v>
      </c>
      <c r="N66" s="389"/>
      <c r="O66" s="389">
        <f>+C66*F66*D66</f>
        <v>0</v>
      </c>
      <c r="P66" s="389">
        <f>+C66*G66*D66</f>
        <v>0</v>
      </c>
      <c r="Q66" s="389">
        <f>+C66*H66*D66</f>
        <v>0</v>
      </c>
      <c r="R66" s="389">
        <f>I66*D66*C66</f>
        <v>0</v>
      </c>
      <c r="S66" s="389">
        <f>L66*C66</f>
        <v>0</v>
      </c>
      <c r="T66" s="389">
        <f>+C66*J66</f>
        <v>0</v>
      </c>
      <c r="U66" s="389">
        <f>+C66*K66</f>
        <v>0</v>
      </c>
      <c r="V66" s="389">
        <f>+C66*M66</f>
        <v>0</v>
      </c>
      <c r="W66" s="390">
        <f>SUM(O66:V66)</f>
        <v>0</v>
      </c>
    </row>
    <row r="67" spans="1:23" ht="15.75" hidden="1" outlineLevel="1" x14ac:dyDescent="0.25">
      <c r="B67" s="377" t="str">
        <f>B62</f>
        <v>Corp/Region mtg</v>
      </c>
      <c r="C67" s="386"/>
      <c r="D67" s="386"/>
      <c r="F67" s="399">
        <f>F62</f>
        <v>230</v>
      </c>
      <c r="G67" s="399">
        <f>G62</f>
        <v>50</v>
      </c>
      <c r="H67" s="399">
        <f>H62</f>
        <v>50</v>
      </c>
      <c r="I67" s="399">
        <f>I66</f>
        <v>10</v>
      </c>
      <c r="J67" s="399">
        <f>J62</f>
        <v>415</v>
      </c>
      <c r="K67" s="399">
        <f>K66</f>
        <v>0</v>
      </c>
      <c r="L67" s="399">
        <f>L66</f>
        <v>0</v>
      </c>
      <c r="M67" s="388">
        <f>M62</f>
        <v>50</v>
      </c>
      <c r="N67" s="389"/>
      <c r="O67" s="389">
        <f>+C67*F67*D67</f>
        <v>0</v>
      </c>
      <c r="P67" s="389">
        <f>+C67*G67*D67</f>
        <v>0</v>
      </c>
      <c r="Q67" s="389">
        <f>+C67*H67*D67</f>
        <v>0</v>
      </c>
      <c r="R67" s="389">
        <f>I67*D67*C67</f>
        <v>0</v>
      </c>
      <c r="S67" s="389">
        <f>L67*C67</f>
        <v>0</v>
      </c>
      <c r="T67" s="389">
        <f>+C67*J67</f>
        <v>0</v>
      </c>
      <c r="U67" s="389">
        <f>+C67*K67</f>
        <v>0</v>
      </c>
      <c r="V67" s="389">
        <f>+C67*M67</f>
        <v>0</v>
      </c>
      <c r="W67" s="390">
        <f>SUM(O67:V67)</f>
        <v>0</v>
      </c>
    </row>
    <row r="68" spans="1:23" ht="16.5" hidden="1" outlineLevel="1" thickBot="1" x14ac:dyDescent="0.3">
      <c r="A68" s="393" t="s">
        <v>565</v>
      </c>
      <c r="B68" s="394"/>
      <c r="C68" s="401">
        <f>SUM(C65:C67)</f>
        <v>0</v>
      </c>
      <c r="D68" s="401">
        <f>SUM(D65:D67)</f>
        <v>2</v>
      </c>
      <c r="E68" s="394"/>
      <c r="F68" s="395">
        <f t="shared" ref="F68:M68" si="65">SUM(F65:F67)</f>
        <v>690</v>
      </c>
      <c r="G68" s="395">
        <f t="shared" si="65"/>
        <v>150</v>
      </c>
      <c r="H68" s="395">
        <f t="shared" si="65"/>
        <v>150</v>
      </c>
      <c r="I68" s="395">
        <f t="shared" si="65"/>
        <v>30</v>
      </c>
      <c r="J68" s="395">
        <f t="shared" si="65"/>
        <v>1245</v>
      </c>
      <c r="K68" s="395">
        <f t="shared" si="65"/>
        <v>0</v>
      </c>
      <c r="L68" s="395">
        <f t="shared" si="65"/>
        <v>0</v>
      </c>
      <c r="M68" s="395">
        <f t="shared" si="65"/>
        <v>150</v>
      </c>
      <c r="N68" s="389"/>
      <c r="O68" s="395">
        <f t="shared" ref="O68:W68" si="66">SUM(O65:O67)</f>
        <v>0</v>
      </c>
      <c r="P68" s="395">
        <f t="shared" si="66"/>
        <v>0</v>
      </c>
      <c r="Q68" s="395">
        <f t="shared" si="66"/>
        <v>0</v>
      </c>
      <c r="R68" s="395">
        <f t="shared" si="66"/>
        <v>0</v>
      </c>
      <c r="S68" s="395">
        <f t="shared" si="66"/>
        <v>0</v>
      </c>
      <c r="T68" s="395">
        <f t="shared" si="66"/>
        <v>0</v>
      </c>
      <c r="U68" s="395">
        <f t="shared" si="66"/>
        <v>0</v>
      </c>
      <c r="V68" s="395">
        <f t="shared" si="66"/>
        <v>0</v>
      </c>
      <c r="W68" s="396">
        <f t="shared" si="66"/>
        <v>0</v>
      </c>
    </row>
    <row r="69" spans="1:23" collapsed="1" x14ac:dyDescent="0.25">
      <c r="F69" s="397"/>
      <c r="G69" s="397"/>
      <c r="H69" s="397"/>
      <c r="I69" s="397"/>
      <c r="J69" s="397"/>
      <c r="K69" s="397"/>
      <c r="L69" s="397"/>
      <c r="M69" s="397"/>
      <c r="N69" s="397"/>
      <c r="O69" s="397"/>
      <c r="P69" s="397"/>
      <c r="Q69" s="397"/>
      <c r="R69" s="397"/>
      <c r="S69" s="397"/>
      <c r="T69" s="397"/>
      <c r="U69" s="397"/>
      <c r="V69" s="397"/>
      <c r="W69" s="398"/>
    </row>
    <row r="70" spans="1:23" x14ac:dyDescent="0.25">
      <c r="F70" s="397"/>
      <c r="G70" s="397"/>
      <c r="H70" s="397"/>
      <c r="I70" s="397"/>
      <c r="J70" s="397"/>
      <c r="K70" s="397"/>
      <c r="L70" s="397"/>
      <c r="M70" s="397"/>
      <c r="N70" s="397"/>
      <c r="O70" s="397"/>
      <c r="P70" s="397"/>
      <c r="Q70" s="397"/>
      <c r="R70" s="397"/>
      <c r="S70" s="397"/>
      <c r="T70" s="397"/>
      <c r="U70" s="397"/>
      <c r="V70" s="397"/>
      <c r="W70" s="398"/>
    </row>
    <row r="71" spans="1:23" ht="15.75" thickBot="1" x14ac:dyDescent="0.3">
      <c r="A71" s="393" t="s">
        <v>122</v>
      </c>
      <c r="B71" s="394"/>
      <c r="C71" s="394">
        <f>SUM(C68,C63,C58,C53,C48,C42,C37,C32,C27,C21,C11,C16)</f>
        <v>3</v>
      </c>
      <c r="D71" s="394"/>
      <c r="E71" s="394"/>
      <c r="F71" s="403"/>
      <c r="G71" s="403"/>
      <c r="H71" s="403"/>
      <c r="I71" s="403"/>
      <c r="J71" s="403"/>
      <c r="K71" s="403"/>
      <c r="L71" s="403"/>
      <c r="M71" s="403"/>
      <c r="N71" s="403"/>
      <c r="O71" s="403">
        <f t="shared" ref="O71:W71" si="67">O68+O63+O58+O53+O48+O42+O37+O32+O27+O21+O16+O11</f>
        <v>1380</v>
      </c>
      <c r="P71" s="403">
        <f t="shared" si="67"/>
        <v>300</v>
      </c>
      <c r="Q71" s="403">
        <f t="shared" si="67"/>
        <v>300</v>
      </c>
      <c r="R71" s="403">
        <f t="shared" si="67"/>
        <v>60</v>
      </c>
      <c r="S71" s="403">
        <f t="shared" si="67"/>
        <v>0</v>
      </c>
      <c r="T71" s="403">
        <f t="shared" si="67"/>
        <v>1245</v>
      </c>
      <c r="U71" s="403">
        <f t="shared" si="67"/>
        <v>0</v>
      </c>
      <c r="V71" s="403">
        <f t="shared" si="67"/>
        <v>150</v>
      </c>
      <c r="W71" s="404">
        <f t="shared" si="67"/>
        <v>3435</v>
      </c>
    </row>
    <row r="72" spans="1:23" ht="15.75" thickTop="1" x14ac:dyDescent="0.25"/>
  </sheetData>
  <mergeCells count="4">
    <mergeCell ref="F4:M4"/>
    <mergeCell ref="O4:W4"/>
    <mergeCell ref="F6:I6"/>
    <mergeCell ref="J6:M6"/>
  </mergeCells>
  <pageMargins left="0.25" right="0.25" top="0.75" bottom="0.75" header="0.3" footer="0.3"/>
  <pageSetup paperSize="3" scale="91"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18"/>
  <sheetViews>
    <sheetView workbookViewId="0">
      <selection activeCell="F11" sqref="F11"/>
    </sheetView>
  </sheetViews>
  <sheetFormatPr defaultColWidth="8.875" defaultRowHeight="15" x14ac:dyDescent="0.25"/>
  <cols>
    <col min="1" max="1" width="8.875" style="360"/>
    <col min="2" max="2" width="19.375" style="360" bestFit="1" customWidth="1"/>
    <col min="3" max="14" width="8.875" style="360"/>
    <col min="15" max="15" width="10.375" style="360" bestFit="1" customWidth="1"/>
    <col min="16" max="16384" width="8.875" style="360"/>
  </cols>
  <sheetData>
    <row r="1" spans="1:16" ht="15.75" thickBot="1" x14ac:dyDescent="0.3">
      <c r="A1" s="405" t="s">
        <v>566</v>
      </c>
      <c r="B1" s="406"/>
      <c r="C1" s="406"/>
      <c r="D1" s="406"/>
      <c r="E1" s="406"/>
      <c r="F1" s="406"/>
      <c r="G1" s="406"/>
      <c r="H1" s="406"/>
      <c r="I1" s="406"/>
      <c r="J1" s="406"/>
      <c r="K1" s="406"/>
      <c r="L1" s="406"/>
      <c r="M1" s="406"/>
      <c r="N1" s="406"/>
      <c r="O1" s="406"/>
    </row>
    <row r="2" spans="1:16" x14ac:dyDescent="0.25">
      <c r="A2" s="402"/>
      <c r="B2" s="402"/>
      <c r="C2" s="402"/>
      <c r="D2" s="402"/>
      <c r="E2" s="402"/>
      <c r="F2" s="402"/>
      <c r="G2" s="402"/>
      <c r="H2" s="402"/>
      <c r="I2" s="402"/>
      <c r="J2" s="402"/>
      <c r="K2" s="402"/>
      <c r="L2" s="402"/>
      <c r="M2" s="402"/>
      <c r="N2" s="402"/>
      <c r="O2" s="402"/>
    </row>
    <row r="3" spans="1:16" x14ac:dyDescent="0.25">
      <c r="A3" s="407" t="s">
        <v>567</v>
      </c>
      <c r="B3" s="408" t="s">
        <v>568</v>
      </c>
      <c r="C3" s="409">
        <v>43101</v>
      </c>
      <c r="D3" s="409">
        <v>43132</v>
      </c>
      <c r="E3" s="409">
        <v>43160</v>
      </c>
      <c r="F3" s="409">
        <v>43191</v>
      </c>
      <c r="G3" s="409">
        <v>43221</v>
      </c>
      <c r="H3" s="409">
        <v>43252</v>
      </c>
      <c r="I3" s="409">
        <v>43282</v>
      </c>
      <c r="J3" s="409">
        <v>43313</v>
      </c>
      <c r="K3" s="409">
        <v>43344</v>
      </c>
      <c r="L3" s="409">
        <v>43374</v>
      </c>
      <c r="M3" s="409">
        <v>43405</v>
      </c>
      <c r="N3" s="409">
        <v>43435</v>
      </c>
      <c r="O3" s="410" t="s">
        <v>569</v>
      </c>
    </row>
    <row r="4" spans="1:16" x14ac:dyDescent="0.25">
      <c r="A4" s="411"/>
      <c r="B4" s="412"/>
      <c r="C4" s="402"/>
      <c r="D4" s="402"/>
      <c r="E4" s="402"/>
      <c r="F4" s="402"/>
      <c r="G4" s="402"/>
      <c r="H4" s="402"/>
      <c r="I4" s="402"/>
      <c r="J4" s="402"/>
      <c r="K4" s="402"/>
      <c r="L4" s="402"/>
      <c r="M4" s="402"/>
      <c r="N4" s="402"/>
      <c r="O4" s="402"/>
    </row>
    <row r="5" spans="1:16" ht="15.75" x14ac:dyDescent="0.25">
      <c r="A5" s="411"/>
      <c r="B5" s="413" t="s">
        <v>570</v>
      </c>
      <c r="C5" s="414">
        <f>'Travel Input'!T11+'Travel Input'!U11</f>
        <v>415</v>
      </c>
      <c r="D5" s="414">
        <f>'Travel Input'!T16+'Travel Input'!U16</f>
        <v>0</v>
      </c>
      <c r="E5" s="414">
        <f>'Travel Input'!T21+'Travel Input'!U21</f>
        <v>0</v>
      </c>
      <c r="F5" s="414">
        <f>'Travel Input'!T27+'Travel Input'!U27</f>
        <v>0</v>
      </c>
      <c r="G5" s="414">
        <f>'Travel Input'!T32+'Travel Input'!U32</f>
        <v>415</v>
      </c>
      <c r="H5" s="414">
        <f>'Travel Input'!T37+'Travel Input'!U37</f>
        <v>0</v>
      </c>
      <c r="I5" s="414">
        <f>'Travel Input'!T42+'Travel Input'!U42</f>
        <v>0</v>
      </c>
      <c r="J5" s="414">
        <f>'Travel Input'!T48+'Travel Input'!U48</f>
        <v>0</v>
      </c>
      <c r="K5" s="414">
        <f>'Travel Input'!T53+'Travel Input'!U53</f>
        <v>0</v>
      </c>
      <c r="L5" s="414">
        <f>'Travel Input'!T58+'Travel Input'!U58</f>
        <v>415</v>
      </c>
      <c r="M5" s="414">
        <f>'Travel Input'!T63+'Travel Input'!U63</f>
        <v>0</v>
      </c>
      <c r="N5" s="414">
        <f>'Travel Input'!T68+'Travel Input'!U68</f>
        <v>0</v>
      </c>
      <c r="O5" s="414">
        <f>SUM(C5:N5)</f>
        <v>1245</v>
      </c>
    </row>
    <row r="6" spans="1:16" ht="15.75" x14ac:dyDescent="0.25">
      <c r="A6" s="411"/>
      <c r="B6" s="413" t="s">
        <v>571</v>
      </c>
      <c r="C6" s="414">
        <f>'Travel Input'!O11</f>
        <v>460</v>
      </c>
      <c r="D6" s="414">
        <f>'Travel Input'!O16</f>
        <v>0</v>
      </c>
      <c r="E6" s="414">
        <f>'Travel Input'!O21</f>
        <v>0</v>
      </c>
      <c r="F6" s="414">
        <f>'Travel Input'!O27</f>
        <v>0</v>
      </c>
      <c r="G6" s="414">
        <f>'Travel Input'!O32</f>
        <v>460</v>
      </c>
      <c r="H6" s="414">
        <f>'Travel Input'!O37</f>
        <v>0</v>
      </c>
      <c r="I6" s="414">
        <f>'Travel Input'!O42</f>
        <v>0</v>
      </c>
      <c r="J6" s="414">
        <f>'Travel Input'!O48</f>
        <v>0</v>
      </c>
      <c r="K6" s="414">
        <f>'Travel Input'!O53</f>
        <v>0</v>
      </c>
      <c r="L6" s="414">
        <f>'Travel Input'!O58</f>
        <v>460</v>
      </c>
      <c r="M6" s="414">
        <f>'Travel Input'!O63</f>
        <v>0</v>
      </c>
      <c r="N6" s="414">
        <f>'Travel Input'!O68</f>
        <v>0</v>
      </c>
      <c r="O6" s="414">
        <f t="shared" ref="O6:O8" si="0">SUM(C6:N6)</f>
        <v>1380</v>
      </c>
    </row>
    <row r="7" spans="1:16" ht="15.75" x14ac:dyDescent="0.25">
      <c r="A7" s="411"/>
      <c r="B7" s="413" t="s">
        <v>572</v>
      </c>
      <c r="C7" s="414">
        <f>'Travel Input'!R11</f>
        <v>20</v>
      </c>
      <c r="D7" s="414">
        <f>'Travel Input'!R16</f>
        <v>0</v>
      </c>
      <c r="E7" s="414">
        <f>'Travel Input'!R21</f>
        <v>0</v>
      </c>
      <c r="F7" s="414">
        <f>'Travel Input'!R27</f>
        <v>0</v>
      </c>
      <c r="G7" s="414">
        <f>'Travel Input'!R32</f>
        <v>20</v>
      </c>
      <c r="H7" s="414">
        <f>'Travel Input'!R37</f>
        <v>0</v>
      </c>
      <c r="I7" s="414">
        <f>'Travel Input'!R42</f>
        <v>0</v>
      </c>
      <c r="J7" s="414">
        <f>'Travel Input'!R48</f>
        <v>0</v>
      </c>
      <c r="K7" s="414">
        <f>'Travel Input'!R53</f>
        <v>0</v>
      </c>
      <c r="L7" s="414">
        <f>'Travel Input'!R58</f>
        <v>20</v>
      </c>
      <c r="M7" s="414">
        <f>'Travel Input'!R63</f>
        <v>0</v>
      </c>
      <c r="N7" s="414">
        <f>'Travel Input'!R68</f>
        <v>0</v>
      </c>
      <c r="O7" s="414">
        <f t="shared" si="0"/>
        <v>60</v>
      </c>
    </row>
    <row r="8" spans="1:16" ht="15.75" x14ac:dyDescent="0.25">
      <c r="A8" s="411"/>
      <c r="B8" s="413" t="s">
        <v>573</v>
      </c>
      <c r="C8" s="414">
        <f>'Travel Input'!S11</f>
        <v>0</v>
      </c>
      <c r="D8" s="414">
        <f>'Travel Input'!S16</f>
        <v>0</v>
      </c>
      <c r="E8" s="414">
        <f>'Travel Input'!S21</f>
        <v>0</v>
      </c>
      <c r="F8" s="414">
        <f>'Travel Input'!S27</f>
        <v>0</v>
      </c>
      <c r="G8" s="414">
        <f>'Travel Input'!S32</f>
        <v>0</v>
      </c>
      <c r="H8" s="414">
        <f>'Travel Input'!S37</f>
        <v>0</v>
      </c>
      <c r="I8" s="414">
        <f>'Travel Input'!S42</f>
        <v>0</v>
      </c>
      <c r="J8" s="414">
        <f>'Travel Input'!S48</f>
        <v>0</v>
      </c>
      <c r="K8" s="414">
        <f>'Travel Input'!S53</f>
        <v>0</v>
      </c>
      <c r="L8" s="414">
        <f>'Travel Input'!S58</f>
        <v>0</v>
      </c>
      <c r="M8" s="414">
        <f>'Travel Input'!S63</f>
        <v>0</v>
      </c>
      <c r="N8" s="414">
        <f>'Travel Input'!S68</f>
        <v>0</v>
      </c>
      <c r="O8" s="414">
        <f t="shared" si="0"/>
        <v>0</v>
      </c>
    </row>
    <row r="9" spans="1:16" ht="15.75" x14ac:dyDescent="0.25">
      <c r="A9" s="411"/>
      <c r="B9" s="413" t="s">
        <v>574</v>
      </c>
      <c r="C9" s="414">
        <f>'Travel Input'!V11</f>
        <v>50</v>
      </c>
      <c r="D9" s="414">
        <f>'Travel Input'!V16</f>
        <v>0</v>
      </c>
      <c r="E9" s="414">
        <f>'Travel Input'!V21</f>
        <v>0</v>
      </c>
      <c r="F9" s="414">
        <f>'Travel Input'!V27</f>
        <v>0</v>
      </c>
      <c r="G9" s="414">
        <f>'Travel Input'!V32</f>
        <v>50</v>
      </c>
      <c r="H9" s="414">
        <f>'Travel Input'!V37</f>
        <v>0</v>
      </c>
      <c r="I9" s="414">
        <f>'Travel Input'!V42</f>
        <v>0</v>
      </c>
      <c r="J9" s="414">
        <f>'Travel Input'!V48</f>
        <v>0</v>
      </c>
      <c r="K9" s="414">
        <f>'Travel Input'!V53</f>
        <v>0</v>
      </c>
      <c r="L9" s="414">
        <f>'Travel Input'!V58</f>
        <v>50</v>
      </c>
      <c r="M9" s="414">
        <f>'Travel Input'!V63</f>
        <v>0</v>
      </c>
      <c r="N9" s="414">
        <f>'Travel Input'!V68</f>
        <v>0</v>
      </c>
      <c r="O9" s="414">
        <f>SUM(C9:N9)</f>
        <v>150</v>
      </c>
    </row>
    <row r="10" spans="1:16" ht="15.75" x14ac:dyDescent="0.25">
      <c r="A10" s="411"/>
      <c r="B10" s="413" t="s">
        <v>575</v>
      </c>
      <c r="C10" s="414">
        <f>'Travel Input'!P11</f>
        <v>100</v>
      </c>
      <c r="D10" s="414">
        <f>'Travel Input'!P16</f>
        <v>0</v>
      </c>
      <c r="E10" s="414">
        <f>'Travel Input'!P21</f>
        <v>0</v>
      </c>
      <c r="F10" s="414">
        <f>'Travel Input'!P27</f>
        <v>0</v>
      </c>
      <c r="G10" s="414">
        <f>'Travel Input'!P32</f>
        <v>100</v>
      </c>
      <c r="H10" s="414">
        <f>'Travel Input'!P37</f>
        <v>0</v>
      </c>
      <c r="I10" s="414">
        <f>'Travel Input'!P42</f>
        <v>0</v>
      </c>
      <c r="J10" s="414">
        <f>'Travel Input'!P48</f>
        <v>0</v>
      </c>
      <c r="K10" s="414">
        <f>'Travel Input'!P53</f>
        <v>0</v>
      </c>
      <c r="L10" s="414">
        <f>'Travel Input'!P58</f>
        <v>100</v>
      </c>
      <c r="M10" s="414">
        <f>'Travel Input'!P63</f>
        <v>0</v>
      </c>
      <c r="N10" s="414">
        <f>'Travel Input'!P68</f>
        <v>0</v>
      </c>
      <c r="O10" s="414">
        <f>SUM(C10:N10)</f>
        <v>300</v>
      </c>
    </row>
    <row r="11" spans="1:16" ht="15.75" x14ac:dyDescent="0.25">
      <c r="A11" s="411"/>
      <c r="B11" s="413" t="s">
        <v>576</v>
      </c>
      <c r="C11" s="414">
        <f>'Travel Input'!Q11</f>
        <v>100</v>
      </c>
      <c r="D11" s="414">
        <f>'Travel Input'!Q16</f>
        <v>0</v>
      </c>
      <c r="E11" s="414">
        <f>'Travel Input'!Q21</f>
        <v>0</v>
      </c>
      <c r="F11" s="414">
        <f>'Travel Input'!Q27</f>
        <v>0</v>
      </c>
      <c r="G11" s="414">
        <f>'Travel Input'!Q32</f>
        <v>100</v>
      </c>
      <c r="H11" s="414">
        <f>'Travel Input'!Q37</f>
        <v>0</v>
      </c>
      <c r="I11" s="414">
        <f>'Travel Input'!Q42</f>
        <v>0</v>
      </c>
      <c r="J11" s="414">
        <f>'Travel Input'!Q48</f>
        <v>0</v>
      </c>
      <c r="K11" s="414">
        <f>'Travel Input'!Q53</f>
        <v>0</v>
      </c>
      <c r="L11" s="414">
        <f>'Travel Input'!Q58</f>
        <v>100</v>
      </c>
      <c r="M11" s="414">
        <f>'Travel Input'!Q63</f>
        <v>0</v>
      </c>
      <c r="N11" s="414">
        <f>'Travel Input'!Q68</f>
        <v>0</v>
      </c>
      <c r="O11" s="414">
        <f>SUM(C11:N11)</f>
        <v>300</v>
      </c>
    </row>
    <row r="12" spans="1:16" ht="15.75" thickBot="1" x14ac:dyDescent="0.3">
      <c r="A12" s="415"/>
      <c r="B12" s="416" t="s">
        <v>577</v>
      </c>
      <c r="C12" s="417">
        <f t="shared" ref="C12:O12" si="1">SUM(C5:C11)</f>
        <v>1145</v>
      </c>
      <c r="D12" s="417">
        <f t="shared" si="1"/>
        <v>0</v>
      </c>
      <c r="E12" s="417">
        <f t="shared" si="1"/>
        <v>0</v>
      </c>
      <c r="F12" s="417">
        <f t="shared" si="1"/>
        <v>0</v>
      </c>
      <c r="G12" s="417">
        <f t="shared" si="1"/>
        <v>1145</v>
      </c>
      <c r="H12" s="417">
        <f t="shared" si="1"/>
        <v>0</v>
      </c>
      <c r="I12" s="417">
        <f t="shared" si="1"/>
        <v>0</v>
      </c>
      <c r="J12" s="417">
        <f t="shared" si="1"/>
        <v>0</v>
      </c>
      <c r="K12" s="417">
        <f t="shared" si="1"/>
        <v>0</v>
      </c>
      <c r="L12" s="417">
        <f t="shared" si="1"/>
        <v>1145</v>
      </c>
      <c r="M12" s="417">
        <f t="shared" si="1"/>
        <v>0</v>
      </c>
      <c r="N12" s="417">
        <f t="shared" si="1"/>
        <v>0</v>
      </c>
      <c r="O12" s="417">
        <f t="shared" si="1"/>
        <v>3435</v>
      </c>
    </row>
    <row r="13" spans="1:16" ht="15.75" thickTop="1" x14ac:dyDescent="0.25"/>
    <row r="14" spans="1:16" x14ac:dyDescent="0.25">
      <c r="N14" s="418" t="s">
        <v>578</v>
      </c>
      <c r="O14" s="360">
        <f>'Travel Input'!W71</f>
        <v>3435</v>
      </c>
    </row>
    <row r="15" spans="1:16" x14ac:dyDescent="0.25">
      <c r="N15" s="360" t="s">
        <v>579</v>
      </c>
      <c r="O15" s="419">
        <f>O12-O14</f>
        <v>0</v>
      </c>
      <c r="P15" s="37" t="str">
        <f>IF(O14=$O$12,"  ","ERROR")</f>
        <v xml:space="preserve">  </v>
      </c>
    </row>
    <row r="16" spans="1:16" x14ac:dyDescent="0.25">
      <c r="N16" s="418" t="s">
        <v>1253</v>
      </c>
      <c r="O16" s="360">
        <f>HistoricalView!AA113</f>
        <v>3435</v>
      </c>
      <c r="P16" s="37"/>
    </row>
    <row r="17" spans="14:16" x14ac:dyDescent="0.25">
      <c r="N17" s="360" t="s">
        <v>579</v>
      </c>
      <c r="O17" s="419">
        <f>O12-O16</f>
        <v>0</v>
      </c>
      <c r="P17" s="37" t="str">
        <f>IF(O16=$O$12,"  ","ERROR")</f>
        <v xml:space="preserve">  </v>
      </c>
    </row>
    <row r="18" spans="14:16" x14ac:dyDescent="0.25">
      <c r="O18" s="313"/>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16"/>
  <sheetViews>
    <sheetView zoomScale="130" zoomScaleNormal="130" workbookViewId="0">
      <selection activeCell="F8" sqref="F8"/>
    </sheetView>
  </sheetViews>
  <sheetFormatPr defaultColWidth="7.625" defaultRowHeight="15" x14ac:dyDescent="0.25"/>
  <cols>
    <col min="1" max="1" width="4" style="25" customWidth="1"/>
    <col min="2" max="2" width="8.125" style="25" customWidth="1"/>
    <col min="3" max="3" width="12.875" style="25" customWidth="1"/>
    <col min="4" max="4" width="32.875" style="25" customWidth="1"/>
    <col min="5" max="5" width="7.625" style="25" customWidth="1"/>
    <col min="6" max="6" width="7.5" style="25" customWidth="1"/>
    <col min="7" max="7" width="2.125" style="25" customWidth="1"/>
    <col min="8" max="19" width="7.625" style="43"/>
    <col min="20" max="16384" width="7.625" style="25"/>
  </cols>
  <sheetData>
    <row r="1" spans="1:19" ht="18" x14ac:dyDescent="0.25">
      <c r="A1" s="561" t="s">
        <v>90</v>
      </c>
      <c r="B1" s="541"/>
      <c r="C1" s="541"/>
      <c r="D1" s="541"/>
      <c r="E1" s="541"/>
      <c r="F1" s="541"/>
    </row>
    <row r="2" spans="1:19" ht="18" x14ac:dyDescent="0.25">
      <c r="A2" s="561" t="s">
        <v>91</v>
      </c>
      <c r="B2" s="541"/>
      <c r="C2" s="541"/>
      <c r="D2" s="541"/>
      <c r="E2" s="541"/>
      <c r="F2" s="541"/>
    </row>
    <row r="3" spans="1:19" x14ac:dyDescent="0.25">
      <c r="A3" s="562" t="s">
        <v>92</v>
      </c>
      <c r="B3" s="541"/>
      <c r="C3" s="541"/>
      <c r="D3" s="541"/>
      <c r="E3" s="541"/>
      <c r="F3" s="541"/>
    </row>
    <row r="5" spans="1:19" x14ac:dyDescent="0.25">
      <c r="B5" s="26" t="s">
        <v>75</v>
      </c>
      <c r="C5" s="26" t="s">
        <v>76</v>
      </c>
      <c r="D5" s="26" t="s">
        <v>95</v>
      </c>
      <c r="E5" s="26" t="s">
        <v>96</v>
      </c>
      <c r="F5" s="26" t="s">
        <v>97</v>
      </c>
    </row>
    <row r="6" spans="1:19" ht="21.6" customHeight="1" x14ac:dyDescent="0.25">
      <c r="A6" s="560" t="s">
        <v>36</v>
      </c>
      <c r="B6" s="560"/>
      <c r="H6" s="35" t="s">
        <v>103</v>
      </c>
      <c r="I6" s="35" t="s">
        <v>104</v>
      </c>
      <c r="J6" s="35" t="s">
        <v>231</v>
      </c>
      <c r="K6" s="35" t="s">
        <v>232</v>
      </c>
      <c r="L6" s="35" t="s">
        <v>82</v>
      </c>
      <c r="M6" s="35" t="s">
        <v>233</v>
      </c>
      <c r="N6" s="35" t="s">
        <v>234</v>
      </c>
      <c r="O6" s="35" t="s">
        <v>235</v>
      </c>
      <c r="P6" s="35" t="s">
        <v>236</v>
      </c>
      <c r="Q6" s="35" t="s">
        <v>237</v>
      </c>
      <c r="R6" s="35" t="s">
        <v>238</v>
      </c>
      <c r="S6" s="35" t="s">
        <v>239</v>
      </c>
    </row>
    <row r="7" spans="1:19" x14ac:dyDescent="0.25">
      <c r="B7" s="27" t="s">
        <v>235</v>
      </c>
      <c r="C7" s="28" t="s">
        <v>98</v>
      </c>
      <c r="D7" s="28" t="s">
        <v>99</v>
      </c>
      <c r="E7" s="28" t="s">
        <v>36</v>
      </c>
      <c r="F7" s="439">
        <v>6000</v>
      </c>
      <c r="H7" s="44"/>
      <c r="I7" s="44"/>
      <c r="J7" s="44"/>
      <c r="K7" s="44"/>
      <c r="L7" s="44"/>
      <c r="M7" s="44"/>
      <c r="N7" s="44"/>
      <c r="O7" s="44">
        <f>F7</f>
        <v>6000</v>
      </c>
      <c r="P7" s="44"/>
      <c r="Q7" s="44"/>
      <c r="R7" s="44"/>
      <c r="S7" s="44"/>
    </row>
    <row r="8" spans="1:19" s="34" customFormat="1" x14ac:dyDescent="0.25">
      <c r="B8" s="45" t="s">
        <v>88</v>
      </c>
      <c r="C8" s="46" t="s">
        <v>100</v>
      </c>
      <c r="D8" s="46" t="s">
        <v>1283</v>
      </c>
      <c r="E8" s="46" t="s">
        <v>36</v>
      </c>
      <c r="F8" s="440">
        <v>2100</v>
      </c>
      <c r="H8" s="44"/>
      <c r="I8" s="44"/>
      <c r="J8" s="44"/>
      <c r="K8" s="44"/>
      <c r="L8" s="44"/>
      <c r="M8" s="44"/>
      <c r="N8" s="44"/>
      <c r="O8" s="44"/>
      <c r="P8" s="44"/>
      <c r="Q8" s="44"/>
      <c r="R8" s="44">
        <f>F8</f>
        <v>2100</v>
      </c>
      <c r="S8" s="44"/>
    </row>
    <row r="9" spans="1:19" ht="24.95" customHeight="1" x14ac:dyDescent="0.25">
      <c r="B9" s="517" t="s">
        <v>241</v>
      </c>
      <c r="C9" s="518" t="s">
        <v>101</v>
      </c>
      <c r="D9" s="518" t="s">
        <v>1284</v>
      </c>
      <c r="E9" s="518" t="s">
        <v>36</v>
      </c>
      <c r="F9" s="519">
        <f>252*9</f>
        <v>2268</v>
      </c>
      <c r="G9" s="520"/>
      <c r="H9" s="521">
        <v>252</v>
      </c>
      <c r="I9" s="521">
        <v>252</v>
      </c>
      <c r="J9" s="521">
        <v>252</v>
      </c>
      <c r="K9" s="521">
        <v>252</v>
      </c>
      <c r="L9" s="521">
        <v>252</v>
      </c>
      <c r="M9" s="521">
        <v>252</v>
      </c>
      <c r="N9" s="521">
        <v>252</v>
      </c>
      <c r="O9" s="522"/>
      <c r="P9" s="522"/>
      <c r="Q9" s="522"/>
      <c r="R9" s="521">
        <f>N9</f>
        <v>252</v>
      </c>
      <c r="S9" s="521">
        <f t="shared" ref="S9" si="0">R9</f>
        <v>252</v>
      </c>
    </row>
    <row r="10" spans="1:19" s="34" customFormat="1" x14ac:dyDescent="0.25">
      <c r="B10" s="42" t="s">
        <v>83</v>
      </c>
      <c r="C10" s="28" t="s">
        <v>1282</v>
      </c>
      <c r="D10" s="28" t="s">
        <v>1279</v>
      </c>
      <c r="E10" s="28"/>
      <c r="F10" s="439">
        <v>285</v>
      </c>
      <c r="G10" s="433"/>
      <c r="H10" s="44"/>
      <c r="I10" s="44"/>
      <c r="J10" s="44"/>
      <c r="K10" s="44"/>
      <c r="L10" s="44"/>
      <c r="M10" s="44">
        <f>F10</f>
        <v>285</v>
      </c>
      <c r="N10" s="44"/>
      <c r="O10" s="44"/>
      <c r="P10" s="44"/>
      <c r="Q10" s="44"/>
      <c r="R10" s="44"/>
      <c r="S10" s="44"/>
    </row>
    <row r="11" spans="1:19" x14ac:dyDescent="0.25">
      <c r="A11" s="427"/>
      <c r="B11" s="47" t="s">
        <v>79</v>
      </c>
      <c r="C11" s="46" t="s">
        <v>101</v>
      </c>
      <c r="D11" s="46" t="s">
        <v>240</v>
      </c>
      <c r="E11" s="46" t="s">
        <v>36</v>
      </c>
      <c r="F11" s="440">
        <v>3500</v>
      </c>
      <c r="G11" s="433"/>
      <c r="H11" s="44"/>
      <c r="I11" s="44">
        <f>F11</f>
        <v>3500</v>
      </c>
      <c r="J11" s="44"/>
      <c r="K11" s="44"/>
      <c r="L11" s="44"/>
      <c r="M11" s="44"/>
      <c r="N11" s="44"/>
      <c r="O11" s="44"/>
      <c r="P11" s="44"/>
      <c r="Q11" s="44"/>
      <c r="R11" s="44"/>
      <c r="S11" s="44"/>
    </row>
    <row r="12" spans="1:19" x14ac:dyDescent="0.25">
      <c r="A12" s="560" t="s">
        <v>102</v>
      </c>
      <c r="B12" s="560"/>
      <c r="F12" s="48">
        <f>SUM(F7:F11)</f>
        <v>14153</v>
      </c>
      <c r="H12" s="48">
        <f>SUM(H7:H11)</f>
        <v>252</v>
      </c>
      <c r="I12" s="48">
        <f t="shared" ref="I12:S12" si="1">SUM(I7:I11)</f>
        <v>3752</v>
      </c>
      <c r="J12" s="48">
        <f t="shared" si="1"/>
        <v>252</v>
      </c>
      <c r="K12" s="48">
        <f t="shared" si="1"/>
        <v>252</v>
      </c>
      <c r="L12" s="48">
        <f t="shared" si="1"/>
        <v>252</v>
      </c>
      <c r="M12" s="48">
        <f t="shared" si="1"/>
        <v>537</v>
      </c>
      <c r="N12" s="48">
        <f t="shared" si="1"/>
        <v>252</v>
      </c>
      <c r="O12" s="48">
        <f t="shared" si="1"/>
        <v>6000</v>
      </c>
      <c r="P12" s="48">
        <f t="shared" si="1"/>
        <v>0</v>
      </c>
      <c r="Q12" s="48">
        <f t="shared" si="1"/>
        <v>0</v>
      </c>
      <c r="R12" s="48">
        <f t="shared" si="1"/>
        <v>2352</v>
      </c>
      <c r="S12" s="48">
        <f t="shared" si="1"/>
        <v>252</v>
      </c>
    </row>
    <row r="13" spans="1:19" x14ac:dyDescent="0.25">
      <c r="F13" s="29"/>
    </row>
    <row r="16" spans="1:19" x14ac:dyDescent="0.25">
      <c r="D16" s="25" t="s">
        <v>1280</v>
      </c>
      <c r="E16" s="25">
        <f>80*12+30*12+315+200+15*12</f>
        <v>2015</v>
      </c>
    </row>
  </sheetData>
  <mergeCells count="5">
    <mergeCell ref="A12:B12"/>
    <mergeCell ref="A1:F1"/>
    <mergeCell ref="A2:F2"/>
    <mergeCell ref="A3:F3"/>
    <mergeCell ref="A6:B6"/>
  </mergeCells>
  <pageMargins left="0.7" right="0.7" top="0.75" bottom="0.75" header="0.3" footer="0.3"/>
  <pageSetup orientation="portrait" horizontalDpi="4294967292" verticalDpi="4294967292"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N18"/>
  <sheetViews>
    <sheetView workbookViewId="0">
      <selection activeCell="D8" sqref="D8"/>
    </sheetView>
  </sheetViews>
  <sheetFormatPr defaultRowHeight="15.75" x14ac:dyDescent="0.25"/>
  <cols>
    <col min="1" max="1" width="14.625" customWidth="1"/>
    <col min="2" max="2" width="12.125" bestFit="1" customWidth="1"/>
    <col min="3" max="14" width="11.125" customWidth="1"/>
  </cols>
  <sheetData>
    <row r="3" spans="1:14" x14ac:dyDescent="0.25">
      <c r="B3" s="31" t="s">
        <v>1255</v>
      </c>
      <c r="C3" s="31" t="s">
        <v>103</v>
      </c>
      <c r="D3" s="31" t="s">
        <v>104</v>
      </c>
      <c r="E3" s="31" t="s">
        <v>231</v>
      </c>
      <c r="F3" s="31" t="s">
        <v>232</v>
      </c>
      <c r="G3" s="31" t="s">
        <v>82</v>
      </c>
      <c r="H3" s="31" t="s">
        <v>233</v>
      </c>
      <c r="I3" s="31" t="s">
        <v>234</v>
      </c>
      <c r="J3" s="31" t="s">
        <v>235</v>
      </c>
      <c r="K3" s="31" t="s">
        <v>236</v>
      </c>
      <c r="L3" s="31" t="s">
        <v>237</v>
      </c>
      <c r="M3" s="31" t="s">
        <v>238</v>
      </c>
      <c r="N3" s="31" t="s">
        <v>239</v>
      </c>
    </row>
    <row r="4" spans="1:14" x14ac:dyDescent="0.25">
      <c r="A4" t="s">
        <v>105</v>
      </c>
      <c r="C4" s="9">
        <f>HistoricalView!AC131</f>
        <v>-17320.230904143107</v>
      </c>
      <c r="D4" s="9">
        <f>HistoricalView!AD131</f>
        <v>18590.791942184966</v>
      </c>
      <c r="E4" s="9">
        <f>HistoricalView!AE131</f>
        <v>-35522.23764022754</v>
      </c>
      <c r="F4" s="9">
        <f>HistoricalView!AF131</f>
        <v>-30730.993679531348</v>
      </c>
      <c r="G4" s="9">
        <f>HistoricalView!AG131</f>
        <v>552.75013372842511</v>
      </c>
      <c r="H4" s="9">
        <f>HistoricalView!AH131</f>
        <v>-7033.2377636138808</v>
      </c>
      <c r="I4" s="9">
        <f>HistoricalView!AI131</f>
        <v>-2875.0603291963212</v>
      </c>
      <c r="J4" s="9">
        <f>HistoricalView!AJ131</f>
        <v>360.27068620198986</v>
      </c>
      <c r="K4" s="9">
        <f>HistoricalView!AK131</f>
        <v>18156.913153783062</v>
      </c>
      <c r="L4" s="9">
        <f>HistoricalView!AL131</f>
        <v>105186.04942662406</v>
      </c>
      <c r="M4" s="9">
        <f>HistoricalView!AM131</f>
        <v>-635.10659561710929</v>
      </c>
      <c r="N4" s="9">
        <f>HistoricalView!AN131</f>
        <v>297.34986876679295</v>
      </c>
    </row>
    <row r="5" spans="1:14" x14ac:dyDescent="0.25">
      <c r="A5" t="s">
        <v>448</v>
      </c>
      <c r="C5" s="9">
        <f>HistoricalView!AC127</f>
        <v>803.85</v>
      </c>
      <c r="D5" s="9">
        <f>HistoricalView!AD127</f>
        <v>803.85</v>
      </c>
      <c r="E5" s="9">
        <f>HistoricalView!AE127</f>
        <v>803.85</v>
      </c>
      <c r="F5" s="9">
        <f>HistoricalView!AF127</f>
        <v>803.85</v>
      </c>
      <c r="G5" s="9">
        <f>HistoricalView!AG127</f>
        <v>803.85</v>
      </c>
      <c r="H5" s="9">
        <f>HistoricalView!AH127</f>
        <v>803.85</v>
      </c>
      <c r="I5" s="9">
        <f>HistoricalView!AI127</f>
        <v>803.85</v>
      </c>
      <c r="J5" s="9">
        <f>HistoricalView!AJ127</f>
        <v>803.85</v>
      </c>
      <c r="K5" s="9">
        <f>HistoricalView!AK127</f>
        <v>803.85</v>
      </c>
      <c r="L5" s="9">
        <f>HistoricalView!AL127</f>
        <v>803.85</v>
      </c>
      <c r="M5" s="9">
        <f>HistoricalView!AM127</f>
        <v>803.85</v>
      </c>
      <c r="N5" s="9">
        <f>HistoricalView!AN127</f>
        <v>803.85</v>
      </c>
    </row>
    <row r="6" spans="1:14" x14ac:dyDescent="0.25">
      <c r="A6" t="s">
        <v>1260</v>
      </c>
      <c r="C6" s="9"/>
      <c r="D6" s="9">
        <f>-HistoricalView!AD26</f>
        <v>-50000</v>
      </c>
      <c r="E6" s="9"/>
      <c r="F6" s="9"/>
      <c r="G6" s="9"/>
      <c r="H6" s="9"/>
      <c r="I6" s="9"/>
      <c r="J6" s="9"/>
      <c r="K6" s="9"/>
      <c r="L6" s="9"/>
      <c r="M6" s="9"/>
      <c r="N6" s="9"/>
    </row>
    <row r="7" spans="1:14" x14ac:dyDescent="0.25">
      <c r="A7" t="s">
        <v>1252</v>
      </c>
      <c r="C7" s="9">
        <f>-CapEx!G34</f>
        <v>0</v>
      </c>
      <c r="D7" s="9">
        <f>-CapEx!H34</f>
        <v>-8250</v>
      </c>
      <c r="E7" s="9">
        <f>-CapEx!I34</f>
        <v>-7500</v>
      </c>
      <c r="F7" s="9">
        <f>-CapEx!J34</f>
        <v>0</v>
      </c>
      <c r="G7" s="9">
        <f>-CapEx!K34</f>
        <v>-700</v>
      </c>
      <c r="H7" s="9">
        <f>-CapEx!L34</f>
        <v>0</v>
      </c>
      <c r="I7" s="9">
        <f>-CapEx!M34</f>
        <v>-1000</v>
      </c>
      <c r="J7" s="9">
        <f>-CapEx!N34</f>
        <v>0</v>
      </c>
      <c r="K7" s="9">
        <f>-CapEx!O34</f>
        <v>0</v>
      </c>
      <c r="L7" s="9">
        <f>-CapEx!P34</f>
        <v>-750</v>
      </c>
      <c r="M7" s="9">
        <f>-CapEx!Q34</f>
        <v>0</v>
      </c>
      <c r="N7" s="9">
        <f>-CapEx!R34</f>
        <v>0</v>
      </c>
    </row>
    <row r="8" spans="1:14" s="1" customFormat="1" x14ac:dyDescent="0.25">
      <c r="A8" s="1" t="s">
        <v>1254</v>
      </c>
      <c r="B8" s="10">
        <v>394000</v>
      </c>
      <c r="C8" s="10">
        <f>B8+SUM(C4:C7)</f>
        <v>377483.61909585691</v>
      </c>
      <c r="D8" s="10">
        <f>C8+SUM(D4:D7)</f>
        <v>338628.26103804185</v>
      </c>
      <c r="E8" s="10">
        <f t="shared" ref="E8:N8" si="0">D8+SUM(E4:E7)</f>
        <v>296409.87339781428</v>
      </c>
      <c r="F8" s="10">
        <f t="shared" si="0"/>
        <v>266482.72971828294</v>
      </c>
      <c r="G8" s="10">
        <f t="shared" si="0"/>
        <v>267139.32985201135</v>
      </c>
      <c r="H8" s="10">
        <f t="shared" si="0"/>
        <v>260909.94208839745</v>
      </c>
      <c r="I8" s="10">
        <f t="shared" si="0"/>
        <v>257838.73175920112</v>
      </c>
      <c r="J8" s="10">
        <f t="shared" si="0"/>
        <v>259002.85244540311</v>
      </c>
      <c r="K8" s="10">
        <f t="shared" si="0"/>
        <v>277963.61559918616</v>
      </c>
      <c r="L8" s="10">
        <f t="shared" si="0"/>
        <v>383203.51502581022</v>
      </c>
      <c r="M8" s="10">
        <f t="shared" si="0"/>
        <v>383372.25843019312</v>
      </c>
      <c r="N8" s="10">
        <f t="shared" si="0"/>
        <v>384473.45829895989</v>
      </c>
    </row>
    <row r="10" spans="1:14" x14ac:dyDescent="0.25">
      <c r="A10" t="s">
        <v>1256</v>
      </c>
      <c r="C10" s="9">
        <f>CapEx!G36</f>
        <v>0</v>
      </c>
      <c r="D10" s="9">
        <f>CapEx!H36</f>
        <v>2250</v>
      </c>
      <c r="E10" s="9">
        <f>CapEx!I36</f>
        <v>3500</v>
      </c>
      <c r="F10" s="9">
        <f>CapEx!J36</f>
        <v>0</v>
      </c>
      <c r="G10" s="9">
        <f>CapEx!K36</f>
        <v>0</v>
      </c>
      <c r="H10" s="9">
        <f>CapEx!L36</f>
        <v>0</v>
      </c>
      <c r="I10" s="9">
        <f>CapEx!M36</f>
        <v>0</v>
      </c>
      <c r="J10" s="9">
        <f>CapEx!N36</f>
        <v>0</v>
      </c>
      <c r="K10" s="9">
        <f>CapEx!O36</f>
        <v>0</v>
      </c>
      <c r="L10" s="9">
        <f>CapEx!P36</f>
        <v>0</v>
      </c>
      <c r="M10" s="9">
        <f>CapEx!Q36</f>
        <v>0</v>
      </c>
      <c r="N10" s="9">
        <f>CapEx!R36</f>
        <v>0</v>
      </c>
    </row>
    <row r="11" spans="1:14" ht="23.25" x14ac:dyDescent="0.25">
      <c r="A11" s="41" t="s">
        <v>1161</v>
      </c>
      <c r="C11" s="9">
        <f>C8+C10</f>
        <v>377483.61909585691</v>
      </c>
      <c r="D11" s="9">
        <f>C11+D4+D5+D7+D10+D6</f>
        <v>340878.26103804185</v>
      </c>
      <c r="E11" s="9">
        <f t="shared" ref="E11:N11" si="1">D11+E4+E5+E7+E10+E6</f>
        <v>302159.87339781428</v>
      </c>
      <c r="F11" s="9">
        <f t="shared" si="1"/>
        <v>272232.72971828294</v>
      </c>
      <c r="G11" s="9">
        <f t="shared" si="1"/>
        <v>272889.32985201135</v>
      </c>
      <c r="H11" s="9">
        <f t="shared" si="1"/>
        <v>266659.94208839745</v>
      </c>
      <c r="I11" s="9">
        <f t="shared" si="1"/>
        <v>263588.73175920109</v>
      </c>
      <c r="J11" s="9">
        <f t="shared" si="1"/>
        <v>264752.85244540306</v>
      </c>
      <c r="K11" s="9">
        <f t="shared" si="1"/>
        <v>283713.6155991861</v>
      </c>
      <c r="L11" s="9">
        <f t="shared" si="1"/>
        <v>388953.51502581011</v>
      </c>
      <c r="M11" s="9">
        <f t="shared" si="1"/>
        <v>389122.25843019295</v>
      </c>
      <c r="N11" s="9">
        <f t="shared" si="1"/>
        <v>390223.45829895971</v>
      </c>
    </row>
    <row r="13" spans="1:14" x14ac:dyDescent="0.25">
      <c r="N13" s="12">
        <f>N11-N8</f>
        <v>5749.9999999998254</v>
      </c>
    </row>
    <row r="14" spans="1:14" x14ac:dyDescent="0.25">
      <c r="N14" s="24" t="str">
        <f>IF(N13=CapEx!S36,"  ","ERROR")</f>
        <v>ERROR</v>
      </c>
    </row>
    <row r="17" spans="14:14" x14ac:dyDescent="0.25">
      <c r="N17" s="12">
        <f>N8-B8</f>
        <v>-9526.5417010401143</v>
      </c>
    </row>
    <row r="18" spans="14:14" x14ac:dyDescent="0.25">
      <c r="N18" s="24" t="str">
        <f>IF(ABS(N17-Overview!F26)&lt;1,"  ","ERROR")</f>
        <v xml:space="preserve">  </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topLeftCell="A7" workbookViewId="0">
      <selection activeCell="A19" sqref="A19:G19"/>
    </sheetView>
  </sheetViews>
  <sheetFormatPr defaultRowHeight="15.7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election activeCell="A19" sqref="A19:G19"/>
    </sheetView>
  </sheetViews>
  <sheetFormatPr defaultRowHeight="15.7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T138"/>
  <sheetViews>
    <sheetView workbookViewId="0">
      <pane xSplit="1" ySplit="5" topLeftCell="AC21" activePane="bottomRight" state="frozen"/>
      <selection activeCell="G12" sqref="G12"/>
      <selection pane="topRight" activeCell="G12" sqref="G12"/>
      <selection pane="bottomLeft" activeCell="G12" sqref="G12"/>
      <selection pane="bottomRight" activeCell="G12" sqref="G12"/>
    </sheetView>
  </sheetViews>
  <sheetFormatPr defaultColWidth="8.875" defaultRowHeight="15" outlineLevelRow="1" outlineLevelCol="1" x14ac:dyDescent="0.25"/>
  <cols>
    <col min="1" max="1" width="32.5" style="360" customWidth="1"/>
    <col min="2" max="2" width="6.875" style="360" hidden="1" customWidth="1" outlineLevel="1"/>
    <col min="3" max="4" width="7" style="360" hidden="1" customWidth="1" outlineLevel="1"/>
    <col min="5" max="5" width="6.625" style="360" hidden="1" customWidth="1" outlineLevel="1"/>
    <col min="6" max="6" width="7.125" style="360" hidden="1" customWidth="1" outlineLevel="1"/>
    <col min="7" max="7" width="6.875" style="360" hidden="1" customWidth="1" outlineLevel="1"/>
    <col min="8" max="8" width="6.375" style="360" hidden="1" customWidth="1" outlineLevel="1"/>
    <col min="9" max="9" width="7" style="360" hidden="1" customWidth="1" outlineLevel="1"/>
    <col min="10" max="10" width="7.125" style="360" hidden="1" customWidth="1" outlineLevel="1"/>
    <col min="11" max="11" width="6.875" style="360" hidden="1" customWidth="1" outlineLevel="1"/>
    <col min="12" max="13" width="7.125" style="360" hidden="1" customWidth="1" outlineLevel="1"/>
    <col min="14" max="14" width="6.875" style="360" hidden="1" customWidth="1" outlineLevel="1"/>
    <col min="15" max="16" width="7" style="360" hidden="1" customWidth="1" outlineLevel="1"/>
    <col min="17" max="17" width="6.625" style="360" hidden="1" customWidth="1" outlineLevel="1"/>
    <col min="18" max="18" width="7.125" style="360" hidden="1" customWidth="1" outlineLevel="1"/>
    <col min="19" max="19" width="6.875" style="360" hidden="1" customWidth="1" outlineLevel="1"/>
    <col min="20" max="20" width="6.375" style="360" hidden="1" customWidth="1" outlineLevel="1"/>
    <col min="21" max="21" width="7" style="360" hidden="1" customWidth="1" outlineLevel="1"/>
    <col min="22" max="22" width="7.125" style="360" hidden="1" customWidth="1" outlineLevel="1"/>
    <col min="23" max="23" width="6.875" style="360" hidden="1" customWidth="1" outlineLevel="1"/>
    <col min="24" max="25" width="7.125" style="360" hidden="1" customWidth="1" outlineLevel="1"/>
    <col min="26" max="26" width="6.875" style="360" bestFit="1" customWidth="1" collapsed="1"/>
    <col min="27" max="28" width="7" style="360" bestFit="1" customWidth="1"/>
    <col min="29" max="29" width="6.625" style="360" bestFit="1" customWidth="1"/>
    <col min="30" max="30" width="7.125" style="360" bestFit="1" customWidth="1"/>
    <col min="31" max="31" width="6.875" style="360" bestFit="1" customWidth="1"/>
    <col min="32" max="32" width="6.375" style="360" bestFit="1" customWidth="1"/>
    <col min="33" max="33" width="7" style="360" bestFit="1" customWidth="1"/>
    <col min="34" max="34" width="7.125" style="360" bestFit="1" customWidth="1"/>
    <col min="35" max="38" width="7.375" style="360" customWidth="1"/>
    <col min="39" max="16384" width="8.875" style="360"/>
  </cols>
  <sheetData>
    <row r="1" spans="1:39" ht="18" x14ac:dyDescent="0.25">
      <c r="A1" s="421" t="s">
        <v>90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K1" s="38"/>
    </row>
    <row r="2" spans="1:39" ht="18" x14ac:dyDescent="0.25">
      <c r="A2" s="421" t="s">
        <v>580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K2" s="38"/>
    </row>
    <row r="3" spans="1:39" x14ac:dyDescent="0.25">
      <c r="A3" s="422" t="s">
        <v>581</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K3" s="38"/>
      <c r="AM3" s="360" t="s">
        <v>582</v>
      </c>
    </row>
    <row r="4" spans="1:39" x14ac:dyDescent="0.25">
      <c r="AM4" s="360" t="s">
        <v>583</v>
      </c>
    </row>
    <row r="5" spans="1:39" ht="24.75" x14ac:dyDescent="0.25">
      <c r="A5" s="316"/>
      <c r="B5" s="26" t="s">
        <v>584</v>
      </c>
      <c r="C5" s="26" t="s">
        <v>585</v>
      </c>
      <c r="D5" s="26" t="s">
        <v>586</v>
      </c>
      <c r="E5" s="26" t="s">
        <v>587</v>
      </c>
      <c r="F5" s="26" t="s">
        <v>588</v>
      </c>
      <c r="G5" s="26" t="s">
        <v>589</v>
      </c>
      <c r="H5" s="26" t="s">
        <v>590</v>
      </c>
      <c r="I5" s="26" t="s">
        <v>591</v>
      </c>
      <c r="J5" s="26" t="s">
        <v>592</v>
      </c>
      <c r="K5" s="26" t="s">
        <v>593</v>
      </c>
      <c r="L5" s="26" t="s">
        <v>453</v>
      </c>
      <c r="M5" s="26" t="s">
        <v>454</v>
      </c>
      <c r="N5" s="26" t="s">
        <v>125</v>
      </c>
      <c r="O5" s="26" t="s">
        <v>126</v>
      </c>
      <c r="P5" s="26" t="s">
        <v>127</v>
      </c>
      <c r="Q5" s="26" t="s">
        <v>128</v>
      </c>
      <c r="R5" s="26" t="s">
        <v>129</v>
      </c>
      <c r="S5" s="26" t="s">
        <v>130</v>
      </c>
      <c r="T5" s="26" t="s">
        <v>131</v>
      </c>
      <c r="U5" s="26" t="s">
        <v>132</v>
      </c>
      <c r="V5" s="26" t="s">
        <v>133</v>
      </c>
      <c r="W5" s="26" t="s">
        <v>455</v>
      </c>
      <c r="X5" s="26" t="s">
        <v>594</v>
      </c>
      <c r="Y5" s="26" t="s">
        <v>595</v>
      </c>
      <c r="Z5" s="26" t="s">
        <v>596</v>
      </c>
      <c r="AA5" s="26" t="s">
        <v>597</v>
      </c>
      <c r="AB5" s="26" t="s">
        <v>598</v>
      </c>
      <c r="AC5" s="26" t="s">
        <v>599</v>
      </c>
      <c r="AD5" s="26" t="s">
        <v>600</v>
      </c>
      <c r="AE5" s="26" t="s">
        <v>601</v>
      </c>
      <c r="AF5" s="26" t="s">
        <v>602</v>
      </c>
      <c r="AG5" s="26" t="s">
        <v>603</v>
      </c>
      <c r="AH5" s="26" t="s">
        <v>604</v>
      </c>
      <c r="AI5" s="26">
        <v>2017</v>
      </c>
      <c r="AJ5" s="26">
        <v>2018</v>
      </c>
      <c r="AK5" s="26" t="s">
        <v>605</v>
      </c>
      <c r="AL5" s="26" t="s">
        <v>606</v>
      </c>
    </row>
    <row r="6" spans="1:39" x14ac:dyDescent="0.25">
      <c r="A6" s="361" t="s">
        <v>0</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row>
    <row r="7" spans="1:39" x14ac:dyDescent="0.25">
      <c r="A7" s="361" t="s">
        <v>134</v>
      </c>
      <c r="B7" s="423"/>
      <c r="C7" s="423"/>
      <c r="D7" s="423"/>
      <c r="E7" s="423"/>
      <c r="F7" s="423"/>
      <c r="G7" s="423"/>
      <c r="H7" s="423"/>
      <c r="I7" s="423"/>
      <c r="J7" s="423"/>
      <c r="K7" s="423"/>
      <c r="L7" s="423"/>
      <c r="M7" s="423"/>
      <c r="N7" s="423"/>
      <c r="O7" s="423"/>
      <c r="P7" s="423"/>
      <c r="Q7" s="424">
        <f>18</f>
        <v>18</v>
      </c>
      <c r="R7" s="423"/>
      <c r="S7" s="423"/>
      <c r="T7" s="423"/>
      <c r="U7" s="423"/>
      <c r="V7" s="423"/>
      <c r="W7" s="423"/>
      <c r="X7" s="423"/>
      <c r="Y7" s="423"/>
      <c r="Z7" s="423"/>
      <c r="AA7" s="423"/>
      <c r="AB7" s="423"/>
      <c r="AC7" s="423"/>
      <c r="AD7" s="423"/>
      <c r="AE7" s="423"/>
      <c r="AF7" s="423"/>
      <c r="AG7" s="423"/>
      <c r="AH7" s="423"/>
      <c r="AI7" s="424">
        <f t="shared" ref="AI7:AI38" si="0">SUM(B7:M7)</f>
        <v>0</v>
      </c>
      <c r="AJ7" s="424">
        <f>SUM(N7:Y7)</f>
        <v>18</v>
      </c>
      <c r="AK7" s="424">
        <f t="shared" ref="AK7:AK38" si="1">SUM(W7:AH7)</f>
        <v>0</v>
      </c>
      <c r="AL7" s="424"/>
    </row>
    <row r="8" spans="1:39" x14ac:dyDescent="0.25">
      <c r="A8" s="361" t="s">
        <v>135</v>
      </c>
      <c r="B8" s="424">
        <f>9500</f>
        <v>9500</v>
      </c>
      <c r="C8" s="423"/>
      <c r="D8" s="424">
        <f>5000</f>
        <v>5000</v>
      </c>
      <c r="E8" s="424">
        <f>10000</f>
        <v>10000</v>
      </c>
      <c r="F8" s="423"/>
      <c r="G8" s="424">
        <f>10000</f>
        <v>10000</v>
      </c>
      <c r="H8" s="423"/>
      <c r="I8" s="423"/>
      <c r="J8" s="423"/>
      <c r="K8" s="423"/>
      <c r="L8" s="424">
        <f>29000</f>
        <v>29000</v>
      </c>
      <c r="M8" s="424">
        <f>11000</f>
        <v>11000</v>
      </c>
      <c r="N8" s="423"/>
      <c r="O8" s="424">
        <f>15000</f>
        <v>15000</v>
      </c>
      <c r="P8" s="423"/>
      <c r="Q8" s="423"/>
      <c r="R8" s="424">
        <f>5851.41</f>
        <v>5851.41</v>
      </c>
      <c r="S8" s="423"/>
      <c r="T8" s="423"/>
      <c r="U8" s="423"/>
      <c r="V8" s="423"/>
      <c r="W8" s="423"/>
      <c r="X8" s="423"/>
      <c r="Y8" s="423"/>
      <c r="Z8" s="423"/>
      <c r="AA8" s="423"/>
      <c r="AB8" s="423"/>
      <c r="AC8" s="423"/>
      <c r="AD8" s="423"/>
      <c r="AE8" s="423"/>
      <c r="AF8" s="423"/>
      <c r="AG8" s="423"/>
      <c r="AH8" s="423"/>
      <c r="AI8" s="424">
        <f t="shared" si="0"/>
        <v>74500</v>
      </c>
      <c r="AJ8" s="424">
        <f t="shared" ref="AJ8:AJ66" si="2">SUM(N8:Y8)</f>
        <v>20851.41</v>
      </c>
      <c r="AK8" s="425">
        <f t="shared" si="1"/>
        <v>0</v>
      </c>
      <c r="AL8" s="424"/>
    </row>
    <row r="9" spans="1:39" x14ac:dyDescent="0.25">
      <c r="A9" s="361" t="s">
        <v>136</v>
      </c>
      <c r="B9" s="424">
        <f>4650</f>
        <v>4650</v>
      </c>
      <c r="C9" s="424">
        <f>13833.84</f>
        <v>13833.84</v>
      </c>
      <c r="D9" s="424">
        <f>12351</f>
        <v>12351</v>
      </c>
      <c r="E9" s="424">
        <f>24873.59</f>
        <v>24873.59</v>
      </c>
      <c r="F9" s="424">
        <f>24106.28</f>
        <v>24106.28</v>
      </c>
      <c r="G9" s="424">
        <f>19374.17</f>
        <v>19374.169999999998</v>
      </c>
      <c r="H9" s="424">
        <f>23529.27</f>
        <v>23529.27</v>
      </c>
      <c r="I9" s="424">
        <f>12096.38</f>
        <v>12096.38</v>
      </c>
      <c r="J9" s="424">
        <f>23950</f>
        <v>23950</v>
      </c>
      <c r="K9" s="424">
        <f>33552.45</f>
        <v>33552.449999999997</v>
      </c>
      <c r="L9" s="424">
        <f>14482.12</f>
        <v>14482.12</v>
      </c>
      <c r="M9" s="424">
        <f>25702.92</f>
        <v>25702.92</v>
      </c>
      <c r="N9" s="423"/>
      <c r="O9" s="424">
        <f>12241.82</f>
        <v>12241.82</v>
      </c>
      <c r="P9" s="424">
        <f>150</f>
        <v>150</v>
      </c>
      <c r="Q9" s="424">
        <f>317.8</f>
        <v>317.8</v>
      </c>
      <c r="R9" s="424">
        <f>65</f>
        <v>65</v>
      </c>
      <c r="S9" s="424">
        <f>5050</f>
        <v>5050</v>
      </c>
      <c r="T9" s="424">
        <f>275</f>
        <v>275</v>
      </c>
      <c r="U9" s="424">
        <f>5430</f>
        <v>5430</v>
      </c>
      <c r="V9" s="424">
        <f>50</f>
        <v>50</v>
      </c>
      <c r="W9" s="424">
        <f>89.96</f>
        <v>89.96</v>
      </c>
      <c r="X9" s="424">
        <f>50</f>
        <v>50</v>
      </c>
      <c r="Y9" s="424">
        <f>8100</f>
        <v>8100</v>
      </c>
      <c r="Z9" s="424">
        <f>50</f>
        <v>50</v>
      </c>
      <c r="AA9" s="424">
        <f>50</f>
        <v>50</v>
      </c>
      <c r="AB9" s="424">
        <f>50</f>
        <v>50</v>
      </c>
      <c r="AC9" s="424">
        <f>50</f>
        <v>50</v>
      </c>
      <c r="AD9" s="424">
        <f>50</f>
        <v>50</v>
      </c>
      <c r="AE9" s="424">
        <f>150</f>
        <v>150</v>
      </c>
      <c r="AF9" s="424">
        <f>0</f>
        <v>0</v>
      </c>
      <c r="AG9" s="424">
        <f>50</f>
        <v>50</v>
      </c>
      <c r="AH9" s="424">
        <f>50</f>
        <v>50</v>
      </c>
      <c r="AI9" s="424">
        <f t="shared" si="0"/>
        <v>232502.01999999996</v>
      </c>
      <c r="AJ9" s="424">
        <f t="shared" si="2"/>
        <v>31819.579999999998</v>
      </c>
      <c r="AK9" s="424">
        <f t="shared" si="1"/>
        <v>8739.9599999999991</v>
      </c>
      <c r="AL9" s="424"/>
    </row>
    <row r="10" spans="1:39" x14ac:dyDescent="0.25">
      <c r="A10" s="361" t="s">
        <v>137</v>
      </c>
      <c r="B10" s="423"/>
      <c r="C10" s="423"/>
      <c r="D10" s="423"/>
      <c r="E10" s="423"/>
      <c r="F10" s="423"/>
      <c r="G10" s="423"/>
      <c r="H10" s="423"/>
      <c r="I10" s="423"/>
      <c r="J10" s="423"/>
      <c r="K10" s="423"/>
      <c r="L10" s="423"/>
      <c r="M10" s="423"/>
      <c r="N10" s="423"/>
      <c r="O10" s="423"/>
      <c r="P10" s="423"/>
      <c r="Q10" s="423"/>
      <c r="R10" s="423"/>
      <c r="S10" s="423"/>
      <c r="T10" s="423"/>
      <c r="U10" s="424">
        <f>4987.42</f>
        <v>4987.42</v>
      </c>
      <c r="V10" s="424">
        <f>25020</f>
        <v>25020</v>
      </c>
      <c r="W10" s="424">
        <f>109139.57</f>
        <v>109139.57</v>
      </c>
      <c r="X10" s="424">
        <f>8600</f>
        <v>8600</v>
      </c>
      <c r="Y10" s="424">
        <f>17100</f>
        <v>17100</v>
      </c>
      <c r="Z10" s="424">
        <f>500</f>
        <v>500</v>
      </c>
      <c r="AA10" s="423"/>
      <c r="AB10" s="423"/>
      <c r="AC10" s="423"/>
      <c r="AD10" s="424">
        <f>10413.48</f>
        <v>10413.48</v>
      </c>
      <c r="AE10" s="423"/>
      <c r="AF10" s="423"/>
      <c r="AG10" s="423"/>
      <c r="AH10" s="423"/>
      <c r="AI10" s="424">
        <f t="shared" si="0"/>
        <v>0</v>
      </c>
      <c r="AJ10" s="424">
        <f t="shared" si="2"/>
        <v>164846.99</v>
      </c>
      <c r="AK10" s="424">
        <f t="shared" si="1"/>
        <v>145753.05000000002</v>
      </c>
      <c r="AL10" s="424"/>
    </row>
    <row r="11" spans="1:39" outlineLevel="1" x14ac:dyDescent="0.25">
      <c r="A11" s="361" t="s">
        <v>138</v>
      </c>
      <c r="B11" s="423"/>
      <c r="C11" s="423"/>
      <c r="D11" s="423"/>
      <c r="E11" s="423"/>
      <c r="F11" s="423"/>
      <c r="G11" s="423"/>
      <c r="H11" s="423"/>
      <c r="I11" s="423"/>
      <c r="J11" s="424">
        <f>6000</f>
        <v>6000</v>
      </c>
      <c r="K11" s="424">
        <f>80940</f>
        <v>80940</v>
      </c>
      <c r="L11" s="424">
        <f>15242.84</f>
        <v>15242.84</v>
      </c>
      <c r="M11" s="424">
        <f>5140</f>
        <v>5140</v>
      </c>
      <c r="N11" s="424">
        <f>2500</f>
        <v>2500</v>
      </c>
      <c r="O11" s="423"/>
      <c r="P11" s="423"/>
      <c r="Q11" s="424">
        <f>10000</f>
        <v>10000</v>
      </c>
      <c r="R11" s="423"/>
      <c r="S11" s="423"/>
      <c r="T11" s="423"/>
      <c r="U11" s="423"/>
      <c r="V11" s="423"/>
      <c r="W11" s="423"/>
      <c r="X11" s="423"/>
      <c r="Y11" s="423"/>
      <c r="Z11" s="423"/>
      <c r="AA11" s="423"/>
      <c r="AB11" s="423"/>
      <c r="AC11" s="423"/>
      <c r="AD11" s="423"/>
      <c r="AE11" s="423"/>
      <c r="AF11" s="423"/>
      <c r="AG11" s="423"/>
      <c r="AH11" s="424">
        <f>24000</f>
        <v>24000</v>
      </c>
      <c r="AI11" s="424">
        <f t="shared" si="0"/>
        <v>107322.84</v>
      </c>
      <c r="AJ11" s="424">
        <f t="shared" si="2"/>
        <v>12500</v>
      </c>
      <c r="AK11" s="424">
        <f t="shared" si="1"/>
        <v>24000</v>
      </c>
      <c r="AL11" s="424">
        <v>200000</v>
      </c>
    </row>
    <row r="12" spans="1:39" outlineLevel="1" x14ac:dyDescent="0.25">
      <c r="A12" s="361" t="s">
        <v>607</v>
      </c>
      <c r="B12" s="423"/>
      <c r="C12" s="423"/>
      <c r="D12" s="423"/>
      <c r="E12" s="423"/>
      <c r="F12" s="423"/>
      <c r="G12" s="423"/>
      <c r="H12" s="423"/>
      <c r="I12" s="423"/>
      <c r="J12" s="423"/>
      <c r="K12" s="424">
        <f>26810</f>
        <v>26810</v>
      </c>
      <c r="L12" s="423"/>
      <c r="M12" s="423"/>
      <c r="N12" s="423"/>
      <c r="O12" s="423"/>
      <c r="P12" s="423"/>
      <c r="Q12" s="423"/>
      <c r="R12" s="423"/>
      <c r="S12" s="423"/>
      <c r="T12" s="423"/>
      <c r="U12" s="423"/>
      <c r="V12" s="423"/>
      <c r="W12" s="423"/>
      <c r="X12" s="423"/>
      <c r="Y12" s="423"/>
      <c r="Z12" s="423"/>
      <c r="AA12" s="423"/>
      <c r="AB12" s="423"/>
      <c r="AC12" s="423"/>
      <c r="AD12" s="423"/>
      <c r="AE12" s="423"/>
      <c r="AF12" s="424">
        <f>9.77</f>
        <v>9.77</v>
      </c>
      <c r="AG12" s="423"/>
      <c r="AH12" s="423"/>
      <c r="AI12" s="424">
        <f t="shared" si="0"/>
        <v>26810</v>
      </c>
      <c r="AJ12" s="424">
        <f t="shared" si="2"/>
        <v>0</v>
      </c>
      <c r="AK12" s="424">
        <f t="shared" si="1"/>
        <v>9.77</v>
      </c>
      <c r="AL12" s="424"/>
    </row>
    <row r="13" spans="1:39" x14ac:dyDescent="0.25">
      <c r="A13" s="361" t="s">
        <v>608</v>
      </c>
      <c r="B13" s="426">
        <f t="shared" ref="B13:AH13" si="3">(B11)+(B12)</f>
        <v>0</v>
      </c>
      <c r="C13" s="426">
        <f t="shared" si="3"/>
        <v>0</v>
      </c>
      <c r="D13" s="426">
        <f t="shared" si="3"/>
        <v>0</v>
      </c>
      <c r="E13" s="426">
        <f t="shared" si="3"/>
        <v>0</v>
      </c>
      <c r="F13" s="426">
        <f t="shared" si="3"/>
        <v>0</v>
      </c>
      <c r="G13" s="426">
        <f t="shared" si="3"/>
        <v>0</v>
      </c>
      <c r="H13" s="426">
        <f t="shared" si="3"/>
        <v>0</v>
      </c>
      <c r="I13" s="426">
        <f t="shared" si="3"/>
        <v>0</v>
      </c>
      <c r="J13" s="426">
        <f t="shared" si="3"/>
        <v>6000</v>
      </c>
      <c r="K13" s="426">
        <f t="shared" si="3"/>
        <v>107750</v>
      </c>
      <c r="L13" s="426">
        <f t="shared" si="3"/>
        <v>15242.84</v>
      </c>
      <c r="M13" s="426">
        <f t="shared" si="3"/>
        <v>5140</v>
      </c>
      <c r="N13" s="426">
        <f t="shared" si="3"/>
        <v>2500</v>
      </c>
      <c r="O13" s="426">
        <f t="shared" si="3"/>
        <v>0</v>
      </c>
      <c r="P13" s="426">
        <f t="shared" si="3"/>
        <v>0</v>
      </c>
      <c r="Q13" s="426">
        <f t="shared" si="3"/>
        <v>10000</v>
      </c>
      <c r="R13" s="426">
        <f t="shared" si="3"/>
        <v>0</v>
      </c>
      <c r="S13" s="426">
        <f t="shared" si="3"/>
        <v>0</v>
      </c>
      <c r="T13" s="426">
        <f t="shared" si="3"/>
        <v>0</v>
      </c>
      <c r="U13" s="426">
        <f t="shared" si="3"/>
        <v>0</v>
      </c>
      <c r="V13" s="426">
        <f t="shared" si="3"/>
        <v>0</v>
      </c>
      <c r="W13" s="426">
        <f t="shared" si="3"/>
        <v>0</v>
      </c>
      <c r="X13" s="426">
        <f t="shared" si="3"/>
        <v>0</v>
      </c>
      <c r="Y13" s="426">
        <f t="shared" si="3"/>
        <v>0</v>
      </c>
      <c r="Z13" s="426">
        <f t="shared" si="3"/>
        <v>0</v>
      </c>
      <c r="AA13" s="426">
        <f t="shared" si="3"/>
        <v>0</v>
      </c>
      <c r="AB13" s="426">
        <f t="shared" si="3"/>
        <v>0</v>
      </c>
      <c r="AC13" s="426">
        <f t="shared" si="3"/>
        <v>0</v>
      </c>
      <c r="AD13" s="426">
        <f t="shared" si="3"/>
        <v>0</v>
      </c>
      <c r="AE13" s="426">
        <f t="shared" si="3"/>
        <v>0</v>
      </c>
      <c r="AF13" s="426">
        <f t="shared" si="3"/>
        <v>9.77</v>
      </c>
      <c r="AG13" s="426">
        <f t="shared" si="3"/>
        <v>0</v>
      </c>
      <c r="AH13" s="426">
        <f t="shared" si="3"/>
        <v>24000</v>
      </c>
      <c r="AI13" s="424">
        <f t="shared" si="0"/>
        <v>134132.84</v>
      </c>
      <c r="AJ13" s="424">
        <f t="shared" si="2"/>
        <v>12500</v>
      </c>
      <c r="AK13" s="425">
        <f t="shared" si="1"/>
        <v>24009.77</v>
      </c>
      <c r="AL13" s="424"/>
    </row>
    <row r="14" spans="1:39" x14ac:dyDescent="0.25">
      <c r="A14" s="361" t="s">
        <v>139</v>
      </c>
      <c r="B14" s="423"/>
      <c r="C14" s="423"/>
      <c r="D14" s="423"/>
      <c r="E14" s="423"/>
      <c r="F14" s="423"/>
      <c r="G14" s="423"/>
      <c r="H14" s="423"/>
      <c r="I14" s="423"/>
      <c r="J14" s="423"/>
      <c r="K14" s="423"/>
      <c r="L14" s="423"/>
      <c r="M14" s="423"/>
      <c r="N14" s="424">
        <f>7464.25</f>
        <v>7464.25</v>
      </c>
      <c r="O14" s="424">
        <f>7639.25</f>
        <v>7639.25</v>
      </c>
      <c r="P14" s="424">
        <f>7464.25</f>
        <v>7464.25</v>
      </c>
      <c r="Q14" s="424">
        <f>7464.25</f>
        <v>7464.25</v>
      </c>
      <c r="R14" s="424">
        <f>7464.25</f>
        <v>7464.25</v>
      </c>
      <c r="S14" s="424">
        <f>7264.25</f>
        <v>7264.25</v>
      </c>
      <c r="T14" s="424">
        <f>7234.25</f>
        <v>7234.25</v>
      </c>
      <c r="U14" s="424">
        <f>7034.25</f>
        <v>7034.25</v>
      </c>
      <c r="V14" s="424">
        <f>7195</f>
        <v>7195</v>
      </c>
      <c r="W14" s="424">
        <f>8065</f>
        <v>8065</v>
      </c>
      <c r="X14" s="424">
        <f>6240</f>
        <v>6240</v>
      </c>
      <c r="Y14" s="424">
        <f>7465</f>
        <v>7465</v>
      </c>
      <c r="Z14" s="424">
        <f>7360</f>
        <v>7360</v>
      </c>
      <c r="AA14" s="424">
        <f>6935</f>
        <v>6935</v>
      </c>
      <c r="AB14" s="424">
        <f>8360</f>
        <v>8360</v>
      </c>
      <c r="AC14" s="424">
        <f>9160</f>
        <v>9160</v>
      </c>
      <c r="AD14" s="424">
        <f>7910</f>
        <v>7910</v>
      </c>
      <c r="AE14" s="424">
        <f>6725</f>
        <v>6725</v>
      </c>
      <c r="AF14" s="424">
        <f>7025</f>
        <v>7025</v>
      </c>
      <c r="AG14" s="424">
        <f>6575</f>
        <v>6575</v>
      </c>
      <c r="AH14" s="424">
        <f>6675</f>
        <v>6675</v>
      </c>
      <c r="AI14" s="424">
        <f t="shared" si="0"/>
        <v>0</v>
      </c>
      <c r="AJ14" s="424">
        <f t="shared" si="2"/>
        <v>87994</v>
      </c>
      <c r="AK14" s="424">
        <f t="shared" si="1"/>
        <v>88495</v>
      </c>
      <c r="AL14" s="424">
        <v>111250</v>
      </c>
      <c r="AM14" s="360" t="s">
        <v>609</v>
      </c>
    </row>
    <row r="15" spans="1:39" x14ac:dyDescent="0.25">
      <c r="A15" s="361" t="s">
        <v>140</v>
      </c>
      <c r="B15" s="423"/>
      <c r="C15" s="423"/>
      <c r="D15" s="423"/>
      <c r="E15" s="423"/>
      <c r="F15" s="423"/>
      <c r="G15" s="423"/>
      <c r="H15" s="423"/>
      <c r="I15" s="423"/>
      <c r="J15" s="423"/>
      <c r="K15" s="423"/>
      <c r="L15" s="423"/>
      <c r="M15" s="423"/>
      <c r="N15" s="423"/>
      <c r="O15" s="423"/>
      <c r="P15" s="423"/>
      <c r="Q15" s="423"/>
      <c r="R15" s="423"/>
      <c r="S15" s="424">
        <f>6762.5</f>
        <v>6762.5</v>
      </c>
      <c r="T15" s="423"/>
      <c r="U15" s="423"/>
      <c r="V15" s="423"/>
      <c r="W15" s="423"/>
      <c r="X15" s="423"/>
      <c r="Y15" s="423"/>
      <c r="Z15" s="423"/>
      <c r="AA15" s="423"/>
      <c r="AB15" s="423"/>
      <c r="AC15" s="423"/>
      <c r="AD15" s="423"/>
      <c r="AE15" s="423"/>
      <c r="AF15" s="423"/>
      <c r="AG15" s="423"/>
      <c r="AH15" s="423"/>
      <c r="AI15" s="424">
        <f t="shared" si="0"/>
        <v>0</v>
      </c>
      <c r="AJ15" s="424">
        <f t="shared" si="2"/>
        <v>6762.5</v>
      </c>
      <c r="AK15" s="424">
        <f t="shared" si="1"/>
        <v>0</v>
      </c>
      <c r="AL15" s="424"/>
      <c r="AM15" s="360" t="s">
        <v>610</v>
      </c>
    </row>
    <row r="16" spans="1:39" x14ac:dyDescent="0.25">
      <c r="A16" s="361" t="s">
        <v>141</v>
      </c>
      <c r="B16" s="423"/>
      <c r="C16" s="423"/>
      <c r="D16" s="423"/>
      <c r="E16" s="423"/>
      <c r="F16" s="423"/>
      <c r="G16" s="423"/>
      <c r="H16" s="423"/>
      <c r="I16" s="423"/>
      <c r="J16" s="424">
        <f>500</f>
        <v>500</v>
      </c>
      <c r="K16" s="423"/>
      <c r="L16" s="423"/>
      <c r="M16" s="423"/>
      <c r="N16" s="424">
        <f>2702</f>
        <v>2702</v>
      </c>
      <c r="O16" s="424">
        <f>194.5</f>
        <v>194.5</v>
      </c>
      <c r="P16" s="424">
        <f>1000</f>
        <v>1000</v>
      </c>
      <c r="Q16" s="424">
        <f>2984</f>
        <v>2984</v>
      </c>
      <c r="R16" s="424">
        <f>1155.62</f>
        <v>1155.6199999999999</v>
      </c>
      <c r="S16" s="424">
        <f>2460</f>
        <v>2460</v>
      </c>
      <c r="T16" s="424">
        <f>1927.06</f>
        <v>1927.06</v>
      </c>
      <c r="U16" s="424">
        <f>4225.47</f>
        <v>4225.47</v>
      </c>
      <c r="V16" s="424">
        <f>2730</f>
        <v>2730</v>
      </c>
      <c r="W16" s="424">
        <f>17351.89</f>
        <v>17351.89</v>
      </c>
      <c r="X16" s="424">
        <f>5498.97</f>
        <v>5498.97</v>
      </c>
      <c r="Y16" s="424">
        <f>47525</f>
        <v>47525</v>
      </c>
      <c r="Z16" s="424">
        <f>11697</f>
        <v>11697</v>
      </c>
      <c r="AA16" s="424">
        <f>1087.79</f>
        <v>1087.79</v>
      </c>
      <c r="AB16" s="424">
        <f>20630</f>
        <v>20630</v>
      </c>
      <c r="AC16" s="424">
        <f>350</f>
        <v>350</v>
      </c>
      <c r="AD16" s="424">
        <f>16247.11</f>
        <v>16247.11</v>
      </c>
      <c r="AE16" s="424">
        <f>620</f>
        <v>620</v>
      </c>
      <c r="AF16" s="424">
        <f>3620</f>
        <v>3620</v>
      </c>
      <c r="AG16" s="424">
        <f>8231.81</f>
        <v>8231.81</v>
      </c>
      <c r="AH16" s="424">
        <f>100</f>
        <v>100</v>
      </c>
      <c r="AI16" s="424">
        <f t="shared" si="0"/>
        <v>500</v>
      </c>
      <c r="AJ16" s="424">
        <f t="shared" si="2"/>
        <v>89754.51</v>
      </c>
      <c r="AK16" s="424">
        <f t="shared" si="1"/>
        <v>132959.57</v>
      </c>
      <c r="AL16" s="424">
        <v>100000</v>
      </c>
      <c r="AM16" s="360" t="s">
        <v>611</v>
      </c>
    </row>
    <row r="17" spans="1:39" x14ac:dyDescent="0.25">
      <c r="A17" s="361" t="s">
        <v>142</v>
      </c>
      <c r="B17" s="423"/>
      <c r="C17" s="423"/>
      <c r="D17" s="423"/>
      <c r="E17" s="423"/>
      <c r="F17" s="423"/>
      <c r="G17" s="423"/>
      <c r="H17" s="423"/>
      <c r="I17" s="423"/>
      <c r="J17" s="423"/>
      <c r="K17" s="423"/>
      <c r="L17" s="423"/>
      <c r="M17" s="423"/>
      <c r="N17" s="423"/>
      <c r="O17" s="423"/>
      <c r="P17" s="423"/>
      <c r="Q17" s="423"/>
      <c r="R17" s="423"/>
      <c r="S17" s="424">
        <f>3150</f>
        <v>3150</v>
      </c>
      <c r="T17" s="423"/>
      <c r="U17" s="423"/>
      <c r="V17" s="423"/>
      <c r="W17" s="423"/>
      <c r="X17" s="423"/>
      <c r="Y17" s="423"/>
      <c r="Z17" s="423"/>
      <c r="AA17" s="423"/>
      <c r="AB17" s="423"/>
      <c r="AC17" s="423"/>
      <c r="AD17" s="424">
        <f>100</f>
        <v>100</v>
      </c>
      <c r="AE17" s="424">
        <f>1100</f>
        <v>1100</v>
      </c>
      <c r="AF17" s="423"/>
      <c r="AG17" s="423"/>
      <c r="AH17" s="423"/>
      <c r="AI17" s="424">
        <f t="shared" si="0"/>
        <v>0</v>
      </c>
      <c r="AJ17" s="424">
        <f t="shared" si="2"/>
        <v>3150</v>
      </c>
      <c r="AK17" s="424">
        <f t="shared" si="1"/>
        <v>1200</v>
      </c>
      <c r="AL17" s="424">
        <v>1500</v>
      </c>
      <c r="AM17" s="360" t="s">
        <v>83</v>
      </c>
    </row>
    <row r="18" spans="1:39" x14ac:dyDescent="0.25">
      <c r="A18" s="361" t="s">
        <v>143</v>
      </c>
      <c r="B18" s="426">
        <f t="shared" ref="B18:AH18" si="4">((((((B9)+(B10))+(B13))+(B14))+(B15))+(B16))+(B17)</f>
        <v>4650</v>
      </c>
      <c r="C18" s="426">
        <f t="shared" si="4"/>
        <v>13833.84</v>
      </c>
      <c r="D18" s="426">
        <f t="shared" si="4"/>
        <v>12351</v>
      </c>
      <c r="E18" s="426">
        <f t="shared" si="4"/>
        <v>24873.59</v>
      </c>
      <c r="F18" s="426">
        <f t="shared" si="4"/>
        <v>24106.28</v>
      </c>
      <c r="G18" s="426">
        <f t="shared" si="4"/>
        <v>19374.169999999998</v>
      </c>
      <c r="H18" s="426">
        <f t="shared" si="4"/>
        <v>23529.27</v>
      </c>
      <c r="I18" s="426">
        <f t="shared" si="4"/>
        <v>12096.38</v>
      </c>
      <c r="J18" s="426">
        <f t="shared" si="4"/>
        <v>30450</v>
      </c>
      <c r="K18" s="426">
        <f t="shared" si="4"/>
        <v>141302.45000000001</v>
      </c>
      <c r="L18" s="426">
        <f t="shared" si="4"/>
        <v>29724.959999999999</v>
      </c>
      <c r="M18" s="426">
        <f t="shared" si="4"/>
        <v>30842.92</v>
      </c>
      <c r="N18" s="426">
        <f t="shared" si="4"/>
        <v>12666.25</v>
      </c>
      <c r="O18" s="426">
        <f t="shared" si="4"/>
        <v>20075.57</v>
      </c>
      <c r="P18" s="426">
        <f t="shared" si="4"/>
        <v>8614.25</v>
      </c>
      <c r="Q18" s="426">
        <f t="shared" si="4"/>
        <v>20766.05</v>
      </c>
      <c r="R18" s="426">
        <f t="shared" si="4"/>
        <v>8684.869999999999</v>
      </c>
      <c r="S18" s="426">
        <f t="shared" si="4"/>
        <v>24686.75</v>
      </c>
      <c r="T18" s="426">
        <f t="shared" si="4"/>
        <v>9436.31</v>
      </c>
      <c r="U18" s="426">
        <f t="shared" si="4"/>
        <v>21677.14</v>
      </c>
      <c r="V18" s="426">
        <f t="shared" si="4"/>
        <v>34995</v>
      </c>
      <c r="W18" s="426">
        <f t="shared" si="4"/>
        <v>134646.42000000001</v>
      </c>
      <c r="X18" s="426">
        <f t="shared" si="4"/>
        <v>20388.97</v>
      </c>
      <c r="Y18" s="426">
        <f t="shared" si="4"/>
        <v>80190</v>
      </c>
      <c r="Z18" s="426">
        <f t="shared" si="4"/>
        <v>19607</v>
      </c>
      <c r="AA18" s="426">
        <f t="shared" si="4"/>
        <v>8072.79</v>
      </c>
      <c r="AB18" s="426">
        <f t="shared" si="4"/>
        <v>29040</v>
      </c>
      <c r="AC18" s="426">
        <f t="shared" si="4"/>
        <v>9560</v>
      </c>
      <c r="AD18" s="426">
        <f t="shared" si="4"/>
        <v>34720.589999999997</v>
      </c>
      <c r="AE18" s="426">
        <f t="shared" si="4"/>
        <v>8595</v>
      </c>
      <c r="AF18" s="426">
        <f t="shared" si="4"/>
        <v>10654.77</v>
      </c>
      <c r="AG18" s="426">
        <f t="shared" si="4"/>
        <v>14856.81</v>
      </c>
      <c r="AH18" s="426">
        <f t="shared" si="4"/>
        <v>30825</v>
      </c>
      <c r="AI18" s="426">
        <f t="shared" si="0"/>
        <v>367134.86</v>
      </c>
      <c r="AJ18" s="426">
        <f t="shared" si="2"/>
        <v>396827.57999999996</v>
      </c>
      <c r="AK18" s="426">
        <f t="shared" si="1"/>
        <v>401157.35000000003</v>
      </c>
      <c r="AL18" s="426"/>
    </row>
    <row r="19" spans="1:39" x14ac:dyDescent="0.25">
      <c r="A19" s="361" t="s">
        <v>144</v>
      </c>
      <c r="B19" s="424">
        <f>4872.29</f>
        <v>4872.29</v>
      </c>
      <c r="C19" s="423"/>
      <c r="D19" s="423"/>
      <c r="E19" s="424">
        <f>2031.14</f>
        <v>2031.14</v>
      </c>
      <c r="F19" s="423"/>
      <c r="G19" s="423"/>
      <c r="H19" s="423"/>
      <c r="I19" s="423"/>
      <c r="J19" s="423"/>
      <c r="K19" s="423"/>
      <c r="L19" s="423"/>
      <c r="M19" s="423"/>
      <c r="N19" s="423"/>
      <c r="O19" s="423"/>
      <c r="P19" s="423"/>
      <c r="Q19" s="423"/>
      <c r="R19" s="424">
        <f>18676.38</f>
        <v>18676.38</v>
      </c>
      <c r="S19" s="423"/>
      <c r="T19" s="423"/>
      <c r="U19" s="423"/>
      <c r="V19" s="424">
        <f>16333.62</f>
        <v>16333.62</v>
      </c>
      <c r="W19" s="423"/>
      <c r="X19" s="423"/>
      <c r="Y19" s="423"/>
      <c r="Z19" s="423"/>
      <c r="AA19" s="424">
        <f>10566.41</f>
        <v>10566.41</v>
      </c>
      <c r="AB19" s="423"/>
      <c r="AC19" s="423"/>
      <c r="AD19" s="424">
        <f>12837.85</f>
        <v>12837.85</v>
      </c>
      <c r="AE19" s="423"/>
      <c r="AF19" s="423"/>
      <c r="AG19" s="424">
        <f>10000</f>
        <v>10000</v>
      </c>
      <c r="AH19" s="423"/>
      <c r="AI19" s="424">
        <f t="shared" si="0"/>
        <v>6903.43</v>
      </c>
      <c r="AJ19" s="424">
        <f t="shared" si="2"/>
        <v>35010</v>
      </c>
      <c r="AK19" s="424">
        <f t="shared" si="1"/>
        <v>33404.26</v>
      </c>
      <c r="AL19" s="424">
        <v>49900</v>
      </c>
      <c r="AM19" s="360" t="s">
        <v>612</v>
      </c>
    </row>
    <row r="20" spans="1:39" x14ac:dyDescent="0.25">
      <c r="A20" s="361" t="s">
        <v>145</v>
      </c>
      <c r="B20" s="423"/>
      <c r="C20" s="423"/>
      <c r="D20" s="423"/>
      <c r="E20" s="424">
        <f>488.92</f>
        <v>488.92</v>
      </c>
      <c r="F20" s="424">
        <f>4068.65</f>
        <v>4068.65</v>
      </c>
      <c r="G20" s="423"/>
      <c r="H20" s="423"/>
      <c r="I20" s="424">
        <f>1067.04</f>
        <v>1067.04</v>
      </c>
      <c r="J20" s="424">
        <f>132.76</f>
        <v>132.76</v>
      </c>
      <c r="K20" s="424">
        <f>2150</f>
        <v>2150</v>
      </c>
      <c r="L20" s="424">
        <f>8268.8</f>
        <v>8268.7999999999993</v>
      </c>
      <c r="M20" s="424">
        <f>0</f>
        <v>0</v>
      </c>
      <c r="N20" s="424">
        <f>909.02</f>
        <v>909.02</v>
      </c>
      <c r="O20" s="423"/>
      <c r="P20" s="423"/>
      <c r="Q20" s="424">
        <f>143.81</f>
        <v>143.81</v>
      </c>
      <c r="R20" s="423"/>
      <c r="S20" s="424">
        <f>9457</f>
        <v>9457</v>
      </c>
      <c r="T20" s="423"/>
      <c r="U20" s="424">
        <f>2000</f>
        <v>2000</v>
      </c>
      <c r="V20" s="424">
        <f>15727.67</f>
        <v>15727.67</v>
      </c>
      <c r="W20" s="423"/>
      <c r="X20" s="424">
        <f>4966.27</f>
        <v>4966.2700000000004</v>
      </c>
      <c r="Y20" s="423"/>
      <c r="Z20" s="423"/>
      <c r="AA20" s="423"/>
      <c r="AB20" s="423"/>
      <c r="AC20" s="423"/>
      <c r="AD20" s="424">
        <f>4000</f>
        <v>4000</v>
      </c>
      <c r="AE20" s="423"/>
      <c r="AF20" s="424">
        <f>167.4</f>
        <v>167.4</v>
      </c>
      <c r="AG20" s="423"/>
      <c r="AH20" s="423"/>
      <c r="AI20" s="424">
        <f t="shared" si="0"/>
        <v>16176.169999999998</v>
      </c>
      <c r="AJ20" s="424">
        <f t="shared" si="2"/>
        <v>33203.770000000004</v>
      </c>
      <c r="AK20" s="424">
        <f t="shared" si="1"/>
        <v>9133.67</v>
      </c>
      <c r="AL20" s="424">
        <v>5000</v>
      </c>
    </row>
    <row r="21" spans="1:39" x14ac:dyDescent="0.25">
      <c r="A21" s="361" t="s">
        <v>146</v>
      </c>
      <c r="B21" s="424">
        <f>20</f>
        <v>20</v>
      </c>
      <c r="C21" s="423"/>
      <c r="D21" s="423"/>
      <c r="E21" s="423"/>
      <c r="F21" s="424">
        <f>18.31</f>
        <v>18.309999999999999</v>
      </c>
      <c r="G21" s="423"/>
      <c r="H21" s="423"/>
      <c r="I21" s="423"/>
      <c r="J21" s="423"/>
      <c r="K21" s="424">
        <f>1620.1</f>
        <v>1620.1</v>
      </c>
      <c r="L21" s="424">
        <f>852.16</f>
        <v>852.16</v>
      </c>
      <c r="M21" s="423"/>
      <c r="N21" s="424">
        <f>63.52</f>
        <v>63.52</v>
      </c>
      <c r="O21" s="424">
        <f>22.71</f>
        <v>22.71</v>
      </c>
      <c r="P21" s="423"/>
      <c r="Q21" s="424">
        <f>250.94</f>
        <v>250.94</v>
      </c>
      <c r="R21" s="424">
        <f>72.89</f>
        <v>72.89</v>
      </c>
      <c r="S21" s="424">
        <f>136.66</f>
        <v>136.66</v>
      </c>
      <c r="T21" s="424">
        <f>50.11</f>
        <v>50.11</v>
      </c>
      <c r="U21" s="423"/>
      <c r="V21" s="423"/>
      <c r="W21" s="424">
        <f>1094.3</f>
        <v>1094.3</v>
      </c>
      <c r="X21" s="424">
        <f>100.23</f>
        <v>100.23</v>
      </c>
      <c r="Y21" s="423"/>
      <c r="Z21" s="424">
        <f>54.92</f>
        <v>54.92</v>
      </c>
      <c r="AA21" s="424">
        <f>318.91</f>
        <v>318.91000000000003</v>
      </c>
      <c r="AB21" s="423"/>
      <c r="AC21" s="424">
        <f>250.57</f>
        <v>250.57</v>
      </c>
      <c r="AD21" s="424">
        <f>80</f>
        <v>80</v>
      </c>
      <c r="AE21" s="423"/>
      <c r="AF21" s="424">
        <f>100.23</f>
        <v>100.23</v>
      </c>
      <c r="AG21" s="424">
        <f>52.33</f>
        <v>52.33</v>
      </c>
      <c r="AH21" s="423"/>
      <c r="AI21" s="424">
        <f t="shared" si="0"/>
        <v>2510.5699999999997</v>
      </c>
      <c r="AJ21" s="424">
        <f t="shared" si="2"/>
        <v>1791.3600000000001</v>
      </c>
      <c r="AK21" s="424">
        <f t="shared" si="1"/>
        <v>2051.4900000000002</v>
      </c>
      <c r="AL21" s="424">
        <v>2000</v>
      </c>
      <c r="AM21" s="427" t="s">
        <v>613</v>
      </c>
    </row>
    <row r="22" spans="1:39" x14ac:dyDescent="0.25">
      <c r="A22" s="361" t="s">
        <v>430</v>
      </c>
      <c r="B22" s="423"/>
      <c r="C22" s="423"/>
      <c r="D22" s="423"/>
      <c r="E22" s="423"/>
      <c r="F22" s="423"/>
      <c r="G22" s="423"/>
      <c r="H22" s="423"/>
      <c r="I22" s="423"/>
      <c r="J22" s="423"/>
      <c r="K22" s="423"/>
      <c r="L22" s="423"/>
      <c r="M22" s="423"/>
      <c r="N22" s="423"/>
      <c r="O22" s="423"/>
      <c r="P22" s="423"/>
      <c r="Q22" s="423"/>
      <c r="R22" s="423"/>
      <c r="S22" s="423"/>
      <c r="T22" s="423"/>
      <c r="U22" s="423"/>
      <c r="V22" s="423"/>
      <c r="W22" s="424">
        <f>13.67</f>
        <v>13.67</v>
      </c>
      <c r="X22" s="423"/>
      <c r="Y22" s="423"/>
      <c r="Z22" s="423"/>
      <c r="AA22" s="423"/>
      <c r="AB22" s="423"/>
      <c r="AC22" s="423"/>
      <c r="AD22" s="423"/>
      <c r="AE22" s="423"/>
      <c r="AF22" s="423"/>
      <c r="AG22" s="423"/>
      <c r="AH22" s="423"/>
      <c r="AI22" s="424">
        <f t="shared" si="0"/>
        <v>0</v>
      </c>
      <c r="AJ22" s="424">
        <f t="shared" si="2"/>
        <v>13.67</v>
      </c>
      <c r="AK22" s="424">
        <f t="shared" si="1"/>
        <v>13.67</v>
      </c>
      <c r="AL22" s="424"/>
    </row>
    <row r="23" spans="1:39" x14ac:dyDescent="0.25">
      <c r="A23" s="361" t="s">
        <v>147</v>
      </c>
      <c r="B23" s="423"/>
      <c r="C23" s="423"/>
      <c r="D23" s="423"/>
      <c r="E23" s="423"/>
      <c r="F23" s="424">
        <f>2</f>
        <v>2</v>
      </c>
      <c r="G23" s="424">
        <f>1286.6</f>
        <v>1286.5999999999999</v>
      </c>
      <c r="H23" s="424">
        <f>699.1</f>
        <v>699.1</v>
      </c>
      <c r="I23" s="424">
        <f>476.83</f>
        <v>476.83</v>
      </c>
      <c r="J23" s="424">
        <f>13</f>
        <v>13</v>
      </c>
      <c r="K23" s="424">
        <f>61</f>
        <v>61</v>
      </c>
      <c r="L23" s="424">
        <f>1454.8</f>
        <v>1454.8</v>
      </c>
      <c r="M23" s="424">
        <f>139.2</f>
        <v>139.19999999999999</v>
      </c>
      <c r="N23" s="424">
        <f>36</f>
        <v>36</v>
      </c>
      <c r="O23" s="423"/>
      <c r="P23" s="423"/>
      <c r="Q23" s="424">
        <f>25</f>
        <v>25</v>
      </c>
      <c r="R23" s="424">
        <f>69.5</f>
        <v>69.5</v>
      </c>
      <c r="S23" s="423"/>
      <c r="T23" s="424">
        <f>44.5</f>
        <v>44.5</v>
      </c>
      <c r="U23" s="423"/>
      <c r="V23" s="424">
        <f>500</f>
        <v>500</v>
      </c>
      <c r="W23" s="423"/>
      <c r="X23" s="423"/>
      <c r="Y23" s="423"/>
      <c r="Z23" s="424">
        <f>269.7</f>
        <v>269.7</v>
      </c>
      <c r="AA23" s="423"/>
      <c r="AB23" s="423"/>
      <c r="AC23" s="423"/>
      <c r="AD23" s="423"/>
      <c r="AE23" s="423"/>
      <c r="AF23" s="423"/>
      <c r="AG23" s="423"/>
      <c r="AH23" s="423"/>
      <c r="AI23" s="424">
        <f t="shared" si="0"/>
        <v>4132.53</v>
      </c>
      <c r="AJ23" s="424">
        <f t="shared" si="2"/>
        <v>675</v>
      </c>
      <c r="AK23" s="424">
        <f t="shared" si="1"/>
        <v>269.7</v>
      </c>
      <c r="AL23" s="424"/>
    </row>
    <row r="24" spans="1:39" x14ac:dyDescent="0.25">
      <c r="A24" s="361" t="s">
        <v>148</v>
      </c>
      <c r="B24" s="423"/>
      <c r="C24" s="423"/>
      <c r="D24" s="423"/>
      <c r="E24" s="423"/>
      <c r="F24" s="423"/>
      <c r="G24" s="423"/>
      <c r="H24" s="423"/>
      <c r="I24" s="423"/>
      <c r="J24" s="423"/>
      <c r="K24" s="423"/>
      <c r="L24" s="423"/>
      <c r="M24" s="423"/>
      <c r="N24" s="423"/>
      <c r="O24" s="423"/>
      <c r="P24" s="423"/>
      <c r="Q24" s="423"/>
      <c r="R24" s="424">
        <f>1529.5</f>
        <v>1529.5</v>
      </c>
      <c r="S24" s="424">
        <f>1196.5</f>
        <v>1196.5</v>
      </c>
      <c r="T24" s="424">
        <f>731</f>
        <v>731</v>
      </c>
      <c r="U24" s="424">
        <f>465</f>
        <v>465</v>
      </c>
      <c r="V24" s="424">
        <f>576</f>
        <v>576</v>
      </c>
      <c r="W24" s="424">
        <f>266</f>
        <v>266</v>
      </c>
      <c r="X24" s="423"/>
      <c r="Y24" s="423"/>
      <c r="Z24" s="423"/>
      <c r="AA24" s="423"/>
      <c r="AB24" s="423"/>
      <c r="AC24" s="423"/>
      <c r="AD24" s="423"/>
      <c r="AE24" s="423"/>
      <c r="AF24" s="423"/>
      <c r="AG24" s="423"/>
      <c r="AH24" s="423"/>
      <c r="AI24" s="424">
        <f t="shared" si="0"/>
        <v>0</v>
      </c>
      <c r="AJ24" s="424">
        <f t="shared" si="2"/>
        <v>4764</v>
      </c>
      <c r="AK24" s="424">
        <f t="shared" si="1"/>
        <v>266</v>
      </c>
      <c r="AL24" s="424"/>
    </row>
    <row r="25" spans="1:39" x14ac:dyDescent="0.25">
      <c r="A25" s="428" t="s">
        <v>150</v>
      </c>
      <c r="B25" s="423"/>
      <c r="C25" s="423"/>
      <c r="D25" s="423"/>
      <c r="E25" s="423"/>
      <c r="F25" s="423"/>
      <c r="G25" s="423"/>
      <c r="H25" s="423"/>
      <c r="I25" s="423"/>
      <c r="J25" s="423"/>
      <c r="K25" s="423"/>
      <c r="L25" s="423"/>
      <c r="M25" s="423"/>
      <c r="N25" s="423"/>
      <c r="O25" s="423"/>
      <c r="P25" s="423"/>
      <c r="Q25" s="423"/>
      <c r="R25" s="424">
        <f>364</f>
        <v>364</v>
      </c>
      <c r="S25" s="424">
        <f>249.5</f>
        <v>249.5</v>
      </c>
      <c r="T25" s="424">
        <f>685.75</f>
        <v>685.75</v>
      </c>
      <c r="U25" s="424">
        <f>1009</f>
        <v>1009</v>
      </c>
      <c r="V25" s="424">
        <f>157</f>
        <v>157</v>
      </c>
      <c r="W25" s="423"/>
      <c r="X25" s="423"/>
      <c r="Y25" s="423"/>
      <c r="Z25" s="423"/>
      <c r="AA25" s="423"/>
      <c r="AB25" s="423"/>
      <c r="AC25" s="423"/>
      <c r="AD25" s="424">
        <f>51</f>
        <v>51</v>
      </c>
      <c r="AE25" s="424">
        <f>571.3</f>
        <v>571.29999999999995</v>
      </c>
      <c r="AF25" s="424">
        <f>827</f>
        <v>827</v>
      </c>
      <c r="AG25" s="424">
        <f>230</f>
        <v>230</v>
      </c>
      <c r="AH25" s="424">
        <f>10.5</f>
        <v>10.5</v>
      </c>
      <c r="AI25" s="424">
        <f t="shared" si="0"/>
        <v>0</v>
      </c>
      <c r="AJ25" s="424">
        <f t="shared" si="2"/>
        <v>2465.25</v>
      </c>
      <c r="AK25" s="424">
        <f t="shared" si="1"/>
        <v>1689.8</v>
      </c>
      <c r="AL25" s="424"/>
    </row>
    <row r="26" spans="1:39" x14ac:dyDescent="0.25">
      <c r="A26" s="361" t="s">
        <v>614</v>
      </c>
      <c r="B26" s="423"/>
      <c r="C26" s="423"/>
      <c r="D26" s="423"/>
      <c r="E26" s="423"/>
      <c r="F26" s="423"/>
      <c r="G26" s="423"/>
      <c r="H26" s="423"/>
      <c r="I26" s="423"/>
      <c r="J26" s="423"/>
      <c r="K26" s="423"/>
      <c r="L26" s="423"/>
      <c r="M26" s="423"/>
      <c r="N26" s="423"/>
      <c r="O26" s="423"/>
      <c r="P26" s="423"/>
      <c r="Q26" s="423"/>
      <c r="R26" s="423"/>
      <c r="S26" s="423"/>
      <c r="T26" s="423"/>
      <c r="U26" s="423"/>
      <c r="V26" s="423"/>
      <c r="W26" s="423"/>
      <c r="X26" s="424">
        <f>295</f>
        <v>295</v>
      </c>
      <c r="Y26" s="423"/>
      <c r="Z26" s="423"/>
      <c r="AA26" s="423"/>
      <c r="AB26" s="423"/>
      <c r="AC26" s="423"/>
      <c r="AD26" s="423"/>
      <c r="AE26" s="423"/>
      <c r="AF26" s="423"/>
      <c r="AG26" s="423"/>
      <c r="AH26" s="423"/>
      <c r="AI26" s="424">
        <f t="shared" si="0"/>
        <v>0</v>
      </c>
      <c r="AJ26" s="424">
        <f t="shared" si="2"/>
        <v>295</v>
      </c>
      <c r="AK26" s="424">
        <f t="shared" si="1"/>
        <v>295</v>
      </c>
      <c r="AL26" s="424"/>
    </row>
    <row r="27" spans="1:39" x14ac:dyDescent="0.25">
      <c r="A27" s="428" t="s">
        <v>151</v>
      </c>
      <c r="B27" s="423"/>
      <c r="C27" s="423"/>
      <c r="D27" s="423"/>
      <c r="E27" s="423"/>
      <c r="F27" s="423"/>
      <c r="G27" s="423"/>
      <c r="H27" s="423"/>
      <c r="I27" s="423"/>
      <c r="J27" s="423"/>
      <c r="K27" s="423"/>
      <c r="L27" s="423"/>
      <c r="M27" s="423"/>
      <c r="N27" s="423"/>
      <c r="O27" s="423"/>
      <c r="P27" s="423"/>
      <c r="Q27" s="423"/>
      <c r="R27" s="424">
        <f>69</f>
        <v>69</v>
      </c>
      <c r="S27" s="424">
        <f>173</f>
        <v>173</v>
      </c>
      <c r="T27" s="424">
        <f>1017.6</f>
        <v>1017.6</v>
      </c>
      <c r="U27" s="424">
        <f>2037.17</f>
        <v>2037.17</v>
      </c>
      <c r="V27" s="424">
        <f>1123.6</f>
        <v>1123.5999999999999</v>
      </c>
      <c r="W27" s="424">
        <f>1685.26</f>
        <v>1685.26</v>
      </c>
      <c r="X27" s="424">
        <f>640.6</f>
        <v>640.6</v>
      </c>
      <c r="Y27" s="424">
        <f>94.2</f>
        <v>94.2</v>
      </c>
      <c r="Z27" s="424">
        <f>80</f>
        <v>80</v>
      </c>
      <c r="AA27" s="423"/>
      <c r="AB27" s="423"/>
      <c r="AC27" s="423"/>
      <c r="AD27" s="424">
        <f>440.4</f>
        <v>440.4</v>
      </c>
      <c r="AE27" s="424">
        <f>189.8</f>
        <v>189.8</v>
      </c>
      <c r="AF27" s="424">
        <f>1583.8</f>
        <v>1583.8</v>
      </c>
      <c r="AG27" s="424">
        <f>2492.1</f>
        <v>2492.1</v>
      </c>
      <c r="AH27" s="423"/>
      <c r="AI27" s="424">
        <f t="shared" si="0"/>
        <v>0</v>
      </c>
      <c r="AJ27" s="424">
        <f t="shared" si="2"/>
        <v>6840.43</v>
      </c>
      <c r="AK27" s="424">
        <f t="shared" si="1"/>
        <v>7206.16</v>
      </c>
      <c r="AL27" s="424"/>
      <c r="AM27" s="360" t="s">
        <v>615</v>
      </c>
    </row>
    <row r="28" spans="1:39" x14ac:dyDescent="0.25">
      <c r="A28" s="361" t="s">
        <v>152</v>
      </c>
      <c r="B28" s="426">
        <f t="shared" ref="B28:AH28" si="5">((((B23)+(B24))+(B25))+(B26))+(B27)</f>
        <v>0</v>
      </c>
      <c r="C28" s="426">
        <f t="shared" si="5"/>
        <v>0</v>
      </c>
      <c r="D28" s="426">
        <f t="shared" si="5"/>
        <v>0</v>
      </c>
      <c r="E28" s="426">
        <f t="shared" si="5"/>
        <v>0</v>
      </c>
      <c r="F28" s="426">
        <f t="shared" si="5"/>
        <v>2</v>
      </c>
      <c r="G28" s="426">
        <f t="shared" si="5"/>
        <v>1286.5999999999999</v>
      </c>
      <c r="H28" s="426">
        <f t="shared" si="5"/>
        <v>699.1</v>
      </c>
      <c r="I28" s="426">
        <f t="shared" si="5"/>
        <v>476.83</v>
      </c>
      <c r="J28" s="426">
        <f t="shared" si="5"/>
        <v>13</v>
      </c>
      <c r="K28" s="426">
        <f t="shared" si="5"/>
        <v>61</v>
      </c>
      <c r="L28" s="426">
        <f t="shared" si="5"/>
        <v>1454.8</v>
      </c>
      <c r="M28" s="426">
        <f t="shared" si="5"/>
        <v>139.19999999999999</v>
      </c>
      <c r="N28" s="426">
        <f t="shared" si="5"/>
        <v>36</v>
      </c>
      <c r="O28" s="426">
        <f t="shared" si="5"/>
        <v>0</v>
      </c>
      <c r="P28" s="426">
        <f t="shared" si="5"/>
        <v>0</v>
      </c>
      <c r="Q28" s="426">
        <f t="shared" si="5"/>
        <v>25</v>
      </c>
      <c r="R28" s="426">
        <f t="shared" si="5"/>
        <v>2032</v>
      </c>
      <c r="S28" s="426">
        <f t="shared" si="5"/>
        <v>1619</v>
      </c>
      <c r="T28" s="426">
        <f t="shared" si="5"/>
        <v>2478.85</v>
      </c>
      <c r="U28" s="426">
        <f t="shared" si="5"/>
        <v>3511.17</v>
      </c>
      <c r="V28" s="426">
        <f t="shared" si="5"/>
        <v>2356.6</v>
      </c>
      <c r="W28" s="426">
        <f t="shared" si="5"/>
        <v>1951.26</v>
      </c>
      <c r="X28" s="426">
        <f t="shared" si="5"/>
        <v>935.6</v>
      </c>
      <c r="Y28" s="426">
        <f t="shared" si="5"/>
        <v>94.2</v>
      </c>
      <c r="Z28" s="426">
        <f t="shared" si="5"/>
        <v>349.7</v>
      </c>
      <c r="AA28" s="426">
        <f t="shared" si="5"/>
        <v>0</v>
      </c>
      <c r="AB28" s="426">
        <f t="shared" si="5"/>
        <v>0</v>
      </c>
      <c r="AC28" s="426">
        <f t="shared" si="5"/>
        <v>0</v>
      </c>
      <c r="AD28" s="426">
        <f t="shared" si="5"/>
        <v>491.4</v>
      </c>
      <c r="AE28" s="426">
        <f t="shared" si="5"/>
        <v>761.09999999999991</v>
      </c>
      <c r="AF28" s="426">
        <f t="shared" si="5"/>
        <v>2410.8000000000002</v>
      </c>
      <c r="AG28" s="426">
        <f t="shared" si="5"/>
        <v>2722.1</v>
      </c>
      <c r="AH28" s="426">
        <f t="shared" si="5"/>
        <v>10.5</v>
      </c>
      <c r="AI28" s="426">
        <f t="shared" si="0"/>
        <v>4132.53</v>
      </c>
      <c r="AJ28" s="426">
        <f t="shared" si="2"/>
        <v>15039.680000000002</v>
      </c>
      <c r="AK28" s="426">
        <f t="shared" si="1"/>
        <v>9726.66</v>
      </c>
      <c r="AL28" s="426"/>
      <c r="AM28" s="360" t="s">
        <v>616</v>
      </c>
    </row>
    <row r="29" spans="1:39" x14ac:dyDescent="0.25">
      <c r="A29" s="361" t="s">
        <v>153</v>
      </c>
      <c r="B29" s="423"/>
      <c r="C29" s="423"/>
      <c r="D29" s="424">
        <f>720</f>
        <v>720</v>
      </c>
      <c r="E29" s="423"/>
      <c r="F29" s="423"/>
      <c r="G29" s="423"/>
      <c r="H29" s="423"/>
      <c r="I29" s="423"/>
      <c r="J29" s="423"/>
      <c r="K29" s="423"/>
      <c r="L29" s="423"/>
      <c r="M29" s="423"/>
      <c r="N29" s="423"/>
      <c r="O29" s="423"/>
      <c r="P29" s="423"/>
      <c r="Q29" s="423"/>
      <c r="R29" s="423"/>
      <c r="S29" s="424">
        <f>309.59</f>
        <v>309.58999999999997</v>
      </c>
      <c r="T29" s="423"/>
      <c r="U29" s="424">
        <f>72.73</f>
        <v>72.73</v>
      </c>
      <c r="V29" s="423"/>
      <c r="W29" s="423"/>
      <c r="X29" s="424">
        <f>-1000</f>
        <v>-1000</v>
      </c>
      <c r="Y29" s="423"/>
      <c r="Z29" s="423"/>
      <c r="AA29" s="423"/>
      <c r="AB29" s="423"/>
      <c r="AC29" s="423"/>
      <c r="AD29" s="423"/>
      <c r="AE29" s="423"/>
      <c r="AF29" s="424">
        <f>97.89</f>
        <v>97.89</v>
      </c>
      <c r="AG29" s="423"/>
      <c r="AH29" s="423"/>
      <c r="AI29" s="424">
        <f t="shared" si="0"/>
        <v>720</v>
      </c>
      <c r="AJ29" s="424">
        <f t="shared" si="2"/>
        <v>-617.68000000000006</v>
      </c>
      <c r="AK29" s="424">
        <f t="shared" si="1"/>
        <v>-902.11</v>
      </c>
      <c r="AL29" s="424"/>
    </row>
    <row r="30" spans="1:39" x14ac:dyDescent="0.25">
      <c r="A30" s="361" t="s">
        <v>154</v>
      </c>
      <c r="B30" s="423"/>
      <c r="C30" s="423"/>
      <c r="D30" s="423"/>
      <c r="E30" s="423"/>
      <c r="F30" s="423"/>
      <c r="G30" s="423"/>
      <c r="H30" s="423"/>
      <c r="I30" s="423"/>
      <c r="J30" s="423"/>
      <c r="K30" s="423"/>
      <c r="L30" s="423"/>
      <c r="M30" s="423"/>
      <c r="N30" s="423"/>
      <c r="O30" s="423"/>
      <c r="P30" s="423"/>
      <c r="Q30" s="424">
        <f>500</f>
        <v>500</v>
      </c>
      <c r="R30" s="423"/>
      <c r="S30" s="423"/>
      <c r="T30" s="423"/>
      <c r="U30" s="423"/>
      <c r="V30" s="423"/>
      <c r="W30" s="423"/>
      <c r="X30" s="423"/>
      <c r="Y30" s="423"/>
      <c r="Z30" s="423"/>
      <c r="AA30" s="423"/>
      <c r="AB30" s="423"/>
      <c r="AC30" s="423"/>
      <c r="AD30" s="423"/>
      <c r="AE30" s="423"/>
      <c r="AF30" s="423"/>
      <c r="AG30" s="423"/>
      <c r="AH30" s="423"/>
      <c r="AI30" s="424">
        <f t="shared" si="0"/>
        <v>0</v>
      </c>
      <c r="AJ30" s="424">
        <f t="shared" si="2"/>
        <v>500</v>
      </c>
      <c r="AK30" s="424">
        <f t="shared" si="1"/>
        <v>0</v>
      </c>
      <c r="AL30" s="424"/>
    </row>
    <row r="31" spans="1:39" x14ac:dyDescent="0.25">
      <c r="A31" s="361" t="s">
        <v>155</v>
      </c>
      <c r="B31" s="423"/>
      <c r="C31" s="423"/>
      <c r="D31" s="423"/>
      <c r="E31" s="423"/>
      <c r="F31" s="424">
        <f>90</f>
        <v>90</v>
      </c>
      <c r="G31" s="424">
        <f>100</f>
        <v>100</v>
      </c>
      <c r="H31" s="423"/>
      <c r="I31" s="423"/>
      <c r="J31" s="423"/>
      <c r="K31" s="423"/>
      <c r="L31" s="423"/>
      <c r="M31" s="423"/>
      <c r="N31" s="423"/>
      <c r="O31" s="423"/>
      <c r="P31" s="423"/>
      <c r="Q31" s="424">
        <f>50.11</f>
        <v>50.11</v>
      </c>
      <c r="R31" s="423"/>
      <c r="S31" s="423"/>
      <c r="T31" s="423"/>
      <c r="U31" s="423"/>
      <c r="V31" s="423"/>
      <c r="W31" s="423"/>
      <c r="X31" s="423"/>
      <c r="Y31" s="424">
        <f>103.79</f>
        <v>103.79</v>
      </c>
      <c r="Z31" s="423"/>
      <c r="AA31" s="424">
        <f>0.14</f>
        <v>0.14000000000000001</v>
      </c>
      <c r="AB31" s="423"/>
      <c r="AC31" s="423"/>
      <c r="AD31" s="423"/>
      <c r="AE31" s="424">
        <f>3.02</f>
        <v>3.02</v>
      </c>
      <c r="AF31" s="423"/>
      <c r="AG31" s="423"/>
      <c r="AH31" s="423"/>
      <c r="AI31" s="424">
        <f t="shared" si="0"/>
        <v>190</v>
      </c>
      <c r="AJ31" s="424">
        <f t="shared" si="2"/>
        <v>153.9</v>
      </c>
      <c r="AK31" s="424">
        <f t="shared" si="1"/>
        <v>106.95</v>
      </c>
      <c r="AL31" s="424"/>
    </row>
    <row r="32" spans="1:39" x14ac:dyDescent="0.25">
      <c r="A32" s="361" t="s">
        <v>156</v>
      </c>
      <c r="B32" s="426">
        <f t="shared" ref="B32:AH32" si="6">((((((((((B7)+(B8))+(B18))+(B19))+(B20))+(B21))+(B22))+(B28))+(B29))+(B30))+(B31)</f>
        <v>19042.29</v>
      </c>
      <c r="C32" s="426">
        <f t="shared" si="6"/>
        <v>13833.84</v>
      </c>
      <c r="D32" s="426">
        <f t="shared" si="6"/>
        <v>18071</v>
      </c>
      <c r="E32" s="426">
        <f t="shared" si="6"/>
        <v>37393.649999999994</v>
      </c>
      <c r="F32" s="426">
        <f t="shared" si="6"/>
        <v>28285.24</v>
      </c>
      <c r="G32" s="426">
        <f t="shared" si="6"/>
        <v>30760.769999999997</v>
      </c>
      <c r="H32" s="426">
        <f t="shared" si="6"/>
        <v>24228.37</v>
      </c>
      <c r="I32" s="426">
        <f t="shared" si="6"/>
        <v>13640.249999999998</v>
      </c>
      <c r="J32" s="426">
        <f t="shared" si="6"/>
        <v>30595.759999999998</v>
      </c>
      <c r="K32" s="426">
        <f t="shared" si="6"/>
        <v>145133.55000000002</v>
      </c>
      <c r="L32" s="426">
        <f t="shared" si="6"/>
        <v>69300.72</v>
      </c>
      <c r="M32" s="426">
        <f t="shared" si="6"/>
        <v>41982.119999999995</v>
      </c>
      <c r="N32" s="426">
        <f t="shared" si="6"/>
        <v>13674.79</v>
      </c>
      <c r="O32" s="426">
        <f t="shared" si="6"/>
        <v>35098.28</v>
      </c>
      <c r="P32" s="426">
        <f t="shared" si="6"/>
        <v>8614.25</v>
      </c>
      <c r="Q32" s="426">
        <f t="shared" si="6"/>
        <v>21753.91</v>
      </c>
      <c r="R32" s="426">
        <f t="shared" si="6"/>
        <v>35317.550000000003</v>
      </c>
      <c r="S32" s="426">
        <f t="shared" si="6"/>
        <v>36209</v>
      </c>
      <c r="T32" s="426">
        <f t="shared" si="6"/>
        <v>11965.27</v>
      </c>
      <c r="U32" s="426">
        <f t="shared" si="6"/>
        <v>27261.039999999997</v>
      </c>
      <c r="V32" s="426">
        <f t="shared" si="6"/>
        <v>69412.890000000014</v>
      </c>
      <c r="W32" s="426">
        <f t="shared" si="6"/>
        <v>137705.65000000002</v>
      </c>
      <c r="X32" s="426">
        <f t="shared" si="6"/>
        <v>25391.07</v>
      </c>
      <c r="Y32" s="426">
        <f t="shared" si="6"/>
        <v>80387.989999999991</v>
      </c>
      <c r="Z32" s="426">
        <f t="shared" si="6"/>
        <v>20011.62</v>
      </c>
      <c r="AA32" s="426">
        <f t="shared" si="6"/>
        <v>18958.25</v>
      </c>
      <c r="AB32" s="426">
        <f t="shared" si="6"/>
        <v>29040</v>
      </c>
      <c r="AC32" s="426">
        <f t="shared" si="6"/>
        <v>9810.57</v>
      </c>
      <c r="AD32" s="426">
        <f t="shared" si="6"/>
        <v>52129.84</v>
      </c>
      <c r="AE32" s="426">
        <f t="shared" si="6"/>
        <v>9359.1200000000008</v>
      </c>
      <c r="AF32" s="426">
        <f t="shared" si="6"/>
        <v>13431.09</v>
      </c>
      <c r="AG32" s="426">
        <f t="shared" si="6"/>
        <v>27631.239999999998</v>
      </c>
      <c r="AH32" s="426">
        <f t="shared" si="6"/>
        <v>30835.5</v>
      </c>
      <c r="AI32" s="429">
        <f t="shared" si="0"/>
        <v>472267.56000000006</v>
      </c>
      <c r="AJ32" s="429">
        <f t="shared" si="2"/>
        <v>502791.69</v>
      </c>
      <c r="AK32" s="429">
        <f t="shared" si="1"/>
        <v>454691.94</v>
      </c>
      <c r="AL32" s="429">
        <f>SUM(AL7:AL31)</f>
        <v>469650</v>
      </c>
    </row>
    <row r="33" spans="1:39" x14ac:dyDescent="0.25">
      <c r="A33" s="361" t="s">
        <v>20</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f t="shared" si="0"/>
        <v>0</v>
      </c>
      <c r="AJ33" s="423">
        <f t="shared" si="2"/>
        <v>0</v>
      </c>
      <c r="AK33" s="423">
        <f t="shared" si="1"/>
        <v>0</v>
      </c>
      <c r="AL33" s="423"/>
    </row>
    <row r="34" spans="1:39" x14ac:dyDescent="0.25">
      <c r="A34" s="361" t="s">
        <v>617</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4">
        <f>2.13</f>
        <v>2.13</v>
      </c>
      <c r="AH34" s="423"/>
      <c r="AI34" s="424">
        <f t="shared" si="0"/>
        <v>0</v>
      </c>
      <c r="AJ34" s="424">
        <f t="shared" si="2"/>
        <v>0</v>
      </c>
      <c r="AK34" s="424">
        <f t="shared" si="1"/>
        <v>2.13</v>
      </c>
      <c r="AL34" s="424"/>
    </row>
    <row r="35" spans="1:39" x14ac:dyDescent="0.25">
      <c r="A35" s="361" t="s">
        <v>157</v>
      </c>
      <c r="B35" s="423"/>
      <c r="C35" s="423"/>
      <c r="D35" s="423"/>
      <c r="E35" s="423"/>
      <c r="F35" s="423"/>
      <c r="G35" s="423"/>
      <c r="H35" s="423"/>
      <c r="I35" s="423"/>
      <c r="J35" s="423"/>
      <c r="K35" s="423"/>
      <c r="L35" s="423"/>
      <c r="M35" s="423"/>
      <c r="N35" s="424">
        <f>2730</f>
        <v>2730</v>
      </c>
      <c r="O35" s="424">
        <f>5559.75</f>
        <v>5559.75</v>
      </c>
      <c r="P35" s="424">
        <f>6788.25</f>
        <v>6788.25</v>
      </c>
      <c r="Q35" s="424">
        <f>4961.25</f>
        <v>4961.25</v>
      </c>
      <c r="R35" s="424">
        <f>4016.25</f>
        <v>4016.25</v>
      </c>
      <c r="S35" s="424">
        <f>3927</f>
        <v>3927</v>
      </c>
      <c r="T35" s="424">
        <f>3948</f>
        <v>3948</v>
      </c>
      <c r="U35" s="424">
        <f>5510.5</f>
        <v>5510.5</v>
      </c>
      <c r="V35" s="424">
        <f>4441.5</f>
        <v>4441.5</v>
      </c>
      <c r="W35" s="424">
        <f>4142.25</f>
        <v>4142.25</v>
      </c>
      <c r="X35" s="424">
        <f>4620</f>
        <v>4620</v>
      </c>
      <c r="Y35" s="424">
        <f>3200.25</f>
        <v>3200.25</v>
      </c>
      <c r="Z35" s="424">
        <f>1008</f>
        <v>1008</v>
      </c>
      <c r="AA35" s="424">
        <f>1755</f>
        <v>1755</v>
      </c>
      <c r="AB35" s="424">
        <f>5340</f>
        <v>5340</v>
      </c>
      <c r="AC35" s="424">
        <f>5148</f>
        <v>5148</v>
      </c>
      <c r="AD35" s="424">
        <f>8649</f>
        <v>8649</v>
      </c>
      <c r="AE35" s="424">
        <f>9380.2</f>
        <v>9380.2000000000007</v>
      </c>
      <c r="AF35" s="424">
        <f>10886.4</f>
        <v>10886.4</v>
      </c>
      <c r="AG35" s="424">
        <f>9351</f>
        <v>9351</v>
      </c>
      <c r="AH35" s="424">
        <f>7872</f>
        <v>7872</v>
      </c>
      <c r="AI35" s="424">
        <f t="shared" si="0"/>
        <v>0</v>
      </c>
      <c r="AJ35" s="425">
        <f t="shared" si="2"/>
        <v>53845</v>
      </c>
      <c r="AK35" s="425">
        <f t="shared" si="1"/>
        <v>71352.100000000006</v>
      </c>
      <c r="AL35" s="425">
        <v>89856</v>
      </c>
      <c r="AM35" s="360" t="s">
        <v>531</v>
      </c>
    </row>
    <row r="36" spans="1:39" x14ac:dyDescent="0.25">
      <c r="A36" s="361" t="s">
        <v>158</v>
      </c>
      <c r="B36" s="423"/>
      <c r="C36" s="424">
        <f>342.32</f>
        <v>342.32</v>
      </c>
      <c r="D36" s="424">
        <f>584.23</f>
        <v>584.23</v>
      </c>
      <c r="E36" s="423"/>
      <c r="F36" s="423"/>
      <c r="G36" s="423"/>
      <c r="H36" s="423"/>
      <c r="I36" s="423"/>
      <c r="J36" s="424">
        <f>807.43</f>
        <v>807.43</v>
      </c>
      <c r="K36" s="423"/>
      <c r="L36" s="424">
        <f>149.61</f>
        <v>149.61000000000001</v>
      </c>
      <c r="M36" s="423"/>
      <c r="N36" s="424">
        <f>118.78</f>
        <v>118.78</v>
      </c>
      <c r="O36" s="424">
        <f>119.95</f>
        <v>119.95</v>
      </c>
      <c r="P36" s="424">
        <f>154.42</f>
        <v>154.41999999999999</v>
      </c>
      <c r="Q36" s="423"/>
      <c r="R36" s="424">
        <f>448.64</f>
        <v>448.64</v>
      </c>
      <c r="S36" s="424">
        <f>391.65</f>
        <v>391.65</v>
      </c>
      <c r="T36" s="424">
        <f>385.57</f>
        <v>385.57</v>
      </c>
      <c r="U36" s="424">
        <f>298.71</f>
        <v>298.70999999999998</v>
      </c>
      <c r="V36" s="424">
        <f>280.38</f>
        <v>280.38</v>
      </c>
      <c r="W36" s="424">
        <f>292.87</f>
        <v>292.87</v>
      </c>
      <c r="X36" s="424">
        <f>273.4</f>
        <v>273.39999999999998</v>
      </c>
      <c r="Y36" s="424">
        <f>240.01</f>
        <v>240.01</v>
      </c>
      <c r="Z36" s="423"/>
      <c r="AA36" s="423"/>
      <c r="AB36" s="423"/>
      <c r="AC36" s="423"/>
      <c r="AD36" s="423"/>
      <c r="AE36" s="423"/>
      <c r="AF36" s="423"/>
      <c r="AG36" s="423"/>
      <c r="AH36" s="423"/>
      <c r="AI36" s="424">
        <f t="shared" si="0"/>
        <v>1883.5900000000001</v>
      </c>
      <c r="AJ36" s="424">
        <f t="shared" si="2"/>
        <v>3004.38</v>
      </c>
      <c r="AK36" s="424">
        <f t="shared" si="1"/>
        <v>806.28</v>
      </c>
      <c r="AL36" s="424"/>
    </row>
    <row r="37" spans="1:39" x14ac:dyDescent="0.25">
      <c r="A37" s="361" t="s">
        <v>618</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4">
        <f>130.64</f>
        <v>130.63999999999999</v>
      </c>
      <c r="AA37" s="424">
        <f>186.98</f>
        <v>186.98</v>
      </c>
      <c r="AB37" s="424">
        <f>187.34</f>
        <v>187.34</v>
      </c>
      <c r="AC37" s="424">
        <f>203.9</f>
        <v>203.9</v>
      </c>
      <c r="AD37" s="424">
        <f>871.94</f>
        <v>871.94</v>
      </c>
      <c r="AE37" s="423"/>
      <c r="AF37" s="424">
        <f>641.26</f>
        <v>641.26</v>
      </c>
      <c r="AG37" s="424">
        <f>945.92</f>
        <v>945.92</v>
      </c>
      <c r="AH37" s="424">
        <f>752.31</f>
        <v>752.31</v>
      </c>
      <c r="AI37" s="424">
        <f t="shared" si="0"/>
        <v>0</v>
      </c>
      <c r="AJ37" s="424">
        <f t="shared" si="2"/>
        <v>0</v>
      </c>
      <c r="AK37" s="424">
        <f t="shared" si="1"/>
        <v>3920.2900000000004</v>
      </c>
      <c r="AL37" s="424">
        <v>5000</v>
      </c>
      <c r="AM37" s="360" t="s">
        <v>619</v>
      </c>
    </row>
    <row r="38" spans="1:39" x14ac:dyDescent="0.25">
      <c r="A38" s="361" t="s">
        <v>620</v>
      </c>
      <c r="B38" s="426">
        <f t="shared" ref="B38:AH38" si="7">(B36)+(B37)</f>
        <v>0</v>
      </c>
      <c r="C38" s="426">
        <f t="shared" si="7"/>
        <v>342.32</v>
      </c>
      <c r="D38" s="426">
        <f t="shared" si="7"/>
        <v>584.23</v>
      </c>
      <c r="E38" s="426">
        <f t="shared" si="7"/>
        <v>0</v>
      </c>
      <c r="F38" s="426">
        <f t="shared" si="7"/>
        <v>0</v>
      </c>
      <c r="G38" s="426">
        <f t="shared" si="7"/>
        <v>0</v>
      </c>
      <c r="H38" s="426">
        <f t="shared" si="7"/>
        <v>0</v>
      </c>
      <c r="I38" s="426">
        <f t="shared" si="7"/>
        <v>0</v>
      </c>
      <c r="J38" s="426">
        <f t="shared" si="7"/>
        <v>807.43</v>
      </c>
      <c r="K38" s="426">
        <f t="shared" si="7"/>
        <v>0</v>
      </c>
      <c r="L38" s="426">
        <f t="shared" si="7"/>
        <v>149.61000000000001</v>
      </c>
      <c r="M38" s="426">
        <f t="shared" si="7"/>
        <v>0</v>
      </c>
      <c r="N38" s="426">
        <f t="shared" si="7"/>
        <v>118.78</v>
      </c>
      <c r="O38" s="426">
        <f t="shared" si="7"/>
        <v>119.95</v>
      </c>
      <c r="P38" s="426">
        <f t="shared" si="7"/>
        <v>154.41999999999999</v>
      </c>
      <c r="Q38" s="426">
        <f t="shared" si="7"/>
        <v>0</v>
      </c>
      <c r="R38" s="426">
        <f t="shared" si="7"/>
        <v>448.64</v>
      </c>
      <c r="S38" s="426">
        <f t="shared" si="7"/>
        <v>391.65</v>
      </c>
      <c r="T38" s="426">
        <f t="shared" si="7"/>
        <v>385.57</v>
      </c>
      <c r="U38" s="426">
        <f t="shared" si="7"/>
        <v>298.70999999999998</v>
      </c>
      <c r="V38" s="426">
        <f t="shared" si="7"/>
        <v>280.38</v>
      </c>
      <c r="W38" s="426">
        <f t="shared" si="7"/>
        <v>292.87</v>
      </c>
      <c r="X38" s="426">
        <f t="shared" si="7"/>
        <v>273.39999999999998</v>
      </c>
      <c r="Y38" s="426">
        <f t="shared" si="7"/>
        <v>240.01</v>
      </c>
      <c r="Z38" s="426">
        <f t="shared" si="7"/>
        <v>130.63999999999999</v>
      </c>
      <c r="AA38" s="426">
        <f t="shared" si="7"/>
        <v>186.98</v>
      </c>
      <c r="AB38" s="426">
        <f t="shared" si="7"/>
        <v>187.34</v>
      </c>
      <c r="AC38" s="426">
        <f t="shared" si="7"/>
        <v>203.9</v>
      </c>
      <c r="AD38" s="426">
        <f t="shared" si="7"/>
        <v>871.94</v>
      </c>
      <c r="AE38" s="426">
        <f t="shared" si="7"/>
        <v>0</v>
      </c>
      <c r="AF38" s="426">
        <f t="shared" si="7"/>
        <v>641.26</v>
      </c>
      <c r="AG38" s="426">
        <f t="shared" si="7"/>
        <v>945.92</v>
      </c>
      <c r="AH38" s="426">
        <f t="shared" si="7"/>
        <v>752.31</v>
      </c>
      <c r="AI38" s="426">
        <f t="shared" si="0"/>
        <v>1883.5900000000001</v>
      </c>
      <c r="AJ38" s="426">
        <f t="shared" si="2"/>
        <v>3004.38</v>
      </c>
      <c r="AK38" s="426">
        <f t="shared" si="1"/>
        <v>4726.57</v>
      </c>
      <c r="AL38" s="426"/>
    </row>
    <row r="39" spans="1:39" x14ac:dyDescent="0.25">
      <c r="A39" s="361" t="s">
        <v>159</v>
      </c>
      <c r="B39" s="423"/>
      <c r="C39" s="423"/>
      <c r="D39" s="423"/>
      <c r="E39" s="423"/>
      <c r="F39" s="423"/>
      <c r="G39" s="423"/>
      <c r="H39" s="423"/>
      <c r="I39" s="423"/>
      <c r="J39" s="423"/>
      <c r="K39" s="423"/>
      <c r="L39" s="423"/>
      <c r="M39" s="423"/>
      <c r="N39" s="424">
        <f>437.9</f>
        <v>437.9</v>
      </c>
      <c r="O39" s="423"/>
      <c r="P39" s="424">
        <f>59.98</f>
        <v>59.98</v>
      </c>
      <c r="Q39" s="423"/>
      <c r="R39" s="423"/>
      <c r="S39" s="423"/>
      <c r="T39" s="423"/>
      <c r="U39" s="423"/>
      <c r="V39" s="424">
        <f>102.25</f>
        <v>102.25</v>
      </c>
      <c r="W39" s="423"/>
      <c r="X39" s="424">
        <f>359.96</f>
        <v>359.96</v>
      </c>
      <c r="Y39" s="423"/>
      <c r="Z39" s="423"/>
      <c r="AA39" s="423"/>
      <c r="AB39" s="423"/>
      <c r="AC39" s="423"/>
      <c r="AD39" s="423"/>
      <c r="AE39" s="423"/>
      <c r="AF39" s="423"/>
      <c r="AG39" s="423"/>
      <c r="AH39" s="423"/>
      <c r="AI39" s="424">
        <f t="shared" ref="AI39:AI70" si="8">SUM(B39:M39)</f>
        <v>0</v>
      </c>
      <c r="AJ39" s="424">
        <f t="shared" si="2"/>
        <v>960.08999999999992</v>
      </c>
      <c r="AK39" s="424">
        <f t="shared" ref="AK39:AK70" si="9">SUM(W39:AH39)</f>
        <v>359.96</v>
      </c>
      <c r="AL39" s="424">
        <v>500</v>
      </c>
    </row>
    <row r="40" spans="1:39" x14ac:dyDescent="0.25">
      <c r="A40" s="361" t="s">
        <v>431</v>
      </c>
      <c r="B40" s="423"/>
      <c r="C40" s="423"/>
      <c r="D40" s="423"/>
      <c r="E40" s="423"/>
      <c r="F40" s="424">
        <f>118.07</f>
        <v>118.07</v>
      </c>
      <c r="G40" s="423"/>
      <c r="H40" s="423"/>
      <c r="I40" s="423"/>
      <c r="J40" s="424">
        <f>115.91</f>
        <v>115.91</v>
      </c>
      <c r="K40" s="423"/>
      <c r="L40" s="423"/>
      <c r="M40" s="423"/>
      <c r="N40" s="423"/>
      <c r="O40" s="423"/>
      <c r="P40" s="423"/>
      <c r="Q40" s="423"/>
      <c r="R40" s="423"/>
      <c r="S40" s="423"/>
      <c r="T40" s="423"/>
      <c r="U40" s="423"/>
      <c r="V40" s="424">
        <f>46.87</f>
        <v>46.87</v>
      </c>
      <c r="W40" s="424">
        <f>200</f>
        <v>200</v>
      </c>
      <c r="X40" s="423"/>
      <c r="Y40" s="423"/>
      <c r="Z40" s="424">
        <f>655.22</f>
        <v>655.22</v>
      </c>
      <c r="AA40" s="424">
        <f>18.03</f>
        <v>18.03</v>
      </c>
      <c r="AB40" s="423"/>
      <c r="AC40" s="423"/>
      <c r="AD40" s="423"/>
      <c r="AE40" s="423"/>
      <c r="AF40" s="423"/>
      <c r="AG40" s="423"/>
      <c r="AH40" s="423"/>
      <c r="AI40" s="424">
        <f t="shared" si="8"/>
        <v>233.98</v>
      </c>
      <c r="AJ40" s="424">
        <f t="shared" si="2"/>
        <v>246.87</v>
      </c>
      <c r="AK40" s="424">
        <f t="shared" si="9"/>
        <v>873.25</v>
      </c>
      <c r="AL40" s="424">
        <v>500</v>
      </c>
    </row>
    <row r="41" spans="1:39" x14ac:dyDescent="0.25">
      <c r="A41" s="361" t="s">
        <v>160</v>
      </c>
      <c r="B41" s="423"/>
      <c r="C41" s="424">
        <f>13.9</f>
        <v>13.9</v>
      </c>
      <c r="D41" s="424">
        <f>232.7</f>
        <v>232.7</v>
      </c>
      <c r="E41" s="423"/>
      <c r="F41" s="423"/>
      <c r="G41" s="424">
        <f>40.75</f>
        <v>40.75</v>
      </c>
      <c r="H41" s="423"/>
      <c r="I41" s="424">
        <f>58.5</f>
        <v>58.5</v>
      </c>
      <c r="J41" s="424">
        <f>37.27</f>
        <v>37.270000000000003</v>
      </c>
      <c r="K41" s="423"/>
      <c r="L41" s="423"/>
      <c r="M41" s="423"/>
      <c r="N41" s="424">
        <f>263.65</f>
        <v>263.64999999999998</v>
      </c>
      <c r="O41" s="424">
        <f>1617.85</f>
        <v>1617.85</v>
      </c>
      <c r="P41" s="423"/>
      <c r="Q41" s="423"/>
      <c r="R41" s="424">
        <f>335.68</f>
        <v>335.68</v>
      </c>
      <c r="S41" s="423"/>
      <c r="T41" s="423"/>
      <c r="U41" s="424">
        <f>225.73</f>
        <v>225.73</v>
      </c>
      <c r="V41" s="424">
        <f>28.99</f>
        <v>28.99</v>
      </c>
      <c r="W41" s="423"/>
      <c r="X41" s="424">
        <f>69.99</f>
        <v>69.989999999999995</v>
      </c>
      <c r="Y41" s="424">
        <f>119.99</f>
        <v>119.99</v>
      </c>
      <c r="Z41" s="424">
        <f>27.27</f>
        <v>27.27</v>
      </c>
      <c r="AA41" s="424">
        <f>29.61</f>
        <v>29.61</v>
      </c>
      <c r="AB41" s="424">
        <f>380.47</f>
        <v>380.47</v>
      </c>
      <c r="AC41" s="424">
        <f>150</f>
        <v>150</v>
      </c>
      <c r="AD41" s="424">
        <f>124.34</f>
        <v>124.34</v>
      </c>
      <c r="AE41" s="424">
        <f>823.54</f>
        <v>823.54</v>
      </c>
      <c r="AF41" s="424">
        <f>74.45</f>
        <v>74.45</v>
      </c>
      <c r="AG41" s="424">
        <f>295.19</f>
        <v>295.19</v>
      </c>
      <c r="AH41" s="423"/>
      <c r="AI41" s="424">
        <f t="shared" si="8"/>
        <v>383.12</v>
      </c>
      <c r="AJ41" s="424">
        <f t="shared" si="2"/>
        <v>2661.8799999999992</v>
      </c>
      <c r="AK41" s="424">
        <f t="shared" si="9"/>
        <v>2094.85</v>
      </c>
      <c r="AL41" s="424">
        <v>2500</v>
      </c>
    </row>
    <row r="42" spans="1:39" x14ac:dyDescent="0.25">
      <c r="A42" s="361" t="s">
        <v>161</v>
      </c>
      <c r="B42" s="423"/>
      <c r="C42" s="424">
        <f>257.5</f>
        <v>257.5</v>
      </c>
      <c r="D42" s="424">
        <f>60.44</f>
        <v>60.44</v>
      </c>
      <c r="E42" s="424">
        <f>258.05</f>
        <v>258.05</v>
      </c>
      <c r="F42" s="424">
        <f>227.83</f>
        <v>227.83</v>
      </c>
      <c r="G42" s="424">
        <f>376.75</f>
        <v>376.75</v>
      </c>
      <c r="H42" s="424">
        <f>222.85</f>
        <v>222.85</v>
      </c>
      <c r="I42" s="423"/>
      <c r="J42" s="423"/>
      <c r="K42" s="424">
        <f>638.85</f>
        <v>638.85</v>
      </c>
      <c r="L42" s="424">
        <f>36</f>
        <v>36</v>
      </c>
      <c r="M42" s="423"/>
      <c r="N42" s="423"/>
      <c r="O42" s="423"/>
      <c r="P42" s="424">
        <f>555.4</f>
        <v>555.4</v>
      </c>
      <c r="Q42" s="424">
        <f>273.93</f>
        <v>273.93</v>
      </c>
      <c r="R42" s="424">
        <f>745.5</f>
        <v>745.5</v>
      </c>
      <c r="S42" s="424">
        <f>505.9</f>
        <v>505.9</v>
      </c>
      <c r="T42" s="424">
        <f>997.9</f>
        <v>997.9</v>
      </c>
      <c r="U42" s="424">
        <f>681.4</f>
        <v>681.4</v>
      </c>
      <c r="V42" s="423"/>
      <c r="W42" s="424">
        <f>71.96</f>
        <v>71.959999999999994</v>
      </c>
      <c r="X42" s="424">
        <f>215.5</f>
        <v>215.5</v>
      </c>
      <c r="Y42" s="423"/>
      <c r="Z42" s="423"/>
      <c r="AA42" s="423"/>
      <c r="AB42" s="424">
        <f>52.5</f>
        <v>52.5</v>
      </c>
      <c r="AC42" s="423"/>
      <c r="AD42" s="424">
        <f>96</f>
        <v>96</v>
      </c>
      <c r="AE42" s="424">
        <f>733.96</f>
        <v>733.96</v>
      </c>
      <c r="AF42" s="423"/>
      <c r="AG42" s="423"/>
      <c r="AH42" s="423"/>
      <c r="AI42" s="424">
        <f t="shared" si="8"/>
        <v>2078.27</v>
      </c>
      <c r="AJ42" s="424">
        <f t="shared" si="2"/>
        <v>4047.4900000000002</v>
      </c>
      <c r="AK42" s="424">
        <f t="shared" si="9"/>
        <v>1169.92</v>
      </c>
      <c r="AL42" s="424">
        <v>2000</v>
      </c>
    </row>
    <row r="43" spans="1:39" x14ac:dyDescent="0.25">
      <c r="A43" s="361" t="s">
        <v>162</v>
      </c>
      <c r="B43" s="424">
        <f>269.04</f>
        <v>269.04000000000002</v>
      </c>
      <c r="C43" s="423"/>
      <c r="D43" s="424">
        <f>33</f>
        <v>33</v>
      </c>
      <c r="E43" s="423"/>
      <c r="F43" s="423"/>
      <c r="G43" s="423"/>
      <c r="H43" s="423"/>
      <c r="I43" s="424">
        <f>66</f>
        <v>66</v>
      </c>
      <c r="J43" s="423"/>
      <c r="K43" s="423"/>
      <c r="L43" s="423"/>
      <c r="M43" s="423"/>
      <c r="N43" s="423"/>
      <c r="O43" s="423"/>
      <c r="P43" s="423"/>
      <c r="Q43" s="423"/>
      <c r="R43" s="423"/>
      <c r="S43" s="424">
        <f>19.8</f>
        <v>19.8</v>
      </c>
      <c r="T43" s="423"/>
      <c r="U43" s="423"/>
      <c r="V43" s="424">
        <f>616.2</f>
        <v>616.20000000000005</v>
      </c>
      <c r="W43" s="423"/>
      <c r="X43" s="423"/>
      <c r="Y43" s="423"/>
      <c r="Z43" s="424">
        <f>150</f>
        <v>150</v>
      </c>
      <c r="AA43" s="423"/>
      <c r="AB43" s="424">
        <f>30</f>
        <v>30</v>
      </c>
      <c r="AC43" s="423"/>
      <c r="AD43" s="424">
        <f>4000</f>
        <v>4000</v>
      </c>
      <c r="AE43" s="424">
        <f>276.96</f>
        <v>276.95999999999998</v>
      </c>
      <c r="AF43" s="423"/>
      <c r="AG43" s="423"/>
      <c r="AH43" s="423"/>
      <c r="AI43" s="424">
        <f t="shared" si="8"/>
        <v>368.04</v>
      </c>
      <c r="AJ43" s="424">
        <f t="shared" si="2"/>
        <v>636</v>
      </c>
      <c r="AK43" s="424">
        <f t="shared" si="9"/>
        <v>4456.96</v>
      </c>
      <c r="AL43" s="424">
        <v>500</v>
      </c>
    </row>
    <row r="44" spans="1:39" x14ac:dyDescent="0.25">
      <c r="A44" s="361" t="s">
        <v>621</v>
      </c>
      <c r="B44" s="423"/>
      <c r="C44" s="424">
        <f>144.06</f>
        <v>144.06</v>
      </c>
      <c r="D44" s="424">
        <f>17.06</f>
        <v>17.059999999999999</v>
      </c>
      <c r="E44" s="423"/>
      <c r="F44" s="424">
        <f>227.22</f>
        <v>227.22</v>
      </c>
      <c r="G44" s="423"/>
      <c r="H44" s="424">
        <f>22</f>
        <v>22</v>
      </c>
      <c r="I44" s="424">
        <f>4.35</f>
        <v>4.3499999999999996</v>
      </c>
      <c r="J44" s="424">
        <f>146.84</f>
        <v>146.84</v>
      </c>
      <c r="K44" s="424">
        <f>25.82</f>
        <v>25.82</v>
      </c>
      <c r="L44" s="424">
        <f>13.93</f>
        <v>13.93</v>
      </c>
      <c r="M44" s="424">
        <f>186.24</f>
        <v>186.24</v>
      </c>
      <c r="N44" s="423"/>
      <c r="O44" s="424">
        <f>61.14</f>
        <v>61.14</v>
      </c>
      <c r="P44" s="424">
        <f>256.19</f>
        <v>256.19</v>
      </c>
      <c r="Q44" s="423"/>
      <c r="R44" s="423"/>
      <c r="S44" s="424">
        <f>40</f>
        <v>40</v>
      </c>
      <c r="T44" s="423"/>
      <c r="U44" s="423"/>
      <c r="V44" s="424">
        <f>382.49</f>
        <v>382.49</v>
      </c>
      <c r="W44" s="423"/>
      <c r="X44" s="424">
        <f>135.02</f>
        <v>135.02000000000001</v>
      </c>
      <c r="Y44" s="423"/>
      <c r="Z44" s="423"/>
      <c r="AA44" s="423"/>
      <c r="AB44" s="423"/>
      <c r="AC44" s="423"/>
      <c r="AD44" s="423"/>
      <c r="AE44" s="423"/>
      <c r="AF44" s="423"/>
      <c r="AG44" s="423"/>
      <c r="AH44" s="423"/>
      <c r="AI44" s="424">
        <f t="shared" si="8"/>
        <v>787.5200000000001</v>
      </c>
      <c r="AJ44" s="424">
        <f t="shared" si="2"/>
        <v>874.83999999999992</v>
      </c>
      <c r="AK44" s="424">
        <f t="shared" si="9"/>
        <v>135.02000000000001</v>
      </c>
      <c r="AL44" s="424"/>
    </row>
    <row r="45" spans="1:39" x14ac:dyDescent="0.25">
      <c r="A45" s="361" t="s">
        <v>189</v>
      </c>
      <c r="B45" s="423"/>
      <c r="C45" s="423"/>
      <c r="D45" s="423"/>
      <c r="E45" s="423"/>
      <c r="F45" s="423"/>
      <c r="G45" s="423"/>
      <c r="H45" s="423"/>
      <c r="I45" s="423"/>
      <c r="J45" s="423"/>
      <c r="K45" s="423"/>
      <c r="L45" s="423"/>
      <c r="M45" s="423"/>
      <c r="N45" s="424">
        <f>118.6</f>
        <v>118.6</v>
      </c>
      <c r="O45" s="424">
        <f>37.08</f>
        <v>37.08</v>
      </c>
      <c r="P45" s="424">
        <f>52.6</f>
        <v>52.6</v>
      </c>
      <c r="Q45" s="424">
        <f>128.35</f>
        <v>128.35</v>
      </c>
      <c r="R45" s="424">
        <f>11.88</f>
        <v>11.88</v>
      </c>
      <c r="S45" s="423"/>
      <c r="T45" s="423"/>
      <c r="U45" s="424">
        <f>41.44</f>
        <v>41.44</v>
      </c>
      <c r="V45" s="424">
        <f>90.26</f>
        <v>90.26</v>
      </c>
      <c r="W45" s="424">
        <f>9.96</f>
        <v>9.9600000000000009</v>
      </c>
      <c r="X45" s="424">
        <f>35</f>
        <v>35</v>
      </c>
      <c r="Y45" s="423"/>
      <c r="Z45" s="423"/>
      <c r="AA45" s="423"/>
      <c r="AB45" s="424">
        <f>99</f>
        <v>99</v>
      </c>
      <c r="AC45" s="424">
        <f>75</f>
        <v>75</v>
      </c>
      <c r="AD45" s="424">
        <f>37.16</f>
        <v>37.159999999999997</v>
      </c>
      <c r="AE45" s="424">
        <f>11.37</f>
        <v>11.37</v>
      </c>
      <c r="AF45" s="424">
        <f>73.97</f>
        <v>73.97</v>
      </c>
      <c r="AG45" s="424">
        <f>50</f>
        <v>50</v>
      </c>
      <c r="AH45" s="424">
        <f>60.74</f>
        <v>60.74</v>
      </c>
      <c r="AI45" s="424">
        <f t="shared" si="8"/>
        <v>0</v>
      </c>
      <c r="AJ45" s="424">
        <f t="shared" si="2"/>
        <v>525.16999999999996</v>
      </c>
      <c r="AK45" s="424">
        <f t="shared" si="9"/>
        <v>452.20000000000005</v>
      </c>
      <c r="AL45" s="424">
        <v>500</v>
      </c>
    </row>
    <row r="46" spans="1:39" x14ac:dyDescent="0.25">
      <c r="A46" s="361" t="s">
        <v>622</v>
      </c>
      <c r="B46" s="423"/>
      <c r="C46" s="423"/>
      <c r="D46" s="423"/>
      <c r="E46" s="423"/>
      <c r="F46" s="423"/>
      <c r="G46" s="423"/>
      <c r="H46" s="423"/>
      <c r="I46" s="423"/>
      <c r="J46" s="423"/>
      <c r="K46" s="423"/>
      <c r="L46" s="423"/>
      <c r="M46" s="423"/>
      <c r="N46" s="423"/>
      <c r="O46" s="423"/>
      <c r="P46" s="424">
        <f>204.9</f>
        <v>204.9</v>
      </c>
      <c r="Q46" s="424">
        <f>108.91</f>
        <v>108.91</v>
      </c>
      <c r="R46" s="424">
        <f>30</f>
        <v>30</v>
      </c>
      <c r="S46" s="424">
        <f>104.74</f>
        <v>104.74</v>
      </c>
      <c r="T46" s="424">
        <f>148.72</f>
        <v>148.72</v>
      </c>
      <c r="U46" s="424">
        <f>55</f>
        <v>55</v>
      </c>
      <c r="V46" s="424">
        <f>119.89</f>
        <v>119.89</v>
      </c>
      <c r="W46" s="424">
        <f>75</f>
        <v>75</v>
      </c>
      <c r="X46" s="423"/>
      <c r="Y46" s="423"/>
      <c r="Z46" s="423"/>
      <c r="AA46" s="423"/>
      <c r="AB46" s="423"/>
      <c r="AC46" s="423"/>
      <c r="AD46" s="423"/>
      <c r="AE46" s="423"/>
      <c r="AF46" s="423"/>
      <c r="AG46" s="423"/>
      <c r="AH46" s="423"/>
      <c r="AI46" s="424">
        <f t="shared" si="8"/>
        <v>0</v>
      </c>
      <c r="AJ46" s="424">
        <f t="shared" si="2"/>
        <v>847.16</v>
      </c>
      <c r="AK46" s="424">
        <f t="shared" si="9"/>
        <v>75</v>
      </c>
      <c r="AL46" s="424"/>
    </row>
    <row r="47" spans="1:39" x14ac:dyDescent="0.25">
      <c r="A47" s="361" t="s">
        <v>518</v>
      </c>
      <c r="B47" s="423"/>
      <c r="C47" s="423"/>
      <c r="D47" s="423"/>
      <c r="E47" s="423"/>
      <c r="F47" s="423"/>
      <c r="G47" s="423"/>
      <c r="H47" s="423"/>
      <c r="I47" s="423"/>
      <c r="J47" s="423"/>
      <c r="K47" s="423"/>
      <c r="L47" s="423"/>
      <c r="M47" s="423"/>
      <c r="N47" s="423"/>
      <c r="O47" s="423"/>
      <c r="P47" s="423"/>
      <c r="Q47" s="423"/>
      <c r="R47" s="423"/>
      <c r="S47" s="423"/>
      <c r="T47" s="423"/>
      <c r="U47" s="423"/>
      <c r="V47" s="424">
        <f>69.85</f>
        <v>69.849999999999994</v>
      </c>
      <c r="W47" s="424">
        <f>156.05</f>
        <v>156.05000000000001</v>
      </c>
      <c r="X47" s="424">
        <f>169.33</f>
        <v>169.33</v>
      </c>
      <c r="Y47" s="424">
        <f>60.81</f>
        <v>60.81</v>
      </c>
      <c r="Z47" s="424">
        <f>104.47</f>
        <v>104.47</v>
      </c>
      <c r="AA47" s="424">
        <f>162.12</f>
        <v>162.12</v>
      </c>
      <c r="AB47" s="424">
        <f>254.94</f>
        <v>254.94</v>
      </c>
      <c r="AC47" s="424">
        <f>126.03</f>
        <v>126.03</v>
      </c>
      <c r="AD47" s="423"/>
      <c r="AE47" s="423"/>
      <c r="AF47" s="424">
        <f>259.92</f>
        <v>259.92</v>
      </c>
      <c r="AG47" s="424">
        <f>90.12</f>
        <v>90.12</v>
      </c>
      <c r="AH47" s="424">
        <f>125</f>
        <v>125</v>
      </c>
      <c r="AI47" s="424">
        <f t="shared" si="8"/>
        <v>0</v>
      </c>
      <c r="AJ47" s="424">
        <f t="shared" si="2"/>
        <v>456.04</v>
      </c>
      <c r="AK47" s="424">
        <f t="shared" si="9"/>
        <v>1508.79</v>
      </c>
      <c r="AL47" s="424">
        <v>1500</v>
      </c>
    </row>
    <row r="48" spans="1:39" x14ac:dyDescent="0.25">
      <c r="A48" s="361" t="s">
        <v>623</v>
      </c>
      <c r="B48" s="426">
        <f t="shared" ref="B48:AH48" si="10">(((B44)+(B45))+(B46))+(B47)</f>
        <v>0</v>
      </c>
      <c r="C48" s="426">
        <f t="shared" si="10"/>
        <v>144.06</v>
      </c>
      <c r="D48" s="426">
        <f t="shared" si="10"/>
        <v>17.059999999999999</v>
      </c>
      <c r="E48" s="426">
        <f t="shared" si="10"/>
        <v>0</v>
      </c>
      <c r="F48" s="426">
        <f t="shared" si="10"/>
        <v>227.22</v>
      </c>
      <c r="G48" s="426">
        <f t="shared" si="10"/>
        <v>0</v>
      </c>
      <c r="H48" s="426">
        <f t="shared" si="10"/>
        <v>22</v>
      </c>
      <c r="I48" s="426">
        <f t="shared" si="10"/>
        <v>4.3499999999999996</v>
      </c>
      <c r="J48" s="426">
        <f t="shared" si="10"/>
        <v>146.84</v>
      </c>
      <c r="K48" s="426">
        <f t="shared" si="10"/>
        <v>25.82</v>
      </c>
      <c r="L48" s="426">
        <f t="shared" si="10"/>
        <v>13.93</v>
      </c>
      <c r="M48" s="426">
        <f t="shared" si="10"/>
        <v>186.24</v>
      </c>
      <c r="N48" s="426">
        <f t="shared" si="10"/>
        <v>118.6</v>
      </c>
      <c r="O48" s="426">
        <f t="shared" si="10"/>
        <v>98.22</v>
      </c>
      <c r="P48" s="426">
        <f t="shared" si="10"/>
        <v>513.69000000000005</v>
      </c>
      <c r="Q48" s="426">
        <f t="shared" si="10"/>
        <v>237.26</v>
      </c>
      <c r="R48" s="426">
        <f t="shared" si="10"/>
        <v>41.88</v>
      </c>
      <c r="S48" s="426">
        <f t="shared" si="10"/>
        <v>144.74</v>
      </c>
      <c r="T48" s="426">
        <f t="shared" si="10"/>
        <v>148.72</v>
      </c>
      <c r="U48" s="426">
        <f t="shared" si="10"/>
        <v>96.44</v>
      </c>
      <c r="V48" s="426">
        <f t="shared" si="10"/>
        <v>662.49</v>
      </c>
      <c r="W48" s="426">
        <f t="shared" si="10"/>
        <v>241.01000000000002</v>
      </c>
      <c r="X48" s="426">
        <f t="shared" si="10"/>
        <v>339.35</v>
      </c>
      <c r="Y48" s="426">
        <f t="shared" si="10"/>
        <v>60.81</v>
      </c>
      <c r="Z48" s="426">
        <f t="shared" si="10"/>
        <v>104.47</v>
      </c>
      <c r="AA48" s="426">
        <f t="shared" si="10"/>
        <v>162.12</v>
      </c>
      <c r="AB48" s="426">
        <f t="shared" si="10"/>
        <v>353.94</v>
      </c>
      <c r="AC48" s="426">
        <f t="shared" si="10"/>
        <v>201.03</v>
      </c>
      <c r="AD48" s="426">
        <f t="shared" si="10"/>
        <v>37.159999999999997</v>
      </c>
      <c r="AE48" s="426">
        <f t="shared" si="10"/>
        <v>11.37</v>
      </c>
      <c r="AF48" s="426">
        <f t="shared" si="10"/>
        <v>333.89</v>
      </c>
      <c r="AG48" s="426">
        <f t="shared" si="10"/>
        <v>140.12</v>
      </c>
      <c r="AH48" s="426">
        <f t="shared" si="10"/>
        <v>185.74</v>
      </c>
      <c r="AI48" s="426">
        <f t="shared" si="8"/>
        <v>787.5200000000001</v>
      </c>
      <c r="AJ48" s="426">
        <f t="shared" si="2"/>
        <v>2703.21</v>
      </c>
      <c r="AK48" s="426">
        <f t="shared" si="9"/>
        <v>2171.0100000000002</v>
      </c>
      <c r="AL48" s="426"/>
    </row>
    <row r="49" spans="1:40" x14ac:dyDescent="0.25">
      <c r="A49" s="361" t="s">
        <v>163</v>
      </c>
      <c r="B49" s="423"/>
      <c r="C49" s="423"/>
      <c r="D49" s="423"/>
      <c r="E49" s="423"/>
      <c r="F49" s="424">
        <f>830</f>
        <v>830</v>
      </c>
      <c r="G49" s="424">
        <f>297</f>
        <v>297</v>
      </c>
      <c r="H49" s="423"/>
      <c r="I49" s="424">
        <f>260</f>
        <v>260</v>
      </c>
      <c r="J49" s="424">
        <f>175.5</f>
        <v>175.5</v>
      </c>
      <c r="K49" s="424">
        <f>64.6</f>
        <v>64.599999999999994</v>
      </c>
      <c r="L49" s="424">
        <f>128.88</f>
        <v>128.88</v>
      </c>
      <c r="M49" s="424">
        <f>30.01</f>
        <v>30.01</v>
      </c>
      <c r="N49" s="424">
        <f>51.23</f>
        <v>51.23</v>
      </c>
      <c r="O49" s="423"/>
      <c r="P49" s="424">
        <f>2432</f>
        <v>2432</v>
      </c>
      <c r="Q49" s="423"/>
      <c r="R49" s="423"/>
      <c r="S49" s="423"/>
      <c r="T49" s="423"/>
      <c r="U49" s="423"/>
      <c r="V49" s="423"/>
      <c r="W49" s="424">
        <f>2575.33</f>
        <v>2575.33</v>
      </c>
      <c r="X49" s="424">
        <f>6941.27</f>
        <v>6941.27</v>
      </c>
      <c r="Y49" s="424">
        <f>316.05</f>
        <v>316.05</v>
      </c>
      <c r="Z49" s="424">
        <f>12203.75</f>
        <v>12203.75</v>
      </c>
      <c r="AA49" s="424">
        <f>2364.16</f>
        <v>2364.16</v>
      </c>
      <c r="AB49" s="424">
        <f>1064.1</f>
        <v>1064.0999999999999</v>
      </c>
      <c r="AC49" s="424">
        <f>485.7</f>
        <v>485.7</v>
      </c>
      <c r="AD49" s="424">
        <f>40.96</f>
        <v>40.96</v>
      </c>
      <c r="AE49" s="423"/>
      <c r="AF49" s="423"/>
      <c r="AG49" s="423"/>
      <c r="AH49" s="424">
        <f>6.99</f>
        <v>6.99</v>
      </c>
      <c r="AI49" s="424">
        <f t="shared" si="8"/>
        <v>1785.99</v>
      </c>
      <c r="AJ49" s="425">
        <f t="shared" si="2"/>
        <v>12315.88</v>
      </c>
      <c r="AK49" s="425">
        <f t="shared" si="9"/>
        <v>25998.31</v>
      </c>
      <c r="AL49" s="425">
        <v>11000</v>
      </c>
      <c r="AM49" s="360" t="s">
        <v>624</v>
      </c>
    </row>
    <row r="50" spans="1:40" x14ac:dyDescent="0.25">
      <c r="A50" s="361" t="s">
        <v>164</v>
      </c>
      <c r="B50" s="424">
        <f>345.7</f>
        <v>345.7</v>
      </c>
      <c r="C50" s="424">
        <f>455.88</f>
        <v>455.88</v>
      </c>
      <c r="D50" s="423"/>
      <c r="E50" s="424">
        <f>309.44</f>
        <v>309.44</v>
      </c>
      <c r="F50" s="424">
        <f>457.54</f>
        <v>457.54</v>
      </c>
      <c r="G50" s="424">
        <f>653.62</f>
        <v>653.62</v>
      </c>
      <c r="H50" s="423"/>
      <c r="I50" s="424">
        <f>79.39</f>
        <v>79.39</v>
      </c>
      <c r="J50" s="423"/>
      <c r="K50" s="423"/>
      <c r="L50" s="424">
        <f>39.95</f>
        <v>39.950000000000003</v>
      </c>
      <c r="M50" s="424">
        <f>602.5</f>
        <v>602.5</v>
      </c>
      <c r="N50" s="423"/>
      <c r="O50" s="424">
        <f>446.99</f>
        <v>446.99</v>
      </c>
      <c r="P50" s="424">
        <f>100</f>
        <v>100</v>
      </c>
      <c r="Q50" s="423"/>
      <c r="R50" s="424">
        <f>95.96</f>
        <v>95.96</v>
      </c>
      <c r="S50" s="423"/>
      <c r="T50" s="424">
        <f>70</f>
        <v>70</v>
      </c>
      <c r="U50" s="423"/>
      <c r="V50" s="423"/>
      <c r="W50" s="423"/>
      <c r="X50" s="423"/>
      <c r="Y50" s="424">
        <f>483.6</f>
        <v>483.6</v>
      </c>
      <c r="Z50" s="424">
        <f>679.5</f>
        <v>679.5</v>
      </c>
      <c r="AA50" s="423"/>
      <c r="AB50" s="424">
        <f>1359</f>
        <v>1359</v>
      </c>
      <c r="AC50" s="423"/>
      <c r="AD50" s="424">
        <f>100</f>
        <v>100</v>
      </c>
      <c r="AE50" s="424">
        <f>488.14</f>
        <v>488.14</v>
      </c>
      <c r="AF50" s="424">
        <f>530.17</f>
        <v>530.16999999999996</v>
      </c>
      <c r="AG50" s="423"/>
      <c r="AH50" s="423"/>
      <c r="AI50" s="424">
        <f t="shared" si="8"/>
        <v>2944.0199999999995</v>
      </c>
      <c r="AJ50" s="424">
        <f t="shared" si="2"/>
        <v>1196.5500000000002</v>
      </c>
      <c r="AK50" s="424">
        <f t="shared" si="9"/>
        <v>3640.41</v>
      </c>
      <c r="AL50" s="424">
        <v>4000</v>
      </c>
      <c r="AN50" s="360" t="s">
        <v>625</v>
      </c>
    </row>
    <row r="51" spans="1:40" x14ac:dyDescent="0.25">
      <c r="A51" s="361" t="s">
        <v>626</v>
      </c>
      <c r="B51" s="424">
        <f>1328.7</f>
        <v>1328.7</v>
      </c>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4">
        <f t="shared" si="8"/>
        <v>1328.7</v>
      </c>
      <c r="AJ51" s="424">
        <f t="shared" si="2"/>
        <v>0</v>
      </c>
      <c r="AK51" s="424">
        <f t="shared" si="9"/>
        <v>0</v>
      </c>
      <c r="AL51" s="424"/>
    </row>
    <row r="52" spans="1:40" x14ac:dyDescent="0.25">
      <c r="A52" s="361" t="s">
        <v>165</v>
      </c>
      <c r="B52" s="423"/>
      <c r="C52" s="423"/>
      <c r="D52" s="423"/>
      <c r="E52" s="423"/>
      <c r="F52" s="423"/>
      <c r="G52" s="423"/>
      <c r="H52" s="424">
        <f>545.75</f>
        <v>545.75</v>
      </c>
      <c r="I52" s="424">
        <f>277.9</f>
        <v>277.89999999999998</v>
      </c>
      <c r="J52" s="423"/>
      <c r="K52" s="423"/>
      <c r="L52" s="424">
        <f>71.98</f>
        <v>71.98</v>
      </c>
      <c r="M52" s="423"/>
      <c r="N52" s="423"/>
      <c r="O52" s="423"/>
      <c r="P52" s="424">
        <f>16.99</f>
        <v>16.989999999999998</v>
      </c>
      <c r="Q52" s="423"/>
      <c r="R52" s="424">
        <f>21.49</f>
        <v>21.49</v>
      </c>
      <c r="S52" s="424">
        <f>226.76</f>
        <v>226.76</v>
      </c>
      <c r="T52" s="424">
        <f>401.57</f>
        <v>401.57</v>
      </c>
      <c r="U52" s="424">
        <f>185.47</f>
        <v>185.47</v>
      </c>
      <c r="V52" s="424">
        <f>49.99</f>
        <v>49.99</v>
      </c>
      <c r="W52" s="424">
        <f>53.98</f>
        <v>53.98</v>
      </c>
      <c r="X52" s="423"/>
      <c r="Y52" s="423"/>
      <c r="Z52" s="423"/>
      <c r="AA52" s="424">
        <f>224</f>
        <v>224</v>
      </c>
      <c r="AB52" s="424">
        <f>700</f>
        <v>700</v>
      </c>
      <c r="AC52" s="423"/>
      <c r="AD52" s="424">
        <f>369.98</f>
        <v>369.98</v>
      </c>
      <c r="AE52" s="424">
        <f>258.9</f>
        <v>258.89999999999998</v>
      </c>
      <c r="AF52" s="424">
        <f>83</f>
        <v>83</v>
      </c>
      <c r="AG52" s="423"/>
      <c r="AH52" s="423"/>
      <c r="AI52" s="424">
        <f t="shared" si="8"/>
        <v>895.63</v>
      </c>
      <c r="AJ52" s="424">
        <f t="shared" si="2"/>
        <v>956.25</v>
      </c>
      <c r="AK52" s="424">
        <f t="shared" si="9"/>
        <v>1689.8600000000001</v>
      </c>
      <c r="AL52" s="424">
        <v>1500</v>
      </c>
    </row>
    <row r="53" spans="1:40" x14ac:dyDescent="0.25">
      <c r="A53" s="361" t="s">
        <v>166</v>
      </c>
      <c r="B53" s="424">
        <f>3274.55</f>
        <v>3274.55</v>
      </c>
      <c r="C53" s="424">
        <f>332.67</f>
        <v>332.67</v>
      </c>
      <c r="D53" s="424">
        <f>1357.68</f>
        <v>1357.68</v>
      </c>
      <c r="E53" s="424">
        <f>104.75</f>
        <v>104.75</v>
      </c>
      <c r="F53" s="424">
        <f>127.24</f>
        <v>127.24</v>
      </c>
      <c r="G53" s="424">
        <f>46.08</f>
        <v>46.08</v>
      </c>
      <c r="H53" s="423"/>
      <c r="I53" s="424">
        <f>888</f>
        <v>888</v>
      </c>
      <c r="J53" s="424">
        <f>578.72</f>
        <v>578.72</v>
      </c>
      <c r="K53" s="424">
        <f>45.44</f>
        <v>45.44</v>
      </c>
      <c r="L53" s="424">
        <f>95.83</f>
        <v>95.83</v>
      </c>
      <c r="M53" s="423"/>
      <c r="N53" s="423"/>
      <c r="O53" s="424">
        <f>27.64</f>
        <v>27.64</v>
      </c>
      <c r="P53" s="424">
        <f>67.45</f>
        <v>67.45</v>
      </c>
      <c r="Q53" s="423"/>
      <c r="R53" s="423"/>
      <c r="S53" s="424">
        <f>167.42</f>
        <v>167.42</v>
      </c>
      <c r="T53" s="424">
        <f>435</f>
        <v>435</v>
      </c>
      <c r="U53" s="423"/>
      <c r="V53" s="423"/>
      <c r="W53" s="423"/>
      <c r="X53" s="424">
        <f>136.92</f>
        <v>136.91999999999999</v>
      </c>
      <c r="Y53" s="423"/>
      <c r="Z53" s="424">
        <f>303.46</f>
        <v>303.45999999999998</v>
      </c>
      <c r="AA53" s="424">
        <f>278.51</f>
        <v>278.51</v>
      </c>
      <c r="AB53" s="424">
        <f>263.75</f>
        <v>263.75</v>
      </c>
      <c r="AC53" s="424">
        <f>405.39</f>
        <v>405.39</v>
      </c>
      <c r="AD53" s="424">
        <f>120.71</f>
        <v>120.71</v>
      </c>
      <c r="AE53" s="424">
        <f>476.7</f>
        <v>476.7</v>
      </c>
      <c r="AF53" s="424">
        <f>122.63</f>
        <v>122.63</v>
      </c>
      <c r="AG53" s="424">
        <f>229.29</f>
        <v>229.29</v>
      </c>
      <c r="AH53" s="424">
        <f>41.03</f>
        <v>41.03</v>
      </c>
      <c r="AI53" s="424">
        <f t="shared" si="8"/>
        <v>6850.96</v>
      </c>
      <c r="AJ53" s="424">
        <f t="shared" si="2"/>
        <v>834.43</v>
      </c>
      <c r="AK53" s="424">
        <f t="shared" si="9"/>
        <v>2378.3900000000003</v>
      </c>
      <c r="AL53" s="424">
        <v>2000</v>
      </c>
    </row>
    <row r="54" spans="1:40" x14ac:dyDescent="0.25">
      <c r="A54" s="361" t="s">
        <v>167</v>
      </c>
      <c r="B54" s="423"/>
      <c r="C54" s="423"/>
      <c r="D54" s="423"/>
      <c r="E54" s="423"/>
      <c r="F54" s="423"/>
      <c r="G54" s="423"/>
      <c r="H54" s="423"/>
      <c r="I54" s="423"/>
      <c r="J54" s="423"/>
      <c r="K54" s="423"/>
      <c r="L54" s="423"/>
      <c r="M54" s="423"/>
      <c r="N54" s="423"/>
      <c r="O54" s="423"/>
      <c r="P54" s="423"/>
      <c r="Q54" s="423"/>
      <c r="R54" s="423"/>
      <c r="S54" s="424">
        <f>159.63</f>
        <v>159.63</v>
      </c>
      <c r="T54" s="424">
        <f>210.18</f>
        <v>210.18</v>
      </c>
      <c r="U54" s="424">
        <f>85.19</f>
        <v>85.19</v>
      </c>
      <c r="V54" s="424">
        <f>73.91</f>
        <v>73.91</v>
      </c>
      <c r="W54" s="423"/>
      <c r="X54" s="423"/>
      <c r="Y54" s="423"/>
      <c r="Z54" s="423"/>
      <c r="AA54" s="424">
        <f>139.7</f>
        <v>139.69999999999999</v>
      </c>
      <c r="AB54" s="423"/>
      <c r="AC54" s="423"/>
      <c r="AD54" s="423"/>
      <c r="AE54" s="424">
        <f>1044</f>
        <v>1044</v>
      </c>
      <c r="AF54" s="424">
        <f>17.96</f>
        <v>17.96</v>
      </c>
      <c r="AG54" s="423"/>
      <c r="AH54" s="423"/>
      <c r="AI54" s="424">
        <f t="shared" si="8"/>
        <v>0</v>
      </c>
      <c r="AJ54" s="424">
        <f t="shared" si="2"/>
        <v>528.91</v>
      </c>
      <c r="AK54" s="424">
        <f t="shared" si="9"/>
        <v>1201.6600000000001</v>
      </c>
      <c r="AL54" s="424">
        <v>1200</v>
      </c>
    </row>
    <row r="55" spans="1:40" x14ac:dyDescent="0.25">
      <c r="A55" s="361" t="s">
        <v>168</v>
      </c>
      <c r="B55" s="423"/>
      <c r="C55" s="423"/>
      <c r="D55" s="424">
        <f>3023.5</f>
        <v>3023.5</v>
      </c>
      <c r="E55" s="424">
        <f>1321.31</f>
        <v>1321.31</v>
      </c>
      <c r="F55" s="423"/>
      <c r="G55" s="423"/>
      <c r="H55" s="423"/>
      <c r="I55" s="423"/>
      <c r="J55" s="423"/>
      <c r="K55" s="423"/>
      <c r="L55" s="424">
        <f>2055.89</f>
        <v>2055.89</v>
      </c>
      <c r="M55" s="424">
        <f>2560.77</f>
        <v>2560.77</v>
      </c>
      <c r="N55" s="424">
        <f>769.7</f>
        <v>769.7</v>
      </c>
      <c r="O55" s="423"/>
      <c r="P55" s="424">
        <f>1258.36</f>
        <v>1258.3599999999999</v>
      </c>
      <c r="Q55" s="424">
        <f>1259.12</f>
        <v>1259.1199999999999</v>
      </c>
      <c r="R55" s="423"/>
      <c r="S55" s="423"/>
      <c r="T55" s="423"/>
      <c r="U55" s="423"/>
      <c r="V55" s="423"/>
      <c r="W55" s="423"/>
      <c r="X55" s="424">
        <f>4462.09</f>
        <v>4462.09</v>
      </c>
      <c r="Y55" s="424">
        <f>613.84</f>
        <v>613.84</v>
      </c>
      <c r="Z55" s="423"/>
      <c r="AA55" s="424">
        <f>285.18</f>
        <v>285.18</v>
      </c>
      <c r="AB55" s="424">
        <f>1326.88</f>
        <v>1326.88</v>
      </c>
      <c r="AC55" s="423"/>
      <c r="AD55" s="423"/>
      <c r="AE55" s="423"/>
      <c r="AF55" s="423"/>
      <c r="AG55" s="423"/>
      <c r="AH55" s="423"/>
      <c r="AI55" s="424">
        <f t="shared" si="8"/>
        <v>8961.4699999999993</v>
      </c>
      <c r="AJ55" s="424">
        <f t="shared" si="2"/>
        <v>8363.11</v>
      </c>
      <c r="AK55" s="424">
        <f t="shared" si="9"/>
        <v>6687.9900000000007</v>
      </c>
      <c r="AL55" s="424">
        <v>5000</v>
      </c>
      <c r="AM55" s="360" t="s">
        <v>627</v>
      </c>
    </row>
    <row r="56" spans="1:40" x14ac:dyDescent="0.25">
      <c r="A56" s="361" t="s">
        <v>442</v>
      </c>
      <c r="B56" s="423"/>
      <c r="C56" s="424">
        <f>330.92</f>
        <v>330.92</v>
      </c>
      <c r="D56" s="424">
        <f>52.21</f>
        <v>52.21</v>
      </c>
      <c r="E56" s="423"/>
      <c r="F56" s="424">
        <f>147.68</f>
        <v>147.68</v>
      </c>
      <c r="G56" s="423"/>
      <c r="H56" s="423"/>
      <c r="I56" s="423"/>
      <c r="J56" s="423"/>
      <c r="K56" s="423"/>
      <c r="L56" s="423"/>
      <c r="M56" s="424">
        <f>430.27</f>
        <v>430.27</v>
      </c>
      <c r="N56" s="424">
        <f>123.76</f>
        <v>123.76</v>
      </c>
      <c r="O56" s="424">
        <f>626.43</f>
        <v>626.42999999999995</v>
      </c>
      <c r="P56" s="424">
        <f>126.86</f>
        <v>126.86</v>
      </c>
      <c r="Q56" s="424">
        <f>90.35</f>
        <v>90.35</v>
      </c>
      <c r="R56" s="424">
        <f>77.18</f>
        <v>77.180000000000007</v>
      </c>
      <c r="S56" s="423"/>
      <c r="T56" s="424">
        <f>25.32</f>
        <v>25.32</v>
      </c>
      <c r="U56" s="424">
        <f>50.98</f>
        <v>50.98</v>
      </c>
      <c r="V56" s="424">
        <f>15.6</f>
        <v>15.6</v>
      </c>
      <c r="W56" s="424">
        <f>345.94</f>
        <v>345.94</v>
      </c>
      <c r="X56" s="424">
        <f>379.43</f>
        <v>379.43</v>
      </c>
      <c r="Y56" s="424">
        <f>55</f>
        <v>55</v>
      </c>
      <c r="Z56" s="424">
        <f>24.23</f>
        <v>24.23</v>
      </c>
      <c r="AA56" s="423"/>
      <c r="AB56" s="424">
        <f>664.83</f>
        <v>664.83</v>
      </c>
      <c r="AC56" s="424">
        <f>201</f>
        <v>201</v>
      </c>
      <c r="AD56" s="424">
        <f>425</f>
        <v>425</v>
      </c>
      <c r="AE56" s="423"/>
      <c r="AF56" s="424">
        <f>750.02</f>
        <v>750.02</v>
      </c>
      <c r="AG56" s="423"/>
      <c r="AH56" s="424">
        <f>507.15</f>
        <v>507.15</v>
      </c>
      <c r="AI56" s="424">
        <f t="shared" si="8"/>
        <v>961.07999999999993</v>
      </c>
      <c r="AJ56" s="424">
        <f t="shared" si="2"/>
        <v>1916.85</v>
      </c>
      <c r="AK56" s="424">
        <f t="shared" si="9"/>
        <v>3352.6000000000004</v>
      </c>
      <c r="AL56" s="424">
        <v>2500</v>
      </c>
    </row>
    <row r="57" spans="1:40" x14ac:dyDescent="0.25">
      <c r="A57" s="361" t="s">
        <v>169</v>
      </c>
      <c r="B57" s="424">
        <f>170.35</f>
        <v>170.35</v>
      </c>
      <c r="C57" s="423"/>
      <c r="D57" s="424">
        <f>159.5</f>
        <v>159.5</v>
      </c>
      <c r="E57" s="424">
        <f>111.59</f>
        <v>111.59</v>
      </c>
      <c r="F57" s="424">
        <f>249.07</f>
        <v>249.07</v>
      </c>
      <c r="G57" s="423"/>
      <c r="H57" s="424">
        <f>547.86</f>
        <v>547.86</v>
      </c>
      <c r="I57" s="424">
        <f>1459.46</f>
        <v>1459.46</v>
      </c>
      <c r="J57" s="424">
        <f>14.25</f>
        <v>14.25</v>
      </c>
      <c r="K57" s="423"/>
      <c r="L57" s="423"/>
      <c r="M57" s="424">
        <f>64.5</f>
        <v>64.5</v>
      </c>
      <c r="N57" s="423"/>
      <c r="O57" s="424">
        <f>1716.65</f>
        <v>1716.65</v>
      </c>
      <c r="P57" s="424">
        <f>539.56</f>
        <v>539.55999999999995</v>
      </c>
      <c r="Q57" s="424">
        <f>167.21</f>
        <v>167.21</v>
      </c>
      <c r="R57" s="424">
        <f>1394.36</f>
        <v>1394.36</v>
      </c>
      <c r="S57" s="424">
        <f>383.48</f>
        <v>383.48</v>
      </c>
      <c r="T57" s="424">
        <f>233.7</f>
        <v>233.7</v>
      </c>
      <c r="U57" s="424">
        <f>1134.16</f>
        <v>1134.1600000000001</v>
      </c>
      <c r="V57" s="424">
        <f>101.9</f>
        <v>101.9</v>
      </c>
      <c r="W57" s="424">
        <f>239.5</f>
        <v>239.5</v>
      </c>
      <c r="X57" s="423"/>
      <c r="Y57" s="423"/>
      <c r="Z57" s="423"/>
      <c r="AA57" s="424">
        <f>356.9</f>
        <v>356.9</v>
      </c>
      <c r="AB57" s="424">
        <f>1323.5</f>
        <v>1323.5</v>
      </c>
      <c r="AC57" s="424">
        <f>70.25</f>
        <v>70.25</v>
      </c>
      <c r="AD57" s="424">
        <f>2333.8</f>
        <v>2333.8000000000002</v>
      </c>
      <c r="AE57" s="424">
        <f>1027.75</f>
        <v>1027.75</v>
      </c>
      <c r="AF57" s="424">
        <f>137</f>
        <v>137</v>
      </c>
      <c r="AG57" s="424">
        <f>306.25</f>
        <v>306.25</v>
      </c>
      <c r="AH57" s="424">
        <f>839.17</f>
        <v>839.17</v>
      </c>
      <c r="AI57" s="424">
        <f t="shared" si="8"/>
        <v>2776.58</v>
      </c>
      <c r="AJ57" s="424">
        <f t="shared" si="2"/>
        <v>5910.5199999999995</v>
      </c>
      <c r="AK57" s="424">
        <f t="shared" si="9"/>
        <v>6634.1200000000008</v>
      </c>
      <c r="AL57" s="425">
        <v>6061</v>
      </c>
    </row>
    <row r="58" spans="1:40" x14ac:dyDescent="0.25">
      <c r="A58" s="361" t="s">
        <v>170</v>
      </c>
      <c r="B58" s="423"/>
      <c r="C58" s="423"/>
      <c r="D58" s="423"/>
      <c r="E58" s="423"/>
      <c r="F58" s="423"/>
      <c r="G58" s="423"/>
      <c r="H58" s="423"/>
      <c r="I58" s="423"/>
      <c r="J58" s="423"/>
      <c r="K58" s="423"/>
      <c r="L58" s="423"/>
      <c r="M58" s="423"/>
      <c r="N58" s="423"/>
      <c r="O58" s="423"/>
      <c r="P58" s="423"/>
      <c r="Q58" s="423"/>
      <c r="R58" s="423"/>
      <c r="S58" s="423"/>
      <c r="T58" s="423"/>
      <c r="U58" s="424">
        <f>25</f>
        <v>25</v>
      </c>
      <c r="V58" s="423"/>
      <c r="W58" s="423"/>
      <c r="X58" s="423"/>
      <c r="Y58" s="423"/>
      <c r="Z58" s="423"/>
      <c r="AA58" s="423"/>
      <c r="AB58" s="423"/>
      <c r="AC58" s="423"/>
      <c r="AD58" s="423"/>
      <c r="AE58" s="423"/>
      <c r="AF58" s="423"/>
      <c r="AG58" s="423"/>
      <c r="AH58" s="423"/>
      <c r="AI58" s="424">
        <f t="shared" si="8"/>
        <v>0</v>
      </c>
      <c r="AJ58" s="424">
        <f t="shared" si="2"/>
        <v>25</v>
      </c>
      <c r="AK58" s="424">
        <f t="shared" si="9"/>
        <v>0</v>
      </c>
      <c r="AL58" s="424"/>
      <c r="AM58" s="360" t="s">
        <v>628</v>
      </c>
    </row>
    <row r="59" spans="1:40" x14ac:dyDescent="0.25">
      <c r="A59" s="361" t="s">
        <v>171</v>
      </c>
      <c r="B59" s="423"/>
      <c r="C59" s="423"/>
      <c r="D59" s="423"/>
      <c r="E59" s="423"/>
      <c r="F59" s="423"/>
      <c r="G59" s="423"/>
      <c r="H59" s="423"/>
      <c r="I59" s="423"/>
      <c r="J59" s="423"/>
      <c r="K59" s="423"/>
      <c r="L59" s="423"/>
      <c r="M59" s="423"/>
      <c r="N59" s="424">
        <f>1000</f>
        <v>1000</v>
      </c>
      <c r="O59" s="423"/>
      <c r="P59" s="423"/>
      <c r="Q59" s="423"/>
      <c r="R59" s="423"/>
      <c r="S59" s="424">
        <f>175</f>
        <v>175</v>
      </c>
      <c r="T59" s="423"/>
      <c r="U59" s="423"/>
      <c r="V59" s="423"/>
      <c r="W59" s="423"/>
      <c r="X59" s="423"/>
      <c r="Y59" s="423"/>
      <c r="Z59" s="423"/>
      <c r="AA59" s="423"/>
      <c r="AB59" s="423"/>
      <c r="AC59" s="423"/>
      <c r="AD59" s="423"/>
      <c r="AE59" s="423"/>
      <c r="AF59" s="423"/>
      <c r="AG59" s="423"/>
      <c r="AH59" s="423"/>
      <c r="AI59" s="424">
        <f t="shared" si="8"/>
        <v>0</v>
      </c>
      <c r="AJ59" s="424">
        <f t="shared" si="2"/>
        <v>1175</v>
      </c>
      <c r="AK59" s="424">
        <f t="shared" si="9"/>
        <v>0</v>
      </c>
      <c r="AL59" s="424">
        <v>1000</v>
      </c>
      <c r="AM59" s="360" t="s">
        <v>629</v>
      </c>
    </row>
    <row r="60" spans="1:40" x14ac:dyDescent="0.25">
      <c r="A60" s="361" t="s">
        <v>172</v>
      </c>
      <c r="B60" s="423"/>
      <c r="C60" s="423"/>
      <c r="D60" s="423"/>
      <c r="E60" s="423"/>
      <c r="F60" s="423"/>
      <c r="G60" s="423"/>
      <c r="H60" s="423"/>
      <c r="I60" s="424">
        <f>68.7</f>
        <v>68.7</v>
      </c>
      <c r="J60" s="423"/>
      <c r="K60" s="423"/>
      <c r="L60" s="423"/>
      <c r="M60" s="423"/>
      <c r="N60" s="423"/>
      <c r="O60" s="423"/>
      <c r="P60" s="423"/>
      <c r="Q60" s="423"/>
      <c r="R60" s="424">
        <f>34.35</f>
        <v>34.35</v>
      </c>
      <c r="S60" s="423"/>
      <c r="T60" s="423"/>
      <c r="U60" s="424">
        <f>34.35</f>
        <v>34.35</v>
      </c>
      <c r="V60" s="423"/>
      <c r="W60" s="423"/>
      <c r="X60" s="424">
        <f>34.35</f>
        <v>34.35</v>
      </c>
      <c r="Y60" s="423"/>
      <c r="Z60" s="424">
        <f>54.86</f>
        <v>54.86</v>
      </c>
      <c r="AA60" s="424">
        <f>34.35</f>
        <v>34.35</v>
      </c>
      <c r="AB60" s="423"/>
      <c r="AC60" s="423"/>
      <c r="AD60" s="424">
        <f>34.35</f>
        <v>34.35</v>
      </c>
      <c r="AE60" s="423"/>
      <c r="AF60" s="423"/>
      <c r="AG60" s="424">
        <f>34.35</f>
        <v>34.35</v>
      </c>
      <c r="AH60" s="423"/>
      <c r="AI60" s="424">
        <f t="shared" si="8"/>
        <v>68.7</v>
      </c>
      <c r="AJ60" s="424">
        <f t="shared" si="2"/>
        <v>103.05000000000001</v>
      </c>
      <c r="AK60" s="424">
        <f t="shared" si="9"/>
        <v>192.26</v>
      </c>
      <c r="AL60" s="424"/>
    </row>
    <row r="61" spans="1:40" x14ac:dyDescent="0.25">
      <c r="A61" s="361" t="s">
        <v>432</v>
      </c>
      <c r="B61" s="423"/>
      <c r="C61" s="423"/>
      <c r="D61" s="423"/>
      <c r="E61" s="423"/>
      <c r="F61" s="423"/>
      <c r="G61" s="423"/>
      <c r="H61" s="423"/>
      <c r="I61" s="423"/>
      <c r="J61" s="423"/>
      <c r="K61" s="423"/>
      <c r="L61" s="423"/>
      <c r="M61" s="423"/>
      <c r="N61" s="423"/>
      <c r="O61" s="423"/>
      <c r="P61" s="423"/>
      <c r="Q61" s="423"/>
      <c r="R61" s="423"/>
      <c r="S61" s="423"/>
      <c r="T61" s="423"/>
      <c r="U61" s="424">
        <f>144.28</f>
        <v>144.28</v>
      </c>
      <c r="V61" s="424">
        <f>126.08</f>
        <v>126.08</v>
      </c>
      <c r="W61" s="424">
        <f>126.08</f>
        <v>126.08</v>
      </c>
      <c r="X61" s="424">
        <f>126.08</f>
        <v>126.08</v>
      </c>
      <c r="Y61" s="424">
        <f>126.08</f>
        <v>126.08</v>
      </c>
      <c r="Z61" s="424">
        <f>126.08</f>
        <v>126.08</v>
      </c>
      <c r="AA61" s="424">
        <f>25</f>
        <v>25</v>
      </c>
      <c r="AB61" s="424">
        <f>567.16</f>
        <v>567.16</v>
      </c>
      <c r="AC61" s="424">
        <f>276.08</f>
        <v>276.08</v>
      </c>
      <c r="AD61" s="424">
        <f>86.63</f>
        <v>86.63</v>
      </c>
      <c r="AE61" s="424">
        <f>41.32</f>
        <v>41.32</v>
      </c>
      <c r="AF61" s="424">
        <f>91.32</f>
        <v>91.32</v>
      </c>
      <c r="AG61" s="424">
        <f>91.32</f>
        <v>91.32</v>
      </c>
      <c r="AH61" s="424">
        <f>91.32</f>
        <v>91.32</v>
      </c>
      <c r="AI61" s="424">
        <f t="shared" si="8"/>
        <v>0</v>
      </c>
      <c r="AJ61" s="424">
        <f t="shared" si="2"/>
        <v>648.6</v>
      </c>
      <c r="AK61" s="424">
        <f t="shared" si="9"/>
        <v>1774.4699999999998</v>
      </c>
      <c r="AL61" s="424">
        <v>1572</v>
      </c>
      <c r="AM61" s="360" t="s">
        <v>630</v>
      </c>
    </row>
    <row r="62" spans="1:40" x14ac:dyDescent="0.25">
      <c r="A62" s="361" t="s">
        <v>173</v>
      </c>
      <c r="B62" s="426">
        <f t="shared" ref="B62:AH62" si="11">(B60)+(B61)</f>
        <v>0</v>
      </c>
      <c r="C62" s="426">
        <f t="shared" si="11"/>
        <v>0</v>
      </c>
      <c r="D62" s="426">
        <f t="shared" si="11"/>
        <v>0</v>
      </c>
      <c r="E62" s="426">
        <f t="shared" si="11"/>
        <v>0</v>
      </c>
      <c r="F62" s="426">
        <f t="shared" si="11"/>
        <v>0</v>
      </c>
      <c r="G62" s="426">
        <f t="shared" si="11"/>
        <v>0</v>
      </c>
      <c r="H62" s="426">
        <f t="shared" si="11"/>
        <v>0</v>
      </c>
      <c r="I62" s="426">
        <f t="shared" si="11"/>
        <v>68.7</v>
      </c>
      <c r="J62" s="426">
        <f t="shared" si="11"/>
        <v>0</v>
      </c>
      <c r="K62" s="426">
        <f t="shared" si="11"/>
        <v>0</v>
      </c>
      <c r="L62" s="426">
        <f t="shared" si="11"/>
        <v>0</v>
      </c>
      <c r="M62" s="426">
        <f t="shared" si="11"/>
        <v>0</v>
      </c>
      <c r="N62" s="426">
        <f t="shared" si="11"/>
        <v>0</v>
      </c>
      <c r="O62" s="426">
        <f t="shared" si="11"/>
        <v>0</v>
      </c>
      <c r="P62" s="426">
        <f t="shared" si="11"/>
        <v>0</v>
      </c>
      <c r="Q62" s="426">
        <f t="shared" si="11"/>
        <v>0</v>
      </c>
      <c r="R62" s="426">
        <f t="shared" si="11"/>
        <v>34.35</v>
      </c>
      <c r="S62" s="426">
        <f t="shared" si="11"/>
        <v>0</v>
      </c>
      <c r="T62" s="426">
        <f t="shared" si="11"/>
        <v>0</v>
      </c>
      <c r="U62" s="426">
        <f t="shared" si="11"/>
        <v>178.63</v>
      </c>
      <c r="V62" s="426">
        <f t="shared" si="11"/>
        <v>126.08</v>
      </c>
      <c r="W62" s="426">
        <f t="shared" si="11"/>
        <v>126.08</v>
      </c>
      <c r="X62" s="426">
        <f t="shared" si="11"/>
        <v>160.43</v>
      </c>
      <c r="Y62" s="426">
        <f t="shared" si="11"/>
        <v>126.08</v>
      </c>
      <c r="Z62" s="426">
        <f t="shared" si="11"/>
        <v>180.94</v>
      </c>
      <c r="AA62" s="426">
        <f t="shared" si="11"/>
        <v>59.35</v>
      </c>
      <c r="AB62" s="426">
        <f t="shared" si="11"/>
        <v>567.16</v>
      </c>
      <c r="AC62" s="426">
        <f t="shared" si="11"/>
        <v>276.08</v>
      </c>
      <c r="AD62" s="426">
        <f t="shared" si="11"/>
        <v>120.97999999999999</v>
      </c>
      <c r="AE62" s="426">
        <f t="shared" si="11"/>
        <v>41.32</v>
      </c>
      <c r="AF62" s="426">
        <f t="shared" si="11"/>
        <v>91.32</v>
      </c>
      <c r="AG62" s="426">
        <f t="shared" si="11"/>
        <v>125.66999999999999</v>
      </c>
      <c r="AH62" s="426">
        <f t="shared" si="11"/>
        <v>91.32</v>
      </c>
      <c r="AI62" s="426">
        <f t="shared" si="8"/>
        <v>68.7</v>
      </c>
      <c r="AJ62" s="426">
        <f t="shared" si="2"/>
        <v>751.65</v>
      </c>
      <c r="AK62" s="426">
        <f t="shared" si="9"/>
        <v>1966.7299999999998</v>
      </c>
      <c r="AL62" s="426"/>
    </row>
    <row r="63" spans="1:40" x14ac:dyDescent="0.25">
      <c r="A63" s="361" t="s">
        <v>174</v>
      </c>
      <c r="B63" s="426">
        <f t="shared" ref="B63:AH63" si="12">((((((((((((((((((((B34)+(B35))+(B38))+(B39))+(B40))+(B41))+(B42))+(B43))+(B48))+(B49))+(B50))+(B51))+(B52))+(B53))+(B54))+(B55))+(B56))+(B57))+(B58))+(B59))+(B62)</f>
        <v>5388.34</v>
      </c>
      <c r="C63" s="426">
        <f t="shared" si="12"/>
        <v>1877.25</v>
      </c>
      <c r="D63" s="426">
        <f t="shared" si="12"/>
        <v>5520.3200000000006</v>
      </c>
      <c r="E63" s="426">
        <f t="shared" si="12"/>
        <v>2105.14</v>
      </c>
      <c r="F63" s="426">
        <f t="shared" si="12"/>
        <v>2384.65</v>
      </c>
      <c r="G63" s="426">
        <f t="shared" si="12"/>
        <v>1414.1999999999998</v>
      </c>
      <c r="H63" s="426">
        <f t="shared" si="12"/>
        <v>1338.46</v>
      </c>
      <c r="I63" s="426">
        <f t="shared" si="12"/>
        <v>3162.2999999999997</v>
      </c>
      <c r="J63" s="426">
        <f t="shared" si="12"/>
        <v>1875.9199999999998</v>
      </c>
      <c r="K63" s="426">
        <f t="shared" si="12"/>
        <v>774.71</v>
      </c>
      <c r="L63" s="426">
        <f t="shared" si="12"/>
        <v>2592.0699999999997</v>
      </c>
      <c r="M63" s="426">
        <f t="shared" si="12"/>
        <v>3874.29</v>
      </c>
      <c r="N63" s="426">
        <f t="shared" si="12"/>
        <v>5613.6200000000008</v>
      </c>
      <c r="O63" s="426">
        <f t="shared" si="12"/>
        <v>10213.48</v>
      </c>
      <c r="P63" s="426">
        <f t="shared" si="12"/>
        <v>12612.960000000001</v>
      </c>
      <c r="Q63" s="426">
        <f t="shared" si="12"/>
        <v>6989.1200000000008</v>
      </c>
      <c r="R63" s="426">
        <f t="shared" si="12"/>
        <v>7211.2900000000009</v>
      </c>
      <c r="S63" s="426">
        <f t="shared" si="12"/>
        <v>6101.3799999999992</v>
      </c>
      <c r="T63" s="426">
        <f t="shared" si="12"/>
        <v>6855.9599999999991</v>
      </c>
      <c r="U63" s="426">
        <f t="shared" si="12"/>
        <v>8472.2099999999973</v>
      </c>
      <c r="V63" s="426">
        <f t="shared" si="12"/>
        <v>6546.1599999999989</v>
      </c>
      <c r="W63" s="426">
        <f t="shared" si="12"/>
        <v>8288.92</v>
      </c>
      <c r="X63" s="426">
        <f t="shared" si="12"/>
        <v>17958.340000000004</v>
      </c>
      <c r="Y63" s="426">
        <f t="shared" si="12"/>
        <v>5215.63</v>
      </c>
      <c r="Z63" s="426">
        <f t="shared" si="12"/>
        <v>15467.48</v>
      </c>
      <c r="AA63" s="426">
        <f t="shared" si="12"/>
        <v>5859.54</v>
      </c>
      <c r="AB63" s="426">
        <f t="shared" si="12"/>
        <v>13613.47</v>
      </c>
      <c r="AC63" s="426">
        <f t="shared" si="12"/>
        <v>7141.3499999999995</v>
      </c>
      <c r="AD63" s="426">
        <f t="shared" si="12"/>
        <v>17289.87</v>
      </c>
      <c r="AE63" s="426">
        <f t="shared" si="12"/>
        <v>14562.84</v>
      </c>
      <c r="AF63" s="426">
        <f t="shared" si="12"/>
        <v>13668.099999999999</v>
      </c>
      <c r="AG63" s="426">
        <f t="shared" si="12"/>
        <v>11395.570000000002</v>
      </c>
      <c r="AH63" s="426">
        <f t="shared" si="12"/>
        <v>10295.709999999999</v>
      </c>
      <c r="AI63" s="426">
        <f t="shared" si="8"/>
        <v>32307.649999999998</v>
      </c>
      <c r="AJ63" s="426">
        <f t="shared" si="2"/>
        <v>102079.07</v>
      </c>
      <c r="AK63" s="426">
        <f t="shared" si="9"/>
        <v>140756.82</v>
      </c>
      <c r="AL63" s="426"/>
    </row>
    <row r="64" spans="1:40" x14ac:dyDescent="0.25">
      <c r="A64" s="361" t="s">
        <v>175</v>
      </c>
      <c r="B64" s="426">
        <f t="shared" ref="B64:AH64" si="13">(B32)-(B63)</f>
        <v>13653.95</v>
      </c>
      <c r="C64" s="426">
        <f t="shared" si="13"/>
        <v>11956.59</v>
      </c>
      <c r="D64" s="426">
        <f t="shared" si="13"/>
        <v>12550.68</v>
      </c>
      <c r="E64" s="426">
        <f t="shared" si="13"/>
        <v>35288.509999999995</v>
      </c>
      <c r="F64" s="426">
        <f t="shared" si="13"/>
        <v>25900.59</v>
      </c>
      <c r="G64" s="426">
        <f t="shared" si="13"/>
        <v>29346.569999999996</v>
      </c>
      <c r="H64" s="426">
        <f t="shared" si="13"/>
        <v>22889.91</v>
      </c>
      <c r="I64" s="426">
        <f t="shared" si="13"/>
        <v>10477.949999999999</v>
      </c>
      <c r="J64" s="426">
        <f t="shared" si="13"/>
        <v>28719.84</v>
      </c>
      <c r="K64" s="426">
        <f t="shared" si="13"/>
        <v>144358.84000000003</v>
      </c>
      <c r="L64" s="426">
        <f t="shared" si="13"/>
        <v>66708.649999999994</v>
      </c>
      <c r="M64" s="426">
        <f t="shared" si="13"/>
        <v>38107.829999999994</v>
      </c>
      <c r="N64" s="426">
        <f t="shared" si="13"/>
        <v>8061.17</v>
      </c>
      <c r="O64" s="426">
        <f t="shared" si="13"/>
        <v>24884.799999999999</v>
      </c>
      <c r="P64" s="426">
        <f t="shared" si="13"/>
        <v>-3998.7100000000009</v>
      </c>
      <c r="Q64" s="426">
        <f t="shared" si="13"/>
        <v>14764.789999999999</v>
      </c>
      <c r="R64" s="426">
        <f t="shared" si="13"/>
        <v>28106.260000000002</v>
      </c>
      <c r="S64" s="426">
        <f t="shared" si="13"/>
        <v>30107.620000000003</v>
      </c>
      <c r="T64" s="426">
        <f t="shared" si="13"/>
        <v>5109.3100000000013</v>
      </c>
      <c r="U64" s="426">
        <f t="shared" si="13"/>
        <v>18788.830000000002</v>
      </c>
      <c r="V64" s="426">
        <f t="shared" si="13"/>
        <v>62866.730000000018</v>
      </c>
      <c r="W64" s="426">
        <f t="shared" si="13"/>
        <v>129416.73000000003</v>
      </c>
      <c r="X64" s="426">
        <f t="shared" si="13"/>
        <v>7432.7299999999959</v>
      </c>
      <c r="Y64" s="426">
        <f t="shared" si="13"/>
        <v>75172.359999999986</v>
      </c>
      <c r="Z64" s="426">
        <f t="shared" si="13"/>
        <v>4544.1399999999994</v>
      </c>
      <c r="AA64" s="426">
        <f t="shared" si="13"/>
        <v>13098.71</v>
      </c>
      <c r="AB64" s="426">
        <f t="shared" si="13"/>
        <v>15426.53</v>
      </c>
      <c r="AC64" s="426">
        <f t="shared" si="13"/>
        <v>2669.2200000000003</v>
      </c>
      <c r="AD64" s="426">
        <f t="shared" si="13"/>
        <v>34839.97</v>
      </c>
      <c r="AE64" s="426">
        <f t="shared" si="13"/>
        <v>-5203.7199999999993</v>
      </c>
      <c r="AF64" s="426">
        <f t="shared" si="13"/>
        <v>-237.0099999999984</v>
      </c>
      <c r="AG64" s="426">
        <f t="shared" si="13"/>
        <v>16235.669999999996</v>
      </c>
      <c r="AH64" s="426">
        <f t="shared" si="13"/>
        <v>20539.79</v>
      </c>
      <c r="AI64" s="426">
        <f t="shared" si="8"/>
        <v>439959.91000000009</v>
      </c>
      <c r="AJ64" s="426">
        <f t="shared" si="2"/>
        <v>400712.62</v>
      </c>
      <c r="AK64" s="426">
        <f t="shared" si="9"/>
        <v>313935.12</v>
      </c>
      <c r="AL64" s="426"/>
    </row>
    <row r="65" spans="1:46" x14ac:dyDescent="0.25">
      <c r="A65" s="361" t="s">
        <v>176</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f t="shared" si="8"/>
        <v>0</v>
      </c>
      <c r="AJ65" s="423">
        <f t="shared" si="2"/>
        <v>0</v>
      </c>
      <c r="AK65" s="423">
        <f t="shared" si="9"/>
        <v>0</v>
      </c>
      <c r="AL65" s="423"/>
    </row>
    <row r="66" spans="1:46" x14ac:dyDescent="0.25">
      <c r="A66" s="361" t="s">
        <v>434</v>
      </c>
      <c r="B66" s="426">
        <v>15310.64</v>
      </c>
      <c r="C66" s="426">
        <v>15581.89</v>
      </c>
      <c r="D66" s="426">
        <v>15994.14</v>
      </c>
      <c r="E66" s="426">
        <v>15830.400000000001</v>
      </c>
      <c r="F66" s="426">
        <v>16610.89</v>
      </c>
      <c r="G66" s="426">
        <v>19535.260000000002</v>
      </c>
      <c r="H66" s="426">
        <v>18451.010000000002</v>
      </c>
      <c r="I66" s="426">
        <v>17779.010000000002</v>
      </c>
      <c r="J66" s="426">
        <v>18300.64</v>
      </c>
      <c r="K66" s="426">
        <v>17051.010000000002</v>
      </c>
      <c r="L66" s="426">
        <v>16229.39</v>
      </c>
      <c r="M66" s="426">
        <v>20291.099999999999</v>
      </c>
      <c r="N66" s="426">
        <v>14090.01</v>
      </c>
      <c r="O66" s="426">
        <v>14164.39</v>
      </c>
      <c r="P66" s="426">
        <v>14826.89</v>
      </c>
      <c r="Q66" s="426">
        <v>14075.14</v>
      </c>
      <c r="R66" s="426">
        <v>13818.76</v>
      </c>
      <c r="S66" s="426">
        <v>15080.64</v>
      </c>
      <c r="T66" s="426">
        <v>13600.01</v>
      </c>
      <c r="U66" s="426">
        <v>15404.630000000001</v>
      </c>
      <c r="V66" s="426">
        <v>14409.01</v>
      </c>
      <c r="W66" s="426">
        <v>14820.26</v>
      </c>
      <c r="X66" s="426">
        <v>15698.14</v>
      </c>
      <c r="Y66" s="426">
        <v>17637.29</v>
      </c>
      <c r="Z66" s="426">
        <v>13044.01</v>
      </c>
      <c r="AA66" s="426">
        <v>15962.14</v>
      </c>
      <c r="AB66" s="426">
        <v>15173.14</v>
      </c>
      <c r="AC66" s="426">
        <v>14487.76</v>
      </c>
      <c r="AD66" s="426">
        <v>15422.51</v>
      </c>
      <c r="AE66" s="426">
        <v>14554.26</v>
      </c>
      <c r="AF66" s="426">
        <v>14238.39</v>
      </c>
      <c r="AG66" s="426">
        <v>15921.26</v>
      </c>
      <c r="AH66" s="426">
        <v>14982.14</v>
      </c>
      <c r="AI66" s="426">
        <f t="shared" si="8"/>
        <v>206965.38000000003</v>
      </c>
      <c r="AJ66" s="426">
        <f t="shared" si="2"/>
        <v>177625.17</v>
      </c>
      <c r="AK66" s="426">
        <f t="shared" si="9"/>
        <v>181941.3</v>
      </c>
      <c r="AL66" s="426">
        <v>220451</v>
      </c>
      <c r="AM66" s="360" t="s">
        <v>631</v>
      </c>
    </row>
    <row r="67" spans="1:46" x14ac:dyDescent="0.25">
      <c r="A67" s="361" t="s">
        <v>178</v>
      </c>
      <c r="B67" s="423"/>
      <c r="C67" s="423"/>
      <c r="D67" s="423"/>
      <c r="E67" s="423"/>
      <c r="F67" s="423"/>
      <c r="G67" s="423"/>
      <c r="H67" s="423"/>
      <c r="I67" s="424">
        <f>1067.04</f>
        <v>1067.04</v>
      </c>
      <c r="J67" s="423"/>
      <c r="K67" s="423"/>
      <c r="L67" s="423"/>
      <c r="M67" s="423"/>
      <c r="N67" s="423"/>
      <c r="O67" s="423"/>
      <c r="P67" s="424">
        <f>250</f>
        <v>250</v>
      </c>
      <c r="Q67" s="423"/>
      <c r="R67" s="423"/>
      <c r="S67" s="423"/>
      <c r="T67" s="424">
        <f>72.09</f>
        <v>72.09</v>
      </c>
      <c r="U67" s="424">
        <f>10</f>
        <v>10</v>
      </c>
      <c r="V67" s="423"/>
      <c r="W67" s="423"/>
      <c r="X67" s="424">
        <f>265</f>
        <v>265</v>
      </c>
      <c r="Y67" s="423"/>
      <c r="Z67" s="423"/>
      <c r="AA67" s="423"/>
      <c r="AB67" s="423"/>
      <c r="AC67" s="423"/>
      <c r="AD67" s="423"/>
      <c r="AE67" s="423"/>
      <c r="AF67" s="424">
        <f>167.4</f>
        <v>167.4</v>
      </c>
      <c r="AG67" s="423"/>
      <c r="AH67" s="423"/>
      <c r="AI67" s="424">
        <f t="shared" si="8"/>
        <v>1067.04</v>
      </c>
      <c r="AJ67" s="424">
        <f t="shared" ref="AJ67:AJ130" si="14">SUM(N67:Y67)</f>
        <v>597.09</v>
      </c>
      <c r="AK67" s="424">
        <f t="shared" si="9"/>
        <v>432.4</v>
      </c>
      <c r="AL67" s="424">
        <v>500</v>
      </c>
    </row>
    <row r="68" spans="1:46" x14ac:dyDescent="0.25">
      <c r="A68" s="361" t="s">
        <v>179</v>
      </c>
      <c r="B68" s="424">
        <f>101.68</f>
        <v>101.68</v>
      </c>
      <c r="C68" s="424">
        <f>306.01</f>
        <v>306.01</v>
      </c>
      <c r="D68" s="423"/>
      <c r="E68" s="423"/>
      <c r="F68" s="424">
        <f>334.96</f>
        <v>334.96</v>
      </c>
      <c r="G68" s="423"/>
      <c r="H68" s="424">
        <f>310.3</f>
        <v>310.3</v>
      </c>
      <c r="I68" s="423"/>
      <c r="J68" s="424">
        <f>291.04</f>
        <v>291.04000000000002</v>
      </c>
      <c r="K68" s="423"/>
      <c r="L68" s="423"/>
      <c r="M68" s="424">
        <f>7438.32</f>
        <v>7438.32</v>
      </c>
      <c r="N68" s="423"/>
      <c r="O68" s="424">
        <f>212.06</f>
        <v>212.06</v>
      </c>
      <c r="P68" s="423"/>
      <c r="Q68" s="423"/>
      <c r="R68" s="423"/>
      <c r="S68" s="424">
        <f>110.64</f>
        <v>110.64</v>
      </c>
      <c r="T68" s="423"/>
      <c r="U68" s="423"/>
      <c r="V68" s="423"/>
      <c r="W68" s="423"/>
      <c r="X68" s="423"/>
      <c r="Y68" s="423"/>
      <c r="Z68" s="423"/>
      <c r="AA68" s="423"/>
      <c r="AB68" s="423"/>
      <c r="AC68" s="423"/>
      <c r="AD68" s="423"/>
      <c r="AE68" s="423"/>
      <c r="AF68" s="423"/>
      <c r="AG68" s="424">
        <f>59.74</f>
        <v>59.74</v>
      </c>
      <c r="AH68" s="423"/>
      <c r="AI68" s="424">
        <f t="shared" si="8"/>
        <v>8782.31</v>
      </c>
      <c r="AJ68" s="424">
        <f t="shared" si="14"/>
        <v>322.7</v>
      </c>
      <c r="AK68" s="424">
        <f t="shared" si="9"/>
        <v>59.74</v>
      </c>
      <c r="AL68" s="424">
        <v>200</v>
      </c>
      <c r="AM68" s="360" t="s">
        <v>632</v>
      </c>
    </row>
    <row r="69" spans="1:46" x14ac:dyDescent="0.25">
      <c r="A69" s="361" t="s">
        <v>180</v>
      </c>
      <c r="B69" s="424">
        <f>409.85</f>
        <v>409.85</v>
      </c>
      <c r="C69" s="424">
        <f>183.36</f>
        <v>183.36</v>
      </c>
      <c r="D69" s="424">
        <f>305.01</f>
        <v>305.01</v>
      </c>
      <c r="E69" s="424">
        <f>237.12</f>
        <v>237.12</v>
      </c>
      <c r="F69" s="424">
        <f>245.59</f>
        <v>245.59</v>
      </c>
      <c r="G69" s="424">
        <f>245.93</f>
        <v>245.93</v>
      </c>
      <c r="H69" s="424">
        <f>312.74</f>
        <v>312.74</v>
      </c>
      <c r="I69" s="424">
        <f>314.51</f>
        <v>314.51</v>
      </c>
      <c r="J69" s="424">
        <f>199.61</f>
        <v>199.61</v>
      </c>
      <c r="K69" s="424">
        <f>503.61</f>
        <v>503.61</v>
      </c>
      <c r="L69" s="424">
        <f>1337.58</f>
        <v>1337.58</v>
      </c>
      <c r="M69" s="424">
        <f>300.73</f>
        <v>300.73</v>
      </c>
      <c r="N69" s="424">
        <f>557.09</f>
        <v>557.09</v>
      </c>
      <c r="O69" s="424">
        <f>302.35</f>
        <v>302.35000000000002</v>
      </c>
      <c r="P69" s="424">
        <f>289.39</f>
        <v>289.39</v>
      </c>
      <c r="Q69" s="424">
        <f>313.41</f>
        <v>313.41000000000003</v>
      </c>
      <c r="R69" s="424">
        <f>291.56</f>
        <v>291.56</v>
      </c>
      <c r="S69" s="424">
        <f>427.71</f>
        <v>427.71</v>
      </c>
      <c r="T69" s="424">
        <f>321.58</f>
        <v>321.58</v>
      </c>
      <c r="U69" s="424">
        <f>292.96</f>
        <v>292.95999999999998</v>
      </c>
      <c r="V69" s="424">
        <f>359.99</f>
        <v>359.99</v>
      </c>
      <c r="W69" s="424">
        <f>332.27</f>
        <v>332.27</v>
      </c>
      <c r="X69" s="424">
        <f>8.75</f>
        <v>8.75</v>
      </c>
      <c r="Y69" s="424">
        <f>8.75</f>
        <v>8.75</v>
      </c>
      <c r="Z69" s="424">
        <f>8.75</f>
        <v>8.75</v>
      </c>
      <c r="AA69" s="424">
        <f>8</f>
        <v>8</v>
      </c>
      <c r="AB69" s="424">
        <f>8</f>
        <v>8</v>
      </c>
      <c r="AC69" s="424">
        <f>8</f>
        <v>8</v>
      </c>
      <c r="AD69" s="424">
        <f>153.65</f>
        <v>153.65</v>
      </c>
      <c r="AE69" s="424">
        <f>8.75</f>
        <v>8.75</v>
      </c>
      <c r="AF69" s="423"/>
      <c r="AG69" s="424">
        <f>561.52</f>
        <v>561.52</v>
      </c>
      <c r="AH69" s="424">
        <f>0.75</f>
        <v>0.75</v>
      </c>
      <c r="AI69" s="424">
        <f t="shared" si="8"/>
        <v>4595.6399999999994</v>
      </c>
      <c r="AJ69" s="424">
        <f t="shared" si="14"/>
        <v>3505.81</v>
      </c>
      <c r="AK69" s="424">
        <f t="shared" si="9"/>
        <v>1107.19</v>
      </c>
      <c r="AL69" s="424"/>
      <c r="AM69" s="360" t="s">
        <v>633</v>
      </c>
    </row>
    <row r="70" spans="1:46" x14ac:dyDescent="0.25">
      <c r="A70" s="361" t="s">
        <v>181</v>
      </c>
      <c r="B70" s="423"/>
      <c r="C70" s="423"/>
      <c r="D70" s="423"/>
      <c r="E70" s="423"/>
      <c r="F70" s="423"/>
      <c r="G70" s="423"/>
      <c r="H70" s="423"/>
      <c r="I70" s="423"/>
      <c r="J70" s="423"/>
      <c r="K70" s="423"/>
      <c r="L70" s="423"/>
      <c r="M70" s="423"/>
      <c r="N70" s="423"/>
      <c r="O70" s="423"/>
      <c r="P70" s="423"/>
      <c r="Q70" s="424">
        <f>1000</f>
        <v>1000</v>
      </c>
      <c r="R70" s="423"/>
      <c r="S70" s="423"/>
      <c r="T70" s="423"/>
      <c r="U70" s="423"/>
      <c r="V70" s="423"/>
      <c r="W70" s="423"/>
      <c r="X70" s="423"/>
      <c r="Y70" s="423"/>
      <c r="Z70" s="423"/>
      <c r="AA70" s="423"/>
      <c r="AB70" s="424">
        <f>10000</f>
        <v>10000</v>
      </c>
      <c r="AC70" s="423"/>
      <c r="AD70" s="423"/>
      <c r="AE70" s="423"/>
      <c r="AF70" s="423"/>
      <c r="AG70" s="423"/>
      <c r="AH70" s="423"/>
      <c r="AI70" s="424">
        <f t="shared" si="8"/>
        <v>0</v>
      </c>
      <c r="AJ70" s="425">
        <f t="shared" si="14"/>
        <v>1000</v>
      </c>
      <c r="AK70" s="425">
        <f t="shared" si="9"/>
        <v>10000</v>
      </c>
      <c r="AL70" s="425">
        <v>2500</v>
      </c>
      <c r="AM70" s="360" t="s">
        <v>634</v>
      </c>
    </row>
    <row r="71" spans="1:46" x14ac:dyDescent="0.25">
      <c r="A71" s="361" t="s">
        <v>182</v>
      </c>
      <c r="B71" s="423"/>
      <c r="C71" s="424">
        <f>250</f>
        <v>250</v>
      </c>
      <c r="D71" s="424">
        <f>8.24</f>
        <v>8.24</v>
      </c>
      <c r="E71" s="424">
        <f>8.24</f>
        <v>8.24</v>
      </c>
      <c r="F71" s="423"/>
      <c r="G71" s="423"/>
      <c r="H71" s="423"/>
      <c r="I71" s="423"/>
      <c r="J71" s="423"/>
      <c r="K71" s="423"/>
      <c r="L71" s="424">
        <f>9</f>
        <v>9</v>
      </c>
      <c r="M71" s="424">
        <f>13.5</f>
        <v>13.5</v>
      </c>
      <c r="N71" s="424">
        <f>4.5</f>
        <v>4.5</v>
      </c>
      <c r="O71" s="423"/>
      <c r="P71" s="424">
        <f>124.5</f>
        <v>124.5</v>
      </c>
      <c r="Q71" s="424">
        <f>4.5</f>
        <v>4.5</v>
      </c>
      <c r="R71" s="423"/>
      <c r="S71" s="423"/>
      <c r="T71" s="423"/>
      <c r="U71" s="423"/>
      <c r="V71" s="424">
        <f>120</f>
        <v>120</v>
      </c>
      <c r="W71" s="424">
        <f>65.12</f>
        <v>65.12</v>
      </c>
      <c r="X71" s="424">
        <f>13.5</f>
        <v>13.5</v>
      </c>
      <c r="Y71" s="424">
        <f>4.5</f>
        <v>4.5</v>
      </c>
      <c r="Z71" s="423"/>
      <c r="AA71" s="423"/>
      <c r="AB71" s="423"/>
      <c r="AC71" s="423"/>
      <c r="AD71" s="423"/>
      <c r="AE71" s="423"/>
      <c r="AF71" s="423"/>
      <c r="AG71" s="423"/>
      <c r="AH71" s="423"/>
      <c r="AI71" s="424">
        <f t="shared" ref="AI71:AI102" si="15">SUM(B71:M71)</f>
        <v>288.98</v>
      </c>
      <c r="AJ71" s="424">
        <f t="shared" si="14"/>
        <v>336.62</v>
      </c>
      <c r="AK71" s="424">
        <f t="shared" ref="AK71:AK102" si="16">SUM(W71:AH71)</f>
        <v>83.12</v>
      </c>
      <c r="AL71" s="424"/>
      <c r="AM71" s="360" t="s">
        <v>635</v>
      </c>
    </row>
    <row r="72" spans="1:46" x14ac:dyDescent="0.25">
      <c r="A72" s="361" t="s">
        <v>636</v>
      </c>
      <c r="B72" s="423"/>
      <c r="C72" s="423"/>
      <c r="D72" s="423"/>
      <c r="E72" s="423"/>
      <c r="F72" s="423"/>
      <c r="G72" s="423"/>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4">
        <f>249</f>
        <v>249</v>
      </c>
      <c r="AH72" s="423"/>
      <c r="AI72" s="424">
        <f t="shared" si="15"/>
        <v>0</v>
      </c>
      <c r="AJ72" s="424">
        <f t="shared" si="14"/>
        <v>0</v>
      </c>
      <c r="AK72" s="424">
        <f t="shared" si="16"/>
        <v>249</v>
      </c>
      <c r="AL72" s="424"/>
      <c r="AQ72" s="360" t="s">
        <v>228</v>
      </c>
      <c r="AR72" s="420">
        <f>SUM(AL34:AL63)</f>
        <v>138689</v>
      </c>
      <c r="AS72" s="360">
        <v>138689</v>
      </c>
      <c r="AT72" s="420">
        <f>AS72-AR72</f>
        <v>0</v>
      </c>
    </row>
    <row r="73" spans="1:46" x14ac:dyDescent="0.25">
      <c r="A73" s="361" t="s">
        <v>183</v>
      </c>
      <c r="B73" s="424">
        <f>19.85</f>
        <v>19.850000000000001</v>
      </c>
      <c r="C73" s="423"/>
      <c r="D73" s="424">
        <f>189.65</f>
        <v>189.65</v>
      </c>
      <c r="E73" s="423"/>
      <c r="F73" s="424">
        <f>29.4</f>
        <v>29.4</v>
      </c>
      <c r="G73" s="423"/>
      <c r="H73" s="424">
        <f>6.65</f>
        <v>6.65</v>
      </c>
      <c r="I73" s="424">
        <f>39.2</f>
        <v>39.200000000000003</v>
      </c>
      <c r="J73" s="423"/>
      <c r="K73" s="423"/>
      <c r="L73" s="423"/>
      <c r="M73" s="424">
        <f>57.35</f>
        <v>57.35</v>
      </c>
      <c r="N73" s="423"/>
      <c r="O73" s="423"/>
      <c r="P73" s="424">
        <f>182</f>
        <v>182</v>
      </c>
      <c r="Q73" s="423"/>
      <c r="R73" s="424">
        <f>50</f>
        <v>50</v>
      </c>
      <c r="S73" s="424">
        <f>30.08</f>
        <v>30.08</v>
      </c>
      <c r="T73" s="423"/>
      <c r="U73" s="424">
        <f>26.7</f>
        <v>26.7</v>
      </c>
      <c r="V73" s="424">
        <f>53.54</f>
        <v>53.54</v>
      </c>
      <c r="W73" s="423"/>
      <c r="X73" s="424">
        <f>187.47</f>
        <v>187.47</v>
      </c>
      <c r="Y73" s="423"/>
      <c r="Z73" s="423"/>
      <c r="AA73" s="424">
        <f>30</f>
        <v>30</v>
      </c>
      <c r="AB73" s="424">
        <f>211.35</f>
        <v>211.35</v>
      </c>
      <c r="AC73" s="423"/>
      <c r="AD73" s="424">
        <f>14.35</f>
        <v>14.35</v>
      </c>
      <c r="AE73" s="424">
        <f>15.39</f>
        <v>15.39</v>
      </c>
      <c r="AF73" s="424">
        <f>13.59</f>
        <v>13.59</v>
      </c>
      <c r="AG73" s="423"/>
      <c r="AH73" s="423"/>
      <c r="AI73" s="424">
        <f t="shared" si="15"/>
        <v>342.1</v>
      </c>
      <c r="AJ73" s="424">
        <f t="shared" si="14"/>
        <v>529.79</v>
      </c>
      <c r="AK73" s="424">
        <f t="shared" si="16"/>
        <v>472.15</v>
      </c>
      <c r="AL73" s="424">
        <v>500</v>
      </c>
      <c r="AQ73" s="360" t="s">
        <v>637</v>
      </c>
      <c r="AR73" s="420">
        <f>SUM(AL66:AL130)</f>
        <v>311649</v>
      </c>
    </row>
    <row r="74" spans="1:46" x14ac:dyDescent="0.25">
      <c r="A74" s="361" t="s">
        <v>219</v>
      </c>
      <c r="B74" s="423"/>
      <c r="C74" s="423"/>
      <c r="D74" s="423"/>
      <c r="E74" s="423"/>
      <c r="F74" s="424">
        <f>3.1</f>
        <v>3.1</v>
      </c>
      <c r="G74" s="424">
        <f>73.69</f>
        <v>73.69</v>
      </c>
      <c r="H74" s="424">
        <f>5.74</f>
        <v>5.74</v>
      </c>
      <c r="I74" s="424">
        <f>2.47</f>
        <v>2.4700000000000002</v>
      </c>
      <c r="J74" s="424">
        <f>0.75</f>
        <v>0.75</v>
      </c>
      <c r="K74" s="424">
        <f>10.75</f>
        <v>10.75</v>
      </c>
      <c r="L74" s="424">
        <f>5.82</f>
        <v>5.82</v>
      </c>
      <c r="M74" s="423"/>
      <c r="N74" s="423"/>
      <c r="O74" s="424">
        <f>1.03</f>
        <v>1.03</v>
      </c>
      <c r="P74" s="423"/>
      <c r="Q74" s="424">
        <f>9.14</f>
        <v>9.14</v>
      </c>
      <c r="R74" s="424">
        <f>48.56</f>
        <v>48.56</v>
      </c>
      <c r="S74" s="424">
        <f>33.53</f>
        <v>33.53</v>
      </c>
      <c r="T74" s="424">
        <f>20.79</f>
        <v>20.79</v>
      </c>
      <c r="U74" s="424">
        <f>11.52</f>
        <v>11.52</v>
      </c>
      <c r="V74" s="424">
        <f>9.53</f>
        <v>9.5299999999999994</v>
      </c>
      <c r="W74" s="424">
        <f>101.93</f>
        <v>101.93</v>
      </c>
      <c r="X74" s="424">
        <f>1044.58</f>
        <v>1044.58</v>
      </c>
      <c r="Y74" s="424">
        <f>544.18</f>
        <v>544.17999999999995</v>
      </c>
      <c r="Z74" s="424">
        <f>1128.22</f>
        <v>1128.22</v>
      </c>
      <c r="AA74" s="424">
        <f>587.38</f>
        <v>587.38</v>
      </c>
      <c r="AB74" s="424">
        <f>283.64</f>
        <v>283.64</v>
      </c>
      <c r="AC74" s="424">
        <f>310.71</f>
        <v>310.70999999999998</v>
      </c>
      <c r="AD74" s="424">
        <f>288.77</f>
        <v>288.77</v>
      </c>
      <c r="AE74" s="424">
        <f>372.62</f>
        <v>372.62</v>
      </c>
      <c r="AF74" s="424">
        <f>254.49</f>
        <v>254.49</v>
      </c>
      <c r="AG74" s="424">
        <f>325.36</f>
        <v>325.36</v>
      </c>
      <c r="AH74" s="424">
        <f>241.02</f>
        <v>241.02</v>
      </c>
      <c r="AI74" s="424">
        <f t="shared" si="15"/>
        <v>102.32</v>
      </c>
      <c r="AJ74" s="424">
        <f t="shared" si="14"/>
        <v>1824.79</v>
      </c>
      <c r="AK74" s="424">
        <f t="shared" si="16"/>
        <v>5482.9</v>
      </c>
      <c r="AL74" s="424">
        <v>6500</v>
      </c>
      <c r="AM74" s="360" t="s">
        <v>638</v>
      </c>
    </row>
    <row r="75" spans="1:46" x14ac:dyDescent="0.25">
      <c r="A75" s="361" t="s">
        <v>184</v>
      </c>
      <c r="B75" s="424">
        <f>186.35</f>
        <v>186.35</v>
      </c>
      <c r="C75" s="423"/>
      <c r="D75" s="423"/>
      <c r="E75" s="423"/>
      <c r="F75" s="423"/>
      <c r="G75" s="423"/>
      <c r="H75" s="424">
        <f>49.11</f>
        <v>49.11</v>
      </c>
      <c r="I75" s="423"/>
      <c r="J75" s="423"/>
      <c r="K75" s="423"/>
      <c r="L75" s="423"/>
      <c r="M75" s="424">
        <f>120.23</f>
        <v>120.23</v>
      </c>
      <c r="N75" s="424">
        <f>350.9</f>
        <v>350.9</v>
      </c>
      <c r="O75" s="424">
        <f>148.69</f>
        <v>148.69</v>
      </c>
      <c r="P75" s="423"/>
      <c r="Q75" s="423"/>
      <c r="R75" s="423"/>
      <c r="S75" s="423"/>
      <c r="T75" s="424">
        <f>64.69</f>
        <v>64.69</v>
      </c>
      <c r="U75" s="424">
        <f>39.74</f>
        <v>39.74</v>
      </c>
      <c r="V75" s="423"/>
      <c r="W75" s="423"/>
      <c r="X75" s="424">
        <f>53.12</f>
        <v>53.12</v>
      </c>
      <c r="Y75" s="423"/>
      <c r="Z75" s="423"/>
      <c r="AA75" s="424">
        <f>41.91</f>
        <v>41.91</v>
      </c>
      <c r="AB75" s="424">
        <f>202.58</f>
        <v>202.58</v>
      </c>
      <c r="AC75" s="423"/>
      <c r="AD75" s="423"/>
      <c r="AE75" s="424">
        <f>269.87</f>
        <v>269.87</v>
      </c>
      <c r="AF75" s="423"/>
      <c r="AG75" s="423"/>
      <c r="AH75" s="423"/>
      <c r="AI75" s="424">
        <f t="shared" si="15"/>
        <v>355.69</v>
      </c>
      <c r="AJ75" s="424">
        <f t="shared" si="14"/>
        <v>657.14</v>
      </c>
      <c r="AK75" s="424">
        <f t="shared" si="16"/>
        <v>567.48</v>
      </c>
      <c r="AL75" s="424">
        <v>600</v>
      </c>
    </row>
    <row r="76" spans="1:46" x14ac:dyDescent="0.25">
      <c r="A76" s="361" t="s">
        <v>185</v>
      </c>
      <c r="B76" s="424">
        <f>57.71</f>
        <v>57.71</v>
      </c>
      <c r="C76" s="424">
        <f>376.15</f>
        <v>376.15</v>
      </c>
      <c r="D76" s="424">
        <f>87.48</f>
        <v>87.48</v>
      </c>
      <c r="E76" s="424">
        <f>489.59</f>
        <v>489.59</v>
      </c>
      <c r="F76" s="423"/>
      <c r="G76" s="424">
        <f>178.66</f>
        <v>178.66</v>
      </c>
      <c r="H76" s="424">
        <f>193.14</f>
        <v>193.14</v>
      </c>
      <c r="I76" s="424">
        <f>215.97</f>
        <v>215.97</v>
      </c>
      <c r="J76" s="424">
        <f>269.4</f>
        <v>269.39999999999998</v>
      </c>
      <c r="K76" s="424">
        <f>311.39</f>
        <v>311.39</v>
      </c>
      <c r="L76" s="423"/>
      <c r="M76" s="424">
        <f>159.99</f>
        <v>159.99</v>
      </c>
      <c r="N76" s="424">
        <f>30.25</f>
        <v>30.25</v>
      </c>
      <c r="O76" s="423"/>
      <c r="P76" s="423"/>
      <c r="Q76" s="423"/>
      <c r="R76" s="423"/>
      <c r="S76" s="423"/>
      <c r="T76" s="423"/>
      <c r="U76" s="423"/>
      <c r="V76" s="423"/>
      <c r="W76" s="423"/>
      <c r="X76" s="423"/>
      <c r="Y76" s="424">
        <f>12647.68</f>
        <v>12647.68</v>
      </c>
      <c r="Z76" s="423"/>
      <c r="AA76" s="423"/>
      <c r="AB76" s="424">
        <f>182.33</f>
        <v>182.33</v>
      </c>
      <c r="AC76" s="423"/>
      <c r="AD76" s="423"/>
      <c r="AE76" s="423"/>
      <c r="AF76" s="423"/>
      <c r="AG76" s="423"/>
      <c r="AH76" s="423"/>
      <c r="AI76" s="424">
        <f t="shared" si="15"/>
        <v>2339.4799999999996</v>
      </c>
      <c r="AJ76" s="424">
        <f t="shared" si="14"/>
        <v>12677.93</v>
      </c>
      <c r="AK76" s="424">
        <f t="shared" si="16"/>
        <v>12830.01</v>
      </c>
      <c r="AL76" s="424"/>
      <c r="AM76" s="360" t="s">
        <v>639</v>
      </c>
    </row>
    <row r="77" spans="1:46" x14ac:dyDescent="0.25">
      <c r="A77" s="361" t="s">
        <v>186</v>
      </c>
      <c r="B77" s="423"/>
      <c r="C77" s="423"/>
      <c r="D77" s="423"/>
      <c r="E77" s="423"/>
      <c r="F77" s="423"/>
      <c r="G77" s="423"/>
      <c r="H77" s="423"/>
      <c r="I77" s="423"/>
      <c r="J77" s="423"/>
      <c r="K77" s="423"/>
      <c r="L77" s="423"/>
      <c r="M77" s="423"/>
      <c r="N77" s="423"/>
      <c r="O77" s="423"/>
      <c r="P77" s="423"/>
      <c r="Q77" s="424">
        <f>50</f>
        <v>50</v>
      </c>
      <c r="R77" s="423"/>
      <c r="S77" s="423"/>
      <c r="T77" s="423"/>
      <c r="U77" s="424">
        <f>23</f>
        <v>23</v>
      </c>
      <c r="V77" s="423"/>
      <c r="W77" s="423"/>
      <c r="X77" s="423"/>
      <c r="Y77" s="423"/>
      <c r="Z77" s="423"/>
      <c r="AA77" s="423"/>
      <c r="AB77" s="423"/>
      <c r="AC77" s="424">
        <f>50</f>
        <v>50</v>
      </c>
      <c r="AD77" s="423"/>
      <c r="AE77" s="423"/>
      <c r="AF77" s="423"/>
      <c r="AG77" s="423"/>
      <c r="AH77" s="423"/>
      <c r="AI77" s="424">
        <f t="shared" si="15"/>
        <v>0</v>
      </c>
      <c r="AJ77" s="424">
        <f t="shared" si="14"/>
        <v>73</v>
      </c>
      <c r="AK77" s="424">
        <f t="shared" si="16"/>
        <v>50</v>
      </c>
      <c r="AL77" s="424">
        <v>100</v>
      </c>
    </row>
    <row r="78" spans="1:46" x14ac:dyDescent="0.25">
      <c r="A78" s="361" t="s">
        <v>187</v>
      </c>
      <c r="B78" s="423"/>
      <c r="C78" s="423"/>
      <c r="D78" s="423"/>
      <c r="E78" s="423"/>
      <c r="F78" s="423"/>
      <c r="G78" s="423"/>
      <c r="H78" s="424">
        <f>114.08</f>
        <v>114.08</v>
      </c>
      <c r="I78" s="423"/>
      <c r="J78" s="423"/>
      <c r="K78" s="423"/>
      <c r="L78" s="423"/>
      <c r="M78" s="423"/>
      <c r="N78" s="423"/>
      <c r="O78" s="423"/>
      <c r="P78" s="423"/>
      <c r="Q78" s="423"/>
      <c r="R78" s="424">
        <f>47.83</f>
        <v>47.83</v>
      </c>
      <c r="S78" s="423"/>
      <c r="T78" s="424">
        <f>71.32</f>
        <v>71.319999999999993</v>
      </c>
      <c r="U78" s="423"/>
      <c r="V78" s="423"/>
      <c r="W78" s="423"/>
      <c r="X78" s="423"/>
      <c r="Y78" s="423"/>
      <c r="Z78" s="423"/>
      <c r="AA78" s="423"/>
      <c r="AB78" s="423"/>
      <c r="AC78" s="423"/>
      <c r="AD78" s="424">
        <f>24.93</f>
        <v>24.93</v>
      </c>
      <c r="AE78" s="423"/>
      <c r="AF78" s="423"/>
      <c r="AG78" s="423"/>
      <c r="AH78" s="423"/>
      <c r="AI78" s="424">
        <f t="shared" si="15"/>
        <v>114.08</v>
      </c>
      <c r="AJ78" s="424">
        <f t="shared" si="14"/>
        <v>119.14999999999999</v>
      </c>
      <c r="AK78" s="424">
        <f t="shared" si="16"/>
        <v>24.93</v>
      </c>
      <c r="AL78" s="424">
        <v>100</v>
      </c>
    </row>
    <row r="79" spans="1:46" x14ac:dyDescent="0.25">
      <c r="A79" s="361" t="s">
        <v>188</v>
      </c>
      <c r="B79" s="423"/>
      <c r="C79" s="423"/>
      <c r="D79" s="423"/>
      <c r="E79" s="423"/>
      <c r="F79" s="424">
        <f>21.15</f>
        <v>21.15</v>
      </c>
      <c r="G79" s="424">
        <f>15.55</f>
        <v>15.55</v>
      </c>
      <c r="H79" s="424">
        <f>13.45</f>
        <v>13.45</v>
      </c>
      <c r="I79" s="424">
        <f>12.8</f>
        <v>12.8</v>
      </c>
      <c r="J79" s="423"/>
      <c r="K79" s="423"/>
      <c r="L79" s="424">
        <f>5</f>
        <v>5</v>
      </c>
      <c r="M79" s="423"/>
      <c r="N79" s="424">
        <f>10</f>
        <v>10</v>
      </c>
      <c r="O79" s="424">
        <f>5</f>
        <v>5</v>
      </c>
      <c r="P79" s="424">
        <f>5</f>
        <v>5</v>
      </c>
      <c r="Q79" s="424">
        <f>5</f>
        <v>5</v>
      </c>
      <c r="R79" s="423"/>
      <c r="S79" s="424">
        <f>10</f>
        <v>10</v>
      </c>
      <c r="T79" s="423"/>
      <c r="U79" s="423"/>
      <c r="V79" s="423"/>
      <c r="W79" s="423"/>
      <c r="X79" s="423"/>
      <c r="Y79" s="423"/>
      <c r="Z79" s="423"/>
      <c r="AA79" s="423"/>
      <c r="AB79" s="423"/>
      <c r="AC79" s="423"/>
      <c r="AD79" s="423"/>
      <c r="AE79" s="423"/>
      <c r="AF79" s="423"/>
      <c r="AG79" s="423"/>
      <c r="AH79" s="423"/>
      <c r="AI79" s="424">
        <f t="shared" si="15"/>
        <v>67.95</v>
      </c>
      <c r="AJ79" s="424">
        <f t="shared" si="14"/>
        <v>35</v>
      </c>
      <c r="AK79" s="424">
        <f t="shared" si="16"/>
        <v>0</v>
      </c>
      <c r="AL79" s="424"/>
    </row>
    <row r="80" spans="1:46" x14ac:dyDescent="0.25">
      <c r="A80" s="361" t="s">
        <v>640</v>
      </c>
      <c r="B80" s="423"/>
      <c r="C80" s="423"/>
      <c r="D80" s="423"/>
      <c r="E80" s="423"/>
      <c r="F80" s="424">
        <f>3742.78</f>
        <v>3742.78</v>
      </c>
      <c r="G80" s="423"/>
      <c r="H80" s="423"/>
      <c r="I80" s="424">
        <f>1624.33</f>
        <v>1624.33</v>
      </c>
      <c r="J80" s="424">
        <f>132.76</f>
        <v>132.76</v>
      </c>
      <c r="K80" s="424">
        <f>3000</f>
        <v>3000</v>
      </c>
      <c r="L80" s="424">
        <f>4487.44</f>
        <v>4487.4399999999996</v>
      </c>
      <c r="M80" s="424">
        <f>30</f>
        <v>30</v>
      </c>
      <c r="N80" s="423"/>
      <c r="O80" s="423"/>
      <c r="P80" s="423"/>
      <c r="Q80" s="423"/>
      <c r="R80" s="423"/>
      <c r="S80" s="424">
        <f>2000</f>
        <v>2000</v>
      </c>
      <c r="T80" s="423"/>
      <c r="U80" s="423"/>
      <c r="V80" s="423"/>
      <c r="W80" s="424">
        <f>2157</f>
        <v>2157</v>
      </c>
      <c r="X80" s="424">
        <f>333.44</f>
        <v>333.44</v>
      </c>
      <c r="Y80" s="423"/>
      <c r="Z80" s="423"/>
      <c r="AA80" s="423"/>
      <c r="AB80" s="423"/>
      <c r="AC80" s="423"/>
      <c r="AD80" s="423"/>
      <c r="AE80" s="423"/>
      <c r="AF80" s="423"/>
      <c r="AG80" s="424">
        <f>1398.65</f>
        <v>1398.65</v>
      </c>
      <c r="AH80" s="424">
        <f>4504.77</f>
        <v>4504.7700000000004</v>
      </c>
      <c r="AI80" s="424">
        <f t="shared" si="15"/>
        <v>13017.310000000001</v>
      </c>
      <c r="AJ80" s="424">
        <f t="shared" si="14"/>
        <v>4490.4399999999996</v>
      </c>
      <c r="AK80" s="424">
        <f t="shared" si="16"/>
        <v>8393.86</v>
      </c>
      <c r="AL80" s="424">
        <v>17000</v>
      </c>
      <c r="AM80" s="360" t="s">
        <v>641</v>
      </c>
    </row>
    <row r="81" spans="1:39" x14ac:dyDescent="0.25">
      <c r="A81" s="361" t="s">
        <v>642</v>
      </c>
      <c r="B81" s="423"/>
      <c r="C81" s="423"/>
      <c r="D81" s="423"/>
      <c r="E81" s="423"/>
      <c r="F81" s="424">
        <f>79.99</f>
        <v>79.989999999999995</v>
      </c>
      <c r="G81" s="423"/>
      <c r="H81" s="423"/>
      <c r="I81" s="423"/>
      <c r="J81" s="423"/>
      <c r="K81" s="423"/>
      <c r="L81" s="423"/>
      <c r="M81" s="423"/>
      <c r="N81" s="423"/>
      <c r="O81" s="423"/>
      <c r="P81" s="423"/>
      <c r="Q81" s="423"/>
      <c r="R81" s="423"/>
      <c r="S81" s="423"/>
      <c r="T81" s="423"/>
      <c r="U81" s="423"/>
      <c r="V81" s="423"/>
      <c r="W81" s="423"/>
      <c r="X81" s="423"/>
      <c r="Y81" s="423"/>
      <c r="Z81" s="424">
        <f>75.95</f>
        <v>75.95</v>
      </c>
      <c r="AA81" s="424">
        <f>274.32</f>
        <v>274.32</v>
      </c>
      <c r="AB81" s="423"/>
      <c r="AC81" s="423"/>
      <c r="AD81" s="423"/>
      <c r="AE81" s="423"/>
      <c r="AF81" s="423"/>
      <c r="AG81" s="423"/>
      <c r="AH81" s="423"/>
      <c r="AI81" s="424">
        <f t="shared" si="15"/>
        <v>79.989999999999995</v>
      </c>
      <c r="AJ81" s="424">
        <f t="shared" si="14"/>
        <v>0</v>
      </c>
      <c r="AK81" s="424">
        <f t="shared" si="16"/>
        <v>350.27</v>
      </c>
      <c r="AL81" s="424"/>
    </row>
    <row r="82" spans="1:39" x14ac:dyDescent="0.25">
      <c r="A82" s="361" t="s">
        <v>193</v>
      </c>
      <c r="B82" s="424">
        <f>333.5</f>
        <v>333.5</v>
      </c>
      <c r="C82" s="424">
        <f>76</f>
        <v>76</v>
      </c>
      <c r="D82" s="424">
        <f>76</f>
        <v>76</v>
      </c>
      <c r="E82" s="424">
        <f>76</f>
        <v>76</v>
      </c>
      <c r="F82" s="424">
        <f>76</f>
        <v>76</v>
      </c>
      <c r="G82" s="423"/>
      <c r="H82" s="424">
        <f>76</f>
        <v>76</v>
      </c>
      <c r="I82" s="424">
        <f>76</f>
        <v>76</v>
      </c>
      <c r="J82" s="424">
        <f>152</f>
        <v>152</v>
      </c>
      <c r="K82" s="424">
        <f>76</f>
        <v>76</v>
      </c>
      <c r="L82" s="424">
        <f>76</f>
        <v>76</v>
      </c>
      <c r="M82" s="424">
        <f>219.1</f>
        <v>219.1</v>
      </c>
      <c r="N82" s="424">
        <f>76</f>
        <v>76</v>
      </c>
      <c r="O82" s="424">
        <f>76</f>
        <v>76</v>
      </c>
      <c r="P82" s="424">
        <f>76</f>
        <v>76</v>
      </c>
      <c r="Q82" s="424">
        <f>76</f>
        <v>76</v>
      </c>
      <c r="R82" s="424">
        <f>76</f>
        <v>76</v>
      </c>
      <c r="S82" s="424">
        <f>76</f>
        <v>76</v>
      </c>
      <c r="T82" s="424">
        <f>76</f>
        <v>76</v>
      </c>
      <c r="U82" s="423"/>
      <c r="V82" s="424">
        <f>152</f>
        <v>152</v>
      </c>
      <c r="W82" s="424">
        <f>76</f>
        <v>76</v>
      </c>
      <c r="X82" s="424">
        <f>76</f>
        <v>76</v>
      </c>
      <c r="Y82" s="424">
        <f>359.85</f>
        <v>359.85</v>
      </c>
      <c r="Z82" s="424">
        <f>76</f>
        <v>76</v>
      </c>
      <c r="AA82" s="424">
        <f>80</f>
        <v>80</v>
      </c>
      <c r="AB82" s="424">
        <f>80</f>
        <v>80</v>
      </c>
      <c r="AC82" s="423"/>
      <c r="AD82" s="424">
        <f>80</f>
        <v>80</v>
      </c>
      <c r="AE82" s="424">
        <f>80</f>
        <v>80</v>
      </c>
      <c r="AF82" s="424">
        <f>80</f>
        <v>80</v>
      </c>
      <c r="AG82" s="424">
        <f>80</f>
        <v>80</v>
      </c>
      <c r="AH82" s="424">
        <f>80</f>
        <v>80</v>
      </c>
      <c r="AI82" s="424">
        <f t="shared" si="15"/>
        <v>1312.6</v>
      </c>
      <c r="AJ82" s="424">
        <f t="shared" si="14"/>
        <v>1195.8499999999999</v>
      </c>
      <c r="AK82" s="424">
        <f t="shared" si="16"/>
        <v>1147.8499999999999</v>
      </c>
      <c r="AL82" s="424">
        <v>1200</v>
      </c>
    </row>
    <row r="83" spans="1:39" x14ac:dyDescent="0.25">
      <c r="A83" s="361" t="s">
        <v>194</v>
      </c>
      <c r="B83" s="424">
        <f>573.45</f>
        <v>573.45000000000005</v>
      </c>
      <c r="C83" s="424">
        <f>191.34</f>
        <v>191.34</v>
      </c>
      <c r="D83" s="424">
        <f>634.08</f>
        <v>634.08000000000004</v>
      </c>
      <c r="E83" s="424">
        <f>412.71</f>
        <v>412.71</v>
      </c>
      <c r="F83" s="424">
        <f>191.34</f>
        <v>191.34</v>
      </c>
      <c r="G83" s="424">
        <f>412.71</f>
        <v>412.71</v>
      </c>
      <c r="H83" s="424">
        <f>412.75</f>
        <v>412.75</v>
      </c>
      <c r="I83" s="424">
        <f>8064.34</f>
        <v>8064.34</v>
      </c>
      <c r="J83" s="424">
        <f>191.34</f>
        <v>191.34</v>
      </c>
      <c r="K83" s="424">
        <f>1792.48</f>
        <v>1792.48</v>
      </c>
      <c r="L83" s="424">
        <f>2554.44</f>
        <v>2554.44</v>
      </c>
      <c r="M83" s="423"/>
      <c r="N83" s="424">
        <f>444.88</f>
        <v>444.88</v>
      </c>
      <c r="O83" s="424">
        <f>222.44</f>
        <v>222.44</v>
      </c>
      <c r="P83" s="424">
        <f>1884.24</f>
        <v>1884.24</v>
      </c>
      <c r="Q83" s="424">
        <f>164.84</f>
        <v>164.84</v>
      </c>
      <c r="R83" s="423"/>
      <c r="S83" s="424">
        <f>329.68</f>
        <v>329.68</v>
      </c>
      <c r="T83" s="424">
        <f>152</f>
        <v>152</v>
      </c>
      <c r="U83" s="424">
        <f>7080</f>
        <v>7080</v>
      </c>
      <c r="V83" s="424">
        <f>250</f>
        <v>250</v>
      </c>
      <c r="W83" s="423"/>
      <c r="X83" s="424">
        <f>576.76</f>
        <v>576.76</v>
      </c>
      <c r="Y83" s="424">
        <f>210.78</f>
        <v>210.78</v>
      </c>
      <c r="Z83" s="424">
        <f>421.56</f>
        <v>421.56</v>
      </c>
      <c r="AA83" s="423"/>
      <c r="AB83" s="424">
        <f>210.78</f>
        <v>210.78</v>
      </c>
      <c r="AC83" s="424">
        <f>210.78</f>
        <v>210.78</v>
      </c>
      <c r="AD83" s="424">
        <f>210.78</f>
        <v>210.78</v>
      </c>
      <c r="AE83" s="424">
        <f>362.78</f>
        <v>362.78</v>
      </c>
      <c r="AF83" s="424">
        <f>210.78</f>
        <v>210.78</v>
      </c>
      <c r="AG83" s="423"/>
      <c r="AH83" s="424">
        <f>250</f>
        <v>250</v>
      </c>
      <c r="AI83" s="424">
        <f t="shared" si="15"/>
        <v>15430.980000000001</v>
      </c>
      <c r="AJ83" s="424">
        <f t="shared" si="14"/>
        <v>11315.62</v>
      </c>
      <c r="AK83" s="424">
        <f t="shared" si="16"/>
        <v>2665</v>
      </c>
      <c r="AL83" s="424"/>
    </row>
    <row r="84" spans="1:39" x14ac:dyDescent="0.25">
      <c r="A84" s="361" t="s">
        <v>439</v>
      </c>
      <c r="B84" s="423"/>
      <c r="C84" s="423"/>
      <c r="D84" s="423"/>
      <c r="E84" s="423"/>
      <c r="F84" s="423"/>
      <c r="G84" s="423"/>
      <c r="H84" s="423"/>
      <c r="I84" s="423"/>
      <c r="J84" s="423"/>
      <c r="K84" s="423"/>
      <c r="L84" s="423"/>
      <c r="M84" s="423"/>
      <c r="N84" s="423"/>
      <c r="O84" s="423"/>
      <c r="P84" s="423"/>
      <c r="Q84" s="423"/>
      <c r="R84" s="423"/>
      <c r="S84" s="423"/>
      <c r="T84" s="423"/>
      <c r="U84" s="423"/>
      <c r="V84" s="423"/>
      <c r="W84" s="424">
        <f>558</f>
        <v>558</v>
      </c>
      <c r="X84" s="423"/>
      <c r="Y84" s="423"/>
      <c r="Z84" s="423"/>
      <c r="AA84" s="424">
        <f>3027</f>
        <v>3027</v>
      </c>
      <c r="AB84" s="423"/>
      <c r="AC84" s="423"/>
      <c r="AD84" s="423"/>
      <c r="AE84" s="423"/>
      <c r="AF84" s="423"/>
      <c r="AG84" s="423"/>
      <c r="AH84" s="424">
        <f>146</f>
        <v>146</v>
      </c>
      <c r="AI84" s="424">
        <f t="shared" si="15"/>
        <v>0</v>
      </c>
      <c r="AJ84" s="424">
        <f t="shared" si="14"/>
        <v>558</v>
      </c>
      <c r="AK84" s="424">
        <f t="shared" si="16"/>
        <v>3731</v>
      </c>
      <c r="AL84" s="424"/>
    </row>
    <row r="85" spans="1:39" x14ac:dyDescent="0.25">
      <c r="A85" s="361" t="s">
        <v>643</v>
      </c>
      <c r="B85" s="423"/>
      <c r="C85" s="423"/>
      <c r="D85" s="423"/>
      <c r="E85" s="423"/>
      <c r="F85" s="423"/>
      <c r="G85" s="423"/>
      <c r="H85" s="423"/>
      <c r="I85" s="423"/>
      <c r="J85" s="423"/>
      <c r="K85" s="423"/>
      <c r="L85" s="423"/>
      <c r="M85" s="423"/>
      <c r="N85" s="423"/>
      <c r="O85" s="423"/>
      <c r="P85" s="423"/>
      <c r="Q85" s="423"/>
      <c r="R85" s="423"/>
      <c r="S85" s="423"/>
      <c r="T85" s="423"/>
      <c r="U85" s="423"/>
      <c r="V85" s="423"/>
      <c r="W85" s="423"/>
      <c r="X85" s="424">
        <f>2081</f>
        <v>2081</v>
      </c>
      <c r="Y85" s="423"/>
      <c r="Z85" s="423"/>
      <c r="AA85" s="423"/>
      <c r="AB85" s="423"/>
      <c r="AC85" s="423"/>
      <c r="AD85" s="423"/>
      <c r="AE85" s="423"/>
      <c r="AF85" s="423"/>
      <c r="AG85" s="423"/>
      <c r="AH85" s="423"/>
      <c r="AI85" s="424">
        <f t="shared" si="15"/>
        <v>0</v>
      </c>
      <c r="AJ85" s="424">
        <f t="shared" si="14"/>
        <v>2081</v>
      </c>
      <c r="AK85" s="424">
        <f t="shared" si="16"/>
        <v>2081</v>
      </c>
      <c r="AL85" s="424"/>
    </row>
    <row r="86" spans="1:39" x14ac:dyDescent="0.25">
      <c r="A86" s="361" t="s">
        <v>644</v>
      </c>
      <c r="B86" s="423"/>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4">
        <f>123</f>
        <v>123</v>
      </c>
      <c r="AI86" s="424">
        <f t="shared" si="15"/>
        <v>0</v>
      </c>
      <c r="AJ86" s="424">
        <f t="shared" si="14"/>
        <v>0</v>
      </c>
      <c r="AK86" s="424">
        <f t="shared" si="16"/>
        <v>123</v>
      </c>
      <c r="AL86" s="424"/>
    </row>
    <row r="87" spans="1:39" x14ac:dyDescent="0.25">
      <c r="A87" s="361" t="s">
        <v>645</v>
      </c>
      <c r="B87" s="423"/>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4">
        <f>5280</f>
        <v>5280</v>
      </c>
      <c r="AG87" s="423"/>
      <c r="AH87" s="423"/>
      <c r="AI87" s="424">
        <f t="shared" si="15"/>
        <v>0</v>
      </c>
      <c r="AJ87" s="424">
        <f t="shared" si="14"/>
        <v>0</v>
      </c>
      <c r="AK87" s="424">
        <f t="shared" si="16"/>
        <v>5280</v>
      </c>
      <c r="AL87" s="424"/>
    </row>
    <row r="88" spans="1:39" x14ac:dyDescent="0.25">
      <c r="A88" s="361" t="s">
        <v>440</v>
      </c>
      <c r="B88" s="426">
        <f t="shared" ref="B88:AH88" si="17">((((B83)+(B84))+(B85))+(B86))+(B87)</f>
        <v>573.45000000000005</v>
      </c>
      <c r="C88" s="426">
        <f t="shared" si="17"/>
        <v>191.34</v>
      </c>
      <c r="D88" s="426">
        <f t="shared" si="17"/>
        <v>634.08000000000004</v>
      </c>
      <c r="E88" s="426">
        <f t="shared" si="17"/>
        <v>412.71</v>
      </c>
      <c r="F88" s="426">
        <f t="shared" si="17"/>
        <v>191.34</v>
      </c>
      <c r="G88" s="426">
        <f t="shared" si="17"/>
        <v>412.71</v>
      </c>
      <c r="H88" s="426">
        <f t="shared" si="17"/>
        <v>412.75</v>
      </c>
      <c r="I88" s="426">
        <f t="shared" si="17"/>
        <v>8064.34</v>
      </c>
      <c r="J88" s="426">
        <f t="shared" si="17"/>
        <v>191.34</v>
      </c>
      <c r="K88" s="426">
        <f t="shared" si="17"/>
        <v>1792.48</v>
      </c>
      <c r="L88" s="426">
        <f t="shared" si="17"/>
        <v>2554.44</v>
      </c>
      <c r="M88" s="426">
        <f t="shared" si="17"/>
        <v>0</v>
      </c>
      <c r="N88" s="426">
        <f t="shared" si="17"/>
        <v>444.88</v>
      </c>
      <c r="O88" s="426">
        <f t="shared" si="17"/>
        <v>222.44</v>
      </c>
      <c r="P88" s="426">
        <f t="shared" si="17"/>
        <v>1884.24</v>
      </c>
      <c r="Q88" s="426">
        <f t="shared" si="17"/>
        <v>164.84</v>
      </c>
      <c r="R88" s="426">
        <f t="shared" si="17"/>
        <v>0</v>
      </c>
      <c r="S88" s="426">
        <f t="shared" si="17"/>
        <v>329.68</v>
      </c>
      <c r="T88" s="426">
        <f t="shared" si="17"/>
        <v>152</v>
      </c>
      <c r="U88" s="426">
        <f t="shared" si="17"/>
        <v>7080</v>
      </c>
      <c r="V88" s="426">
        <f t="shared" si="17"/>
        <v>250</v>
      </c>
      <c r="W88" s="426">
        <f t="shared" si="17"/>
        <v>558</v>
      </c>
      <c r="X88" s="426">
        <f t="shared" si="17"/>
        <v>2657.76</v>
      </c>
      <c r="Y88" s="426">
        <f t="shared" si="17"/>
        <v>210.78</v>
      </c>
      <c r="Z88" s="426">
        <f t="shared" si="17"/>
        <v>421.56</v>
      </c>
      <c r="AA88" s="426">
        <f t="shared" si="17"/>
        <v>3027</v>
      </c>
      <c r="AB88" s="426">
        <f t="shared" si="17"/>
        <v>210.78</v>
      </c>
      <c r="AC88" s="426">
        <f t="shared" si="17"/>
        <v>210.78</v>
      </c>
      <c r="AD88" s="426">
        <f t="shared" si="17"/>
        <v>210.78</v>
      </c>
      <c r="AE88" s="426">
        <f t="shared" si="17"/>
        <v>362.78</v>
      </c>
      <c r="AF88" s="426">
        <f t="shared" si="17"/>
        <v>5490.78</v>
      </c>
      <c r="AG88" s="426">
        <f t="shared" si="17"/>
        <v>0</v>
      </c>
      <c r="AH88" s="426">
        <f t="shared" si="17"/>
        <v>519</v>
      </c>
      <c r="AI88" s="426">
        <f t="shared" si="15"/>
        <v>15430.980000000001</v>
      </c>
      <c r="AJ88" s="426">
        <f t="shared" si="14"/>
        <v>13954.62</v>
      </c>
      <c r="AK88" s="426">
        <f t="shared" si="16"/>
        <v>13880</v>
      </c>
      <c r="AL88" s="429">
        <v>16493</v>
      </c>
    </row>
    <row r="89" spans="1:39" x14ac:dyDescent="0.25">
      <c r="A89" s="361" t="s">
        <v>646</v>
      </c>
      <c r="B89" s="423"/>
      <c r="C89" s="423"/>
      <c r="D89" s="424">
        <f>29.71</f>
        <v>29.71</v>
      </c>
      <c r="E89" s="423"/>
      <c r="F89" s="423"/>
      <c r="G89" s="423"/>
      <c r="H89" s="423"/>
      <c r="I89" s="423"/>
      <c r="J89" s="424">
        <f>2.94</f>
        <v>2.94</v>
      </c>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4">
        <f t="shared" si="15"/>
        <v>32.65</v>
      </c>
      <c r="AJ89" s="424">
        <f t="shared" si="14"/>
        <v>0</v>
      </c>
      <c r="AK89" s="424">
        <f t="shared" si="16"/>
        <v>0</v>
      </c>
      <c r="AL89" s="424"/>
    </row>
    <row r="90" spans="1:39" x14ac:dyDescent="0.25">
      <c r="A90" s="361" t="s">
        <v>195</v>
      </c>
      <c r="B90" s="423"/>
      <c r="C90" s="423"/>
      <c r="D90" s="423"/>
      <c r="E90" s="423"/>
      <c r="F90" s="424">
        <f>470</f>
        <v>470</v>
      </c>
      <c r="G90" s="423"/>
      <c r="H90" s="423"/>
      <c r="I90" s="424">
        <f>950</f>
        <v>950</v>
      </c>
      <c r="J90" s="423"/>
      <c r="K90" s="423"/>
      <c r="L90" s="424">
        <f>210</f>
        <v>210</v>
      </c>
      <c r="M90" s="423"/>
      <c r="N90" s="423"/>
      <c r="O90" s="423"/>
      <c r="P90" s="423"/>
      <c r="Q90" s="424">
        <f>25</f>
        <v>25</v>
      </c>
      <c r="R90" s="423"/>
      <c r="S90" s="424">
        <f>65</f>
        <v>65</v>
      </c>
      <c r="T90" s="423"/>
      <c r="U90" s="423"/>
      <c r="V90" s="423"/>
      <c r="W90" s="424">
        <f>1000</f>
        <v>1000</v>
      </c>
      <c r="X90" s="424">
        <f>200</f>
        <v>200</v>
      </c>
      <c r="Y90" s="423"/>
      <c r="Z90" s="423"/>
      <c r="AA90" s="423"/>
      <c r="AB90" s="423"/>
      <c r="AC90" s="423"/>
      <c r="AD90" s="423"/>
      <c r="AE90" s="424">
        <f>25</f>
        <v>25</v>
      </c>
      <c r="AF90" s="423"/>
      <c r="AG90" s="423"/>
      <c r="AH90" s="423"/>
      <c r="AI90" s="424">
        <f t="shared" si="15"/>
        <v>1630</v>
      </c>
      <c r="AJ90" s="424">
        <f t="shared" si="14"/>
        <v>1290</v>
      </c>
      <c r="AK90" s="424">
        <f t="shared" si="16"/>
        <v>1225</v>
      </c>
      <c r="AL90" s="424">
        <v>1250</v>
      </c>
    </row>
    <row r="91" spans="1:39" x14ac:dyDescent="0.25">
      <c r="A91" s="361" t="s">
        <v>196</v>
      </c>
      <c r="B91" s="424">
        <f>26.1</f>
        <v>26.1</v>
      </c>
      <c r="C91" s="424">
        <f>243.91</f>
        <v>243.91</v>
      </c>
      <c r="D91" s="423"/>
      <c r="E91" s="423"/>
      <c r="F91" s="424">
        <f>74.79</f>
        <v>74.790000000000006</v>
      </c>
      <c r="G91" s="424">
        <f>40.58</f>
        <v>40.58</v>
      </c>
      <c r="H91" s="424">
        <f>133.75</f>
        <v>133.75</v>
      </c>
      <c r="I91" s="423"/>
      <c r="J91" s="423"/>
      <c r="K91" s="423"/>
      <c r="L91" s="423"/>
      <c r="M91" s="424">
        <f>218.52</f>
        <v>218.52</v>
      </c>
      <c r="N91" s="423"/>
      <c r="O91" s="423"/>
      <c r="P91" s="424">
        <f>172.9</f>
        <v>172.9</v>
      </c>
      <c r="Q91" s="424">
        <f>252.83</f>
        <v>252.83</v>
      </c>
      <c r="R91" s="424">
        <f>31.04</f>
        <v>31.04</v>
      </c>
      <c r="S91" s="424">
        <f>69.66</f>
        <v>69.66</v>
      </c>
      <c r="T91" s="424">
        <f>37</f>
        <v>37</v>
      </c>
      <c r="U91" s="423"/>
      <c r="V91" s="424">
        <f>199.23</f>
        <v>199.23</v>
      </c>
      <c r="W91" s="423"/>
      <c r="X91" s="424">
        <f>184.12</f>
        <v>184.12</v>
      </c>
      <c r="Y91" s="424">
        <f>175</f>
        <v>175</v>
      </c>
      <c r="Z91" s="424">
        <f>42.47</f>
        <v>42.47</v>
      </c>
      <c r="AA91" s="424">
        <f>115.22</f>
        <v>115.22</v>
      </c>
      <c r="AB91" s="424">
        <f>78.58</f>
        <v>78.58</v>
      </c>
      <c r="AC91" s="424">
        <f>129.19</f>
        <v>129.19</v>
      </c>
      <c r="AD91" s="424">
        <f>58.57</f>
        <v>58.57</v>
      </c>
      <c r="AE91" s="424">
        <f>107.92</f>
        <v>107.92</v>
      </c>
      <c r="AF91" s="424">
        <f>167.04</f>
        <v>167.04</v>
      </c>
      <c r="AG91" s="424">
        <f>224.59</f>
        <v>224.59</v>
      </c>
      <c r="AH91" s="424">
        <f>37.91</f>
        <v>37.909999999999997</v>
      </c>
      <c r="AI91" s="424">
        <f t="shared" si="15"/>
        <v>737.65</v>
      </c>
      <c r="AJ91" s="424">
        <f t="shared" si="14"/>
        <v>1121.7800000000002</v>
      </c>
      <c r="AK91" s="424">
        <f t="shared" si="16"/>
        <v>1320.6100000000001</v>
      </c>
      <c r="AL91" s="424">
        <v>1200</v>
      </c>
    </row>
    <row r="92" spans="1:39" x14ac:dyDescent="0.25">
      <c r="A92" s="361" t="s">
        <v>441</v>
      </c>
      <c r="B92" s="423"/>
      <c r="C92" s="423"/>
      <c r="D92" s="423"/>
      <c r="E92" s="423"/>
      <c r="F92" s="423"/>
      <c r="G92" s="423"/>
      <c r="H92" s="423"/>
      <c r="I92" s="423"/>
      <c r="J92" s="423"/>
      <c r="K92" s="424">
        <f>700.24</f>
        <v>700.24</v>
      </c>
      <c r="L92" s="423"/>
      <c r="M92" s="424">
        <f>6201.61</f>
        <v>6201.61</v>
      </c>
      <c r="N92" s="423"/>
      <c r="O92" s="423"/>
      <c r="P92" s="423"/>
      <c r="Q92" s="423"/>
      <c r="R92" s="423"/>
      <c r="S92" s="423"/>
      <c r="T92" s="423"/>
      <c r="U92" s="423"/>
      <c r="V92" s="424">
        <f>8206.26</f>
        <v>8206.26</v>
      </c>
      <c r="W92" s="424">
        <f>4427.35</f>
        <v>4427.3500000000004</v>
      </c>
      <c r="X92" s="424">
        <f>4966.27</f>
        <v>4966.2700000000004</v>
      </c>
      <c r="Y92" s="423"/>
      <c r="Z92" s="423"/>
      <c r="AA92" s="423"/>
      <c r="AB92" s="423"/>
      <c r="AC92" s="423"/>
      <c r="AD92" s="424">
        <f>305.37</f>
        <v>305.37</v>
      </c>
      <c r="AE92" s="423"/>
      <c r="AF92" s="423"/>
      <c r="AG92" s="423"/>
      <c r="AH92" s="424">
        <f>2008.5</f>
        <v>2008.5</v>
      </c>
      <c r="AI92" s="424">
        <f t="shared" si="15"/>
        <v>6901.8499999999995</v>
      </c>
      <c r="AJ92" s="424">
        <f t="shared" si="14"/>
        <v>17599.88</v>
      </c>
      <c r="AK92" s="424">
        <f t="shared" si="16"/>
        <v>11707.490000000002</v>
      </c>
      <c r="AL92" s="424">
        <v>2000</v>
      </c>
      <c r="AM92" s="360" t="s">
        <v>647</v>
      </c>
    </row>
    <row r="93" spans="1:39" x14ac:dyDescent="0.25">
      <c r="A93" s="361" t="s">
        <v>197</v>
      </c>
      <c r="B93" s="423"/>
      <c r="C93" s="423"/>
      <c r="D93" s="423"/>
      <c r="E93" s="423"/>
      <c r="F93" s="424">
        <f>10</f>
        <v>10</v>
      </c>
      <c r="G93" s="423"/>
      <c r="H93" s="424">
        <f>9.1</f>
        <v>9.1</v>
      </c>
      <c r="I93" s="423"/>
      <c r="J93" s="423"/>
      <c r="K93" s="423"/>
      <c r="L93" s="423"/>
      <c r="M93" s="423"/>
      <c r="N93" s="423"/>
      <c r="O93" s="424">
        <f>15.65</f>
        <v>15.65</v>
      </c>
      <c r="P93" s="423"/>
      <c r="Q93" s="423"/>
      <c r="R93" s="423"/>
      <c r="S93" s="423"/>
      <c r="T93" s="423"/>
      <c r="U93" s="423"/>
      <c r="V93" s="423"/>
      <c r="W93" s="423"/>
      <c r="X93" s="423"/>
      <c r="Y93" s="423"/>
      <c r="Z93" s="423"/>
      <c r="AA93" s="423"/>
      <c r="AB93" s="423"/>
      <c r="AC93" s="423"/>
      <c r="AD93" s="423"/>
      <c r="AE93" s="423"/>
      <c r="AF93" s="423"/>
      <c r="AG93" s="423"/>
      <c r="AH93" s="423"/>
      <c r="AI93" s="424">
        <f t="shared" si="15"/>
        <v>19.100000000000001</v>
      </c>
      <c r="AJ93" s="424">
        <f t="shared" si="14"/>
        <v>15.65</v>
      </c>
      <c r="AK93" s="424">
        <f t="shared" si="16"/>
        <v>0</v>
      </c>
      <c r="AL93" s="424"/>
    </row>
    <row r="94" spans="1:39" x14ac:dyDescent="0.25">
      <c r="A94" s="361" t="s">
        <v>198</v>
      </c>
      <c r="B94" s="424">
        <f>9.71</f>
        <v>9.7100000000000009</v>
      </c>
      <c r="C94" s="423"/>
      <c r="D94" s="424">
        <f>21.83</f>
        <v>21.83</v>
      </c>
      <c r="E94" s="424">
        <f>17.99</f>
        <v>17.989999999999998</v>
      </c>
      <c r="F94" s="423"/>
      <c r="G94" s="423"/>
      <c r="H94" s="423"/>
      <c r="I94" s="424">
        <f>13.35</f>
        <v>13.35</v>
      </c>
      <c r="J94" s="423"/>
      <c r="K94" s="423"/>
      <c r="L94" s="423"/>
      <c r="M94" s="424">
        <f>120.29</f>
        <v>120.29</v>
      </c>
      <c r="N94" s="424">
        <f>66.69</f>
        <v>66.69</v>
      </c>
      <c r="O94" s="424">
        <f>42.3</f>
        <v>42.3</v>
      </c>
      <c r="P94" s="423"/>
      <c r="Q94" s="423"/>
      <c r="R94" s="423"/>
      <c r="S94" s="424">
        <f>177.99</f>
        <v>177.99</v>
      </c>
      <c r="T94" s="424">
        <f>61.11</f>
        <v>61.11</v>
      </c>
      <c r="U94" s="423"/>
      <c r="V94" s="424">
        <f>100.49</f>
        <v>100.49</v>
      </c>
      <c r="W94" s="424">
        <f>53.53</f>
        <v>53.53</v>
      </c>
      <c r="X94" s="424">
        <f>162.19</f>
        <v>162.19</v>
      </c>
      <c r="Y94" s="424">
        <f>85.2</f>
        <v>85.2</v>
      </c>
      <c r="Z94" s="424">
        <f>91.1</f>
        <v>91.1</v>
      </c>
      <c r="AA94" s="424">
        <f>6.99</f>
        <v>6.99</v>
      </c>
      <c r="AB94" s="424">
        <f>309.15</f>
        <v>309.14999999999998</v>
      </c>
      <c r="AC94" s="423"/>
      <c r="AD94" s="424">
        <f>40</f>
        <v>40</v>
      </c>
      <c r="AE94" s="424">
        <f>148.14</f>
        <v>148.13999999999999</v>
      </c>
      <c r="AF94" s="423"/>
      <c r="AG94" s="424">
        <f>5.4</f>
        <v>5.4</v>
      </c>
      <c r="AH94" s="423"/>
      <c r="AI94" s="424">
        <f t="shared" si="15"/>
        <v>183.17000000000002</v>
      </c>
      <c r="AJ94" s="424">
        <f t="shared" si="14"/>
        <v>749.5</v>
      </c>
      <c r="AK94" s="424">
        <f t="shared" si="16"/>
        <v>901.69999999999993</v>
      </c>
      <c r="AL94" s="424">
        <v>5000</v>
      </c>
      <c r="AM94" s="360" t="s">
        <v>648</v>
      </c>
    </row>
    <row r="95" spans="1:39" x14ac:dyDescent="0.25">
      <c r="A95" s="361" t="s">
        <v>649</v>
      </c>
      <c r="B95" s="423"/>
      <c r="C95" s="423"/>
      <c r="D95" s="423"/>
      <c r="E95" s="423"/>
      <c r="F95" s="423"/>
      <c r="G95" s="423"/>
      <c r="H95" s="423"/>
      <c r="I95" s="423"/>
      <c r="J95" s="423"/>
      <c r="K95" s="423"/>
      <c r="L95" s="423"/>
      <c r="M95" s="423"/>
      <c r="N95" s="423"/>
      <c r="O95" s="423"/>
      <c r="P95" s="423"/>
      <c r="Q95" s="423"/>
      <c r="R95" s="423"/>
      <c r="S95" s="423"/>
      <c r="T95" s="423"/>
      <c r="U95" s="423"/>
      <c r="V95" s="423"/>
      <c r="W95" s="423"/>
      <c r="X95" s="424">
        <f>112</f>
        <v>112</v>
      </c>
      <c r="Y95" s="423"/>
      <c r="Z95" s="423"/>
      <c r="AA95" s="423"/>
      <c r="AB95" s="423"/>
      <c r="AC95" s="423"/>
      <c r="AD95" s="423"/>
      <c r="AE95" s="423"/>
      <c r="AF95" s="423"/>
      <c r="AG95" s="423"/>
      <c r="AH95" s="423"/>
      <c r="AI95" s="424">
        <f t="shared" si="15"/>
        <v>0</v>
      </c>
      <c r="AJ95" s="424">
        <f t="shared" si="14"/>
        <v>112</v>
      </c>
      <c r="AK95" s="424">
        <f t="shared" si="16"/>
        <v>112</v>
      </c>
      <c r="AL95" s="424"/>
    </row>
    <row r="96" spans="1:39" x14ac:dyDescent="0.25">
      <c r="A96" s="361" t="s">
        <v>650</v>
      </c>
      <c r="B96" s="423"/>
      <c r="C96" s="423"/>
      <c r="D96" s="423"/>
      <c r="E96" s="423"/>
      <c r="F96" s="423"/>
      <c r="G96" s="423"/>
      <c r="H96" s="423"/>
      <c r="I96" s="423"/>
      <c r="J96" s="423"/>
      <c r="K96" s="424">
        <f>720</f>
        <v>720</v>
      </c>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4">
        <f t="shared" si="15"/>
        <v>720</v>
      </c>
      <c r="AJ96" s="424">
        <f t="shared" si="14"/>
        <v>0</v>
      </c>
      <c r="AK96" s="424">
        <f t="shared" si="16"/>
        <v>0</v>
      </c>
      <c r="AL96" s="424"/>
    </row>
    <row r="97" spans="1:39" x14ac:dyDescent="0.25">
      <c r="A97" s="361" t="s">
        <v>199</v>
      </c>
      <c r="B97" s="424">
        <f>1171.28</f>
        <v>1171.28</v>
      </c>
      <c r="C97" s="424">
        <f>1192.05</f>
        <v>1192.05</v>
      </c>
      <c r="D97" s="424">
        <f>1223.57</f>
        <v>1223.57</v>
      </c>
      <c r="E97" s="424">
        <f>1211.03</f>
        <v>1211.03</v>
      </c>
      <c r="F97" s="424">
        <f>1270.77</f>
        <v>1270.77</v>
      </c>
      <c r="G97" s="424">
        <f>1494.5</f>
        <v>1494.5</v>
      </c>
      <c r="H97" s="424">
        <f>1411.6</f>
        <v>1411.6</v>
      </c>
      <c r="I97" s="424">
        <f>1360.15</f>
        <v>1360.15</v>
      </c>
      <c r="J97" s="424">
        <f>1400.01</f>
        <v>1400.01</v>
      </c>
      <c r="K97" s="424">
        <f>1304.4</f>
        <v>1304.4000000000001</v>
      </c>
      <c r="L97" s="424">
        <f>1240.81</f>
        <v>1240.81</v>
      </c>
      <c r="M97" s="424">
        <f>2180.07</f>
        <v>2180.0700000000002</v>
      </c>
      <c r="N97" s="424">
        <f>1286.77</f>
        <v>1286.77</v>
      </c>
      <c r="O97" s="424">
        <f>2127.15</f>
        <v>2127.15</v>
      </c>
      <c r="P97" s="424">
        <f>1856.38</f>
        <v>1856.38</v>
      </c>
      <c r="Q97" s="424">
        <f>1590.36</f>
        <v>1590.36</v>
      </c>
      <c r="R97" s="424">
        <f>1472.89</f>
        <v>1472.89</v>
      </c>
      <c r="S97" s="424">
        <f>1541.05</f>
        <v>1541.05</v>
      </c>
      <c r="T97" s="424">
        <f>1449.06</f>
        <v>1449.06</v>
      </c>
      <c r="U97" s="424">
        <f>1690.42</f>
        <v>1690.42</v>
      </c>
      <c r="V97" s="424">
        <f>1564.41</f>
        <v>1564.41</v>
      </c>
      <c r="W97" s="424">
        <f>1562.47</f>
        <v>1562.47</v>
      </c>
      <c r="X97" s="424">
        <f>1679.07</f>
        <v>1679.07</v>
      </c>
      <c r="Y97" s="424">
        <f>1673.63</f>
        <v>1673.63</v>
      </c>
      <c r="Z97" s="424">
        <f>1160.77</f>
        <v>1160.77</v>
      </c>
      <c r="AA97" s="424">
        <f>1458.97</f>
        <v>1458.97</v>
      </c>
      <c r="AB97" s="424">
        <f>1403.57</f>
        <v>1403.57</v>
      </c>
      <c r="AC97" s="424">
        <f>1316.15</f>
        <v>1316.15</v>
      </c>
      <c r="AD97" s="424">
        <f>1564.07</f>
        <v>1564.07</v>
      </c>
      <c r="AE97" s="424">
        <f>1483.7</f>
        <v>1483.7</v>
      </c>
      <c r="AF97" s="424">
        <f>1486.37</f>
        <v>1486.37</v>
      </c>
      <c r="AG97" s="424">
        <f>1392.05</f>
        <v>1392.05</v>
      </c>
      <c r="AH97" s="424">
        <f>1193.83</f>
        <v>1193.83</v>
      </c>
      <c r="AI97" s="424">
        <f t="shared" si="15"/>
        <v>16460.239999999998</v>
      </c>
      <c r="AJ97" s="424">
        <f t="shared" si="14"/>
        <v>19493.66</v>
      </c>
      <c r="AK97" s="424">
        <f t="shared" si="16"/>
        <v>17374.650000000001</v>
      </c>
      <c r="AL97" s="424">
        <v>21865</v>
      </c>
    </row>
    <row r="98" spans="1:39" x14ac:dyDescent="0.25">
      <c r="A98" s="361" t="s">
        <v>200</v>
      </c>
      <c r="B98" s="423"/>
      <c r="C98" s="423"/>
      <c r="D98" s="423"/>
      <c r="E98" s="423"/>
      <c r="F98" s="423"/>
      <c r="G98" s="423"/>
      <c r="H98" s="423"/>
      <c r="I98" s="423"/>
      <c r="J98" s="423"/>
      <c r="K98" s="423"/>
      <c r="L98" s="423"/>
      <c r="M98" s="423"/>
      <c r="N98" s="423"/>
      <c r="O98" s="423"/>
      <c r="P98" s="423"/>
      <c r="Q98" s="423"/>
      <c r="R98" s="424">
        <f>130</f>
        <v>130</v>
      </c>
      <c r="S98" s="424">
        <f>188.71</f>
        <v>188.71</v>
      </c>
      <c r="T98" s="424">
        <f>130</f>
        <v>130</v>
      </c>
      <c r="U98" s="423"/>
      <c r="V98" s="424">
        <f>260</f>
        <v>260</v>
      </c>
      <c r="W98" s="423"/>
      <c r="X98" s="424">
        <f>260</f>
        <v>260</v>
      </c>
      <c r="Y98" s="424">
        <f>130</f>
        <v>130</v>
      </c>
      <c r="Z98" s="423"/>
      <c r="AA98" s="424">
        <f>130</f>
        <v>130</v>
      </c>
      <c r="AB98" s="424">
        <f>260</f>
        <v>260</v>
      </c>
      <c r="AC98" s="424">
        <f>130</f>
        <v>130</v>
      </c>
      <c r="AD98" s="424">
        <f>130</f>
        <v>130</v>
      </c>
      <c r="AE98" s="424">
        <f>130</f>
        <v>130</v>
      </c>
      <c r="AF98" s="424">
        <f>130</f>
        <v>130</v>
      </c>
      <c r="AG98" s="423"/>
      <c r="AH98" s="423"/>
      <c r="AI98" s="424">
        <f t="shared" si="15"/>
        <v>0</v>
      </c>
      <c r="AJ98" s="424">
        <f t="shared" si="14"/>
        <v>1098.71</v>
      </c>
      <c r="AK98" s="424">
        <f t="shared" si="16"/>
        <v>1300</v>
      </c>
      <c r="AL98" s="424">
        <f>130*12</f>
        <v>1560</v>
      </c>
    </row>
    <row r="99" spans="1:39" x14ac:dyDescent="0.25">
      <c r="A99" s="361" t="s">
        <v>443</v>
      </c>
      <c r="B99" s="423"/>
      <c r="C99" s="423"/>
      <c r="D99" s="423"/>
      <c r="E99" s="423"/>
      <c r="F99" s="423"/>
      <c r="G99" s="423"/>
      <c r="H99" s="423"/>
      <c r="I99" s="423"/>
      <c r="J99" s="423"/>
      <c r="K99" s="423"/>
      <c r="L99" s="423"/>
      <c r="M99" s="424">
        <f>787.5</f>
        <v>787.5</v>
      </c>
      <c r="N99" s="423"/>
      <c r="O99" s="423"/>
      <c r="P99" s="423"/>
      <c r="Q99" s="423"/>
      <c r="R99" s="423"/>
      <c r="S99" s="423"/>
      <c r="T99" s="423"/>
      <c r="U99" s="423"/>
      <c r="V99" s="423"/>
      <c r="W99" s="423"/>
      <c r="X99" s="423"/>
      <c r="Y99" s="423"/>
      <c r="Z99" s="423"/>
      <c r="AA99" s="423"/>
      <c r="AB99" s="423"/>
      <c r="AC99" s="423"/>
      <c r="AD99" s="423"/>
      <c r="AE99" s="423"/>
      <c r="AF99" s="423"/>
      <c r="AG99" s="423"/>
      <c r="AH99" s="423"/>
      <c r="AI99" s="424">
        <f t="shared" si="15"/>
        <v>787.5</v>
      </c>
      <c r="AJ99" s="424">
        <f t="shared" si="14"/>
        <v>0</v>
      </c>
      <c r="AK99" s="424">
        <f t="shared" si="16"/>
        <v>0</v>
      </c>
      <c r="AL99" s="424"/>
    </row>
    <row r="100" spans="1:39" x14ac:dyDescent="0.25">
      <c r="A100" s="361" t="s">
        <v>201</v>
      </c>
      <c r="B100" s="423"/>
      <c r="C100" s="423"/>
      <c r="D100" s="423"/>
      <c r="E100" s="423"/>
      <c r="F100" s="424">
        <f>89.57</f>
        <v>89.57</v>
      </c>
      <c r="G100" s="423"/>
      <c r="H100" s="423"/>
      <c r="I100" s="423"/>
      <c r="J100" s="423"/>
      <c r="K100" s="423"/>
      <c r="L100" s="423"/>
      <c r="M100" s="423"/>
      <c r="N100" s="423"/>
      <c r="O100" s="423"/>
      <c r="P100" s="423"/>
      <c r="Q100" s="423"/>
      <c r="R100" s="423"/>
      <c r="S100" s="423"/>
      <c r="T100" s="424">
        <f>20</f>
        <v>20</v>
      </c>
      <c r="U100" s="424">
        <f>15</f>
        <v>15</v>
      </c>
      <c r="V100" s="424">
        <f>11.95</f>
        <v>11.95</v>
      </c>
      <c r="W100" s="424">
        <f>12.81</f>
        <v>12.81</v>
      </c>
      <c r="X100" s="424">
        <f>113</f>
        <v>113</v>
      </c>
      <c r="Y100" s="423"/>
      <c r="Z100" s="423"/>
      <c r="AA100" s="423"/>
      <c r="AB100" s="424">
        <f>8.17</f>
        <v>8.17</v>
      </c>
      <c r="AC100" s="423"/>
      <c r="AD100" s="424">
        <f>28.16</f>
        <v>28.16</v>
      </c>
      <c r="AE100" s="423"/>
      <c r="AF100" s="423"/>
      <c r="AG100" s="423"/>
      <c r="AH100" s="423"/>
      <c r="AI100" s="424">
        <f t="shared" si="15"/>
        <v>89.57</v>
      </c>
      <c r="AJ100" s="424">
        <f t="shared" si="14"/>
        <v>172.76</v>
      </c>
      <c r="AK100" s="424">
        <f t="shared" si="16"/>
        <v>162.13999999999999</v>
      </c>
      <c r="AL100" s="424">
        <v>150</v>
      </c>
    </row>
    <row r="101" spans="1:39" x14ac:dyDescent="0.25">
      <c r="A101" s="361" t="s">
        <v>202</v>
      </c>
      <c r="B101" s="423"/>
      <c r="C101" s="423"/>
      <c r="D101" s="423"/>
      <c r="E101" s="423"/>
      <c r="F101" s="423"/>
      <c r="G101" s="423"/>
      <c r="H101" s="423"/>
      <c r="I101" s="423"/>
      <c r="J101" s="423"/>
      <c r="K101" s="423"/>
      <c r="L101" s="423"/>
      <c r="M101" s="423"/>
      <c r="N101" s="423"/>
      <c r="O101" s="423"/>
      <c r="P101" s="423"/>
      <c r="Q101" s="423"/>
      <c r="R101" s="424">
        <f>10</f>
        <v>10</v>
      </c>
      <c r="S101" s="424">
        <f>2.28</f>
        <v>2.2799999999999998</v>
      </c>
      <c r="T101" s="423"/>
      <c r="U101" s="423"/>
      <c r="V101" s="423"/>
      <c r="W101" s="423"/>
      <c r="X101" s="423"/>
      <c r="Y101" s="423"/>
      <c r="Z101" s="423"/>
      <c r="AA101" s="423"/>
      <c r="AB101" s="423"/>
      <c r="AC101" s="423"/>
      <c r="AD101" s="423"/>
      <c r="AE101" s="423"/>
      <c r="AF101" s="423"/>
      <c r="AG101" s="423"/>
      <c r="AH101" s="423"/>
      <c r="AI101" s="424">
        <f t="shared" si="15"/>
        <v>0</v>
      </c>
      <c r="AJ101" s="424">
        <f t="shared" si="14"/>
        <v>12.28</v>
      </c>
      <c r="AK101" s="424">
        <f t="shared" si="16"/>
        <v>0</v>
      </c>
      <c r="AL101" s="424"/>
    </row>
    <row r="102" spans="1:39" x14ac:dyDescent="0.25">
      <c r="A102" s="361" t="s">
        <v>203</v>
      </c>
      <c r="B102" s="424">
        <f>48.01</f>
        <v>48.01</v>
      </c>
      <c r="C102" s="424">
        <f>43.65</f>
        <v>43.65</v>
      </c>
      <c r="D102" s="423"/>
      <c r="E102" s="424">
        <f>87.3</f>
        <v>87.3</v>
      </c>
      <c r="F102" s="424">
        <f>43.65</f>
        <v>43.65</v>
      </c>
      <c r="G102" s="423"/>
      <c r="H102" s="424">
        <f>79.9</f>
        <v>79.900000000000006</v>
      </c>
      <c r="I102" s="424">
        <f>150</f>
        <v>150</v>
      </c>
      <c r="J102" s="423"/>
      <c r="K102" s="423"/>
      <c r="L102" s="423"/>
      <c r="M102" s="424">
        <f>100</f>
        <v>100</v>
      </c>
      <c r="N102" s="423"/>
      <c r="O102" s="424">
        <f>100</f>
        <v>100</v>
      </c>
      <c r="P102" s="424">
        <f>50</f>
        <v>50</v>
      </c>
      <c r="Q102" s="423"/>
      <c r="R102" s="424">
        <f>50</f>
        <v>50</v>
      </c>
      <c r="S102" s="424">
        <f>415</f>
        <v>415</v>
      </c>
      <c r="T102" s="424">
        <f>60</f>
        <v>60</v>
      </c>
      <c r="U102" s="424">
        <f>228</f>
        <v>228</v>
      </c>
      <c r="V102" s="423"/>
      <c r="W102" s="423"/>
      <c r="X102" s="424">
        <f>180</f>
        <v>180</v>
      </c>
      <c r="Y102" s="423"/>
      <c r="Z102" s="424">
        <f>38.24</f>
        <v>38.24</v>
      </c>
      <c r="AA102" s="424">
        <f>120</f>
        <v>120</v>
      </c>
      <c r="AB102" s="424">
        <f>17.75</f>
        <v>17.75</v>
      </c>
      <c r="AC102" s="423"/>
      <c r="AD102" s="424">
        <f>387.15</f>
        <v>387.15</v>
      </c>
      <c r="AE102" s="424">
        <f>330</f>
        <v>330</v>
      </c>
      <c r="AF102" s="423"/>
      <c r="AG102" s="424">
        <f>100</f>
        <v>100</v>
      </c>
      <c r="AH102" s="424">
        <f>70</f>
        <v>70</v>
      </c>
      <c r="AI102" s="424">
        <f t="shared" si="15"/>
        <v>552.51</v>
      </c>
      <c r="AJ102" s="424">
        <f t="shared" si="14"/>
        <v>1083</v>
      </c>
      <c r="AK102" s="424">
        <f t="shared" si="16"/>
        <v>1243.1399999999999</v>
      </c>
      <c r="AL102" s="424">
        <f>1200+2000</f>
        <v>3200</v>
      </c>
      <c r="AM102" s="360" t="s">
        <v>651</v>
      </c>
    </row>
    <row r="103" spans="1:39" x14ac:dyDescent="0.25">
      <c r="A103" s="361" t="s">
        <v>444</v>
      </c>
      <c r="B103" s="424">
        <f>325</f>
        <v>325</v>
      </c>
      <c r="C103" s="423"/>
      <c r="D103" s="423"/>
      <c r="E103" s="423"/>
      <c r="F103" s="423"/>
      <c r="G103" s="423"/>
      <c r="H103" s="423"/>
      <c r="I103" s="424">
        <f>247</f>
        <v>247</v>
      </c>
      <c r="J103" s="423"/>
      <c r="K103" s="423"/>
      <c r="L103" s="423"/>
      <c r="M103" s="424">
        <f>195</f>
        <v>195</v>
      </c>
      <c r="N103" s="423"/>
      <c r="O103" s="423"/>
      <c r="P103" s="423"/>
      <c r="Q103" s="423"/>
      <c r="R103" s="423"/>
      <c r="S103" s="423"/>
      <c r="T103" s="423"/>
      <c r="U103" s="423"/>
      <c r="V103" s="423"/>
      <c r="W103" s="423"/>
      <c r="X103" s="423"/>
      <c r="Y103" s="423"/>
      <c r="Z103" s="423"/>
      <c r="AA103" s="423"/>
      <c r="AB103" s="423"/>
      <c r="AC103" s="423"/>
      <c r="AD103" s="423"/>
      <c r="AE103" s="423"/>
      <c r="AF103" s="423"/>
      <c r="AG103" s="423"/>
      <c r="AH103" s="423"/>
      <c r="AI103" s="424">
        <f t="shared" ref="AI103:AI132" si="18">SUM(B103:M103)</f>
        <v>767</v>
      </c>
      <c r="AJ103" s="424">
        <f t="shared" si="14"/>
        <v>0</v>
      </c>
      <c r="AK103" s="424">
        <f t="shared" ref="AK103:AK132" si="19">SUM(W103:AH103)</f>
        <v>0</v>
      </c>
      <c r="AL103" s="424"/>
    </row>
    <row r="104" spans="1:39" x14ac:dyDescent="0.25">
      <c r="A104" s="361" t="s">
        <v>204</v>
      </c>
      <c r="B104" s="424">
        <f>34.58</f>
        <v>34.58</v>
      </c>
      <c r="C104" s="423"/>
      <c r="D104" s="423"/>
      <c r="E104" s="424">
        <f>75.16</f>
        <v>75.16</v>
      </c>
      <c r="F104" s="424">
        <f>90</f>
        <v>90</v>
      </c>
      <c r="G104" s="423"/>
      <c r="H104" s="424">
        <f>132.08</f>
        <v>132.08000000000001</v>
      </c>
      <c r="I104" s="424">
        <f>457.15</f>
        <v>457.15</v>
      </c>
      <c r="J104" s="423"/>
      <c r="K104" s="423"/>
      <c r="L104" s="423"/>
      <c r="M104" s="424">
        <f>18.93</f>
        <v>18.93</v>
      </c>
      <c r="N104" s="424">
        <f>32.74</f>
        <v>32.74</v>
      </c>
      <c r="O104" s="424">
        <f>66.39</f>
        <v>66.39</v>
      </c>
      <c r="P104" s="423"/>
      <c r="Q104" s="423"/>
      <c r="R104" s="424">
        <f>89.34</f>
        <v>89.34</v>
      </c>
      <c r="S104" s="424">
        <f>68.74</f>
        <v>68.739999999999995</v>
      </c>
      <c r="T104" s="424">
        <f>158.5</f>
        <v>158.5</v>
      </c>
      <c r="U104" s="424">
        <f>136.99</f>
        <v>136.99</v>
      </c>
      <c r="V104" s="423"/>
      <c r="W104" s="423"/>
      <c r="X104" s="424">
        <f>65.73</f>
        <v>65.73</v>
      </c>
      <c r="Y104" s="423"/>
      <c r="Z104" s="423"/>
      <c r="AA104" s="424">
        <f>92.42</f>
        <v>92.42</v>
      </c>
      <c r="AB104" s="424">
        <f>149.43</f>
        <v>149.43</v>
      </c>
      <c r="AC104" s="423"/>
      <c r="AD104" s="423"/>
      <c r="AE104" s="424">
        <f>135.07</f>
        <v>135.07</v>
      </c>
      <c r="AF104" s="423"/>
      <c r="AG104" s="424">
        <f>32.8</f>
        <v>32.799999999999997</v>
      </c>
      <c r="AH104" s="424">
        <f>29.37</f>
        <v>29.37</v>
      </c>
      <c r="AI104" s="424">
        <f t="shared" si="18"/>
        <v>807.9</v>
      </c>
      <c r="AJ104" s="424">
        <f t="shared" si="14"/>
        <v>618.43000000000006</v>
      </c>
      <c r="AK104" s="424">
        <f t="shared" si="19"/>
        <v>504.82000000000005</v>
      </c>
      <c r="AL104" s="424">
        <v>500</v>
      </c>
    </row>
    <row r="105" spans="1:39" x14ac:dyDescent="0.25">
      <c r="A105" s="361" t="s">
        <v>205</v>
      </c>
      <c r="B105" s="423"/>
      <c r="C105" s="423"/>
      <c r="D105" s="423"/>
      <c r="E105" s="423"/>
      <c r="F105" s="423"/>
      <c r="G105" s="423"/>
      <c r="H105" s="423"/>
      <c r="I105" s="423"/>
      <c r="J105" s="423"/>
      <c r="K105" s="423"/>
      <c r="L105" s="423"/>
      <c r="M105" s="423"/>
      <c r="N105" s="423"/>
      <c r="O105" s="423"/>
      <c r="P105" s="423"/>
      <c r="Q105" s="424">
        <f>985</f>
        <v>985</v>
      </c>
      <c r="R105" s="423"/>
      <c r="S105" s="423"/>
      <c r="T105" s="423"/>
      <c r="U105" s="423"/>
      <c r="V105" s="423"/>
      <c r="W105" s="423"/>
      <c r="X105" s="423"/>
      <c r="Y105" s="423"/>
      <c r="Z105" s="423"/>
      <c r="AA105" s="423"/>
      <c r="AB105" s="423"/>
      <c r="AC105" s="423"/>
      <c r="AD105" s="423"/>
      <c r="AE105" s="424">
        <f>320</f>
        <v>320</v>
      </c>
      <c r="AF105" s="423"/>
      <c r="AG105" s="424">
        <f>203.06</f>
        <v>203.06</v>
      </c>
      <c r="AH105" s="424">
        <f>71.6</f>
        <v>71.599999999999994</v>
      </c>
      <c r="AI105" s="424">
        <f t="shared" si="18"/>
        <v>0</v>
      </c>
      <c r="AJ105" s="424">
        <f t="shared" si="14"/>
        <v>985</v>
      </c>
      <c r="AK105" s="424">
        <f t="shared" si="19"/>
        <v>594.66</v>
      </c>
      <c r="AL105" s="424">
        <v>600</v>
      </c>
    </row>
    <row r="106" spans="1:39" x14ac:dyDescent="0.25">
      <c r="A106" s="361" t="s">
        <v>206</v>
      </c>
      <c r="B106" s="424">
        <f>9.81</f>
        <v>9.81</v>
      </c>
      <c r="C106" s="424">
        <f>2451.81</f>
        <v>2451.81</v>
      </c>
      <c r="D106" s="424">
        <f>32.5</f>
        <v>32.5</v>
      </c>
      <c r="E106" s="424">
        <f>704.2</f>
        <v>704.2</v>
      </c>
      <c r="F106" s="424">
        <f>438</f>
        <v>438</v>
      </c>
      <c r="G106" s="423"/>
      <c r="H106" s="424">
        <f>100.36</f>
        <v>100.36</v>
      </c>
      <c r="I106" s="423"/>
      <c r="J106" s="423"/>
      <c r="K106" s="424">
        <f>292.92</f>
        <v>292.92</v>
      </c>
      <c r="L106" s="424">
        <f>181.74</f>
        <v>181.74</v>
      </c>
      <c r="M106" s="424">
        <f>341.41</f>
        <v>341.41</v>
      </c>
      <c r="N106" s="424">
        <f>674.72</f>
        <v>674.72</v>
      </c>
      <c r="O106" s="424">
        <f>583.79</f>
        <v>583.79</v>
      </c>
      <c r="P106" s="424">
        <f>676.26</f>
        <v>676.26</v>
      </c>
      <c r="Q106" s="424">
        <f>99.52</f>
        <v>99.52</v>
      </c>
      <c r="R106" s="424">
        <f>259.75</f>
        <v>259.75</v>
      </c>
      <c r="S106" s="424">
        <f>214.33</f>
        <v>214.33</v>
      </c>
      <c r="T106" s="424">
        <f>196.52</f>
        <v>196.52</v>
      </c>
      <c r="U106" s="424">
        <f>28.4</f>
        <v>28.4</v>
      </c>
      <c r="V106" s="423"/>
      <c r="W106" s="424">
        <f>44.73</f>
        <v>44.73</v>
      </c>
      <c r="X106" s="424">
        <f>234.25</f>
        <v>234.25</v>
      </c>
      <c r="Y106" s="424">
        <f>72</f>
        <v>72</v>
      </c>
      <c r="Z106" s="423"/>
      <c r="AA106" s="424">
        <f>188.23</f>
        <v>188.23</v>
      </c>
      <c r="AB106" s="424">
        <f>278.79</f>
        <v>278.79000000000002</v>
      </c>
      <c r="AC106" s="424">
        <f>23.47</f>
        <v>23.47</v>
      </c>
      <c r="AD106" s="424">
        <f>219.76</f>
        <v>219.76</v>
      </c>
      <c r="AE106" s="424">
        <f>474.22</f>
        <v>474.22</v>
      </c>
      <c r="AF106" s="424">
        <f>14.91</f>
        <v>14.91</v>
      </c>
      <c r="AG106" s="424">
        <f>108.49</f>
        <v>108.49</v>
      </c>
      <c r="AH106" s="424">
        <f>170.17</f>
        <v>170.17</v>
      </c>
      <c r="AI106" s="424">
        <f t="shared" si="18"/>
        <v>4552.75</v>
      </c>
      <c r="AJ106" s="424">
        <f t="shared" si="14"/>
        <v>3084.27</v>
      </c>
      <c r="AK106" s="424">
        <f t="shared" si="19"/>
        <v>1829.0200000000002</v>
      </c>
      <c r="AL106" s="424">
        <v>2000</v>
      </c>
    </row>
    <row r="107" spans="1:39" x14ac:dyDescent="0.25">
      <c r="A107" s="361" t="s">
        <v>445</v>
      </c>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4">
        <f>172.24</f>
        <v>172.24</v>
      </c>
      <c r="X107" s="423"/>
      <c r="Y107" s="423"/>
      <c r="Z107" s="423"/>
      <c r="AA107" s="423"/>
      <c r="AB107" s="423"/>
      <c r="AC107" s="423"/>
      <c r="AD107" s="423"/>
      <c r="AE107" s="423"/>
      <c r="AF107" s="423"/>
      <c r="AG107" s="423"/>
      <c r="AH107" s="423"/>
      <c r="AI107" s="424">
        <f t="shared" si="18"/>
        <v>0</v>
      </c>
      <c r="AJ107" s="424">
        <f t="shared" si="14"/>
        <v>172.24</v>
      </c>
      <c r="AK107" s="424">
        <f t="shared" si="19"/>
        <v>172.24</v>
      </c>
      <c r="AL107" s="424"/>
    </row>
    <row r="108" spans="1:39" x14ac:dyDescent="0.25">
      <c r="A108" s="361" t="s">
        <v>207</v>
      </c>
      <c r="B108" s="423"/>
      <c r="C108" s="424">
        <f>20.95</f>
        <v>20.95</v>
      </c>
      <c r="D108" s="423"/>
      <c r="E108" s="423"/>
      <c r="F108" s="423"/>
      <c r="G108" s="424">
        <f>2486.59</f>
        <v>2486.59</v>
      </c>
      <c r="H108" s="423"/>
      <c r="I108" s="423"/>
      <c r="J108" s="423"/>
      <c r="K108" s="423"/>
      <c r="L108" s="423"/>
      <c r="M108" s="423"/>
      <c r="N108" s="423"/>
      <c r="O108" s="423"/>
      <c r="P108" s="423"/>
      <c r="Q108" s="424">
        <f>40.95</f>
        <v>40.950000000000003</v>
      </c>
      <c r="R108" s="423"/>
      <c r="S108" s="423"/>
      <c r="T108" s="423"/>
      <c r="U108" s="423"/>
      <c r="V108" s="423"/>
      <c r="W108" s="423"/>
      <c r="X108" s="423"/>
      <c r="Y108" s="423"/>
      <c r="Z108" s="423"/>
      <c r="AA108" s="423"/>
      <c r="AB108" s="423"/>
      <c r="AC108" s="423"/>
      <c r="AD108" s="423"/>
      <c r="AE108" s="423"/>
      <c r="AF108" s="423"/>
      <c r="AG108" s="424">
        <f>20.95</f>
        <v>20.95</v>
      </c>
      <c r="AH108" s="423"/>
      <c r="AI108" s="424">
        <f t="shared" si="18"/>
        <v>2507.54</v>
      </c>
      <c r="AJ108" s="424">
        <f t="shared" si="14"/>
        <v>40.950000000000003</v>
      </c>
      <c r="AK108" s="424">
        <f t="shared" si="19"/>
        <v>20.95</v>
      </c>
      <c r="AL108" s="424"/>
    </row>
    <row r="109" spans="1:39" x14ac:dyDescent="0.25">
      <c r="A109" s="361" t="s">
        <v>208</v>
      </c>
      <c r="B109" s="423"/>
      <c r="C109" s="424">
        <f>82.78</f>
        <v>82.78</v>
      </c>
      <c r="D109" s="424">
        <f>70.48</f>
        <v>70.48</v>
      </c>
      <c r="E109" s="424">
        <f>57.87</f>
        <v>57.87</v>
      </c>
      <c r="F109" s="424">
        <f>41.76</f>
        <v>41.76</v>
      </c>
      <c r="G109" s="423"/>
      <c r="H109" s="423"/>
      <c r="I109" s="423"/>
      <c r="J109" s="424">
        <f>73.99</f>
        <v>73.989999999999995</v>
      </c>
      <c r="K109" s="424">
        <f>73.25</f>
        <v>73.25</v>
      </c>
      <c r="L109" s="423"/>
      <c r="M109" s="424">
        <f>45.44</f>
        <v>45.44</v>
      </c>
      <c r="N109" s="424">
        <f>65</f>
        <v>65</v>
      </c>
      <c r="O109" s="424">
        <f>217.68</f>
        <v>217.68</v>
      </c>
      <c r="P109" s="423"/>
      <c r="Q109" s="423"/>
      <c r="R109" s="423"/>
      <c r="S109" s="424">
        <f>25.09</f>
        <v>25.09</v>
      </c>
      <c r="T109" s="423"/>
      <c r="U109" s="423"/>
      <c r="V109" s="424">
        <f>15.61</f>
        <v>15.61</v>
      </c>
      <c r="W109" s="423"/>
      <c r="X109" s="423"/>
      <c r="Y109" s="423"/>
      <c r="Z109" s="423"/>
      <c r="AA109" s="423"/>
      <c r="AB109" s="424">
        <f>25.99</f>
        <v>25.99</v>
      </c>
      <c r="AC109" s="423"/>
      <c r="AD109" s="424">
        <f>125.81</f>
        <v>125.81</v>
      </c>
      <c r="AE109" s="424">
        <f>154.21</f>
        <v>154.21</v>
      </c>
      <c r="AF109" s="424">
        <f>150.48</f>
        <v>150.47999999999999</v>
      </c>
      <c r="AG109" s="423"/>
      <c r="AH109" s="423"/>
      <c r="AI109" s="424">
        <f t="shared" si="18"/>
        <v>445.57</v>
      </c>
      <c r="AJ109" s="424">
        <f t="shared" si="14"/>
        <v>323.38</v>
      </c>
      <c r="AK109" s="424">
        <f t="shared" si="19"/>
        <v>456.49</v>
      </c>
      <c r="AL109" s="424"/>
    </row>
    <row r="110" spans="1:39" x14ac:dyDescent="0.25">
      <c r="A110" s="361" t="s">
        <v>209</v>
      </c>
      <c r="B110" s="424">
        <f>22.5</f>
        <v>22.5</v>
      </c>
      <c r="C110" s="424">
        <f>95.5</f>
        <v>95.5</v>
      </c>
      <c r="D110" s="423"/>
      <c r="E110" s="423"/>
      <c r="F110" s="423"/>
      <c r="G110" s="423"/>
      <c r="H110" s="423"/>
      <c r="I110" s="423"/>
      <c r="J110" s="423"/>
      <c r="K110" s="423"/>
      <c r="L110" s="423"/>
      <c r="M110" s="423"/>
      <c r="N110" s="423"/>
      <c r="O110" s="423"/>
      <c r="P110" s="423"/>
      <c r="Q110" s="423"/>
      <c r="R110" s="423"/>
      <c r="S110" s="423"/>
      <c r="T110" s="423"/>
      <c r="U110" s="424">
        <f>3.36</f>
        <v>3.36</v>
      </c>
      <c r="V110" s="423"/>
      <c r="W110" s="423"/>
      <c r="X110" s="424">
        <f>44</f>
        <v>44</v>
      </c>
      <c r="Y110" s="423"/>
      <c r="Z110" s="423"/>
      <c r="AA110" s="423"/>
      <c r="AB110" s="423"/>
      <c r="AC110" s="423"/>
      <c r="AD110" s="423"/>
      <c r="AE110" s="423"/>
      <c r="AF110" s="423"/>
      <c r="AG110" s="423"/>
      <c r="AH110" s="423"/>
      <c r="AI110" s="424">
        <f t="shared" si="18"/>
        <v>118</v>
      </c>
      <c r="AJ110" s="424">
        <f t="shared" si="14"/>
        <v>47.36</v>
      </c>
      <c r="AK110" s="424">
        <f t="shared" si="19"/>
        <v>44</v>
      </c>
      <c r="AL110" s="424"/>
    </row>
    <row r="111" spans="1:39" x14ac:dyDescent="0.25">
      <c r="A111" s="361" t="s">
        <v>527</v>
      </c>
      <c r="B111" s="423"/>
      <c r="C111" s="423"/>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4">
        <f>896.49</f>
        <v>896.49</v>
      </c>
      <c r="AA111" s="424">
        <f>42</f>
        <v>42</v>
      </c>
      <c r="AB111" s="423"/>
      <c r="AC111" s="423"/>
      <c r="AD111" s="423"/>
      <c r="AE111" s="423"/>
      <c r="AF111" s="423"/>
      <c r="AG111" s="423"/>
      <c r="AH111" s="423"/>
      <c r="AI111" s="424">
        <f t="shared" si="18"/>
        <v>0</v>
      </c>
      <c r="AJ111" s="424">
        <f t="shared" si="14"/>
        <v>0</v>
      </c>
      <c r="AK111" s="424">
        <f t="shared" si="19"/>
        <v>938.49</v>
      </c>
      <c r="AL111" s="424">
        <v>1660</v>
      </c>
      <c r="AM111" s="360" t="s">
        <v>652</v>
      </c>
    </row>
    <row r="112" spans="1:39" x14ac:dyDescent="0.25">
      <c r="A112" s="361" t="s">
        <v>528</v>
      </c>
      <c r="B112" s="423"/>
      <c r="C112" s="423"/>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4">
        <f>457.58</f>
        <v>457.58</v>
      </c>
      <c r="AA112" s="424">
        <f>374.97</f>
        <v>374.97</v>
      </c>
      <c r="AB112" s="423"/>
      <c r="AC112" s="423"/>
      <c r="AD112" s="423"/>
      <c r="AE112" s="423"/>
      <c r="AF112" s="424">
        <f>726.64</f>
        <v>726.64</v>
      </c>
      <c r="AG112" s="423"/>
      <c r="AH112" s="423"/>
      <c r="AI112" s="424">
        <f t="shared" si="18"/>
        <v>0</v>
      </c>
      <c r="AJ112" s="424">
        <f t="shared" si="14"/>
        <v>0</v>
      </c>
      <c r="AK112" s="424">
        <f t="shared" si="19"/>
        <v>1559.19</v>
      </c>
      <c r="AL112" s="424">
        <v>1840</v>
      </c>
    </row>
    <row r="113" spans="1:39" x14ac:dyDescent="0.25">
      <c r="A113" s="361" t="s">
        <v>529</v>
      </c>
      <c r="B113" s="424">
        <f>42.24</f>
        <v>42.24</v>
      </c>
      <c r="C113" s="423"/>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4">
        <f>107.94</f>
        <v>107.94</v>
      </c>
      <c r="AB113" s="423"/>
      <c r="AC113" s="424">
        <f>39.75</f>
        <v>39.75</v>
      </c>
      <c r="AD113" s="423"/>
      <c r="AE113" s="423"/>
      <c r="AF113" s="423"/>
      <c r="AG113" s="423"/>
      <c r="AH113" s="423"/>
      <c r="AI113" s="424">
        <f t="shared" si="18"/>
        <v>42.24</v>
      </c>
      <c r="AJ113" s="424">
        <f t="shared" si="14"/>
        <v>0</v>
      </c>
      <c r="AK113" s="424">
        <f t="shared" si="19"/>
        <v>147.69</v>
      </c>
      <c r="AL113" s="424">
        <v>400</v>
      </c>
    </row>
    <row r="114" spans="1:39" x14ac:dyDescent="0.25">
      <c r="A114" s="361" t="s">
        <v>530</v>
      </c>
      <c r="B114" s="423"/>
      <c r="C114" s="423"/>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4">
        <f>585.04</f>
        <v>585.04</v>
      </c>
      <c r="AB114" s="423"/>
      <c r="AC114" s="423"/>
      <c r="AD114" s="423"/>
      <c r="AE114" s="423"/>
      <c r="AF114" s="424">
        <f>179.56</f>
        <v>179.56</v>
      </c>
      <c r="AG114" s="423"/>
      <c r="AH114" s="423"/>
      <c r="AI114" s="424">
        <f t="shared" si="18"/>
        <v>0</v>
      </c>
      <c r="AJ114" s="424">
        <f t="shared" si="14"/>
        <v>0</v>
      </c>
      <c r="AK114" s="424">
        <f t="shared" si="19"/>
        <v>764.59999999999991</v>
      </c>
      <c r="AL114" s="424">
        <v>680</v>
      </c>
    </row>
    <row r="115" spans="1:39" x14ac:dyDescent="0.25">
      <c r="A115" s="361" t="s">
        <v>653</v>
      </c>
      <c r="B115" s="426">
        <f t="shared" ref="B115:AH115" si="20">((((B110)+(B111))+(B112))+(B113))+(B114)</f>
        <v>64.740000000000009</v>
      </c>
      <c r="C115" s="426">
        <f t="shared" si="20"/>
        <v>95.5</v>
      </c>
      <c r="D115" s="426">
        <f t="shared" si="20"/>
        <v>0</v>
      </c>
      <c r="E115" s="426">
        <f t="shared" si="20"/>
        <v>0</v>
      </c>
      <c r="F115" s="426">
        <f t="shared" si="20"/>
        <v>0</v>
      </c>
      <c r="G115" s="426">
        <f t="shared" si="20"/>
        <v>0</v>
      </c>
      <c r="H115" s="426">
        <f t="shared" si="20"/>
        <v>0</v>
      </c>
      <c r="I115" s="426">
        <f t="shared" si="20"/>
        <v>0</v>
      </c>
      <c r="J115" s="426">
        <f t="shared" si="20"/>
        <v>0</v>
      </c>
      <c r="K115" s="426">
        <f t="shared" si="20"/>
        <v>0</v>
      </c>
      <c r="L115" s="426">
        <f t="shared" si="20"/>
        <v>0</v>
      </c>
      <c r="M115" s="426">
        <f t="shared" si="20"/>
        <v>0</v>
      </c>
      <c r="N115" s="426">
        <f t="shared" si="20"/>
        <v>0</v>
      </c>
      <c r="O115" s="426">
        <f t="shared" si="20"/>
        <v>0</v>
      </c>
      <c r="P115" s="426">
        <f t="shared" si="20"/>
        <v>0</v>
      </c>
      <c r="Q115" s="426">
        <f t="shared" si="20"/>
        <v>0</v>
      </c>
      <c r="R115" s="426">
        <f t="shared" si="20"/>
        <v>0</v>
      </c>
      <c r="S115" s="426">
        <f t="shared" si="20"/>
        <v>0</v>
      </c>
      <c r="T115" s="426">
        <f t="shared" si="20"/>
        <v>0</v>
      </c>
      <c r="U115" s="426">
        <f t="shared" si="20"/>
        <v>3.36</v>
      </c>
      <c r="V115" s="426">
        <f t="shared" si="20"/>
        <v>0</v>
      </c>
      <c r="W115" s="426">
        <f t="shared" si="20"/>
        <v>0</v>
      </c>
      <c r="X115" s="426">
        <f t="shared" si="20"/>
        <v>44</v>
      </c>
      <c r="Y115" s="426">
        <f t="shared" si="20"/>
        <v>0</v>
      </c>
      <c r="Z115" s="426">
        <f t="shared" si="20"/>
        <v>1354.07</v>
      </c>
      <c r="AA115" s="426">
        <f t="shared" si="20"/>
        <v>1109.95</v>
      </c>
      <c r="AB115" s="426">
        <f t="shared" si="20"/>
        <v>0</v>
      </c>
      <c r="AC115" s="426">
        <f t="shared" si="20"/>
        <v>39.75</v>
      </c>
      <c r="AD115" s="426">
        <f t="shared" si="20"/>
        <v>0</v>
      </c>
      <c r="AE115" s="426">
        <f t="shared" si="20"/>
        <v>0</v>
      </c>
      <c r="AF115" s="426">
        <f t="shared" si="20"/>
        <v>906.2</v>
      </c>
      <c r="AG115" s="426">
        <f t="shared" si="20"/>
        <v>0</v>
      </c>
      <c r="AH115" s="426">
        <f t="shared" si="20"/>
        <v>0</v>
      </c>
      <c r="AI115" s="426">
        <f t="shared" si="18"/>
        <v>160.24</v>
      </c>
      <c r="AJ115" s="426">
        <f t="shared" si="14"/>
        <v>47.36</v>
      </c>
      <c r="AK115" s="426">
        <f t="shared" si="19"/>
        <v>3453.9700000000003</v>
      </c>
      <c r="AL115" s="426"/>
    </row>
    <row r="116" spans="1:39" x14ac:dyDescent="0.25">
      <c r="A116" s="361" t="s">
        <v>654</v>
      </c>
      <c r="B116" s="423"/>
      <c r="C116" s="423"/>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4">
        <f>85</f>
        <v>85</v>
      </c>
      <c r="AC116" s="423"/>
      <c r="AD116" s="423"/>
      <c r="AE116" s="423"/>
      <c r="AF116" s="423"/>
      <c r="AG116" s="423"/>
      <c r="AH116" s="423"/>
      <c r="AI116" s="424">
        <f t="shared" si="18"/>
        <v>0</v>
      </c>
      <c r="AJ116" s="424">
        <f t="shared" si="14"/>
        <v>0</v>
      </c>
      <c r="AK116" s="424">
        <f t="shared" si="19"/>
        <v>85</v>
      </c>
      <c r="AL116" s="424"/>
    </row>
    <row r="117" spans="1:39" x14ac:dyDescent="0.25">
      <c r="A117" s="361" t="s">
        <v>210</v>
      </c>
      <c r="B117" s="423"/>
      <c r="C117" s="423"/>
      <c r="D117" s="423"/>
      <c r="E117" s="423"/>
      <c r="F117" s="423"/>
      <c r="G117" s="423"/>
      <c r="H117" s="423"/>
      <c r="I117" s="423"/>
      <c r="J117" s="423"/>
      <c r="K117" s="423"/>
      <c r="L117" s="423"/>
      <c r="M117" s="423"/>
      <c r="N117" s="423"/>
      <c r="O117" s="424">
        <f>34.35</f>
        <v>34.35</v>
      </c>
      <c r="P117" s="423"/>
      <c r="Q117" s="423"/>
      <c r="R117" s="423"/>
      <c r="S117" s="423"/>
      <c r="T117" s="423"/>
      <c r="U117" s="423"/>
      <c r="V117" s="423"/>
      <c r="W117" s="423"/>
      <c r="X117" s="423"/>
      <c r="Y117" s="423"/>
      <c r="Z117" s="423"/>
      <c r="AA117" s="423"/>
      <c r="AB117" s="423"/>
      <c r="AC117" s="423"/>
      <c r="AD117" s="423"/>
      <c r="AE117" s="423"/>
      <c r="AF117" s="423"/>
      <c r="AG117" s="423"/>
      <c r="AH117" s="423"/>
      <c r="AI117" s="424">
        <f t="shared" si="18"/>
        <v>0</v>
      </c>
      <c r="AJ117" s="424">
        <f t="shared" si="14"/>
        <v>34.35</v>
      </c>
      <c r="AK117" s="424">
        <f t="shared" si="19"/>
        <v>0</v>
      </c>
      <c r="AL117" s="424"/>
    </row>
    <row r="118" spans="1:39" x14ac:dyDescent="0.25">
      <c r="A118" s="361" t="s">
        <v>211</v>
      </c>
      <c r="B118" s="423"/>
      <c r="C118" s="423"/>
      <c r="D118" s="423"/>
      <c r="E118" s="423"/>
      <c r="F118" s="424">
        <f>98.3</f>
        <v>98.3</v>
      </c>
      <c r="G118" s="423"/>
      <c r="H118" s="423"/>
      <c r="I118" s="423"/>
      <c r="J118" s="423"/>
      <c r="K118" s="423"/>
      <c r="L118" s="423"/>
      <c r="M118" s="423"/>
      <c r="N118" s="423"/>
      <c r="O118" s="423"/>
      <c r="P118" s="424">
        <f>1116.43</f>
        <v>1116.43</v>
      </c>
      <c r="Q118" s="424">
        <f>150.42</f>
        <v>150.41999999999999</v>
      </c>
      <c r="R118" s="424">
        <f>210</f>
        <v>210</v>
      </c>
      <c r="S118" s="423"/>
      <c r="T118" s="423"/>
      <c r="U118" s="423"/>
      <c r="V118" s="424">
        <f>1452.46</f>
        <v>1452.46</v>
      </c>
      <c r="W118" s="424">
        <f>149.06</f>
        <v>149.06</v>
      </c>
      <c r="X118" s="424">
        <f>87.79</f>
        <v>87.79</v>
      </c>
      <c r="Y118" s="423"/>
      <c r="Z118" s="423"/>
      <c r="AA118" s="424">
        <f>24.48</f>
        <v>24.48</v>
      </c>
      <c r="AB118" s="423"/>
      <c r="AC118" s="424">
        <f>35</f>
        <v>35</v>
      </c>
      <c r="AD118" s="423"/>
      <c r="AE118" s="423"/>
      <c r="AF118" s="423"/>
      <c r="AG118" s="423"/>
      <c r="AH118" s="423"/>
      <c r="AI118" s="424">
        <f t="shared" si="18"/>
        <v>98.3</v>
      </c>
      <c r="AJ118" s="424">
        <f t="shared" si="14"/>
        <v>3166.1600000000003</v>
      </c>
      <c r="AK118" s="424">
        <f t="shared" si="19"/>
        <v>296.33000000000004</v>
      </c>
      <c r="AL118" s="424"/>
    </row>
    <row r="119" spans="1:39" x14ac:dyDescent="0.25">
      <c r="A119" s="361" t="s">
        <v>655</v>
      </c>
      <c r="B119" s="423"/>
      <c r="C119" s="423"/>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23"/>
      <c r="AA119" s="423"/>
      <c r="AB119" s="423"/>
      <c r="AC119" s="424">
        <f>176.33</f>
        <v>176.33</v>
      </c>
      <c r="AD119" s="423"/>
      <c r="AE119" s="423"/>
      <c r="AF119" s="423"/>
      <c r="AG119" s="424">
        <f>529.43</f>
        <v>529.42999999999995</v>
      </c>
      <c r="AH119" s="423"/>
      <c r="AI119" s="424">
        <f t="shared" si="18"/>
        <v>0</v>
      </c>
      <c r="AJ119" s="424">
        <f t="shared" si="14"/>
        <v>0</v>
      </c>
      <c r="AK119" s="424">
        <f t="shared" si="19"/>
        <v>705.76</v>
      </c>
      <c r="AL119" s="424">
        <v>1000</v>
      </c>
      <c r="AM119" s="430"/>
    </row>
    <row r="120" spans="1:39" x14ac:dyDescent="0.25">
      <c r="A120" s="361" t="s">
        <v>656</v>
      </c>
      <c r="B120" s="426">
        <f t="shared" ref="B120:AH120" si="21">(B118)+(B119)</f>
        <v>0</v>
      </c>
      <c r="C120" s="426">
        <f t="shared" si="21"/>
        <v>0</v>
      </c>
      <c r="D120" s="426">
        <f t="shared" si="21"/>
        <v>0</v>
      </c>
      <c r="E120" s="426">
        <f t="shared" si="21"/>
        <v>0</v>
      </c>
      <c r="F120" s="426">
        <f t="shared" si="21"/>
        <v>98.3</v>
      </c>
      <c r="G120" s="426">
        <f t="shared" si="21"/>
        <v>0</v>
      </c>
      <c r="H120" s="426">
        <f t="shared" si="21"/>
        <v>0</v>
      </c>
      <c r="I120" s="426">
        <f t="shared" si="21"/>
        <v>0</v>
      </c>
      <c r="J120" s="426">
        <f t="shared" si="21"/>
        <v>0</v>
      </c>
      <c r="K120" s="426">
        <f t="shared" si="21"/>
        <v>0</v>
      </c>
      <c r="L120" s="426">
        <f t="shared" si="21"/>
        <v>0</v>
      </c>
      <c r="M120" s="426">
        <f t="shared" si="21"/>
        <v>0</v>
      </c>
      <c r="N120" s="426">
        <f t="shared" si="21"/>
        <v>0</v>
      </c>
      <c r="O120" s="426">
        <f t="shared" si="21"/>
        <v>0</v>
      </c>
      <c r="P120" s="426">
        <f t="shared" si="21"/>
        <v>1116.43</v>
      </c>
      <c r="Q120" s="426">
        <f t="shared" si="21"/>
        <v>150.41999999999999</v>
      </c>
      <c r="R120" s="426">
        <f t="shared" si="21"/>
        <v>210</v>
      </c>
      <c r="S120" s="426">
        <f t="shared" si="21"/>
        <v>0</v>
      </c>
      <c r="T120" s="426">
        <f t="shared" si="21"/>
        <v>0</v>
      </c>
      <c r="U120" s="426">
        <f t="shared" si="21"/>
        <v>0</v>
      </c>
      <c r="V120" s="426">
        <f t="shared" si="21"/>
        <v>1452.46</v>
      </c>
      <c r="W120" s="426">
        <f t="shared" si="21"/>
        <v>149.06</v>
      </c>
      <c r="X120" s="426">
        <f t="shared" si="21"/>
        <v>87.79</v>
      </c>
      <c r="Y120" s="426">
        <f t="shared" si="21"/>
        <v>0</v>
      </c>
      <c r="Z120" s="426">
        <f t="shared" si="21"/>
        <v>0</v>
      </c>
      <c r="AA120" s="426">
        <f t="shared" si="21"/>
        <v>24.48</v>
      </c>
      <c r="AB120" s="426">
        <f t="shared" si="21"/>
        <v>0</v>
      </c>
      <c r="AC120" s="426">
        <f t="shared" si="21"/>
        <v>211.33</v>
      </c>
      <c r="AD120" s="426">
        <f t="shared" si="21"/>
        <v>0</v>
      </c>
      <c r="AE120" s="426">
        <f t="shared" si="21"/>
        <v>0</v>
      </c>
      <c r="AF120" s="426">
        <f t="shared" si="21"/>
        <v>0</v>
      </c>
      <c r="AG120" s="426">
        <f t="shared" si="21"/>
        <v>529.42999999999995</v>
      </c>
      <c r="AH120" s="426">
        <f t="shared" si="21"/>
        <v>0</v>
      </c>
      <c r="AI120" s="426">
        <f t="shared" si="18"/>
        <v>98.3</v>
      </c>
      <c r="AJ120" s="426">
        <f t="shared" si="14"/>
        <v>3166.1600000000003</v>
      </c>
      <c r="AK120" s="426">
        <f t="shared" si="19"/>
        <v>1002.09</v>
      </c>
      <c r="AL120" s="426"/>
    </row>
    <row r="121" spans="1:39" x14ac:dyDescent="0.25">
      <c r="A121" s="361" t="s">
        <v>212</v>
      </c>
      <c r="B121" s="424">
        <f>600</f>
        <v>600</v>
      </c>
      <c r="C121" s="423"/>
      <c r="D121" s="423"/>
      <c r="E121" s="423"/>
      <c r="F121" s="423"/>
      <c r="G121" s="423"/>
      <c r="H121" s="423"/>
      <c r="I121" s="423"/>
      <c r="J121" s="423"/>
      <c r="K121" s="423"/>
      <c r="L121" s="423"/>
      <c r="M121" s="424">
        <f>500</f>
        <v>500</v>
      </c>
      <c r="N121" s="424">
        <f>600</f>
        <v>600</v>
      </c>
      <c r="O121" s="423"/>
      <c r="P121" s="423"/>
      <c r="Q121" s="423"/>
      <c r="R121" s="423"/>
      <c r="S121" s="423"/>
      <c r="T121" s="423"/>
      <c r="U121" s="423"/>
      <c r="V121" s="423"/>
      <c r="W121" s="423"/>
      <c r="X121" s="423"/>
      <c r="Y121" s="423"/>
      <c r="Z121" s="424">
        <f>600</f>
        <v>600</v>
      </c>
      <c r="AA121" s="423"/>
      <c r="AB121" s="423"/>
      <c r="AC121" s="423"/>
      <c r="AD121" s="423"/>
      <c r="AE121" s="423"/>
      <c r="AF121" s="423"/>
      <c r="AG121" s="423"/>
      <c r="AH121" s="423"/>
      <c r="AI121" s="424">
        <f t="shared" si="18"/>
        <v>1100</v>
      </c>
      <c r="AJ121" s="424">
        <f t="shared" si="14"/>
        <v>600</v>
      </c>
      <c r="AK121" s="424">
        <f t="shared" si="19"/>
        <v>600</v>
      </c>
      <c r="AL121" s="424">
        <v>600</v>
      </c>
    </row>
    <row r="122" spans="1:39" x14ac:dyDescent="0.25">
      <c r="A122" s="361" t="s">
        <v>213</v>
      </c>
      <c r="B122" s="426">
        <f t="shared" ref="B122:AH122" si="22">(((((((((((((((((((((((((((((((((((((((((((B66)+(B67))+(B68))+(B69))+(B70))+(B71))+(B72))+(B73))+(B74))+(B75))+(B76))+(B77))+(B78))+(B79))+(B80))+(B81))+(B82))+(B88))+(B89))+(B90))+(B91))+(B92))+(B93))+(B94))+(B95))+(B96))+(B97))+(B98))+(B99))+(B100))+(B101))+(B102))+(B103))+(B104))+(B105))+(B106))+(B107))+(B108))+(B109))+(B115))+(B116))+(B117))+(B120))+(B121)</f>
        <v>19282.260000000002</v>
      </c>
      <c r="C122" s="426">
        <f t="shared" si="22"/>
        <v>21095.4</v>
      </c>
      <c r="D122" s="426">
        <f t="shared" si="22"/>
        <v>18672.690000000002</v>
      </c>
      <c r="E122" s="426">
        <f t="shared" si="22"/>
        <v>19207.61</v>
      </c>
      <c r="F122" s="426">
        <f t="shared" si="22"/>
        <v>23962.04</v>
      </c>
      <c r="G122" s="426">
        <f t="shared" si="22"/>
        <v>24483.47</v>
      </c>
      <c r="H122" s="426">
        <f t="shared" si="22"/>
        <v>21811.760000000009</v>
      </c>
      <c r="I122" s="426">
        <f t="shared" si="22"/>
        <v>32373.320000000003</v>
      </c>
      <c r="J122" s="426">
        <f t="shared" si="22"/>
        <v>21014.48</v>
      </c>
      <c r="K122" s="426">
        <f t="shared" si="22"/>
        <v>25836.050000000003</v>
      </c>
      <c r="L122" s="426">
        <f t="shared" si="22"/>
        <v>26337.22</v>
      </c>
      <c r="M122" s="426">
        <f t="shared" si="22"/>
        <v>39339.090000000004</v>
      </c>
      <c r="N122" s="426">
        <f t="shared" si="22"/>
        <v>18289.550000000003</v>
      </c>
      <c r="O122" s="426">
        <f t="shared" si="22"/>
        <v>18319.27</v>
      </c>
      <c r="P122" s="426">
        <f t="shared" si="22"/>
        <v>21509.99</v>
      </c>
      <c r="Q122" s="426">
        <f t="shared" si="22"/>
        <v>18842.109999999997</v>
      </c>
      <c r="R122" s="426">
        <f t="shared" si="22"/>
        <v>16585.73</v>
      </c>
      <c r="S122" s="426">
        <f t="shared" si="22"/>
        <v>20866.13</v>
      </c>
      <c r="T122" s="426">
        <f t="shared" si="22"/>
        <v>16490.670000000002</v>
      </c>
      <c r="U122" s="426">
        <f t="shared" si="22"/>
        <v>24990.720000000005</v>
      </c>
      <c r="V122" s="426">
        <f t="shared" si="22"/>
        <v>27164.480000000003</v>
      </c>
      <c r="W122" s="426">
        <f t="shared" si="22"/>
        <v>25532.770000000004</v>
      </c>
      <c r="X122" s="426">
        <f t="shared" si="22"/>
        <v>28626.179999999993</v>
      </c>
      <c r="Y122" s="426">
        <f t="shared" si="22"/>
        <v>33548.86</v>
      </c>
      <c r="Z122" s="426">
        <f t="shared" si="22"/>
        <v>18041.14</v>
      </c>
      <c r="AA122" s="426">
        <f t="shared" si="22"/>
        <v>23257.010000000002</v>
      </c>
      <c r="AB122" s="426">
        <f t="shared" si="22"/>
        <v>28968.250000000004</v>
      </c>
      <c r="AC122" s="426">
        <f t="shared" si="22"/>
        <v>16917.140000000003</v>
      </c>
      <c r="AD122" s="426">
        <f t="shared" si="22"/>
        <v>19053.88</v>
      </c>
      <c r="AE122" s="426">
        <f t="shared" si="22"/>
        <v>18971.93</v>
      </c>
      <c r="AF122" s="426">
        <f t="shared" si="22"/>
        <v>23099.649999999998</v>
      </c>
      <c r="AG122" s="426">
        <f t="shared" si="22"/>
        <v>21212.300000000007</v>
      </c>
      <c r="AH122" s="426">
        <f t="shared" si="22"/>
        <v>23909.059999999994</v>
      </c>
      <c r="AI122" s="426">
        <f t="shared" si="18"/>
        <v>293415.39</v>
      </c>
      <c r="AJ122" s="426">
        <f t="shared" si="14"/>
        <v>270766.46000000002</v>
      </c>
      <c r="AK122" s="426">
        <f t="shared" si="19"/>
        <v>281138.17</v>
      </c>
      <c r="AL122" s="426"/>
    </row>
    <row r="123" spans="1:39" x14ac:dyDescent="0.25">
      <c r="A123" s="361" t="s">
        <v>214</v>
      </c>
      <c r="B123" s="426">
        <f t="shared" ref="B123:AH123" si="23">(B64)-(B122)</f>
        <v>-5628.3100000000013</v>
      </c>
      <c r="C123" s="426">
        <f t="shared" si="23"/>
        <v>-9138.8100000000013</v>
      </c>
      <c r="D123" s="426">
        <f t="shared" si="23"/>
        <v>-6122.010000000002</v>
      </c>
      <c r="E123" s="426">
        <f t="shared" si="23"/>
        <v>16080.899999999994</v>
      </c>
      <c r="F123" s="426">
        <f t="shared" si="23"/>
        <v>1938.5499999999993</v>
      </c>
      <c r="G123" s="426">
        <f t="shared" si="23"/>
        <v>4863.0999999999949</v>
      </c>
      <c r="H123" s="426">
        <f t="shared" si="23"/>
        <v>1078.1499999999905</v>
      </c>
      <c r="I123" s="426">
        <f t="shared" si="23"/>
        <v>-21895.370000000003</v>
      </c>
      <c r="J123" s="426">
        <f t="shared" si="23"/>
        <v>7705.3600000000006</v>
      </c>
      <c r="K123" s="426">
        <f t="shared" si="23"/>
        <v>118522.79000000002</v>
      </c>
      <c r="L123" s="426">
        <f t="shared" si="23"/>
        <v>40371.429999999993</v>
      </c>
      <c r="M123" s="426">
        <f t="shared" si="23"/>
        <v>-1231.2600000000093</v>
      </c>
      <c r="N123" s="426">
        <f t="shared" si="23"/>
        <v>-10228.380000000003</v>
      </c>
      <c r="O123" s="426">
        <f t="shared" si="23"/>
        <v>6565.5299999999988</v>
      </c>
      <c r="P123" s="426">
        <f t="shared" si="23"/>
        <v>-25508.700000000004</v>
      </c>
      <c r="Q123" s="426">
        <f t="shared" si="23"/>
        <v>-4077.3199999999979</v>
      </c>
      <c r="R123" s="426">
        <f t="shared" si="23"/>
        <v>11520.530000000002</v>
      </c>
      <c r="S123" s="426">
        <f t="shared" si="23"/>
        <v>9241.4900000000016</v>
      </c>
      <c r="T123" s="426">
        <f t="shared" si="23"/>
        <v>-11381.36</v>
      </c>
      <c r="U123" s="426">
        <f t="shared" si="23"/>
        <v>-6201.8900000000031</v>
      </c>
      <c r="V123" s="426">
        <f t="shared" si="23"/>
        <v>35702.250000000015</v>
      </c>
      <c r="W123" s="426">
        <f t="shared" si="23"/>
        <v>103883.96000000002</v>
      </c>
      <c r="X123" s="426">
        <f t="shared" si="23"/>
        <v>-21193.449999999997</v>
      </c>
      <c r="Y123" s="426">
        <f t="shared" si="23"/>
        <v>41623.499999999985</v>
      </c>
      <c r="Z123" s="426">
        <f t="shared" si="23"/>
        <v>-13497</v>
      </c>
      <c r="AA123" s="426">
        <f t="shared" si="23"/>
        <v>-10158.300000000003</v>
      </c>
      <c r="AB123" s="426">
        <f t="shared" si="23"/>
        <v>-13541.720000000003</v>
      </c>
      <c r="AC123" s="426">
        <f t="shared" si="23"/>
        <v>-14247.920000000002</v>
      </c>
      <c r="AD123" s="426">
        <f t="shared" si="23"/>
        <v>15786.09</v>
      </c>
      <c r="AE123" s="426">
        <f t="shared" si="23"/>
        <v>-24175.65</v>
      </c>
      <c r="AF123" s="426">
        <f t="shared" si="23"/>
        <v>-23336.659999999996</v>
      </c>
      <c r="AG123" s="426">
        <f t="shared" si="23"/>
        <v>-4976.6300000000101</v>
      </c>
      <c r="AH123" s="426">
        <f t="shared" si="23"/>
        <v>-3369.2699999999932</v>
      </c>
      <c r="AI123" s="426">
        <f t="shared" si="18"/>
        <v>146544.51999999996</v>
      </c>
      <c r="AJ123" s="426">
        <f t="shared" si="14"/>
        <v>129946.16000000002</v>
      </c>
      <c r="AK123" s="426">
        <f t="shared" si="19"/>
        <v>32796.949999999997</v>
      </c>
      <c r="AL123" s="426"/>
    </row>
    <row r="124" spans="1:39" x14ac:dyDescent="0.25">
      <c r="A124" s="361" t="s">
        <v>215</v>
      </c>
      <c r="B124" s="423"/>
      <c r="C124" s="423"/>
      <c r="D124" s="423"/>
      <c r="E124" s="423"/>
      <c r="F124" s="423"/>
      <c r="G124" s="423"/>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f t="shared" si="18"/>
        <v>0</v>
      </c>
      <c r="AJ124" s="423">
        <f t="shared" si="14"/>
        <v>0</v>
      </c>
      <c r="AK124" s="423">
        <f t="shared" si="19"/>
        <v>0</v>
      </c>
      <c r="AL124" s="423"/>
    </row>
    <row r="125" spans="1:39" x14ac:dyDescent="0.25">
      <c r="A125" s="361" t="s">
        <v>216</v>
      </c>
      <c r="B125" s="423"/>
      <c r="C125" s="423"/>
      <c r="D125" s="424">
        <f>0.54</f>
        <v>0.54</v>
      </c>
      <c r="E125" s="423"/>
      <c r="F125" s="423"/>
      <c r="G125" s="424">
        <f>1.46</f>
        <v>1.46</v>
      </c>
      <c r="H125" s="423"/>
      <c r="I125" s="423"/>
      <c r="J125" s="424">
        <f>1.74</f>
        <v>1.74</v>
      </c>
      <c r="K125" s="423"/>
      <c r="L125" s="423"/>
      <c r="M125" s="424">
        <f>2.12</f>
        <v>2.12</v>
      </c>
      <c r="N125" s="423"/>
      <c r="O125" s="423"/>
      <c r="P125" s="424">
        <f>3.24</f>
        <v>3.24</v>
      </c>
      <c r="Q125" s="423"/>
      <c r="R125" s="423"/>
      <c r="S125" s="424">
        <f>2.84</f>
        <v>2.84</v>
      </c>
      <c r="T125" s="423"/>
      <c r="U125" s="423"/>
      <c r="V125" s="424">
        <f>3.04</f>
        <v>3.04</v>
      </c>
      <c r="W125" s="423"/>
      <c r="X125" s="423"/>
      <c r="Y125" s="424">
        <f>11.62</f>
        <v>11.62</v>
      </c>
      <c r="Z125" s="423"/>
      <c r="AA125" s="423"/>
      <c r="AB125" s="424">
        <f>3.57</f>
        <v>3.57</v>
      </c>
      <c r="AC125" s="423"/>
      <c r="AD125" s="423"/>
      <c r="AE125" s="424">
        <f>0.63</f>
        <v>0.63</v>
      </c>
      <c r="AF125" s="424">
        <f>0.56</f>
        <v>0.56000000000000005</v>
      </c>
      <c r="AG125" s="423"/>
      <c r="AH125" s="423"/>
      <c r="AI125" s="424">
        <f t="shared" si="18"/>
        <v>5.86</v>
      </c>
      <c r="AJ125" s="424">
        <f t="shared" si="14"/>
        <v>20.740000000000002</v>
      </c>
      <c r="AK125" s="424">
        <f t="shared" si="19"/>
        <v>16.38</v>
      </c>
      <c r="AL125" s="424"/>
    </row>
    <row r="126" spans="1:39" x14ac:dyDescent="0.25">
      <c r="A126" s="361" t="s">
        <v>217</v>
      </c>
      <c r="B126" s="426">
        <f t="shared" ref="B126:AH126" si="24">B125</f>
        <v>0</v>
      </c>
      <c r="C126" s="426">
        <f t="shared" si="24"/>
        <v>0</v>
      </c>
      <c r="D126" s="426">
        <f t="shared" si="24"/>
        <v>0.54</v>
      </c>
      <c r="E126" s="426">
        <f t="shared" si="24"/>
        <v>0</v>
      </c>
      <c r="F126" s="426">
        <f t="shared" si="24"/>
        <v>0</v>
      </c>
      <c r="G126" s="426">
        <f t="shared" si="24"/>
        <v>1.46</v>
      </c>
      <c r="H126" s="426">
        <f t="shared" si="24"/>
        <v>0</v>
      </c>
      <c r="I126" s="426">
        <f t="shared" si="24"/>
        <v>0</v>
      </c>
      <c r="J126" s="426">
        <f t="shared" si="24"/>
        <v>1.74</v>
      </c>
      <c r="K126" s="426">
        <f t="shared" si="24"/>
        <v>0</v>
      </c>
      <c r="L126" s="426">
        <f t="shared" si="24"/>
        <v>0</v>
      </c>
      <c r="M126" s="426">
        <f t="shared" si="24"/>
        <v>2.12</v>
      </c>
      <c r="N126" s="426">
        <f t="shared" si="24"/>
        <v>0</v>
      </c>
      <c r="O126" s="426">
        <f t="shared" si="24"/>
        <v>0</v>
      </c>
      <c r="P126" s="426">
        <f t="shared" si="24"/>
        <v>3.24</v>
      </c>
      <c r="Q126" s="426">
        <f t="shared" si="24"/>
        <v>0</v>
      </c>
      <c r="R126" s="426">
        <f t="shared" si="24"/>
        <v>0</v>
      </c>
      <c r="S126" s="426">
        <f t="shared" si="24"/>
        <v>2.84</v>
      </c>
      <c r="T126" s="426">
        <f t="shared" si="24"/>
        <v>0</v>
      </c>
      <c r="U126" s="426">
        <f t="shared" si="24"/>
        <v>0</v>
      </c>
      <c r="V126" s="426">
        <f t="shared" si="24"/>
        <v>3.04</v>
      </c>
      <c r="W126" s="426">
        <f t="shared" si="24"/>
        <v>0</v>
      </c>
      <c r="X126" s="426">
        <f t="shared" si="24"/>
        <v>0</v>
      </c>
      <c r="Y126" s="426">
        <f t="shared" si="24"/>
        <v>11.62</v>
      </c>
      <c r="Z126" s="426">
        <f t="shared" si="24"/>
        <v>0</v>
      </c>
      <c r="AA126" s="426">
        <f t="shared" si="24"/>
        <v>0</v>
      </c>
      <c r="AB126" s="426">
        <f t="shared" si="24"/>
        <v>3.57</v>
      </c>
      <c r="AC126" s="426">
        <f t="shared" si="24"/>
        <v>0</v>
      </c>
      <c r="AD126" s="426">
        <f t="shared" si="24"/>
        <v>0</v>
      </c>
      <c r="AE126" s="426">
        <f t="shared" si="24"/>
        <v>0.63</v>
      </c>
      <c r="AF126" s="426">
        <f t="shared" si="24"/>
        <v>0.56000000000000005</v>
      </c>
      <c r="AG126" s="426">
        <f t="shared" si="24"/>
        <v>0</v>
      </c>
      <c r="AH126" s="426">
        <f t="shared" si="24"/>
        <v>0</v>
      </c>
      <c r="AI126" s="426">
        <f t="shared" si="18"/>
        <v>5.86</v>
      </c>
      <c r="AJ126" s="426">
        <f t="shared" si="14"/>
        <v>20.740000000000002</v>
      </c>
      <c r="AK126" s="426">
        <f t="shared" si="19"/>
        <v>16.38</v>
      </c>
      <c r="AL126" s="426"/>
    </row>
    <row r="127" spans="1:39" x14ac:dyDescent="0.25">
      <c r="A127" s="361" t="s">
        <v>218</v>
      </c>
      <c r="B127" s="423"/>
      <c r="C127" s="423"/>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23"/>
      <c r="AA127" s="423"/>
      <c r="AB127" s="423"/>
      <c r="AC127" s="423"/>
      <c r="AD127" s="423"/>
      <c r="AE127" s="423"/>
      <c r="AF127" s="423"/>
      <c r="AG127" s="423"/>
      <c r="AH127" s="423"/>
      <c r="AI127" s="423">
        <f t="shared" si="18"/>
        <v>0</v>
      </c>
      <c r="AJ127" s="423">
        <f t="shared" si="14"/>
        <v>0</v>
      </c>
      <c r="AK127" s="423">
        <f t="shared" si="19"/>
        <v>0</v>
      </c>
      <c r="AL127" s="423"/>
    </row>
    <row r="128" spans="1:39" x14ac:dyDescent="0.25">
      <c r="A128" s="361" t="s">
        <v>446</v>
      </c>
      <c r="B128" s="423"/>
      <c r="C128" s="423"/>
      <c r="D128" s="423"/>
      <c r="E128" s="423"/>
      <c r="F128" s="423"/>
      <c r="G128" s="423"/>
      <c r="H128" s="423"/>
      <c r="I128" s="423"/>
      <c r="J128" s="423"/>
      <c r="K128" s="423"/>
      <c r="L128" s="423"/>
      <c r="M128" s="424">
        <f>8916</f>
        <v>8916</v>
      </c>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4">
        <f t="shared" si="18"/>
        <v>8916</v>
      </c>
      <c r="AJ128" s="424">
        <f t="shared" si="14"/>
        <v>0</v>
      </c>
      <c r="AK128" s="424">
        <f t="shared" si="19"/>
        <v>0</v>
      </c>
      <c r="AL128" s="424"/>
    </row>
    <row r="129" spans="1:39" x14ac:dyDescent="0.25">
      <c r="A129" s="361" t="s">
        <v>657</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4">
        <f>20.95</f>
        <v>20.95</v>
      </c>
      <c r="AI129" s="424">
        <f t="shared" si="18"/>
        <v>0</v>
      </c>
      <c r="AJ129" s="424">
        <f t="shared" si="14"/>
        <v>0</v>
      </c>
      <c r="AK129" s="424">
        <f t="shared" si="19"/>
        <v>20.95</v>
      </c>
      <c r="AL129" s="424"/>
    </row>
    <row r="130" spans="1:39" x14ac:dyDescent="0.25">
      <c r="A130" s="361" t="s">
        <v>220</v>
      </c>
      <c r="B130" s="426">
        <f t="shared" ref="B130:AH130" si="25">(B128)+(B129)</f>
        <v>0</v>
      </c>
      <c r="C130" s="426">
        <f t="shared" si="25"/>
        <v>0</v>
      </c>
      <c r="D130" s="426">
        <f t="shared" si="25"/>
        <v>0</v>
      </c>
      <c r="E130" s="426">
        <f t="shared" si="25"/>
        <v>0</v>
      </c>
      <c r="F130" s="426">
        <f t="shared" si="25"/>
        <v>0</v>
      </c>
      <c r="G130" s="426">
        <f t="shared" si="25"/>
        <v>0</v>
      </c>
      <c r="H130" s="426">
        <f t="shared" si="25"/>
        <v>0</v>
      </c>
      <c r="I130" s="426">
        <f t="shared" si="25"/>
        <v>0</v>
      </c>
      <c r="J130" s="426">
        <f t="shared" si="25"/>
        <v>0</v>
      </c>
      <c r="K130" s="426">
        <f t="shared" si="25"/>
        <v>0</v>
      </c>
      <c r="L130" s="426">
        <f t="shared" si="25"/>
        <v>0</v>
      </c>
      <c r="M130" s="426">
        <f t="shared" si="25"/>
        <v>8916</v>
      </c>
      <c r="N130" s="426">
        <f t="shared" si="25"/>
        <v>0</v>
      </c>
      <c r="O130" s="426">
        <f t="shared" si="25"/>
        <v>0</v>
      </c>
      <c r="P130" s="426">
        <f t="shared" si="25"/>
        <v>0</v>
      </c>
      <c r="Q130" s="426">
        <f t="shared" si="25"/>
        <v>0</v>
      </c>
      <c r="R130" s="426">
        <f t="shared" si="25"/>
        <v>0</v>
      </c>
      <c r="S130" s="426">
        <f t="shared" si="25"/>
        <v>0</v>
      </c>
      <c r="T130" s="426">
        <f t="shared" si="25"/>
        <v>0</v>
      </c>
      <c r="U130" s="426">
        <f t="shared" si="25"/>
        <v>0</v>
      </c>
      <c r="V130" s="426">
        <f t="shared" si="25"/>
        <v>0</v>
      </c>
      <c r="W130" s="426">
        <f t="shared" si="25"/>
        <v>0</v>
      </c>
      <c r="X130" s="426">
        <f t="shared" si="25"/>
        <v>0</v>
      </c>
      <c r="Y130" s="426">
        <f t="shared" si="25"/>
        <v>0</v>
      </c>
      <c r="Z130" s="426">
        <f t="shared" si="25"/>
        <v>0</v>
      </c>
      <c r="AA130" s="426">
        <f t="shared" si="25"/>
        <v>0</v>
      </c>
      <c r="AB130" s="426">
        <f t="shared" si="25"/>
        <v>0</v>
      </c>
      <c r="AC130" s="426">
        <f t="shared" si="25"/>
        <v>0</v>
      </c>
      <c r="AD130" s="426">
        <f t="shared" si="25"/>
        <v>0</v>
      </c>
      <c r="AE130" s="426">
        <f t="shared" si="25"/>
        <v>0</v>
      </c>
      <c r="AF130" s="426">
        <f t="shared" si="25"/>
        <v>0</v>
      </c>
      <c r="AG130" s="426">
        <f t="shared" si="25"/>
        <v>0</v>
      </c>
      <c r="AH130" s="426">
        <f t="shared" si="25"/>
        <v>20.95</v>
      </c>
      <c r="AI130" s="426">
        <f t="shared" si="18"/>
        <v>8916</v>
      </c>
      <c r="AJ130" s="426">
        <f t="shared" si="14"/>
        <v>0</v>
      </c>
      <c r="AK130" s="426">
        <f t="shared" si="19"/>
        <v>20.95</v>
      </c>
      <c r="AL130" s="426"/>
    </row>
    <row r="131" spans="1:39" x14ac:dyDescent="0.25">
      <c r="A131" s="361" t="s">
        <v>221</v>
      </c>
      <c r="B131" s="426">
        <f t="shared" ref="B131:AH131" si="26">(B126)-(B130)</f>
        <v>0</v>
      </c>
      <c r="C131" s="426">
        <f t="shared" si="26"/>
        <v>0</v>
      </c>
      <c r="D131" s="426">
        <f t="shared" si="26"/>
        <v>0.54</v>
      </c>
      <c r="E131" s="426">
        <f t="shared" si="26"/>
        <v>0</v>
      </c>
      <c r="F131" s="426">
        <f t="shared" si="26"/>
        <v>0</v>
      </c>
      <c r="G131" s="426">
        <f t="shared" si="26"/>
        <v>1.46</v>
      </c>
      <c r="H131" s="426">
        <f t="shared" si="26"/>
        <v>0</v>
      </c>
      <c r="I131" s="426">
        <f t="shared" si="26"/>
        <v>0</v>
      </c>
      <c r="J131" s="426">
        <f t="shared" si="26"/>
        <v>1.74</v>
      </c>
      <c r="K131" s="426">
        <f t="shared" si="26"/>
        <v>0</v>
      </c>
      <c r="L131" s="426">
        <f t="shared" si="26"/>
        <v>0</v>
      </c>
      <c r="M131" s="426">
        <f t="shared" si="26"/>
        <v>-8913.8799999999992</v>
      </c>
      <c r="N131" s="426">
        <f t="shared" si="26"/>
        <v>0</v>
      </c>
      <c r="O131" s="426">
        <f t="shared" si="26"/>
        <v>0</v>
      </c>
      <c r="P131" s="426">
        <f t="shared" si="26"/>
        <v>3.24</v>
      </c>
      <c r="Q131" s="426">
        <f t="shared" si="26"/>
        <v>0</v>
      </c>
      <c r="R131" s="426">
        <f t="shared" si="26"/>
        <v>0</v>
      </c>
      <c r="S131" s="426">
        <f t="shared" si="26"/>
        <v>2.84</v>
      </c>
      <c r="T131" s="426">
        <f t="shared" si="26"/>
        <v>0</v>
      </c>
      <c r="U131" s="426">
        <f t="shared" si="26"/>
        <v>0</v>
      </c>
      <c r="V131" s="426">
        <f t="shared" si="26"/>
        <v>3.04</v>
      </c>
      <c r="W131" s="426">
        <f t="shared" si="26"/>
        <v>0</v>
      </c>
      <c r="X131" s="426">
        <f t="shared" si="26"/>
        <v>0</v>
      </c>
      <c r="Y131" s="426">
        <f t="shared" si="26"/>
        <v>11.62</v>
      </c>
      <c r="Z131" s="426">
        <f t="shared" si="26"/>
        <v>0</v>
      </c>
      <c r="AA131" s="426">
        <f t="shared" si="26"/>
        <v>0</v>
      </c>
      <c r="AB131" s="426">
        <f t="shared" si="26"/>
        <v>3.57</v>
      </c>
      <c r="AC131" s="426">
        <f t="shared" si="26"/>
        <v>0</v>
      </c>
      <c r="AD131" s="426">
        <f t="shared" si="26"/>
        <v>0</v>
      </c>
      <c r="AE131" s="426">
        <f t="shared" si="26"/>
        <v>0.63</v>
      </c>
      <c r="AF131" s="426">
        <f t="shared" si="26"/>
        <v>0.56000000000000005</v>
      </c>
      <c r="AG131" s="426">
        <f t="shared" si="26"/>
        <v>0</v>
      </c>
      <c r="AH131" s="426">
        <f t="shared" si="26"/>
        <v>-20.95</v>
      </c>
      <c r="AI131" s="426">
        <f t="shared" si="18"/>
        <v>-8910.14</v>
      </c>
      <c r="AJ131" s="426">
        <f t="shared" ref="AJ131:AJ132" si="27">SUM(N131:Y131)</f>
        <v>20.740000000000002</v>
      </c>
      <c r="AK131" s="426">
        <f t="shared" si="19"/>
        <v>-4.57</v>
      </c>
      <c r="AL131" s="426"/>
    </row>
    <row r="132" spans="1:39" x14ac:dyDescent="0.25">
      <c r="A132" s="361" t="s">
        <v>222</v>
      </c>
      <c r="B132" s="426">
        <f t="shared" ref="B132:AH132" si="28">(B123)+(B131)</f>
        <v>-5628.3100000000013</v>
      </c>
      <c r="C132" s="426">
        <f t="shared" si="28"/>
        <v>-9138.8100000000013</v>
      </c>
      <c r="D132" s="426">
        <f t="shared" si="28"/>
        <v>-6121.4700000000021</v>
      </c>
      <c r="E132" s="426">
        <f t="shared" si="28"/>
        <v>16080.899999999994</v>
      </c>
      <c r="F132" s="426">
        <f t="shared" si="28"/>
        <v>1938.5499999999993</v>
      </c>
      <c r="G132" s="426">
        <f t="shared" si="28"/>
        <v>4864.5599999999949</v>
      </c>
      <c r="H132" s="426">
        <f t="shared" si="28"/>
        <v>1078.1499999999905</v>
      </c>
      <c r="I132" s="426">
        <f t="shared" si="28"/>
        <v>-21895.370000000003</v>
      </c>
      <c r="J132" s="426">
        <f t="shared" si="28"/>
        <v>7707.1</v>
      </c>
      <c r="K132" s="426">
        <f t="shared" si="28"/>
        <v>118522.79000000002</v>
      </c>
      <c r="L132" s="426">
        <f t="shared" si="28"/>
        <v>40371.429999999993</v>
      </c>
      <c r="M132" s="426">
        <f t="shared" si="28"/>
        <v>-10145.140000000009</v>
      </c>
      <c r="N132" s="426">
        <f t="shared" si="28"/>
        <v>-10228.380000000003</v>
      </c>
      <c r="O132" s="426">
        <f t="shared" si="28"/>
        <v>6565.5299999999988</v>
      </c>
      <c r="P132" s="426">
        <f t="shared" si="28"/>
        <v>-25505.460000000003</v>
      </c>
      <c r="Q132" s="426">
        <f t="shared" si="28"/>
        <v>-4077.3199999999979</v>
      </c>
      <c r="R132" s="426">
        <f t="shared" si="28"/>
        <v>11520.530000000002</v>
      </c>
      <c r="S132" s="426">
        <f t="shared" si="28"/>
        <v>9244.3300000000017</v>
      </c>
      <c r="T132" s="426">
        <f t="shared" si="28"/>
        <v>-11381.36</v>
      </c>
      <c r="U132" s="426">
        <f t="shared" si="28"/>
        <v>-6201.8900000000031</v>
      </c>
      <c r="V132" s="426">
        <f t="shared" si="28"/>
        <v>35705.290000000015</v>
      </c>
      <c r="W132" s="426">
        <f t="shared" si="28"/>
        <v>103883.96000000002</v>
      </c>
      <c r="X132" s="426">
        <f t="shared" si="28"/>
        <v>-21193.449999999997</v>
      </c>
      <c r="Y132" s="426">
        <f t="shared" si="28"/>
        <v>41635.119999999988</v>
      </c>
      <c r="Z132" s="426">
        <f t="shared" si="28"/>
        <v>-13497</v>
      </c>
      <c r="AA132" s="426">
        <f t="shared" si="28"/>
        <v>-10158.300000000003</v>
      </c>
      <c r="AB132" s="426">
        <f t="shared" si="28"/>
        <v>-13538.150000000003</v>
      </c>
      <c r="AC132" s="426">
        <f t="shared" si="28"/>
        <v>-14247.920000000002</v>
      </c>
      <c r="AD132" s="426">
        <f t="shared" si="28"/>
        <v>15786.09</v>
      </c>
      <c r="AE132" s="426">
        <f t="shared" si="28"/>
        <v>-24175.02</v>
      </c>
      <c r="AF132" s="426">
        <f t="shared" si="28"/>
        <v>-23336.099999999995</v>
      </c>
      <c r="AG132" s="426">
        <f t="shared" si="28"/>
        <v>-4976.6300000000101</v>
      </c>
      <c r="AH132" s="426">
        <f t="shared" si="28"/>
        <v>-3390.219999999993</v>
      </c>
      <c r="AI132" s="426">
        <f t="shared" si="18"/>
        <v>137634.37999999998</v>
      </c>
      <c r="AJ132" s="426">
        <f t="shared" si="27"/>
        <v>129966.90000000002</v>
      </c>
      <c r="AK132" s="426">
        <f t="shared" si="19"/>
        <v>32792.37999999999</v>
      </c>
      <c r="AL132" s="426"/>
    </row>
    <row r="133" spans="1:39" x14ac:dyDescent="0.25">
      <c r="A133" s="361"/>
      <c r="B133" s="423"/>
      <c r="C133" s="423"/>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row>
    <row r="134" spans="1:39" x14ac:dyDescent="0.25">
      <c r="B134" s="420"/>
      <c r="C134" s="420"/>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f>AJ32-AK32</f>
        <v>48099.75</v>
      </c>
      <c r="AL134" s="420"/>
      <c r="AM134" s="360" t="s">
        <v>658</v>
      </c>
    </row>
    <row r="135" spans="1:39" x14ac:dyDescent="0.25">
      <c r="B135" s="420"/>
      <c r="C135" s="420"/>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420"/>
      <c r="AD135" s="420"/>
      <c r="AE135" s="420"/>
      <c r="AF135" s="420"/>
      <c r="AG135" s="420"/>
      <c r="AH135" s="420"/>
      <c r="AI135" s="420"/>
      <c r="AJ135" s="420"/>
      <c r="AK135" s="420">
        <f>AK35-AJ35</f>
        <v>17507.100000000006</v>
      </c>
      <c r="AL135" s="420"/>
      <c r="AM135" s="360" t="s">
        <v>659</v>
      </c>
    </row>
    <row r="136" spans="1:39" x14ac:dyDescent="0.25">
      <c r="A136" s="431" t="s">
        <v>660</v>
      </c>
      <c r="B136" s="432"/>
      <c r="C136" s="432"/>
      <c r="D136" s="432"/>
      <c r="E136" s="432"/>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20"/>
      <c r="AJ136" s="420"/>
      <c r="AK136" s="420">
        <f>AK49-AJ49</f>
        <v>13682.430000000002</v>
      </c>
      <c r="AL136" s="420"/>
      <c r="AM136" s="360" t="s">
        <v>661</v>
      </c>
    </row>
    <row r="137" spans="1:39" x14ac:dyDescent="0.25">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c r="AK137" s="420">
        <f>AK70-AJ70</f>
        <v>9000</v>
      </c>
      <c r="AL137" s="420"/>
      <c r="AM137" s="360" t="s">
        <v>662</v>
      </c>
    </row>
    <row r="138" spans="1:39" x14ac:dyDescent="0.25">
      <c r="AK138" s="420">
        <v>9000</v>
      </c>
      <c r="AM138" s="360" t="s">
        <v>497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E18"/>
  <sheetViews>
    <sheetView topLeftCell="A22" zoomScale="160" zoomScaleNormal="160" workbookViewId="0">
      <selection activeCell="C21" sqref="C21"/>
    </sheetView>
  </sheetViews>
  <sheetFormatPr defaultRowHeight="15.75" x14ac:dyDescent="0.25"/>
  <cols>
    <col min="1" max="1" width="13.625" customWidth="1"/>
  </cols>
  <sheetData>
    <row r="3" spans="1:5" x14ac:dyDescent="0.25">
      <c r="A3" s="1" t="s">
        <v>123</v>
      </c>
    </row>
    <row r="4" spans="1:5" x14ac:dyDescent="0.25">
      <c r="A4" s="7"/>
    </row>
    <row r="6" spans="1:5" x14ac:dyDescent="0.25">
      <c r="A6" s="1" t="s">
        <v>19</v>
      </c>
    </row>
    <row r="7" spans="1:5" x14ac:dyDescent="0.25">
      <c r="A7" s="7"/>
    </row>
    <row r="9" spans="1:5" x14ac:dyDescent="0.25">
      <c r="A9" s="7" t="s">
        <v>1286</v>
      </c>
    </row>
    <row r="11" spans="1:5" x14ac:dyDescent="0.25">
      <c r="A11" t="s">
        <v>506</v>
      </c>
    </row>
    <row r="12" spans="1:5" ht="15.6" customHeight="1" x14ac:dyDescent="0.25">
      <c r="A12" s="538" t="s">
        <v>507</v>
      </c>
      <c r="B12" s="538"/>
      <c r="C12" s="538"/>
      <c r="D12" s="538"/>
      <c r="E12" s="538"/>
    </row>
    <row r="13" spans="1:5" ht="20.45" customHeight="1" x14ac:dyDescent="0.25">
      <c r="A13" s="538"/>
      <c r="B13" s="538"/>
      <c r="C13" s="538"/>
      <c r="D13" s="538"/>
      <c r="E13" s="538"/>
    </row>
    <row r="14" spans="1:5" x14ac:dyDescent="0.25">
      <c r="A14" s="538"/>
      <c r="B14" s="538"/>
      <c r="C14" s="538"/>
      <c r="D14" s="538"/>
      <c r="E14" s="538"/>
    </row>
    <row r="15" spans="1:5" x14ac:dyDescent="0.25">
      <c r="A15" s="538"/>
      <c r="B15" s="538"/>
      <c r="C15" s="538"/>
      <c r="D15" s="538"/>
      <c r="E15" s="538"/>
    </row>
    <row r="16" spans="1:5" x14ac:dyDescent="0.25">
      <c r="A16" s="538"/>
      <c r="B16" s="538"/>
      <c r="C16" s="538"/>
      <c r="D16" s="538"/>
      <c r="E16" s="538"/>
    </row>
    <row r="17" spans="1:5" x14ac:dyDescent="0.25">
      <c r="A17" s="538"/>
      <c r="B17" s="538"/>
      <c r="C17" s="538"/>
      <c r="D17" s="538"/>
      <c r="E17" s="538"/>
    </row>
    <row r="18" spans="1:5" x14ac:dyDescent="0.25">
      <c r="A18" s="538"/>
      <c r="B18" s="538"/>
      <c r="C18" s="538"/>
      <c r="D18" s="538"/>
      <c r="E18" s="538"/>
    </row>
  </sheetData>
  <mergeCells count="1">
    <mergeCell ref="A12:E1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B90"/>
  <sheetViews>
    <sheetView workbookViewId="0">
      <selection activeCell="G12" sqref="G12"/>
    </sheetView>
  </sheetViews>
  <sheetFormatPr defaultColWidth="8.875" defaultRowHeight="15" outlineLevelCol="1" x14ac:dyDescent="0.25"/>
  <cols>
    <col min="1" max="1" width="27.875" style="438" customWidth="1"/>
    <col min="2" max="2" width="7.625" style="438" hidden="1" customWidth="1" outlineLevel="1"/>
    <col min="3" max="5" width="7" style="438" hidden="1" customWidth="1" outlineLevel="1"/>
    <col min="6" max="8" width="7.625" style="438" hidden="1" customWidth="1" outlineLevel="1"/>
    <col min="9" max="9" width="7" style="438" hidden="1" customWidth="1" outlineLevel="1"/>
    <col min="10" max="10" width="7.625" style="438" hidden="1" customWidth="1" outlineLevel="1"/>
    <col min="11" max="11" width="7" style="438" hidden="1" customWidth="1" outlineLevel="1"/>
    <col min="12" max="12" width="7.625" style="438" hidden="1" customWidth="1" outlineLevel="1"/>
    <col min="13" max="15" width="7" style="438" hidden="1" customWidth="1" outlineLevel="1"/>
    <col min="16" max="16" width="7.625" style="438" hidden="1" customWidth="1" outlineLevel="1"/>
    <col min="17" max="17" width="7" style="438" hidden="1" customWidth="1" outlineLevel="1"/>
    <col min="18" max="19" width="7.625" style="438" hidden="1" customWidth="1" outlineLevel="1"/>
    <col min="20" max="25" width="7" style="438" hidden="1" customWidth="1" outlineLevel="1"/>
    <col min="26" max="26" width="7" style="438" customWidth="1" collapsed="1"/>
    <col min="27" max="16384" width="8.875" style="438"/>
  </cols>
  <sheetData>
    <row r="1" spans="1:28" ht="18" x14ac:dyDescent="0.25">
      <c r="A1" s="564" t="s">
        <v>670</v>
      </c>
      <c r="B1" s="541"/>
      <c r="C1" s="541"/>
      <c r="D1" s="541"/>
      <c r="E1" s="541"/>
      <c r="F1" s="541"/>
      <c r="G1" s="541"/>
      <c r="H1" s="541"/>
      <c r="I1" s="541"/>
      <c r="J1" s="541"/>
      <c r="K1" s="541"/>
      <c r="L1" s="541"/>
      <c r="M1" s="541"/>
      <c r="N1" s="541"/>
      <c r="O1" s="541"/>
      <c r="P1" s="541"/>
      <c r="Q1" s="541"/>
      <c r="R1" s="541"/>
      <c r="S1" s="541"/>
      <c r="T1" s="541"/>
      <c r="U1" s="541"/>
      <c r="V1" s="541"/>
      <c r="W1" s="541"/>
      <c r="X1" s="541"/>
      <c r="Y1" s="541"/>
      <c r="Z1" s="541"/>
    </row>
    <row r="2" spans="1:28" x14ac:dyDescent="0.25">
      <c r="A2" s="565" t="s">
        <v>671</v>
      </c>
      <c r="B2" s="541"/>
      <c r="C2" s="541"/>
      <c r="D2" s="541"/>
      <c r="E2" s="541"/>
      <c r="F2" s="541"/>
      <c r="G2" s="541"/>
      <c r="H2" s="541"/>
      <c r="I2" s="541"/>
      <c r="J2" s="541"/>
      <c r="K2" s="541"/>
      <c r="L2" s="541"/>
      <c r="M2" s="541"/>
      <c r="N2" s="541"/>
      <c r="O2" s="541"/>
      <c r="P2" s="541"/>
      <c r="Q2" s="541"/>
      <c r="R2" s="541"/>
      <c r="S2" s="541"/>
      <c r="T2" s="541"/>
      <c r="U2" s="541"/>
      <c r="V2" s="541"/>
      <c r="W2" s="541"/>
      <c r="X2" s="541"/>
      <c r="Y2" s="541"/>
      <c r="Z2" s="541"/>
    </row>
    <row r="4" spans="1:28" x14ac:dyDescent="0.25">
      <c r="A4" s="316"/>
      <c r="B4" s="566" t="s">
        <v>594</v>
      </c>
      <c r="C4" s="567"/>
      <c r="D4" s="566" t="s">
        <v>595</v>
      </c>
      <c r="E4" s="567"/>
      <c r="F4" s="566" t="s">
        <v>596</v>
      </c>
      <c r="G4" s="567"/>
      <c r="H4" s="566" t="s">
        <v>597</v>
      </c>
      <c r="I4" s="567"/>
      <c r="J4" s="566" t="s">
        <v>598</v>
      </c>
      <c r="K4" s="567"/>
      <c r="L4" s="566" t="s">
        <v>599</v>
      </c>
      <c r="M4" s="567"/>
      <c r="N4" s="566" t="s">
        <v>600</v>
      </c>
      <c r="O4" s="567"/>
      <c r="P4" s="566" t="s">
        <v>601</v>
      </c>
      <c r="Q4" s="567"/>
      <c r="R4" s="566" t="s">
        <v>602</v>
      </c>
      <c r="S4" s="567"/>
      <c r="T4" s="566" t="s">
        <v>603</v>
      </c>
      <c r="U4" s="567"/>
      <c r="V4" s="566" t="s">
        <v>604</v>
      </c>
      <c r="W4" s="567"/>
      <c r="X4" s="566" t="s">
        <v>672</v>
      </c>
      <c r="Y4" s="567"/>
      <c r="Z4" s="441" t="s">
        <v>26</v>
      </c>
    </row>
    <row r="5" spans="1:28" x14ac:dyDescent="0.25">
      <c r="A5" s="316"/>
      <c r="B5" s="441" t="s">
        <v>673</v>
      </c>
      <c r="C5" s="441" t="s">
        <v>606</v>
      </c>
      <c r="D5" s="441" t="s">
        <v>673</v>
      </c>
      <c r="E5" s="441" t="s">
        <v>606</v>
      </c>
      <c r="F5" s="441" t="s">
        <v>673</v>
      </c>
      <c r="G5" s="441" t="s">
        <v>606</v>
      </c>
      <c r="H5" s="441" t="s">
        <v>673</v>
      </c>
      <c r="I5" s="441" t="s">
        <v>606</v>
      </c>
      <c r="J5" s="441" t="s">
        <v>673</v>
      </c>
      <c r="K5" s="441" t="s">
        <v>606</v>
      </c>
      <c r="L5" s="441" t="s">
        <v>673</v>
      </c>
      <c r="M5" s="441" t="s">
        <v>606</v>
      </c>
      <c r="N5" s="441" t="s">
        <v>673</v>
      </c>
      <c r="O5" s="441" t="s">
        <v>606</v>
      </c>
      <c r="P5" s="441" t="s">
        <v>673</v>
      </c>
      <c r="Q5" s="441" t="s">
        <v>606</v>
      </c>
      <c r="R5" s="441" t="s">
        <v>673</v>
      </c>
      <c r="S5" s="441" t="s">
        <v>606</v>
      </c>
      <c r="T5" s="441" t="s">
        <v>673</v>
      </c>
      <c r="U5" s="441" t="s">
        <v>606</v>
      </c>
      <c r="V5" s="441" t="s">
        <v>673</v>
      </c>
      <c r="W5" s="441" t="s">
        <v>606</v>
      </c>
      <c r="X5" s="441" t="s">
        <v>673</v>
      </c>
      <c r="Y5" s="441" t="s">
        <v>606</v>
      </c>
      <c r="Z5" s="441" t="s">
        <v>673</v>
      </c>
    </row>
    <row r="6" spans="1:28" x14ac:dyDescent="0.25">
      <c r="A6" s="442" t="s">
        <v>0</v>
      </c>
      <c r="B6" s="443"/>
      <c r="C6" s="443"/>
      <c r="D6" s="443"/>
      <c r="E6" s="443"/>
      <c r="F6" s="443"/>
      <c r="G6" s="443"/>
      <c r="H6" s="443"/>
      <c r="I6" s="443"/>
      <c r="J6" s="443"/>
      <c r="K6" s="443"/>
      <c r="L6" s="443"/>
      <c r="M6" s="443"/>
      <c r="N6" s="443"/>
      <c r="O6" s="443"/>
      <c r="P6" s="443"/>
      <c r="Q6" s="443"/>
      <c r="R6" s="443"/>
      <c r="S6" s="443"/>
      <c r="T6" s="443"/>
      <c r="U6" s="443"/>
      <c r="V6" s="443"/>
      <c r="W6" s="443"/>
      <c r="X6" s="443"/>
      <c r="Y6" s="443"/>
      <c r="Z6" s="443"/>
    </row>
    <row r="7" spans="1:28" x14ac:dyDescent="0.25">
      <c r="A7" s="442" t="s">
        <v>136</v>
      </c>
      <c r="B7" s="444">
        <f>20388.97</f>
        <v>20388.97</v>
      </c>
      <c r="C7" s="443"/>
      <c r="D7" s="444">
        <f>80190</f>
        <v>80190</v>
      </c>
      <c r="E7" s="443"/>
      <c r="F7" s="444">
        <f>19607</f>
        <v>19607</v>
      </c>
      <c r="G7" s="444">
        <f>7155</f>
        <v>7155</v>
      </c>
      <c r="H7" s="444">
        <f>8072.79</f>
        <v>8072.79</v>
      </c>
      <c r="I7" s="444">
        <f>22155</f>
        <v>22155</v>
      </c>
      <c r="J7" s="444">
        <f>29040</f>
        <v>29040</v>
      </c>
      <c r="K7" s="444">
        <f>17155</f>
        <v>17155</v>
      </c>
      <c r="L7" s="444">
        <f>9560</f>
        <v>9560</v>
      </c>
      <c r="M7" s="444">
        <f>17155</f>
        <v>17155</v>
      </c>
      <c r="N7" s="444">
        <f>34720.59</f>
        <v>34720.589999999997</v>
      </c>
      <c r="O7" s="444">
        <f>22155</f>
        <v>22155</v>
      </c>
      <c r="P7" s="444">
        <f>8595</f>
        <v>8595</v>
      </c>
      <c r="Q7" s="444">
        <f>17155</f>
        <v>17155</v>
      </c>
      <c r="R7" s="444">
        <f>10654.77</f>
        <v>10654.77</v>
      </c>
      <c r="S7" s="444">
        <f>21655</f>
        <v>21655</v>
      </c>
      <c r="T7" s="444">
        <f>14856.81</f>
        <v>14856.81</v>
      </c>
      <c r="U7" s="444">
        <f>22155</f>
        <v>22155</v>
      </c>
      <c r="V7" s="444">
        <f>30825</f>
        <v>30825</v>
      </c>
      <c r="W7" s="444">
        <f>17155</f>
        <v>17155</v>
      </c>
      <c r="X7" s="444">
        <f>154273.92</f>
        <v>154273.92000000001</v>
      </c>
      <c r="Y7" s="444">
        <f>170155</f>
        <v>170155</v>
      </c>
      <c r="Z7" s="444">
        <f t="shared" ref="Z7:Z14" si="0">(((((((((((B7)+(D7))+(F7))+(H7))+(J7))+(L7))+(N7))+(P7))+(R7))+(T7))+(V7))+(X7)</f>
        <v>420784.85</v>
      </c>
      <c r="AA7" s="444">
        <f>36613+170340</f>
        <v>206953</v>
      </c>
      <c r="AB7" s="438" t="s">
        <v>676</v>
      </c>
    </row>
    <row r="8" spans="1:28" x14ac:dyDescent="0.25">
      <c r="A8" s="442" t="s">
        <v>144</v>
      </c>
      <c r="B8" s="443"/>
      <c r="C8" s="443"/>
      <c r="D8" s="443"/>
      <c r="E8" s="443"/>
      <c r="F8" s="443"/>
      <c r="G8" s="444">
        <f>0</f>
        <v>0</v>
      </c>
      <c r="H8" s="444">
        <f>10566.41</f>
        <v>10566.41</v>
      </c>
      <c r="I8" s="444">
        <f>5226</f>
        <v>5226</v>
      </c>
      <c r="J8" s="443"/>
      <c r="K8" s="444">
        <f>5226</f>
        <v>5226</v>
      </c>
      <c r="L8" s="443"/>
      <c r="M8" s="444">
        <f>5226</f>
        <v>5226</v>
      </c>
      <c r="N8" s="444">
        <f>12837.85</f>
        <v>12837.85</v>
      </c>
      <c r="O8" s="444">
        <f>5226</f>
        <v>5226</v>
      </c>
      <c r="P8" s="443"/>
      <c r="Q8" s="444">
        <f>4096</f>
        <v>4096</v>
      </c>
      <c r="R8" s="443"/>
      <c r="S8" s="444">
        <f>0</f>
        <v>0</v>
      </c>
      <c r="T8" s="444">
        <f>10000</f>
        <v>10000</v>
      </c>
      <c r="U8" s="444">
        <f>0</f>
        <v>0</v>
      </c>
      <c r="V8" s="443"/>
      <c r="W8" s="444">
        <f>0</f>
        <v>0</v>
      </c>
      <c r="X8" s="443"/>
      <c r="Y8" s="444">
        <f>0</f>
        <v>0</v>
      </c>
      <c r="Z8" s="444">
        <f t="shared" si="0"/>
        <v>33404.26</v>
      </c>
    </row>
    <row r="9" spans="1:28" x14ac:dyDescent="0.25">
      <c r="A9" s="442" t="s">
        <v>145</v>
      </c>
      <c r="B9" s="444">
        <f>4966.27</f>
        <v>4966.2700000000004</v>
      </c>
      <c r="C9" s="443"/>
      <c r="D9" s="443"/>
      <c r="E9" s="443"/>
      <c r="F9" s="443"/>
      <c r="G9" s="443"/>
      <c r="H9" s="443"/>
      <c r="I9" s="443"/>
      <c r="J9" s="443"/>
      <c r="K9" s="443"/>
      <c r="L9" s="443"/>
      <c r="M9" s="443"/>
      <c r="N9" s="444">
        <f>4000</f>
        <v>4000</v>
      </c>
      <c r="O9" s="443"/>
      <c r="P9" s="443"/>
      <c r="Q9" s="443"/>
      <c r="R9" s="444">
        <f>167.4</f>
        <v>167.4</v>
      </c>
      <c r="S9" s="443"/>
      <c r="T9" s="443"/>
      <c r="U9" s="443"/>
      <c r="V9" s="443"/>
      <c r="W9" s="443"/>
      <c r="X9" s="444">
        <f>188.05</f>
        <v>188.05</v>
      </c>
      <c r="Y9" s="443"/>
      <c r="Z9" s="444">
        <f t="shared" si="0"/>
        <v>9321.7199999999993</v>
      </c>
    </row>
    <row r="10" spans="1:28" x14ac:dyDescent="0.25">
      <c r="A10" s="442" t="s">
        <v>146</v>
      </c>
      <c r="B10" s="444">
        <f>100.23</f>
        <v>100.23</v>
      </c>
      <c r="C10" s="443"/>
      <c r="D10" s="443"/>
      <c r="E10" s="443"/>
      <c r="F10" s="444">
        <f>54.92</f>
        <v>54.92</v>
      </c>
      <c r="G10" s="444">
        <f>58</f>
        <v>58</v>
      </c>
      <c r="H10" s="444">
        <f>318.91</f>
        <v>318.91000000000003</v>
      </c>
      <c r="I10" s="444">
        <f>58</f>
        <v>58</v>
      </c>
      <c r="J10" s="443"/>
      <c r="K10" s="444">
        <f>58</f>
        <v>58</v>
      </c>
      <c r="L10" s="444">
        <f>250.57</f>
        <v>250.57</v>
      </c>
      <c r="M10" s="444">
        <f>58</f>
        <v>58</v>
      </c>
      <c r="N10" s="444">
        <f>80</f>
        <v>80</v>
      </c>
      <c r="O10" s="444">
        <f>58</f>
        <v>58</v>
      </c>
      <c r="P10" s="443"/>
      <c r="Q10" s="444">
        <f>58</f>
        <v>58</v>
      </c>
      <c r="R10" s="444">
        <f>100.23</f>
        <v>100.23</v>
      </c>
      <c r="S10" s="444">
        <f>58</f>
        <v>58</v>
      </c>
      <c r="T10" s="444">
        <f>52.33</f>
        <v>52.33</v>
      </c>
      <c r="U10" s="444">
        <f>58</f>
        <v>58</v>
      </c>
      <c r="V10" s="443"/>
      <c r="W10" s="444">
        <f>58</f>
        <v>58</v>
      </c>
      <c r="X10" s="444">
        <f>1735.65</f>
        <v>1735.65</v>
      </c>
      <c r="Y10" s="444">
        <f>58</f>
        <v>58</v>
      </c>
      <c r="Z10" s="444">
        <f t="shared" si="0"/>
        <v>2692.84</v>
      </c>
    </row>
    <row r="11" spans="1:28" x14ac:dyDescent="0.25">
      <c r="A11" s="442" t="s">
        <v>147</v>
      </c>
      <c r="B11" s="444">
        <f>935.6</f>
        <v>935.6</v>
      </c>
      <c r="C11" s="443"/>
      <c r="D11" s="444">
        <f>94.2</f>
        <v>94.2</v>
      </c>
      <c r="E11" s="443"/>
      <c r="F11" s="444">
        <f>349.7</f>
        <v>349.7</v>
      </c>
      <c r="G11" s="444">
        <f>0</f>
        <v>0</v>
      </c>
      <c r="H11" s="443"/>
      <c r="I11" s="444">
        <f>0</f>
        <v>0</v>
      </c>
      <c r="J11" s="443"/>
      <c r="K11" s="444">
        <f>0</f>
        <v>0</v>
      </c>
      <c r="L11" s="443"/>
      <c r="M11" s="444">
        <f>0</f>
        <v>0</v>
      </c>
      <c r="N11" s="444">
        <f>491.4</f>
        <v>491.4</v>
      </c>
      <c r="O11" s="444">
        <f>15809</f>
        <v>15809</v>
      </c>
      <c r="P11" s="444">
        <f>761.1</f>
        <v>761.1</v>
      </c>
      <c r="Q11" s="444">
        <f>13060</f>
        <v>13060</v>
      </c>
      <c r="R11" s="444">
        <f>2410.8</f>
        <v>2410.8000000000002</v>
      </c>
      <c r="S11" s="444">
        <f>13856</f>
        <v>13856</v>
      </c>
      <c r="T11" s="444">
        <f>2722.1</f>
        <v>2722.1</v>
      </c>
      <c r="U11" s="444">
        <f>17995</f>
        <v>17995</v>
      </c>
      <c r="V11" s="444">
        <f>10.5</f>
        <v>10.5</v>
      </c>
      <c r="W11" s="444">
        <f>12807</f>
        <v>12807</v>
      </c>
      <c r="X11" s="444">
        <f>37</f>
        <v>37</v>
      </c>
      <c r="Y11" s="444">
        <f>0</f>
        <v>0</v>
      </c>
      <c r="Z11" s="444">
        <f t="shared" si="0"/>
        <v>7812.4</v>
      </c>
    </row>
    <row r="12" spans="1:28" x14ac:dyDescent="0.25">
      <c r="A12" s="442" t="s">
        <v>153</v>
      </c>
      <c r="B12" s="444">
        <f>-1000</f>
        <v>-1000</v>
      </c>
      <c r="C12" s="443"/>
      <c r="D12" s="443"/>
      <c r="E12" s="443"/>
      <c r="F12" s="443"/>
      <c r="G12" s="443"/>
      <c r="H12" s="443"/>
      <c r="I12" s="443"/>
      <c r="J12" s="443"/>
      <c r="K12" s="443"/>
      <c r="L12" s="443"/>
      <c r="M12" s="443"/>
      <c r="N12" s="443"/>
      <c r="O12" s="443"/>
      <c r="P12" s="443"/>
      <c r="Q12" s="443"/>
      <c r="R12" s="444">
        <f>97.89</f>
        <v>97.89</v>
      </c>
      <c r="S12" s="443"/>
      <c r="T12" s="443"/>
      <c r="U12" s="443"/>
      <c r="V12" s="443"/>
      <c r="W12" s="443"/>
      <c r="X12" s="443"/>
      <c r="Y12" s="443"/>
      <c r="Z12" s="444">
        <f t="shared" si="0"/>
        <v>-902.11</v>
      </c>
    </row>
    <row r="13" spans="1:28" x14ac:dyDescent="0.25">
      <c r="A13" s="442" t="s">
        <v>155</v>
      </c>
      <c r="B13" s="443"/>
      <c r="C13" s="443"/>
      <c r="D13" s="444">
        <f>103.79</f>
        <v>103.79</v>
      </c>
      <c r="E13" s="443"/>
      <c r="F13" s="443"/>
      <c r="G13" s="443"/>
      <c r="H13" s="444">
        <f>0.14</f>
        <v>0.14000000000000001</v>
      </c>
      <c r="I13" s="443"/>
      <c r="J13" s="443"/>
      <c r="K13" s="443"/>
      <c r="L13" s="443"/>
      <c r="M13" s="443"/>
      <c r="N13" s="443"/>
      <c r="O13" s="443"/>
      <c r="P13" s="444">
        <f>3.02</f>
        <v>3.02</v>
      </c>
      <c r="Q13" s="443"/>
      <c r="R13" s="443"/>
      <c r="S13" s="443"/>
      <c r="T13" s="443"/>
      <c r="U13" s="443"/>
      <c r="V13" s="443"/>
      <c r="W13" s="443"/>
      <c r="X13" s="443"/>
      <c r="Y13" s="443"/>
      <c r="Z13" s="444">
        <f t="shared" si="0"/>
        <v>106.95</v>
      </c>
    </row>
    <row r="14" spans="1:28" x14ac:dyDescent="0.25">
      <c r="A14" s="442" t="s">
        <v>156</v>
      </c>
      <c r="B14" s="445">
        <f t="shared" ref="B14:Y14" si="1">((((((B7)+(B8))+(B9))+(B10))+(B11))+(B12))+(B13)</f>
        <v>25391.07</v>
      </c>
      <c r="C14" s="445">
        <f t="shared" si="1"/>
        <v>0</v>
      </c>
      <c r="D14" s="445">
        <f t="shared" si="1"/>
        <v>80387.989999999991</v>
      </c>
      <c r="E14" s="445">
        <f t="shared" si="1"/>
        <v>0</v>
      </c>
      <c r="F14" s="445">
        <f t="shared" si="1"/>
        <v>20011.62</v>
      </c>
      <c r="G14" s="445">
        <f t="shared" si="1"/>
        <v>7213</v>
      </c>
      <c r="H14" s="445">
        <f t="shared" si="1"/>
        <v>18958.25</v>
      </c>
      <c r="I14" s="445">
        <f t="shared" si="1"/>
        <v>27439</v>
      </c>
      <c r="J14" s="445">
        <f t="shared" si="1"/>
        <v>29040</v>
      </c>
      <c r="K14" s="445">
        <f t="shared" si="1"/>
        <v>22439</v>
      </c>
      <c r="L14" s="445">
        <f t="shared" si="1"/>
        <v>9810.57</v>
      </c>
      <c r="M14" s="445">
        <f t="shared" si="1"/>
        <v>22439</v>
      </c>
      <c r="N14" s="445">
        <f t="shared" si="1"/>
        <v>52129.84</v>
      </c>
      <c r="O14" s="445">
        <f t="shared" si="1"/>
        <v>43248</v>
      </c>
      <c r="P14" s="445">
        <f t="shared" si="1"/>
        <v>9359.1200000000008</v>
      </c>
      <c r="Q14" s="445">
        <f t="shared" si="1"/>
        <v>34369</v>
      </c>
      <c r="R14" s="445">
        <f t="shared" si="1"/>
        <v>13431.09</v>
      </c>
      <c r="S14" s="445">
        <f t="shared" si="1"/>
        <v>35569</v>
      </c>
      <c r="T14" s="445">
        <f t="shared" si="1"/>
        <v>27631.239999999998</v>
      </c>
      <c r="U14" s="445">
        <f t="shared" si="1"/>
        <v>40208</v>
      </c>
      <c r="V14" s="445">
        <f t="shared" si="1"/>
        <v>30835.5</v>
      </c>
      <c r="W14" s="445">
        <f t="shared" si="1"/>
        <v>30020</v>
      </c>
      <c r="X14" s="445">
        <f t="shared" si="1"/>
        <v>156234.62</v>
      </c>
      <c r="Y14" s="445">
        <f t="shared" si="1"/>
        <v>170213</v>
      </c>
      <c r="Z14" s="445">
        <f t="shared" si="0"/>
        <v>473220.91</v>
      </c>
    </row>
    <row r="15" spans="1:28" x14ac:dyDescent="0.25">
      <c r="A15" s="442" t="s">
        <v>20</v>
      </c>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row>
    <row r="16" spans="1:28" x14ac:dyDescent="0.25">
      <c r="A16" s="442" t="s">
        <v>617</v>
      </c>
      <c r="B16" s="443"/>
      <c r="C16" s="443"/>
      <c r="D16" s="443"/>
      <c r="E16" s="443"/>
      <c r="F16" s="443"/>
      <c r="G16" s="443"/>
      <c r="H16" s="443"/>
      <c r="I16" s="443"/>
      <c r="J16" s="443"/>
      <c r="K16" s="443"/>
      <c r="L16" s="443"/>
      <c r="M16" s="443"/>
      <c r="N16" s="443"/>
      <c r="O16" s="443"/>
      <c r="P16" s="443"/>
      <c r="Q16" s="443"/>
      <c r="R16" s="443"/>
      <c r="S16" s="443"/>
      <c r="T16" s="444">
        <f>2.13</f>
        <v>2.13</v>
      </c>
      <c r="U16" s="443"/>
      <c r="V16" s="443"/>
      <c r="W16" s="443"/>
      <c r="X16" s="443"/>
      <c r="Y16" s="443"/>
      <c r="Z16" s="444">
        <f t="shared" ref="Z16:Z37" si="2">(((((((((((B16)+(D16))+(F16))+(H16))+(J16))+(L16))+(N16))+(P16))+(R16))+(T16))+(V16))+(X16)</f>
        <v>2.13</v>
      </c>
    </row>
    <row r="17" spans="1:26" x14ac:dyDescent="0.25">
      <c r="A17" s="442" t="s">
        <v>157</v>
      </c>
      <c r="B17" s="444">
        <f>4620</f>
        <v>4620</v>
      </c>
      <c r="C17" s="443"/>
      <c r="D17" s="444">
        <f>3200.25</f>
        <v>3200.25</v>
      </c>
      <c r="E17" s="443"/>
      <c r="F17" s="444">
        <f>1008</f>
        <v>1008</v>
      </c>
      <c r="G17" s="444">
        <f>624</f>
        <v>624</v>
      </c>
      <c r="H17" s="444">
        <f>1755</f>
        <v>1755</v>
      </c>
      <c r="I17" s="444">
        <f>3624</f>
        <v>3624</v>
      </c>
      <c r="J17" s="444">
        <f>5340</f>
        <v>5340</v>
      </c>
      <c r="K17" s="444">
        <f>6624</f>
        <v>6624</v>
      </c>
      <c r="L17" s="444">
        <f>5148</f>
        <v>5148</v>
      </c>
      <c r="M17" s="444">
        <f>6624</f>
        <v>6624</v>
      </c>
      <c r="N17" s="444">
        <f>8649</f>
        <v>8649</v>
      </c>
      <c r="O17" s="444">
        <f>8124</f>
        <v>8124</v>
      </c>
      <c r="P17" s="444">
        <f>9380.2</f>
        <v>9380.2000000000007</v>
      </c>
      <c r="Q17" s="444">
        <f>13200</f>
        <v>13200</v>
      </c>
      <c r="R17" s="444">
        <f>10886.4</f>
        <v>10886.4</v>
      </c>
      <c r="S17" s="444">
        <f>17928</f>
        <v>17928</v>
      </c>
      <c r="T17" s="444">
        <f>9351</f>
        <v>9351</v>
      </c>
      <c r="U17" s="444">
        <f>7200</f>
        <v>7200</v>
      </c>
      <c r="V17" s="444">
        <f>7872</f>
        <v>7872</v>
      </c>
      <c r="W17" s="444">
        <f>6624</f>
        <v>6624</v>
      </c>
      <c r="X17" s="444">
        <f>8220</f>
        <v>8220</v>
      </c>
      <c r="Y17" s="444">
        <f>8124</f>
        <v>8124</v>
      </c>
      <c r="Z17" s="444">
        <f t="shared" si="2"/>
        <v>75429.850000000006</v>
      </c>
    </row>
    <row r="18" spans="1:26" x14ac:dyDescent="0.25">
      <c r="A18" s="442" t="s">
        <v>158</v>
      </c>
      <c r="B18" s="444">
        <f>273.4</f>
        <v>273.39999999999998</v>
      </c>
      <c r="C18" s="443"/>
      <c r="D18" s="444">
        <f>240.01</f>
        <v>240.01</v>
      </c>
      <c r="E18" s="443"/>
      <c r="F18" s="444">
        <f>130.64</f>
        <v>130.63999999999999</v>
      </c>
      <c r="G18" s="444">
        <f>1106</f>
        <v>1106</v>
      </c>
      <c r="H18" s="444">
        <f>186.98</f>
        <v>186.98</v>
      </c>
      <c r="I18" s="444">
        <f>1106</f>
        <v>1106</v>
      </c>
      <c r="J18" s="444">
        <f>187.34</f>
        <v>187.34</v>
      </c>
      <c r="K18" s="444">
        <f>1106</f>
        <v>1106</v>
      </c>
      <c r="L18" s="444">
        <f>203.9</f>
        <v>203.9</v>
      </c>
      <c r="M18" s="444">
        <f>1106</f>
        <v>1106</v>
      </c>
      <c r="N18" s="444">
        <f>871.94</f>
        <v>871.94</v>
      </c>
      <c r="O18" s="444">
        <f>1106</f>
        <v>1106</v>
      </c>
      <c r="P18" s="443"/>
      <c r="Q18" s="444">
        <f>1106</f>
        <v>1106</v>
      </c>
      <c r="R18" s="444">
        <f>641.26</f>
        <v>641.26</v>
      </c>
      <c r="S18" s="444">
        <f>1106</f>
        <v>1106</v>
      </c>
      <c r="T18" s="444">
        <f>945.92</f>
        <v>945.92</v>
      </c>
      <c r="U18" s="444">
        <f>1106</f>
        <v>1106</v>
      </c>
      <c r="V18" s="444">
        <f>752.31</f>
        <v>752.31</v>
      </c>
      <c r="W18" s="444">
        <f>1106</f>
        <v>1106</v>
      </c>
      <c r="X18" s="444">
        <f>731.81</f>
        <v>731.81</v>
      </c>
      <c r="Y18" s="444">
        <f>1106</f>
        <v>1106</v>
      </c>
      <c r="Z18" s="444">
        <f t="shared" si="2"/>
        <v>5165.51</v>
      </c>
    </row>
    <row r="19" spans="1:26" x14ac:dyDescent="0.25">
      <c r="A19" s="442" t="s">
        <v>159</v>
      </c>
      <c r="B19" s="444">
        <f>359.96</f>
        <v>359.96</v>
      </c>
      <c r="C19" s="443"/>
      <c r="D19" s="443"/>
      <c r="E19" s="443"/>
      <c r="F19" s="443"/>
      <c r="G19" s="444">
        <f>83</f>
        <v>83</v>
      </c>
      <c r="H19" s="443"/>
      <c r="I19" s="444">
        <f>83</f>
        <v>83</v>
      </c>
      <c r="J19" s="443"/>
      <c r="K19" s="444">
        <f>83</f>
        <v>83</v>
      </c>
      <c r="L19" s="443"/>
      <c r="M19" s="444">
        <f>83</f>
        <v>83</v>
      </c>
      <c r="N19" s="443"/>
      <c r="O19" s="444">
        <f>83</f>
        <v>83</v>
      </c>
      <c r="P19" s="443"/>
      <c r="Q19" s="444">
        <f>83</f>
        <v>83</v>
      </c>
      <c r="R19" s="443"/>
      <c r="S19" s="444">
        <f>83</f>
        <v>83</v>
      </c>
      <c r="T19" s="443"/>
      <c r="U19" s="444">
        <f>83</f>
        <v>83</v>
      </c>
      <c r="V19" s="443"/>
      <c r="W19" s="444">
        <f>83</f>
        <v>83</v>
      </c>
      <c r="X19" s="443"/>
      <c r="Y19" s="444">
        <f>83</f>
        <v>83</v>
      </c>
      <c r="Z19" s="444">
        <f t="shared" si="2"/>
        <v>359.96</v>
      </c>
    </row>
    <row r="20" spans="1:26" x14ac:dyDescent="0.25">
      <c r="A20" s="442" t="s">
        <v>431</v>
      </c>
      <c r="B20" s="443"/>
      <c r="C20" s="443"/>
      <c r="D20" s="443"/>
      <c r="E20" s="443"/>
      <c r="F20" s="444">
        <f>655.22</f>
        <v>655.22</v>
      </c>
      <c r="G20" s="444">
        <f>42</f>
        <v>42</v>
      </c>
      <c r="H20" s="444">
        <f>18.03</f>
        <v>18.03</v>
      </c>
      <c r="I20" s="444">
        <f>42</f>
        <v>42</v>
      </c>
      <c r="J20" s="443"/>
      <c r="K20" s="444">
        <f>42</f>
        <v>42</v>
      </c>
      <c r="L20" s="443"/>
      <c r="M20" s="444">
        <f>42</f>
        <v>42</v>
      </c>
      <c r="N20" s="443"/>
      <c r="O20" s="444">
        <f>42</f>
        <v>42</v>
      </c>
      <c r="P20" s="443"/>
      <c r="Q20" s="444">
        <f>42</f>
        <v>42</v>
      </c>
      <c r="R20" s="443"/>
      <c r="S20" s="444">
        <f>42</f>
        <v>42</v>
      </c>
      <c r="T20" s="443"/>
      <c r="U20" s="444">
        <f>42</f>
        <v>42</v>
      </c>
      <c r="V20" s="443"/>
      <c r="W20" s="444">
        <f>42</f>
        <v>42</v>
      </c>
      <c r="X20" s="443"/>
      <c r="Y20" s="444">
        <f>42</f>
        <v>42</v>
      </c>
      <c r="Z20" s="444">
        <f t="shared" si="2"/>
        <v>673.25</v>
      </c>
    </row>
    <row r="21" spans="1:26" x14ac:dyDescent="0.25">
      <c r="A21" s="442" t="s">
        <v>160</v>
      </c>
      <c r="B21" s="444">
        <f>69.99</f>
        <v>69.989999999999995</v>
      </c>
      <c r="C21" s="443"/>
      <c r="D21" s="444">
        <f>119.99</f>
        <v>119.99</v>
      </c>
      <c r="E21" s="443"/>
      <c r="F21" s="444">
        <f>27.27</f>
        <v>27.27</v>
      </c>
      <c r="G21" s="444">
        <f>275</f>
        <v>275</v>
      </c>
      <c r="H21" s="444">
        <f>29.61</f>
        <v>29.61</v>
      </c>
      <c r="I21" s="444">
        <f>275</f>
        <v>275</v>
      </c>
      <c r="J21" s="444">
        <f>380.47</f>
        <v>380.47</v>
      </c>
      <c r="K21" s="444">
        <f>275</f>
        <v>275</v>
      </c>
      <c r="L21" s="444">
        <f>150</f>
        <v>150</v>
      </c>
      <c r="M21" s="444">
        <f>275</f>
        <v>275</v>
      </c>
      <c r="N21" s="444">
        <f>774.34</f>
        <v>774.34</v>
      </c>
      <c r="O21" s="444">
        <f>275</f>
        <v>275</v>
      </c>
      <c r="P21" s="444">
        <f>173.54</f>
        <v>173.54</v>
      </c>
      <c r="Q21" s="444">
        <f>275</f>
        <v>275</v>
      </c>
      <c r="R21" s="444">
        <f>74.45</f>
        <v>74.45</v>
      </c>
      <c r="S21" s="444">
        <f>275</f>
        <v>275</v>
      </c>
      <c r="T21" s="444">
        <f>295.19</f>
        <v>295.19</v>
      </c>
      <c r="U21" s="444">
        <f>275</f>
        <v>275</v>
      </c>
      <c r="V21" s="443"/>
      <c r="W21" s="444">
        <f>275</f>
        <v>275</v>
      </c>
      <c r="X21" s="443"/>
      <c r="Y21" s="444">
        <f>275</f>
        <v>275</v>
      </c>
      <c r="Z21" s="444">
        <f t="shared" si="2"/>
        <v>2094.85</v>
      </c>
    </row>
    <row r="22" spans="1:26" x14ac:dyDescent="0.25">
      <c r="A22" s="442" t="s">
        <v>674</v>
      </c>
      <c r="B22" s="443"/>
      <c r="C22" s="443"/>
      <c r="D22" s="443"/>
      <c r="E22" s="443"/>
      <c r="F22" s="443"/>
      <c r="G22" s="443"/>
      <c r="H22" s="443"/>
      <c r="I22" s="443"/>
      <c r="J22" s="443"/>
      <c r="K22" s="443"/>
      <c r="L22" s="443"/>
      <c r="M22" s="443"/>
      <c r="N22" s="443"/>
      <c r="O22" s="443"/>
      <c r="P22" s="443"/>
      <c r="Q22" s="443"/>
      <c r="R22" s="443"/>
      <c r="S22" s="443"/>
      <c r="T22" s="443"/>
      <c r="U22" s="443"/>
      <c r="V22" s="443"/>
      <c r="W22" s="443"/>
      <c r="X22" s="444">
        <f>4000.5</f>
        <v>4000.5</v>
      </c>
      <c r="Y22" s="443"/>
      <c r="Z22" s="444">
        <f t="shared" si="2"/>
        <v>4000.5</v>
      </c>
    </row>
    <row r="23" spans="1:26" x14ac:dyDescent="0.25">
      <c r="A23" s="442" t="s">
        <v>161</v>
      </c>
      <c r="B23" s="444">
        <f>215.5</f>
        <v>215.5</v>
      </c>
      <c r="C23" s="443"/>
      <c r="D23" s="443"/>
      <c r="E23" s="443"/>
      <c r="F23" s="443"/>
      <c r="G23" s="444">
        <f>0</f>
        <v>0</v>
      </c>
      <c r="H23" s="443"/>
      <c r="I23" s="444">
        <f>250</f>
        <v>250</v>
      </c>
      <c r="J23" s="444">
        <f>52.5</f>
        <v>52.5</v>
      </c>
      <c r="K23" s="444">
        <f>500</f>
        <v>500</v>
      </c>
      <c r="L23" s="443"/>
      <c r="M23" s="444">
        <f>500</f>
        <v>500</v>
      </c>
      <c r="N23" s="444">
        <f>96</f>
        <v>96</v>
      </c>
      <c r="O23" s="444">
        <f>1000</f>
        <v>1000</v>
      </c>
      <c r="P23" s="444">
        <f>733.96</f>
        <v>733.96</v>
      </c>
      <c r="Q23" s="444">
        <f>650</f>
        <v>650</v>
      </c>
      <c r="R23" s="443"/>
      <c r="S23" s="444">
        <f>950</f>
        <v>950</v>
      </c>
      <c r="T23" s="443"/>
      <c r="U23" s="444">
        <f>900</f>
        <v>900</v>
      </c>
      <c r="V23" s="443"/>
      <c r="W23" s="444">
        <f>250</f>
        <v>250</v>
      </c>
      <c r="X23" s="443"/>
      <c r="Y23" s="444">
        <f>0</f>
        <v>0</v>
      </c>
      <c r="Z23" s="444">
        <f t="shared" si="2"/>
        <v>1097.96</v>
      </c>
    </row>
    <row r="24" spans="1:26" x14ac:dyDescent="0.25">
      <c r="A24" s="442" t="s">
        <v>162</v>
      </c>
      <c r="B24" s="443"/>
      <c r="C24" s="443"/>
      <c r="D24" s="443"/>
      <c r="E24" s="443"/>
      <c r="F24" s="444">
        <f>150</f>
        <v>150</v>
      </c>
      <c r="G24" s="444">
        <f>75</f>
        <v>75</v>
      </c>
      <c r="H24" s="443"/>
      <c r="I24" s="444">
        <f>75</f>
        <v>75</v>
      </c>
      <c r="J24" s="444">
        <f>30</f>
        <v>30</v>
      </c>
      <c r="K24" s="444">
        <f>75</f>
        <v>75</v>
      </c>
      <c r="L24" s="443"/>
      <c r="M24" s="444">
        <f>75</f>
        <v>75</v>
      </c>
      <c r="N24" s="444">
        <f>4000</f>
        <v>4000</v>
      </c>
      <c r="O24" s="444">
        <f>75</f>
        <v>75</v>
      </c>
      <c r="P24" s="444">
        <f>276.96</f>
        <v>276.95999999999998</v>
      </c>
      <c r="Q24" s="444">
        <f>75</f>
        <v>75</v>
      </c>
      <c r="R24" s="443"/>
      <c r="S24" s="444">
        <f>75</f>
        <v>75</v>
      </c>
      <c r="T24" s="443"/>
      <c r="U24" s="444">
        <f>75</f>
        <v>75</v>
      </c>
      <c r="V24" s="443"/>
      <c r="W24" s="444">
        <f>75</f>
        <v>75</v>
      </c>
      <c r="X24" s="443"/>
      <c r="Y24" s="444">
        <f>75</f>
        <v>75</v>
      </c>
      <c r="Z24" s="444">
        <f t="shared" si="2"/>
        <v>4456.96</v>
      </c>
    </row>
    <row r="25" spans="1:26" x14ac:dyDescent="0.25">
      <c r="A25" s="442" t="s">
        <v>621</v>
      </c>
      <c r="B25" s="444">
        <f>339.35</f>
        <v>339.35</v>
      </c>
      <c r="C25" s="443"/>
      <c r="D25" s="444">
        <f>60.81</f>
        <v>60.81</v>
      </c>
      <c r="E25" s="443"/>
      <c r="F25" s="444">
        <f>104.47</f>
        <v>104.47</v>
      </c>
      <c r="G25" s="444">
        <f>408</f>
        <v>408</v>
      </c>
      <c r="H25" s="444">
        <f>162.12</f>
        <v>162.12</v>
      </c>
      <c r="I25" s="444">
        <f>408</f>
        <v>408</v>
      </c>
      <c r="J25" s="444">
        <f>353.94</f>
        <v>353.94</v>
      </c>
      <c r="K25" s="444">
        <f>408</f>
        <v>408</v>
      </c>
      <c r="L25" s="444">
        <f>201.03</f>
        <v>201.03</v>
      </c>
      <c r="M25" s="444">
        <f>408</f>
        <v>408</v>
      </c>
      <c r="N25" s="444">
        <f>37.16</f>
        <v>37.159999999999997</v>
      </c>
      <c r="O25" s="444">
        <f>408</f>
        <v>408</v>
      </c>
      <c r="P25" s="444">
        <f>11.37</f>
        <v>11.37</v>
      </c>
      <c r="Q25" s="444">
        <f>408</f>
        <v>408</v>
      </c>
      <c r="R25" s="444">
        <f>333.89</f>
        <v>333.89</v>
      </c>
      <c r="S25" s="444">
        <f>408</f>
        <v>408</v>
      </c>
      <c r="T25" s="444">
        <f>140.12</f>
        <v>140.12</v>
      </c>
      <c r="U25" s="444">
        <f>408</f>
        <v>408</v>
      </c>
      <c r="V25" s="444">
        <f>185.74</f>
        <v>185.74</v>
      </c>
      <c r="W25" s="444">
        <f>408</f>
        <v>408</v>
      </c>
      <c r="X25" s="444">
        <f>35</f>
        <v>35</v>
      </c>
      <c r="Y25" s="444">
        <f>408</f>
        <v>408</v>
      </c>
      <c r="Z25" s="444">
        <f t="shared" si="2"/>
        <v>1964.9999999999998</v>
      </c>
    </row>
    <row r="26" spans="1:26" x14ac:dyDescent="0.25">
      <c r="A26" s="442" t="s">
        <v>163</v>
      </c>
      <c r="B26" s="444">
        <f>6941.27</f>
        <v>6941.27</v>
      </c>
      <c r="C26" s="443"/>
      <c r="D26" s="444">
        <f>316.05</f>
        <v>316.05</v>
      </c>
      <c r="E26" s="443"/>
      <c r="F26" s="444">
        <f>12203.75</f>
        <v>12203.75</v>
      </c>
      <c r="G26" s="444">
        <f>417</f>
        <v>417</v>
      </c>
      <c r="H26" s="444">
        <f>2364.16</f>
        <v>2364.16</v>
      </c>
      <c r="I26" s="444">
        <f>417</f>
        <v>417</v>
      </c>
      <c r="J26" s="444">
        <f>1064.1</f>
        <v>1064.0999999999999</v>
      </c>
      <c r="K26" s="444">
        <f>417</f>
        <v>417</v>
      </c>
      <c r="L26" s="444">
        <f>485.7</f>
        <v>485.7</v>
      </c>
      <c r="M26" s="444">
        <f>417</f>
        <v>417</v>
      </c>
      <c r="N26" s="444">
        <f>40.96</f>
        <v>40.96</v>
      </c>
      <c r="O26" s="444">
        <f>417</f>
        <v>417</v>
      </c>
      <c r="P26" s="443"/>
      <c r="Q26" s="444">
        <f>417</f>
        <v>417</v>
      </c>
      <c r="R26" s="443"/>
      <c r="S26" s="444">
        <f>417</f>
        <v>417</v>
      </c>
      <c r="T26" s="443"/>
      <c r="U26" s="444">
        <f>417</f>
        <v>417</v>
      </c>
      <c r="V26" s="444">
        <f>6.99</f>
        <v>6.99</v>
      </c>
      <c r="W26" s="444">
        <f>417</f>
        <v>417</v>
      </c>
      <c r="X26" s="443"/>
      <c r="Y26" s="444">
        <f>417</f>
        <v>417</v>
      </c>
      <c r="Z26" s="444">
        <f t="shared" si="2"/>
        <v>23422.98</v>
      </c>
    </row>
    <row r="27" spans="1:26" x14ac:dyDescent="0.25">
      <c r="A27" s="442" t="s">
        <v>164</v>
      </c>
      <c r="B27" s="443"/>
      <c r="C27" s="443"/>
      <c r="D27" s="444">
        <f>483.6</f>
        <v>483.6</v>
      </c>
      <c r="E27" s="443"/>
      <c r="F27" s="444">
        <f>679.5</f>
        <v>679.5</v>
      </c>
      <c r="G27" s="444">
        <f>204</f>
        <v>204</v>
      </c>
      <c r="H27" s="443"/>
      <c r="I27" s="444">
        <f>204</f>
        <v>204</v>
      </c>
      <c r="J27" s="444">
        <f>1359</f>
        <v>1359</v>
      </c>
      <c r="K27" s="444">
        <f>204</f>
        <v>204</v>
      </c>
      <c r="L27" s="443"/>
      <c r="M27" s="444">
        <f>204</f>
        <v>204</v>
      </c>
      <c r="N27" s="444">
        <f>100</f>
        <v>100</v>
      </c>
      <c r="O27" s="444">
        <f>204</f>
        <v>204</v>
      </c>
      <c r="P27" s="444">
        <f>488.14</f>
        <v>488.14</v>
      </c>
      <c r="Q27" s="444">
        <f>204</f>
        <v>204</v>
      </c>
      <c r="R27" s="444">
        <f>530.17</f>
        <v>530.16999999999996</v>
      </c>
      <c r="S27" s="444">
        <f>204</f>
        <v>204</v>
      </c>
      <c r="T27" s="443"/>
      <c r="U27" s="444">
        <f>204</f>
        <v>204</v>
      </c>
      <c r="V27" s="443"/>
      <c r="W27" s="444">
        <f>204</f>
        <v>204</v>
      </c>
      <c r="X27" s="443"/>
      <c r="Y27" s="444">
        <f>204</f>
        <v>204</v>
      </c>
      <c r="Z27" s="444">
        <f t="shared" si="2"/>
        <v>3640.41</v>
      </c>
    </row>
    <row r="28" spans="1:26" x14ac:dyDescent="0.25">
      <c r="A28" s="442" t="s">
        <v>165</v>
      </c>
      <c r="B28" s="443"/>
      <c r="C28" s="443"/>
      <c r="D28" s="443"/>
      <c r="E28" s="443"/>
      <c r="F28" s="443"/>
      <c r="G28" s="444">
        <f>0</f>
        <v>0</v>
      </c>
      <c r="H28" s="444">
        <f>224</f>
        <v>224</v>
      </c>
      <c r="I28" s="444">
        <f>0</f>
        <v>0</v>
      </c>
      <c r="J28" s="444">
        <f>700</f>
        <v>700</v>
      </c>
      <c r="K28" s="444">
        <f>0</f>
        <v>0</v>
      </c>
      <c r="L28" s="443"/>
      <c r="M28" s="444">
        <f>250</f>
        <v>250</v>
      </c>
      <c r="N28" s="444">
        <f>369.98</f>
        <v>369.98</v>
      </c>
      <c r="O28" s="444">
        <f>250</f>
        <v>250</v>
      </c>
      <c r="P28" s="444">
        <f>258.9</f>
        <v>258.89999999999998</v>
      </c>
      <c r="Q28" s="444">
        <f>250</f>
        <v>250</v>
      </c>
      <c r="R28" s="444">
        <f>83</f>
        <v>83</v>
      </c>
      <c r="S28" s="444">
        <f>250</f>
        <v>250</v>
      </c>
      <c r="T28" s="443"/>
      <c r="U28" s="444">
        <f>250</f>
        <v>250</v>
      </c>
      <c r="V28" s="443"/>
      <c r="W28" s="444">
        <f>250</f>
        <v>250</v>
      </c>
      <c r="X28" s="443"/>
      <c r="Y28" s="444">
        <f>0</f>
        <v>0</v>
      </c>
      <c r="Z28" s="444">
        <f t="shared" si="2"/>
        <v>1635.88</v>
      </c>
    </row>
    <row r="29" spans="1:26" x14ac:dyDescent="0.25">
      <c r="A29" s="442" t="s">
        <v>166</v>
      </c>
      <c r="B29" s="444">
        <f>136.92</f>
        <v>136.91999999999999</v>
      </c>
      <c r="C29" s="443"/>
      <c r="D29" s="443"/>
      <c r="E29" s="443"/>
      <c r="F29" s="444">
        <f>303.46</f>
        <v>303.45999999999998</v>
      </c>
      <c r="G29" s="444">
        <f>0</f>
        <v>0</v>
      </c>
      <c r="H29" s="444">
        <f>278.51</f>
        <v>278.51</v>
      </c>
      <c r="I29" s="444">
        <f>0</f>
        <v>0</v>
      </c>
      <c r="J29" s="444">
        <f>263.75</f>
        <v>263.75</v>
      </c>
      <c r="K29" s="444">
        <f>0</f>
        <v>0</v>
      </c>
      <c r="L29" s="444">
        <f>405.39</f>
        <v>405.39</v>
      </c>
      <c r="M29" s="444">
        <f>167</f>
        <v>167</v>
      </c>
      <c r="N29" s="444">
        <f>120.71</f>
        <v>120.71</v>
      </c>
      <c r="O29" s="444">
        <f>167</f>
        <v>167</v>
      </c>
      <c r="P29" s="444">
        <f>476.7</f>
        <v>476.7</v>
      </c>
      <c r="Q29" s="444">
        <f>167</f>
        <v>167</v>
      </c>
      <c r="R29" s="444">
        <f>122.63</f>
        <v>122.63</v>
      </c>
      <c r="S29" s="444">
        <f>167</f>
        <v>167</v>
      </c>
      <c r="T29" s="444">
        <f>229.29</f>
        <v>229.29</v>
      </c>
      <c r="U29" s="444">
        <f>167</f>
        <v>167</v>
      </c>
      <c r="V29" s="444">
        <f>41.03</f>
        <v>41.03</v>
      </c>
      <c r="W29" s="444">
        <f>167</f>
        <v>167</v>
      </c>
      <c r="X29" s="444">
        <f>1816.99</f>
        <v>1816.99</v>
      </c>
      <c r="Y29" s="444">
        <f>0</f>
        <v>0</v>
      </c>
      <c r="Z29" s="444">
        <f t="shared" si="2"/>
        <v>4195.38</v>
      </c>
    </row>
    <row r="30" spans="1:26" x14ac:dyDescent="0.25">
      <c r="A30" s="442" t="s">
        <v>167</v>
      </c>
      <c r="B30" s="443"/>
      <c r="C30" s="443"/>
      <c r="D30" s="443"/>
      <c r="E30" s="443"/>
      <c r="F30" s="443"/>
      <c r="G30" s="444">
        <f>103</f>
        <v>103</v>
      </c>
      <c r="H30" s="444">
        <f>139.7</f>
        <v>139.69999999999999</v>
      </c>
      <c r="I30" s="444">
        <f>103</f>
        <v>103</v>
      </c>
      <c r="J30" s="443"/>
      <c r="K30" s="444">
        <f>103</f>
        <v>103</v>
      </c>
      <c r="L30" s="443"/>
      <c r="M30" s="444">
        <f>103</f>
        <v>103</v>
      </c>
      <c r="N30" s="443"/>
      <c r="O30" s="444">
        <f>103</f>
        <v>103</v>
      </c>
      <c r="P30" s="444">
        <f>1044</f>
        <v>1044</v>
      </c>
      <c r="Q30" s="444">
        <f>103</f>
        <v>103</v>
      </c>
      <c r="R30" s="444">
        <f>17.96</f>
        <v>17.96</v>
      </c>
      <c r="S30" s="444">
        <f>103</f>
        <v>103</v>
      </c>
      <c r="T30" s="443"/>
      <c r="U30" s="444">
        <f>103</f>
        <v>103</v>
      </c>
      <c r="V30" s="443"/>
      <c r="W30" s="444">
        <f>103</f>
        <v>103</v>
      </c>
      <c r="X30" s="443"/>
      <c r="Y30" s="444">
        <f>103</f>
        <v>103</v>
      </c>
      <c r="Z30" s="444">
        <f t="shared" si="2"/>
        <v>1201.6600000000001</v>
      </c>
    </row>
    <row r="31" spans="1:26" x14ac:dyDescent="0.25">
      <c r="A31" s="442" t="s">
        <v>168</v>
      </c>
      <c r="B31" s="444">
        <f>4462.09</f>
        <v>4462.09</v>
      </c>
      <c r="C31" s="443"/>
      <c r="D31" s="444">
        <f>613.84</f>
        <v>613.84</v>
      </c>
      <c r="E31" s="443"/>
      <c r="F31" s="443"/>
      <c r="G31" s="444">
        <f>1500</f>
        <v>1500</v>
      </c>
      <c r="H31" s="444">
        <f>285.18</f>
        <v>285.18</v>
      </c>
      <c r="I31" s="444">
        <f>1000</f>
        <v>1000</v>
      </c>
      <c r="J31" s="444">
        <f>1326.88</f>
        <v>1326.88</v>
      </c>
      <c r="K31" s="444">
        <f>250</f>
        <v>250</v>
      </c>
      <c r="L31" s="443"/>
      <c r="M31" s="444">
        <f>0</f>
        <v>0</v>
      </c>
      <c r="N31" s="443"/>
      <c r="O31" s="444">
        <f>0</f>
        <v>0</v>
      </c>
      <c r="P31" s="443"/>
      <c r="Q31" s="444">
        <f>0</f>
        <v>0</v>
      </c>
      <c r="R31" s="443"/>
      <c r="S31" s="444">
        <f>0</f>
        <v>0</v>
      </c>
      <c r="T31" s="443"/>
      <c r="U31" s="444">
        <f>0</f>
        <v>0</v>
      </c>
      <c r="V31" s="443"/>
      <c r="W31" s="444">
        <f>0</f>
        <v>0</v>
      </c>
      <c r="X31" s="443"/>
      <c r="Y31" s="444">
        <f>250</f>
        <v>250</v>
      </c>
      <c r="Z31" s="444">
        <f t="shared" si="2"/>
        <v>6687.9900000000007</v>
      </c>
    </row>
    <row r="32" spans="1:26" x14ac:dyDescent="0.25">
      <c r="A32" s="442" t="s">
        <v>442</v>
      </c>
      <c r="B32" s="444">
        <f>379.43</f>
        <v>379.43</v>
      </c>
      <c r="C32" s="443"/>
      <c r="D32" s="444">
        <f>55</f>
        <v>55</v>
      </c>
      <c r="E32" s="443"/>
      <c r="F32" s="444">
        <f>24.23</f>
        <v>24.23</v>
      </c>
      <c r="G32" s="444">
        <f>202</f>
        <v>202</v>
      </c>
      <c r="H32" s="443"/>
      <c r="I32" s="444">
        <f>202</f>
        <v>202</v>
      </c>
      <c r="J32" s="444">
        <f>664.83</f>
        <v>664.83</v>
      </c>
      <c r="K32" s="444">
        <f>202</f>
        <v>202</v>
      </c>
      <c r="L32" s="444">
        <f>201</f>
        <v>201</v>
      </c>
      <c r="M32" s="444">
        <f>202</f>
        <v>202</v>
      </c>
      <c r="N32" s="444">
        <f>425</f>
        <v>425</v>
      </c>
      <c r="O32" s="444">
        <f>202</f>
        <v>202</v>
      </c>
      <c r="P32" s="443"/>
      <c r="Q32" s="444">
        <f>202</f>
        <v>202</v>
      </c>
      <c r="R32" s="444">
        <f>750.02</f>
        <v>750.02</v>
      </c>
      <c r="S32" s="444">
        <f>202</f>
        <v>202</v>
      </c>
      <c r="T32" s="443"/>
      <c r="U32" s="444">
        <f>202</f>
        <v>202</v>
      </c>
      <c r="V32" s="444">
        <f>507.15</f>
        <v>507.15</v>
      </c>
      <c r="W32" s="444">
        <f>202</f>
        <v>202</v>
      </c>
      <c r="X32" s="443"/>
      <c r="Y32" s="444">
        <f>202</f>
        <v>202</v>
      </c>
      <c r="Z32" s="444">
        <f t="shared" si="2"/>
        <v>3006.6600000000003</v>
      </c>
    </row>
    <row r="33" spans="1:26" x14ac:dyDescent="0.25">
      <c r="A33" s="442" t="s">
        <v>169</v>
      </c>
      <c r="B33" s="443"/>
      <c r="C33" s="443"/>
      <c r="D33" s="443"/>
      <c r="E33" s="443"/>
      <c r="F33" s="443"/>
      <c r="G33" s="444">
        <f>0</f>
        <v>0</v>
      </c>
      <c r="H33" s="444">
        <f>356.9</f>
        <v>356.9</v>
      </c>
      <c r="I33" s="444">
        <f>1515</f>
        <v>1515</v>
      </c>
      <c r="J33" s="444">
        <f>1323.5</f>
        <v>1323.5</v>
      </c>
      <c r="K33" s="444">
        <f>1515</f>
        <v>1515</v>
      </c>
      <c r="L33" s="444">
        <f>70.25</f>
        <v>70.25</v>
      </c>
      <c r="M33" s="444">
        <f>0</f>
        <v>0</v>
      </c>
      <c r="N33" s="444">
        <f>2333.8</f>
        <v>2333.8000000000002</v>
      </c>
      <c r="O33" s="444">
        <f>0</f>
        <v>0</v>
      </c>
      <c r="P33" s="444">
        <f>1027.75</f>
        <v>1027.75</v>
      </c>
      <c r="Q33" s="444">
        <f>1515</f>
        <v>1515</v>
      </c>
      <c r="R33" s="444">
        <f>137</f>
        <v>137</v>
      </c>
      <c r="S33" s="444">
        <f>1515</f>
        <v>1515</v>
      </c>
      <c r="T33" s="444">
        <f>306.25</f>
        <v>306.25</v>
      </c>
      <c r="U33" s="444">
        <f>0</f>
        <v>0</v>
      </c>
      <c r="V33" s="444">
        <f>839.17</f>
        <v>839.17</v>
      </c>
      <c r="W33" s="444">
        <f>0</f>
        <v>0</v>
      </c>
      <c r="X33" s="443"/>
      <c r="Y33" s="444">
        <f>0</f>
        <v>0</v>
      </c>
      <c r="Z33" s="444">
        <f t="shared" si="2"/>
        <v>6394.6200000000008</v>
      </c>
    </row>
    <row r="34" spans="1:26" x14ac:dyDescent="0.25">
      <c r="A34" s="442" t="s">
        <v>171</v>
      </c>
      <c r="B34" s="443"/>
      <c r="C34" s="443"/>
      <c r="D34" s="443"/>
      <c r="E34" s="443"/>
      <c r="F34" s="443"/>
      <c r="G34" s="444">
        <f>200</f>
        <v>200</v>
      </c>
      <c r="H34" s="443"/>
      <c r="I34" s="444">
        <f>200</f>
        <v>200</v>
      </c>
      <c r="J34" s="443"/>
      <c r="K34" s="444">
        <f>200</f>
        <v>200</v>
      </c>
      <c r="L34" s="443"/>
      <c r="M34" s="444">
        <f>200</f>
        <v>200</v>
      </c>
      <c r="N34" s="443"/>
      <c r="O34" s="444">
        <f>200</f>
        <v>200</v>
      </c>
      <c r="P34" s="443"/>
      <c r="Q34" s="444">
        <f>200</f>
        <v>200</v>
      </c>
      <c r="R34" s="443"/>
      <c r="S34" s="444">
        <f>200</f>
        <v>200</v>
      </c>
      <c r="T34" s="443"/>
      <c r="U34" s="444">
        <f>200</f>
        <v>200</v>
      </c>
      <c r="V34" s="443"/>
      <c r="W34" s="444">
        <f>200</f>
        <v>200</v>
      </c>
      <c r="X34" s="443"/>
      <c r="Y34" s="444">
        <f>200</f>
        <v>200</v>
      </c>
      <c r="Z34" s="444">
        <f t="shared" si="2"/>
        <v>0</v>
      </c>
    </row>
    <row r="35" spans="1:26" x14ac:dyDescent="0.25">
      <c r="A35" s="442" t="s">
        <v>172</v>
      </c>
      <c r="B35" s="444">
        <f>160.43</f>
        <v>160.43</v>
      </c>
      <c r="C35" s="443"/>
      <c r="D35" s="444">
        <f>126.08</f>
        <v>126.08</v>
      </c>
      <c r="E35" s="443"/>
      <c r="F35" s="444">
        <f>180.94</f>
        <v>180.94</v>
      </c>
      <c r="G35" s="444">
        <f>126</f>
        <v>126</v>
      </c>
      <c r="H35" s="444">
        <f>59.35</f>
        <v>59.35</v>
      </c>
      <c r="I35" s="444">
        <f>126</f>
        <v>126</v>
      </c>
      <c r="J35" s="444">
        <f>567.16</f>
        <v>567.16</v>
      </c>
      <c r="K35" s="444">
        <f>126</f>
        <v>126</v>
      </c>
      <c r="L35" s="444">
        <f>276.08</f>
        <v>276.08</v>
      </c>
      <c r="M35" s="444">
        <f>126</f>
        <v>126</v>
      </c>
      <c r="N35" s="444">
        <f>120.98</f>
        <v>120.98</v>
      </c>
      <c r="O35" s="444">
        <f>126</f>
        <v>126</v>
      </c>
      <c r="P35" s="444">
        <f>41.32</f>
        <v>41.32</v>
      </c>
      <c r="Q35" s="444">
        <f>126</f>
        <v>126</v>
      </c>
      <c r="R35" s="444">
        <f>91.32</f>
        <v>91.32</v>
      </c>
      <c r="S35" s="444">
        <f>126</f>
        <v>126</v>
      </c>
      <c r="T35" s="444">
        <f>125.67</f>
        <v>125.67</v>
      </c>
      <c r="U35" s="444">
        <f>126</f>
        <v>126</v>
      </c>
      <c r="V35" s="444">
        <f>91.32</f>
        <v>91.32</v>
      </c>
      <c r="W35" s="444">
        <f>126</f>
        <v>126</v>
      </c>
      <c r="X35" s="444">
        <f>125.67</f>
        <v>125.67</v>
      </c>
      <c r="Y35" s="444">
        <f>126</f>
        <v>126</v>
      </c>
      <c r="Z35" s="444">
        <f t="shared" si="2"/>
        <v>1966.32</v>
      </c>
    </row>
    <row r="36" spans="1:26" x14ac:dyDescent="0.25">
      <c r="A36" s="442" t="s">
        <v>174</v>
      </c>
      <c r="B36" s="445">
        <f t="shared" ref="B36:Y36" si="3">(((((((((((((((((((B16)+(B17))+(B18))+(B19))+(B20))+(B21))+(B22))+(B23))+(B24))+(B25))+(B26))+(B27))+(B28))+(B29))+(B30))+(B31))+(B32))+(B33))+(B34))+(B35)</f>
        <v>17958.340000000004</v>
      </c>
      <c r="C36" s="445">
        <f t="shared" si="3"/>
        <v>0</v>
      </c>
      <c r="D36" s="445">
        <f t="shared" si="3"/>
        <v>5215.63</v>
      </c>
      <c r="E36" s="445">
        <f t="shared" si="3"/>
        <v>0</v>
      </c>
      <c r="F36" s="445">
        <f t="shared" si="3"/>
        <v>15467.48</v>
      </c>
      <c r="G36" s="445">
        <f t="shared" si="3"/>
        <v>5365</v>
      </c>
      <c r="H36" s="445">
        <f t="shared" si="3"/>
        <v>5859.54</v>
      </c>
      <c r="I36" s="445">
        <f t="shared" si="3"/>
        <v>9630</v>
      </c>
      <c r="J36" s="445">
        <f t="shared" si="3"/>
        <v>13613.47</v>
      </c>
      <c r="K36" s="445">
        <f t="shared" si="3"/>
        <v>12130</v>
      </c>
      <c r="L36" s="445">
        <f t="shared" si="3"/>
        <v>7141.3499999999995</v>
      </c>
      <c r="M36" s="445">
        <f t="shared" si="3"/>
        <v>10782</v>
      </c>
      <c r="N36" s="445">
        <f t="shared" si="3"/>
        <v>17939.87</v>
      </c>
      <c r="O36" s="445">
        <f t="shared" si="3"/>
        <v>12782</v>
      </c>
      <c r="P36" s="445">
        <f t="shared" si="3"/>
        <v>13912.84</v>
      </c>
      <c r="Q36" s="445">
        <f t="shared" si="3"/>
        <v>19023</v>
      </c>
      <c r="R36" s="445">
        <f t="shared" si="3"/>
        <v>13668.099999999999</v>
      </c>
      <c r="S36" s="445">
        <f t="shared" si="3"/>
        <v>24051</v>
      </c>
      <c r="T36" s="445">
        <f t="shared" si="3"/>
        <v>11395.570000000002</v>
      </c>
      <c r="U36" s="445">
        <f t="shared" si="3"/>
        <v>11758</v>
      </c>
      <c r="V36" s="445">
        <f t="shared" si="3"/>
        <v>10295.709999999999</v>
      </c>
      <c r="W36" s="445">
        <f t="shared" si="3"/>
        <v>10532</v>
      </c>
      <c r="X36" s="445">
        <f t="shared" si="3"/>
        <v>14929.97</v>
      </c>
      <c r="Y36" s="445">
        <f t="shared" si="3"/>
        <v>11615</v>
      </c>
      <c r="Z36" s="445">
        <f t="shared" si="2"/>
        <v>147397.87</v>
      </c>
    </row>
    <row r="37" spans="1:26" x14ac:dyDescent="0.25">
      <c r="A37" s="442" t="s">
        <v>175</v>
      </c>
      <c r="B37" s="445">
        <f t="shared" ref="B37:Y37" si="4">(B14)-(B36)</f>
        <v>7432.7299999999959</v>
      </c>
      <c r="C37" s="445">
        <f t="shared" si="4"/>
        <v>0</v>
      </c>
      <c r="D37" s="445">
        <f t="shared" si="4"/>
        <v>75172.359999999986</v>
      </c>
      <c r="E37" s="445">
        <f t="shared" si="4"/>
        <v>0</v>
      </c>
      <c r="F37" s="445">
        <f t="shared" si="4"/>
        <v>4544.1399999999994</v>
      </c>
      <c r="G37" s="445">
        <f t="shared" si="4"/>
        <v>1848</v>
      </c>
      <c r="H37" s="445">
        <f t="shared" si="4"/>
        <v>13098.71</v>
      </c>
      <c r="I37" s="445">
        <f t="shared" si="4"/>
        <v>17809</v>
      </c>
      <c r="J37" s="445">
        <f t="shared" si="4"/>
        <v>15426.53</v>
      </c>
      <c r="K37" s="445">
        <f t="shared" si="4"/>
        <v>10309</v>
      </c>
      <c r="L37" s="445">
        <f t="shared" si="4"/>
        <v>2669.2200000000003</v>
      </c>
      <c r="M37" s="445">
        <f t="shared" si="4"/>
        <v>11657</v>
      </c>
      <c r="N37" s="445">
        <f t="shared" si="4"/>
        <v>34189.97</v>
      </c>
      <c r="O37" s="445">
        <f t="shared" si="4"/>
        <v>30466</v>
      </c>
      <c r="P37" s="445">
        <f t="shared" si="4"/>
        <v>-4553.7199999999993</v>
      </c>
      <c r="Q37" s="445">
        <f t="shared" si="4"/>
        <v>15346</v>
      </c>
      <c r="R37" s="445">
        <f t="shared" si="4"/>
        <v>-237.0099999999984</v>
      </c>
      <c r="S37" s="445">
        <f t="shared" si="4"/>
        <v>11518</v>
      </c>
      <c r="T37" s="445">
        <f t="shared" si="4"/>
        <v>16235.669999999996</v>
      </c>
      <c r="U37" s="445">
        <f t="shared" si="4"/>
        <v>28450</v>
      </c>
      <c r="V37" s="445">
        <f t="shared" si="4"/>
        <v>20539.79</v>
      </c>
      <c r="W37" s="445">
        <f t="shared" si="4"/>
        <v>19488</v>
      </c>
      <c r="X37" s="445">
        <f t="shared" si="4"/>
        <v>141304.65</v>
      </c>
      <c r="Y37" s="445">
        <f t="shared" si="4"/>
        <v>158598</v>
      </c>
      <c r="Z37" s="445">
        <f t="shared" si="2"/>
        <v>325823.03999999992</v>
      </c>
    </row>
    <row r="38" spans="1:26" x14ac:dyDescent="0.25">
      <c r="A38" s="442" t="s">
        <v>176</v>
      </c>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row>
    <row r="39" spans="1:26" x14ac:dyDescent="0.25">
      <c r="A39" s="442" t="s">
        <v>177</v>
      </c>
      <c r="B39" s="444">
        <f>15698.14</f>
        <v>15698.14</v>
      </c>
      <c r="C39" s="443"/>
      <c r="D39" s="444">
        <f>17637.29</f>
        <v>17637.29</v>
      </c>
      <c r="E39" s="443"/>
      <c r="F39" s="444">
        <f>13044.01</f>
        <v>13044.01</v>
      </c>
      <c r="G39" s="444">
        <f>14726</f>
        <v>14726</v>
      </c>
      <c r="H39" s="444">
        <f>15962.14</f>
        <v>15962.14</v>
      </c>
      <c r="I39" s="444">
        <f>14726</f>
        <v>14726</v>
      </c>
      <c r="J39" s="444">
        <f>15173.14</f>
        <v>15173.14</v>
      </c>
      <c r="K39" s="444">
        <f>14726</f>
        <v>14726</v>
      </c>
      <c r="L39" s="444">
        <f>14487.76</f>
        <v>14487.76</v>
      </c>
      <c r="M39" s="444">
        <f>14726</f>
        <v>14726</v>
      </c>
      <c r="N39" s="444">
        <f>15422.51</f>
        <v>15422.51</v>
      </c>
      <c r="O39" s="444">
        <f>14726</f>
        <v>14726</v>
      </c>
      <c r="P39" s="444">
        <f>14554.26</f>
        <v>14554.26</v>
      </c>
      <c r="Q39" s="444">
        <f>14726</f>
        <v>14726</v>
      </c>
      <c r="R39" s="444">
        <f>14238.39</f>
        <v>14238.39</v>
      </c>
      <c r="S39" s="444">
        <f>14726</f>
        <v>14726</v>
      </c>
      <c r="T39" s="444">
        <f>15921.26</f>
        <v>15921.26</v>
      </c>
      <c r="U39" s="444">
        <f>14726</f>
        <v>14726</v>
      </c>
      <c r="V39" s="444">
        <f>14982.14</f>
        <v>14982.14</v>
      </c>
      <c r="W39" s="444">
        <f>14726</f>
        <v>14726</v>
      </c>
      <c r="X39" s="444">
        <f>15467.76</f>
        <v>15467.76</v>
      </c>
      <c r="Y39" s="444">
        <f>14726</f>
        <v>14726</v>
      </c>
      <c r="Z39" s="444">
        <f t="shared" ref="Z39:Z78" si="5">(((((((((((B39)+(D39))+(F39))+(H39))+(J39))+(L39))+(N39))+(P39))+(R39))+(T39))+(V39))+(X39)</f>
        <v>182588.79999999999</v>
      </c>
    </row>
    <row r="40" spans="1:26" x14ac:dyDescent="0.25">
      <c r="A40" s="442" t="s">
        <v>178</v>
      </c>
      <c r="B40" s="444">
        <f>265</f>
        <v>265</v>
      </c>
      <c r="C40" s="443"/>
      <c r="D40" s="443"/>
      <c r="E40" s="443"/>
      <c r="F40" s="443"/>
      <c r="G40" s="444">
        <f>42</f>
        <v>42</v>
      </c>
      <c r="H40" s="443"/>
      <c r="I40" s="444">
        <f>42</f>
        <v>42</v>
      </c>
      <c r="J40" s="443"/>
      <c r="K40" s="444">
        <f>42</f>
        <v>42</v>
      </c>
      <c r="L40" s="443"/>
      <c r="M40" s="444">
        <f>42</f>
        <v>42</v>
      </c>
      <c r="N40" s="443"/>
      <c r="O40" s="444">
        <f>42</f>
        <v>42</v>
      </c>
      <c r="P40" s="443"/>
      <c r="Q40" s="444">
        <f>42</f>
        <v>42</v>
      </c>
      <c r="R40" s="444">
        <f>167.4</f>
        <v>167.4</v>
      </c>
      <c r="S40" s="444">
        <f>42</f>
        <v>42</v>
      </c>
      <c r="T40" s="443"/>
      <c r="U40" s="444">
        <f>42</f>
        <v>42</v>
      </c>
      <c r="V40" s="443"/>
      <c r="W40" s="444">
        <f>42</f>
        <v>42</v>
      </c>
      <c r="X40" s="443"/>
      <c r="Y40" s="444">
        <f>42</f>
        <v>42</v>
      </c>
      <c r="Z40" s="444">
        <f t="shared" si="5"/>
        <v>432.4</v>
      </c>
    </row>
    <row r="41" spans="1:26" x14ac:dyDescent="0.25">
      <c r="A41" s="442" t="s">
        <v>179</v>
      </c>
      <c r="B41" s="443"/>
      <c r="C41" s="443"/>
      <c r="D41" s="443"/>
      <c r="E41" s="443"/>
      <c r="F41" s="443"/>
      <c r="G41" s="444">
        <f>83</f>
        <v>83</v>
      </c>
      <c r="H41" s="443"/>
      <c r="I41" s="444">
        <f>83</f>
        <v>83</v>
      </c>
      <c r="J41" s="443"/>
      <c r="K41" s="444">
        <f>83</f>
        <v>83</v>
      </c>
      <c r="L41" s="443"/>
      <c r="M41" s="444">
        <f>83</f>
        <v>83</v>
      </c>
      <c r="N41" s="443"/>
      <c r="O41" s="444">
        <f>83</f>
        <v>83</v>
      </c>
      <c r="P41" s="443"/>
      <c r="Q41" s="444">
        <f>83</f>
        <v>83</v>
      </c>
      <c r="R41" s="443"/>
      <c r="S41" s="444">
        <f>83</f>
        <v>83</v>
      </c>
      <c r="T41" s="444">
        <f>59.74</f>
        <v>59.74</v>
      </c>
      <c r="U41" s="444">
        <f>83</f>
        <v>83</v>
      </c>
      <c r="V41" s="443"/>
      <c r="W41" s="444">
        <f>83</f>
        <v>83</v>
      </c>
      <c r="X41" s="443"/>
      <c r="Y41" s="444">
        <f>83</f>
        <v>83</v>
      </c>
      <c r="Z41" s="444">
        <f t="shared" si="5"/>
        <v>59.74</v>
      </c>
    </row>
    <row r="42" spans="1:26" x14ac:dyDescent="0.25">
      <c r="A42" s="442" t="s">
        <v>180</v>
      </c>
      <c r="B42" s="444">
        <f>8.75</f>
        <v>8.75</v>
      </c>
      <c r="C42" s="443"/>
      <c r="D42" s="444">
        <f>0.75</f>
        <v>0.75</v>
      </c>
      <c r="E42" s="443"/>
      <c r="F42" s="444">
        <f>0.75</f>
        <v>0.75</v>
      </c>
      <c r="G42" s="444">
        <f>15</f>
        <v>15</v>
      </c>
      <c r="H42" s="444">
        <f>0</f>
        <v>0</v>
      </c>
      <c r="I42" s="444">
        <f>15</f>
        <v>15</v>
      </c>
      <c r="J42" s="444">
        <f>0</f>
        <v>0</v>
      </c>
      <c r="K42" s="444">
        <f>15</f>
        <v>15</v>
      </c>
      <c r="L42" s="444">
        <f>0</f>
        <v>0</v>
      </c>
      <c r="M42" s="444">
        <f>15</f>
        <v>15</v>
      </c>
      <c r="N42" s="444">
        <f>145.65</f>
        <v>145.65</v>
      </c>
      <c r="O42" s="444">
        <f>15</f>
        <v>15</v>
      </c>
      <c r="P42" s="444">
        <f>0.75</f>
        <v>0.75</v>
      </c>
      <c r="Q42" s="444">
        <f>15</f>
        <v>15</v>
      </c>
      <c r="R42" s="443"/>
      <c r="S42" s="444">
        <f>15</f>
        <v>15</v>
      </c>
      <c r="T42" s="444">
        <f>561.52</f>
        <v>561.52</v>
      </c>
      <c r="U42" s="444">
        <f>15</f>
        <v>15</v>
      </c>
      <c r="V42" s="444">
        <f>0.75</f>
        <v>0.75</v>
      </c>
      <c r="W42" s="444">
        <f>15</f>
        <v>15</v>
      </c>
      <c r="X42" s="444">
        <f>0.75</f>
        <v>0.75</v>
      </c>
      <c r="Y42" s="444">
        <f>15</f>
        <v>15</v>
      </c>
      <c r="Z42" s="444">
        <f t="shared" si="5"/>
        <v>719.67</v>
      </c>
    </row>
    <row r="43" spans="1:26" x14ac:dyDescent="0.25">
      <c r="A43" s="442" t="s">
        <v>181</v>
      </c>
      <c r="B43" s="443"/>
      <c r="C43" s="443"/>
      <c r="D43" s="443"/>
      <c r="E43" s="443"/>
      <c r="F43" s="443"/>
      <c r="G43" s="444">
        <f>0</f>
        <v>0</v>
      </c>
      <c r="H43" s="443"/>
      <c r="I43" s="444">
        <f>0</f>
        <v>0</v>
      </c>
      <c r="J43" s="444">
        <f>10000</f>
        <v>10000</v>
      </c>
      <c r="K43" s="444">
        <f>0</f>
        <v>0</v>
      </c>
      <c r="L43" s="443"/>
      <c r="M43" s="444">
        <f>0</f>
        <v>0</v>
      </c>
      <c r="N43" s="443"/>
      <c r="O43" s="444">
        <f>0</f>
        <v>0</v>
      </c>
      <c r="P43" s="443"/>
      <c r="Q43" s="444">
        <f>1000</f>
        <v>1000</v>
      </c>
      <c r="R43" s="443"/>
      <c r="S43" s="444">
        <f>0</f>
        <v>0</v>
      </c>
      <c r="T43" s="443"/>
      <c r="U43" s="444">
        <f>0</f>
        <v>0</v>
      </c>
      <c r="V43" s="443"/>
      <c r="W43" s="444">
        <f>0</f>
        <v>0</v>
      </c>
      <c r="X43" s="443"/>
      <c r="Y43" s="444">
        <f>0</f>
        <v>0</v>
      </c>
      <c r="Z43" s="444">
        <f t="shared" si="5"/>
        <v>10000</v>
      </c>
    </row>
    <row r="44" spans="1:26" x14ac:dyDescent="0.25">
      <c r="A44" s="442" t="s">
        <v>182</v>
      </c>
      <c r="B44" s="444">
        <f>13.5</f>
        <v>13.5</v>
      </c>
      <c r="C44" s="443"/>
      <c r="D44" s="444">
        <f>4.5</f>
        <v>4.5</v>
      </c>
      <c r="E44" s="443"/>
      <c r="F44" s="443"/>
      <c r="G44" s="444">
        <f>0</f>
        <v>0</v>
      </c>
      <c r="H44" s="443"/>
      <c r="I44" s="444">
        <f>0</f>
        <v>0</v>
      </c>
      <c r="J44" s="443"/>
      <c r="K44" s="444">
        <f>0</f>
        <v>0</v>
      </c>
      <c r="L44" s="443"/>
      <c r="M44" s="444">
        <f>0</f>
        <v>0</v>
      </c>
      <c r="N44" s="443"/>
      <c r="O44" s="444">
        <f>0</f>
        <v>0</v>
      </c>
      <c r="P44" s="443"/>
      <c r="Q44" s="444">
        <f>250</f>
        <v>250</v>
      </c>
      <c r="R44" s="443"/>
      <c r="S44" s="444">
        <f>0</f>
        <v>0</v>
      </c>
      <c r="T44" s="443"/>
      <c r="U44" s="444">
        <f>0</f>
        <v>0</v>
      </c>
      <c r="V44" s="443"/>
      <c r="W44" s="444">
        <f>250</f>
        <v>250</v>
      </c>
      <c r="X44" s="443"/>
      <c r="Y44" s="444">
        <f>0</f>
        <v>0</v>
      </c>
      <c r="Z44" s="444">
        <f t="shared" si="5"/>
        <v>18</v>
      </c>
    </row>
    <row r="45" spans="1:26" x14ac:dyDescent="0.25">
      <c r="A45" s="442" t="s">
        <v>636</v>
      </c>
      <c r="B45" s="443"/>
      <c r="C45" s="443"/>
      <c r="D45" s="443"/>
      <c r="E45" s="443"/>
      <c r="F45" s="443"/>
      <c r="G45" s="443"/>
      <c r="H45" s="443"/>
      <c r="I45" s="443"/>
      <c r="J45" s="443"/>
      <c r="K45" s="443"/>
      <c r="L45" s="443"/>
      <c r="M45" s="443"/>
      <c r="N45" s="443"/>
      <c r="O45" s="443"/>
      <c r="P45" s="443"/>
      <c r="Q45" s="443"/>
      <c r="R45" s="443"/>
      <c r="S45" s="443"/>
      <c r="T45" s="444">
        <f>249</f>
        <v>249</v>
      </c>
      <c r="U45" s="443"/>
      <c r="V45" s="443"/>
      <c r="W45" s="443"/>
      <c r="X45" s="443"/>
      <c r="Y45" s="443"/>
      <c r="Z45" s="444">
        <f t="shared" si="5"/>
        <v>249</v>
      </c>
    </row>
    <row r="46" spans="1:26" x14ac:dyDescent="0.25">
      <c r="A46" s="442" t="s">
        <v>183</v>
      </c>
      <c r="B46" s="444">
        <f>187.47</f>
        <v>187.47</v>
      </c>
      <c r="C46" s="443"/>
      <c r="D46" s="443"/>
      <c r="E46" s="443"/>
      <c r="F46" s="443"/>
      <c r="G46" s="444">
        <f>42</f>
        <v>42</v>
      </c>
      <c r="H46" s="444">
        <f>30</f>
        <v>30</v>
      </c>
      <c r="I46" s="444">
        <f>42</f>
        <v>42</v>
      </c>
      <c r="J46" s="444">
        <f>211.35</f>
        <v>211.35</v>
      </c>
      <c r="K46" s="444">
        <f>42</f>
        <v>42</v>
      </c>
      <c r="L46" s="443"/>
      <c r="M46" s="444">
        <f>42</f>
        <v>42</v>
      </c>
      <c r="N46" s="444">
        <f>14.35</f>
        <v>14.35</v>
      </c>
      <c r="O46" s="444">
        <f>42</f>
        <v>42</v>
      </c>
      <c r="P46" s="444">
        <f>15.39</f>
        <v>15.39</v>
      </c>
      <c r="Q46" s="444">
        <f>42</f>
        <v>42</v>
      </c>
      <c r="R46" s="444">
        <f>13.59</f>
        <v>13.59</v>
      </c>
      <c r="S46" s="444">
        <f>42</f>
        <v>42</v>
      </c>
      <c r="T46" s="443"/>
      <c r="U46" s="444">
        <f>42</f>
        <v>42</v>
      </c>
      <c r="V46" s="443"/>
      <c r="W46" s="444">
        <f>42</f>
        <v>42</v>
      </c>
      <c r="X46" s="444">
        <f>7.35</f>
        <v>7.35</v>
      </c>
      <c r="Y46" s="444">
        <f>42</f>
        <v>42</v>
      </c>
      <c r="Z46" s="444">
        <f t="shared" si="5"/>
        <v>479.5</v>
      </c>
    </row>
    <row r="47" spans="1:26" x14ac:dyDescent="0.25">
      <c r="A47" s="442" t="s">
        <v>219</v>
      </c>
      <c r="B47" s="444">
        <f>1044.58</f>
        <v>1044.58</v>
      </c>
      <c r="C47" s="443"/>
      <c r="D47" s="444">
        <f>544.18</f>
        <v>544.17999999999995</v>
      </c>
      <c r="E47" s="443"/>
      <c r="F47" s="444">
        <f>1128.22</f>
        <v>1128.22</v>
      </c>
      <c r="G47" s="444">
        <f>335</f>
        <v>335</v>
      </c>
      <c r="H47" s="444">
        <f>587.38</f>
        <v>587.38</v>
      </c>
      <c r="I47" s="444">
        <f>335</f>
        <v>335</v>
      </c>
      <c r="J47" s="444">
        <f>283.64</f>
        <v>283.64</v>
      </c>
      <c r="K47" s="444">
        <f>335</f>
        <v>335</v>
      </c>
      <c r="L47" s="444">
        <f>310.71</f>
        <v>310.70999999999998</v>
      </c>
      <c r="M47" s="444">
        <f>335</f>
        <v>335</v>
      </c>
      <c r="N47" s="444">
        <f>288.77</f>
        <v>288.77</v>
      </c>
      <c r="O47" s="444">
        <f>335</f>
        <v>335</v>
      </c>
      <c r="P47" s="444">
        <f>372.62</f>
        <v>372.62</v>
      </c>
      <c r="Q47" s="444">
        <f>335</f>
        <v>335</v>
      </c>
      <c r="R47" s="444">
        <f>254.49</f>
        <v>254.49</v>
      </c>
      <c r="S47" s="444">
        <f>335</f>
        <v>335</v>
      </c>
      <c r="T47" s="444">
        <f>325.36</f>
        <v>325.36</v>
      </c>
      <c r="U47" s="444">
        <f>335</f>
        <v>335</v>
      </c>
      <c r="V47" s="444">
        <f>241.02</f>
        <v>241.02</v>
      </c>
      <c r="W47" s="444">
        <f>335</f>
        <v>335</v>
      </c>
      <c r="X47" s="444">
        <f>363.06</f>
        <v>363.06</v>
      </c>
      <c r="Y47" s="444">
        <f>335</f>
        <v>335</v>
      </c>
      <c r="Z47" s="444">
        <f t="shared" si="5"/>
        <v>5744.03</v>
      </c>
    </row>
    <row r="48" spans="1:26" x14ac:dyDescent="0.25">
      <c r="A48" s="442" t="s">
        <v>184</v>
      </c>
      <c r="B48" s="444">
        <f>53.12</f>
        <v>53.12</v>
      </c>
      <c r="C48" s="443"/>
      <c r="D48" s="443"/>
      <c r="E48" s="443"/>
      <c r="F48" s="443"/>
      <c r="G48" s="444">
        <f>67</f>
        <v>67</v>
      </c>
      <c r="H48" s="444">
        <f>41.91</f>
        <v>41.91</v>
      </c>
      <c r="I48" s="444">
        <f>67</f>
        <v>67</v>
      </c>
      <c r="J48" s="444">
        <f>202.58</f>
        <v>202.58</v>
      </c>
      <c r="K48" s="444">
        <f>67</f>
        <v>67</v>
      </c>
      <c r="L48" s="443"/>
      <c r="M48" s="444">
        <f>67</f>
        <v>67</v>
      </c>
      <c r="N48" s="443"/>
      <c r="O48" s="444">
        <f>67</f>
        <v>67</v>
      </c>
      <c r="P48" s="444">
        <f>269.87</f>
        <v>269.87</v>
      </c>
      <c r="Q48" s="444">
        <f>67</f>
        <v>67</v>
      </c>
      <c r="R48" s="443"/>
      <c r="S48" s="444">
        <f>67</f>
        <v>67</v>
      </c>
      <c r="T48" s="443"/>
      <c r="U48" s="444">
        <f>67</f>
        <v>67</v>
      </c>
      <c r="V48" s="443"/>
      <c r="W48" s="444">
        <f>67</f>
        <v>67</v>
      </c>
      <c r="X48" s="443"/>
      <c r="Y48" s="444">
        <f>67</f>
        <v>67</v>
      </c>
      <c r="Z48" s="444">
        <f t="shared" si="5"/>
        <v>567.48</v>
      </c>
    </row>
    <row r="49" spans="1:26" x14ac:dyDescent="0.25">
      <c r="A49" s="442" t="s">
        <v>185</v>
      </c>
      <c r="B49" s="443"/>
      <c r="C49" s="443"/>
      <c r="D49" s="444">
        <f>12647.68</f>
        <v>12647.68</v>
      </c>
      <c r="E49" s="443"/>
      <c r="F49" s="443"/>
      <c r="G49" s="443"/>
      <c r="H49" s="443"/>
      <c r="I49" s="443"/>
      <c r="J49" s="444">
        <f>182.33</f>
        <v>182.33</v>
      </c>
      <c r="K49" s="443"/>
      <c r="L49" s="443"/>
      <c r="M49" s="443"/>
      <c r="N49" s="443"/>
      <c r="O49" s="443"/>
      <c r="P49" s="443"/>
      <c r="Q49" s="443"/>
      <c r="R49" s="443"/>
      <c r="S49" s="443"/>
      <c r="T49" s="443"/>
      <c r="U49" s="443"/>
      <c r="V49" s="443"/>
      <c r="W49" s="443"/>
      <c r="X49" s="443"/>
      <c r="Y49" s="443"/>
      <c r="Z49" s="444">
        <f t="shared" si="5"/>
        <v>12830.01</v>
      </c>
    </row>
    <row r="50" spans="1:26" x14ac:dyDescent="0.25">
      <c r="A50" s="442" t="s">
        <v>186</v>
      </c>
      <c r="B50" s="443"/>
      <c r="C50" s="443"/>
      <c r="D50" s="443"/>
      <c r="E50" s="443"/>
      <c r="F50" s="443"/>
      <c r="G50" s="444">
        <f>8</f>
        <v>8</v>
      </c>
      <c r="H50" s="443"/>
      <c r="I50" s="444">
        <f>8</f>
        <v>8</v>
      </c>
      <c r="J50" s="443"/>
      <c r="K50" s="444">
        <f>8</f>
        <v>8</v>
      </c>
      <c r="L50" s="444">
        <f>50</f>
        <v>50</v>
      </c>
      <c r="M50" s="444">
        <f>8</f>
        <v>8</v>
      </c>
      <c r="N50" s="443"/>
      <c r="O50" s="444">
        <f>8</f>
        <v>8</v>
      </c>
      <c r="P50" s="443"/>
      <c r="Q50" s="444">
        <f>8</f>
        <v>8</v>
      </c>
      <c r="R50" s="443"/>
      <c r="S50" s="444">
        <f>8</f>
        <v>8</v>
      </c>
      <c r="T50" s="443"/>
      <c r="U50" s="444">
        <f>8</f>
        <v>8</v>
      </c>
      <c r="V50" s="443"/>
      <c r="W50" s="444">
        <f>8</f>
        <v>8</v>
      </c>
      <c r="X50" s="443"/>
      <c r="Y50" s="444">
        <f>8</f>
        <v>8</v>
      </c>
      <c r="Z50" s="444">
        <f t="shared" si="5"/>
        <v>50</v>
      </c>
    </row>
    <row r="51" spans="1:26" x14ac:dyDescent="0.25">
      <c r="A51" s="442" t="s">
        <v>187</v>
      </c>
      <c r="B51" s="443"/>
      <c r="C51" s="443"/>
      <c r="D51" s="443"/>
      <c r="E51" s="443"/>
      <c r="F51" s="443"/>
      <c r="G51" s="444">
        <f>0</f>
        <v>0</v>
      </c>
      <c r="H51" s="443"/>
      <c r="I51" s="444">
        <f>0</f>
        <v>0</v>
      </c>
      <c r="J51" s="443"/>
      <c r="K51" s="444">
        <f>33</f>
        <v>33</v>
      </c>
      <c r="L51" s="443"/>
      <c r="M51" s="444">
        <f>33</f>
        <v>33</v>
      </c>
      <c r="N51" s="444">
        <f>24.93</f>
        <v>24.93</v>
      </c>
      <c r="O51" s="444">
        <f>33</f>
        <v>33</v>
      </c>
      <c r="P51" s="443"/>
      <c r="Q51" s="444">
        <f>33</f>
        <v>33</v>
      </c>
      <c r="R51" s="443"/>
      <c r="S51" s="444">
        <f>33</f>
        <v>33</v>
      </c>
      <c r="T51" s="443"/>
      <c r="U51" s="444">
        <f>33</f>
        <v>33</v>
      </c>
      <c r="V51" s="443"/>
      <c r="W51" s="444">
        <f>0</f>
        <v>0</v>
      </c>
      <c r="X51" s="443"/>
      <c r="Y51" s="444">
        <f>0</f>
        <v>0</v>
      </c>
      <c r="Z51" s="444">
        <f t="shared" si="5"/>
        <v>24.93</v>
      </c>
    </row>
    <row r="52" spans="1:26" x14ac:dyDescent="0.25">
      <c r="A52" s="442" t="s">
        <v>640</v>
      </c>
      <c r="B52" s="444">
        <f>333.44</f>
        <v>333.44</v>
      </c>
      <c r="C52" s="443"/>
      <c r="D52" s="443"/>
      <c r="E52" s="443"/>
      <c r="F52" s="443"/>
      <c r="G52" s="443"/>
      <c r="H52" s="443"/>
      <c r="I52" s="443"/>
      <c r="J52" s="443"/>
      <c r="K52" s="443"/>
      <c r="L52" s="443"/>
      <c r="M52" s="443"/>
      <c r="N52" s="443"/>
      <c r="O52" s="443"/>
      <c r="P52" s="443"/>
      <c r="Q52" s="443"/>
      <c r="R52" s="443"/>
      <c r="S52" s="443"/>
      <c r="T52" s="444">
        <f>1398.65</f>
        <v>1398.65</v>
      </c>
      <c r="U52" s="443"/>
      <c r="V52" s="444">
        <f>4504.77</f>
        <v>4504.7700000000004</v>
      </c>
      <c r="W52" s="443"/>
      <c r="X52" s="444">
        <f>13824.22</f>
        <v>13824.22</v>
      </c>
      <c r="Y52" s="443"/>
      <c r="Z52" s="444">
        <f t="shared" si="5"/>
        <v>20061.080000000002</v>
      </c>
    </row>
    <row r="53" spans="1:26" x14ac:dyDescent="0.25">
      <c r="A53" s="442" t="s">
        <v>642</v>
      </c>
      <c r="B53" s="443"/>
      <c r="C53" s="443"/>
      <c r="D53" s="443"/>
      <c r="E53" s="443"/>
      <c r="F53" s="444">
        <f>75.95</f>
        <v>75.95</v>
      </c>
      <c r="G53" s="443"/>
      <c r="H53" s="444">
        <f>274.32</f>
        <v>274.32</v>
      </c>
      <c r="I53" s="443"/>
      <c r="J53" s="443"/>
      <c r="K53" s="443"/>
      <c r="L53" s="443"/>
      <c r="M53" s="443"/>
      <c r="N53" s="443"/>
      <c r="O53" s="443"/>
      <c r="P53" s="443"/>
      <c r="Q53" s="443"/>
      <c r="R53" s="443"/>
      <c r="S53" s="443"/>
      <c r="T53" s="443"/>
      <c r="U53" s="443"/>
      <c r="V53" s="443"/>
      <c r="W53" s="443"/>
      <c r="X53" s="443"/>
      <c r="Y53" s="443"/>
      <c r="Z53" s="444">
        <f t="shared" si="5"/>
        <v>350.27</v>
      </c>
    </row>
    <row r="54" spans="1:26" x14ac:dyDescent="0.25">
      <c r="A54" s="442" t="s">
        <v>193</v>
      </c>
      <c r="B54" s="444">
        <f>76</f>
        <v>76</v>
      </c>
      <c r="C54" s="443"/>
      <c r="D54" s="444">
        <f>359.85</f>
        <v>359.85</v>
      </c>
      <c r="E54" s="443"/>
      <c r="F54" s="444">
        <f>76</f>
        <v>76</v>
      </c>
      <c r="G54" s="444">
        <f>83</f>
        <v>83</v>
      </c>
      <c r="H54" s="444">
        <f>80</f>
        <v>80</v>
      </c>
      <c r="I54" s="444">
        <f>83</f>
        <v>83</v>
      </c>
      <c r="J54" s="444">
        <f>80</f>
        <v>80</v>
      </c>
      <c r="K54" s="444">
        <f>83</f>
        <v>83</v>
      </c>
      <c r="L54" s="443"/>
      <c r="M54" s="444">
        <f>83</f>
        <v>83</v>
      </c>
      <c r="N54" s="444">
        <f>80</f>
        <v>80</v>
      </c>
      <c r="O54" s="444">
        <f>83</f>
        <v>83</v>
      </c>
      <c r="P54" s="444">
        <f>80</f>
        <v>80</v>
      </c>
      <c r="Q54" s="444">
        <f>83</f>
        <v>83</v>
      </c>
      <c r="R54" s="444">
        <f>80</f>
        <v>80</v>
      </c>
      <c r="S54" s="444">
        <f>83</f>
        <v>83</v>
      </c>
      <c r="T54" s="444">
        <f>80</f>
        <v>80</v>
      </c>
      <c r="U54" s="444">
        <f>83</f>
        <v>83</v>
      </c>
      <c r="V54" s="444">
        <f>80</f>
        <v>80</v>
      </c>
      <c r="W54" s="444">
        <f>83</f>
        <v>83</v>
      </c>
      <c r="X54" s="444">
        <f>80</f>
        <v>80</v>
      </c>
      <c r="Y54" s="444">
        <f>83</f>
        <v>83</v>
      </c>
      <c r="Z54" s="444">
        <f t="shared" si="5"/>
        <v>1151.8499999999999</v>
      </c>
    </row>
    <row r="55" spans="1:26" x14ac:dyDescent="0.25">
      <c r="A55" s="442" t="s">
        <v>194</v>
      </c>
      <c r="B55" s="444">
        <f>2657.76</f>
        <v>2657.76</v>
      </c>
      <c r="C55" s="443"/>
      <c r="D55" s="444">
        <f>210.78</f>
        <v>210.78</v>
      </c>
      <c r="E55" s="443"/>
      <c r="F55" s="444">
        <f>421.56</f>
        <v>421.56</v>
      </c>
      <c r="G55" s="444">
        <f>222</f>
        <v>222</v>
      </c>
      <c r="H55" s="444">
        <f>3027</f>
        <v>3027</v>
      </c>
      <c r="I55" s="444">
        <f>222</f>
        <v>222</v>
      </c>
      <c r="J55" s="444">
        <f>210.78</f>
        <v>210.78</v>
      </c>
      <c r="K55" s="444">
        <f>222</f>
        <v>222</v>
      </c>
      <c r="L55" s="444">
        <f>210.78</f>
        <v>210.78</v>
      </c>
      <c r="M55" s="444">
        <f>222</f>
        <v>222</v>
      </c>
      <c r="N55" s="444">
        <f>210.78</f>
        <v>210.78</v>
      </c>
      <c r="O55" s="444">
        <f>222</f>
        <v>222</v>
      </c>
      <c r="P55" s="444">
        <f>362.78</f>
        <v>362.78</v>
      </c>
      <c r="Q55" s="444">
        <f>222</f>
        <v>222</v>
      </c>
      <c r="R55" s="444">
        <f>5490.78</f>
        <v>5490.78</v>
      </c>
      <c r="S55" s="444">
        <f>374</f>
        <v>374</v>
      </c>
      <c r="T55" s="443"/>
      <c r="U55" s="444">
        <f>7722</f>
        <v>7722</v>
      </c>
      <c r="V55" s="444">
        <f>519</f>
        <v>519</v>
      </c>
      <c r="W55" s="444">
        <f>222</f>
        <v>222</v>
      </c>
      <c r="X55" s="443"/>
      <c r="Y55" s="444">
        <f>1722</f>
        <v>1722</v>
      </c>
      <c r="Z55" s="444">
        <f t="shared" si="5"/>
        <v>13322</v>
      </c>
    </row>
    <row r="56" spans="1:26" x14ac:dyDescent="0.25">
      <c r="A56" s="442" t="s">
        <v>195</v>
      </c>
      <c r="B56" s="444">
        <f>200</f>
        <v>200</v>
      </c>
      <c r="C56" s="443"/>
      <c r="D56" s="443"/>
      <c r="E56" s="443"/>
      <c r="F56" s="443"/>
      <c r="G56" s="444">
        <f>0</f>
        <v>0</v>
      </c>
      <c r="H56" s="443"/>
      <c r="I56" s="444">
        <f>0</f>
        <v>0</v>
      </c>
      <c r="J56" s="443"/>
      <c r="K56" s="444">
        <f>500</f>
        <v>500</v>
      </c>
      <c r="L56" s="443"/>
      <c r="M56" s="444">
        <f>0</f>
        <v>0</v>
      </c>
      <c r="N56" s="443"/>
      <c r="O56" s="444">
        <f>0</f>
        <v>0</v>
      </c>
      <c r="P56" s="444">
        <f>25</f>
        <v>25</v>
      </c>
      <c r="Q56" s="444">
        <f>0</f>
        <v>0</v>
      </c>
      <c r="R56" s="443"/>
      <c r="S56" s="444">
        <f>4500</f>
        <v>4500</v>
      </c>
      <c r="T56" s="443"/>
      <c r="U56" s="444">
        <f>0</f>
        <v>0</v>
      </c>
      <c r="V56" s="443"/>
      <c r="W56" s="444">
        <f>0</f>
        <v>0</v>
      </c>
      <c r="X56" s="443"/>
      <c r="Y56" s="444">
        <f>0</f>
        <v>0</v>
      </c>
      <c r="Z56" s="444">
        <f t="shared" si="5"/>
        <v>225</v>
      </c>
    </row>
    <row r="57" spans="1:26" x14ac:dyDescent="0.25">
      <c r="A57" s="442" t="s">
        <v>196</v>
      </c>
      <c r="B57" s="444">
        <f>184.12</f>
        <v>184.12</v>
      </c>
      <c r="C57" s="443"/>
      <c r="D57" s="444">
        <f>175</f>
        <v>175</v>
      </c>
      <c r="E57" s="443"/>
      <c r="F57" s="444">
        <f>42.47</f>
        <v>42.47</v>
      </c>
      <c r="G57" s="444">
        <f>100</f>
        <v>100</v>
      </c>
      <c r="H57" s="444">
        <f>115.22</f>
        <v>115.22</v>
      </c>
      <c r="I57" s="444">
        <f>100</f>
        <v>100</v>
      </c>
      <c r="J57" s="444">
        <f>78.58</f>
        <v>78.58</v>
      </c>
      <c r="K57" s="444">
        <f>100</f>
        <v>100</v>
      </c>
      <c r="L57" s="444">
        <f>129.19</f>
        <v>129.19</v>
      </c>
      <c r="M57" s="444">
        <f>100</f>
        <v>100</v>
      </c>
      <c r="N57" s="444">
        <f>58.57</f>
        <v>58.57</v>
      </c>
      <c r="O57" s="444">
        <f>100</f>
        <v>100</v>
      </c>
      <c r="P57" s="444">
        <f>107.92</f>
        <v>107.92</v>
      </c>
      <c r="Q57" s="444">
        <f>100</f>
        <v>100</v>
      </c>
      <c r="R57" s="444">
        <f>167.04</f>
        <v>167.04</v>
      </c>
      <c r="S57" s="444">
        <f>100</f>
        <v>100</v>
      </c>
      <c r="T57" s="444">
        <f>224.59</f>
        <v>224.59</v>
      </c>
      <c r="U57" s="444">
        <f>100</f>
        <v>100</v>
      </c>
      <c r="V57" s="444">
        <f>37.91</f>
        <v>37.909999999999997</v>
      </c>
      <c r="W57" s="444">
        <f>100</f>
        <v>100</v>
      </c>
      <c r="X57" s="444">
        <f>225.12</f>
        <v>225.12</v>
      </c>
      <c r="Y57" s="444">
        <f>100</f>
        <v>100</v>
      </c>
      <c r="Z57" s="444">
        <f t="shared" si="5"/>
        <v>1545.73</v>
      </c>
    </row>
    <row r="58" spans="1:26" x14ac:dyDescent="0.25">
      <c r="A58" s="442" t="s">
        <v>441</v>
      </c>
      <c r="B58" s="444">
        <f>4966.27</f>
        <v>4966.2700000000004</v>
      </c>
      <c r="C58" s="443"/>
      <c r="D58" s="443"/>
      <c r="E58" s="443"/>
      <c r="F58" s="443"/>
      <c r="G58" s="444">
        <f>0</f>
        <v>0</v>
      </c>
      <c r="H58" s="443"/>
      <c r="I58" s="444">
        <f>0</f>
        <v>0</v>
      </c>
      <c r="J58" s="443"/>
      <c r="K58" s="444">
        <f>0</f>
        <v>0</v>
      </c>
      <c r="L58" s="443"/>
      <c r="M58" s="444">
        <f>0</f>
        <v>0</v>
      </c>
      <c r="N58" s="444">
        <f>305.37</f>
        <v>305.37</v>
      </c>
      <c r="O58" s="444">
        <f>0</f>
        <v>0</v>
      </c>
      <c r="P58" s="443"/>
      <c r="Q58" s="444">
        <f>0</f>
        <v>0</v>
      </c>
      <c r="R58" s="443"/>
      <c r="S58" s="444">
        <f>1750</f>
        <v>1750</v>
      </c>
      <c r="T58" s="443"/>
      <c r="U58" s="444">
        <f>1750</f>
        <v>1750</v>
      </c>
      <c r="V58" s="444">
        <f>2008.5</f>
        <v>2008.5</v>
      </c>
      <c r="W58" s="444">
        <f>0</f>
        <v>0</v>
      </c>
      <c r="X58" s="444">
        <f>758.5</f>
        <v>758.5</v>
      </c>
      <c r="Y58" s="444">
        <f>0</f>
        <v>0</v>
      </c>
      <c r="Z58" s="444">
        <f t="shared" si="5"/>
        <v>8038.64</v>
      </c>
    </row>
    <row r="59" spans="1:26" x14ac:dyDescent="0.25">
      <c r="A59" s="442" t="s">
        <v>198</v>
      </c>
      <c r="B59" s="444">
        <f>162.19</f>
        <v>162.19</v>
      </c>
      <c r="C59" s="443"/>
      <c r="D59" s="444">
        <f>85.2</f>
        <v>85.2</v>
      </c>
      <c r="E59" s="443"/>
      <c r="F59" s="444">
        <f>91.1</f>
        <v>91.1</v>
      </c>
      <c r="G59" s="444">
        <f>50</f>
        <v>50</v>
      </c>
      <c r="H59" s="444">
        <f>6.99</f>
        <v>6.99</v>
      </c>
      <c r="I59" s="444">
        <f>50</f>
        <v>50</v>
      </c>
      <c r="J59" s="444">
        <f>309.15</f>
        <v>309.14999999999998</v>
      </c>
      <c r="K59" s="444">
        <f>50</f>
        <v>50</v>
      </c>
      <c r="L59" s="443"/>
      <c r="M59" s="444">
        <f>50</f>
        <v>50</v>
      </c>
      <c r="N59" s="444">
        <f>40</f>
        <v>40</v>
      </c>
      <c r="O59" s="444">
        <f>50</f>
        <v>50</v>
      </c>
      <c r="P59" s="444">
        <f>148.14</f>
        <v>148.13999999999999</v>
      </c>
      <c r="Q59" s="444">
        <f>50</f>
        <v>50</v>
      </c>
      <c r="R59" s="443"/>
      <c r="S59" s="444">
        <f>50</f>
        <v>50</v>
      </c>
      <c r="T59" s="444">
        <f>5.4</f>
        <v>5.4</v>
      </c>
      <c r="U59" s="444">
        <f>50</f>
        <v>50</v>
      </c>
      <c r="V59" s="444">
        <f>28.69</f>
        <v>28.69</v>
      </c>
      <c r="W59" s="444">
        <f>50</f>
        <v>50</v>
      </c>
      <c r="X59" s="444">
        <f>15.35</f>
        <v>15.35</v>
      </c>
      <c r="Y59" s="444">
        <f>50</f>
        <v>50</v>
      </c>
      <c r="Z59" s="444">
        <f t="shared" si="5"/>
        <v>892.21</v>
      </c>
    </row>
    <row r="60" spans="1:26" x14ac:dyDescent="0.25">
      <c r="A60" s="442" t="s">
        <v>649</v>
      </c>
      <c r="B60" s="444">
        <f>112</f>
        <v>112</v>
      </c>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4">
        <f t="shared" si="5"/>
        <v>112</v>
      </c>
    </row>
    <row r="61" spans="1:26" x14ac:dyDescent="0.25">
      <c r="A61" s="442" t="s">
        <v>199</v>
      </c>
      <c r="B61" s="444">
        <f>1679.07</f>
        <v>1679.07</v>
      </c>
      <c r="C61" s="443"/>
      <c r="D61" s="444">
        <f>1673.63</f>
        <v>1673.63</v>
      </c>
      <c r="E61" s="443"/>
      <c r="F61" s="444">
        <f>1230.01</f>
        <v>1230.01</v>
      </c>
      <c r="G61" s="444">
        <f>994</f>
        <v>994</v>
      </c>
      <c r="H61" s="444">
        <f>1419.1</f>
        <v>1419.1</v>
      </c>
      <c r="I61" s="444">
        <f>994</f>
        <v>994</v>
      </c>
      <c r="J61" s="444">
        <f>1374.2</f>
        <v>1374.2</v>
      </c>
      <c r="K61" s="444">
        <f>994</f>
        <v>994</v>
      </c>
      <c r="L61" s="444">
        <f>1316.15</f>
        <v>1316.15</v>
      </c>
      <c r="M61" s="444">
        <f>994</f>
        <v>994</v>
      </c>
      <c r="N61" s="444">
        <f>1564.07</f>
        <v>1564.07</v>
      </c>
      <c r="O61" s="444">
        <f>994</f>
        <v>994</v>
      </c>
      <c r="P61" s="444">
        <f>1483.7</f>
        <v>1483.7</v>
      </c>
      <c r="Q61" s="444">
        <f>994</f>
        <v>994</v>
      </c>
      <c r="R61" s="444">
        <f>1486.37</f>
        <v>1486.37</v>
      </c>
      <c r="S61" s="444">
        <f>994</f>
        <v>994</v>
      </c>
      <c r="T61" s="444">
        <f>1392.05</f>
        <v>1392.05</v>
      </c>
      <c r="U61" s="444">
        <f>994</f>
        <v>994</v>
      </c>
      <c r="V61" s="444">
        <f>1193.83</f>
        <v>1193.83</v>
      </c>
      <c r="W61" s="444">
        <f>994</f>
        <v>994</v>
      </c>
      <c r="X61" s="444">
        <f>1255.27</f>
        <v>1255.27</v>
      </c>
      <c r="Y61" s="444">
        <f>994</f>
        <v>994</v>
      </c>
      <c r="Z61" s="444">
        <f t="shared" si="5"/>
        <v>17067.449999999997</v>
      </c>
    </row>
    <row r="62" spans="1:26" x14ac:dyDescent="0.25">
      <c r="A62" s="442" t="s">
        <v>200</v>
      </c>
      <c r="B62" s="444">
        <f>260</f>
        <v>260</v>
      </c>
      <c r="C62" s="443"/>
      <c r="D62" s="444">
        <f>130</f>
        <v>130</v>
      </c>
      <c r="E62" s="443"/>
      <c r="F62" s="443"/>
      <c r="G62" s="444">
        <f>130</f>
        <v>130</v>
      </c>
      <c r="H62" s="444">
        <f>130</f>
        <v>130</v>
      </c>
      <c r="I62" s="444">
        <f>130</f>
        <v>130</v>
      </c>
      <c r="J62" s="444">
        <f>260</f>
        <v>260</v>
      </c>
      <c r="K62" s="444">
        <f>130</f>
        <v>130</v>
      </c>
      <c r="L62" s="444">
        <f>130</f>
        <v>130</v>
      </c>
      <c r="M62" s="444">
        <f>130</f>
        <v>130</v>
      </c>
      <c r="N62" s="444">
        <f>130</f>
        <v>130</v>
      </c>
      <c r="O62" s="444">
        <f>130</f>
        <v>130</v>
      </c>
      <c r="P62" s="444">
        <f>130</f>
        <v>130</v>
      </c>
      <c r="Q62" s="444">
        <f>130</f>
        <v>130</v>
      </c>
      <c r="R62" s="444">
        <f>130</f>
        <v>130</v>
      </c>
      <c r="S62" s="444">
        <f>130</f>
        <v>130</v>
      </c>
      <c r="T62" s="443"/>
      <c r="U62" s="444">
        <f>130</f>
        <v>130</v>
      </c>
      <c r="V62" s="443"/>
      <c r="W62" s="444">
        <f>130</f>
        <v>130</v>
      </c>
      <c r="X62" s="443"/>
      <c r="Y62" s="444">
        <f>130</f>
        <v>130</v>
      </c>
      <c r="Z62" s="444">
        <f t="shared" si="5"/>
        <v>1300</v>
      </c>
    </row>
    <row r="63" spans="1:26" x14ac:dyDescent="0.25">
      <c r="A63" s="442" t="s">
        <v>201</v>
      </c>
      <c r="B63" s="444">
        <f>113</f>
        <v>113</v>
      </c>
      <c r="C63" s="443"/>
      <c r="D63" s="443"/>
      <c r="E63" s="443"/>
      <c r="F63" s="443"/>
      <c r="G63" s="444">
        <f>8</f>
        <v>8</v>
      </c>
      <c r="H63" s="443"/>
      <c r="I63" s="444">
        <f>8</f>
        <v>8</v>
      </c>
      <c r="J63" s="444">
        <f>8.17</f>
        <v>8.17</v>
      </c>
      <c r="K63" s="444">
        <f>8</f>
        <v>8</v>
      </c>
      <c r="L63" s="443"/>
      <c r="M63" s="444">
        <f>8</f>
        <v>8</v>
      </c>
      <c r="N63" s="444">
        <f>28.16</f>
        <v>28.16</v>
      </c>
      <c r="O63" s="444">
        <f>8</f>
        <v>8</v>
      </c>
      <c r="P63" s="443"/>
      <c r="Q63" s="444">
        <f>8</f>
        <v>8</v>
      </c>
      <c r="R63" s="443"/>
      <c r="S63" s="444">
        <f>8</f>
        <v>8</v>
      </c>
      <c r="T63" s="443"/>
      <c r="U63" s="444">
        <f>8</f>
        <v>8</v>
      </c>
      <c r="V63" s="443"/>
      <c r="W63" s="444">
        <f>8</f>
        <v>8</v>
      </c>
      <c r="X63" s="444">
        <f>11.84</f>
        <v>11.84</v>
      </c>
      <c r="Y63" s="444">
        <f>8</f>
        <v>8</v>
      </c>
      <c r="Z63" s="444">
        <f t="shared" si="5"/>
        <v>161.17000000000002</v>
      </c>
    </row>
    <row r="64" spans="1:26" x14ac:dyDescent="0.25">
      <c r="A64" s="442" t="s">
        <v>202</v>
      </c>
      <c r="B64" s="443"/>
      <c r="C64" s="443"/>
      <c r="D64" s="443"/>
      <c r="E64" s="443"/>
      <c r="F64" s="443"/>
      <c r="G64" s="444">
        <f>25</f>
        <v>25</v>
      </c>
      <c r="H64" s="443"/>
      <c r="I64" s="444">
        <f>25</f>
        <v>25</v>
      </c>
      <c r="J64" s="443"/>
      <c r="K64" s="444">
        <f>25</f>
        <v>25</v>
      </c>
      <c r="L64" s="443"/>
      <c r="M64" s="444">
        <f>25</f>
        <v>25</v>
      </c>
      <c r="N64" s="443"/>
      <c r="O64" s="444">
        <f>25</f>
        <v>25</v>
      </c>
      <c r="P64" s="443"/>
      <c r="Q64" s="444">
        <f>25</f>
        <v>25</v>
      </c>
      <c r="R64" s="443"/>
      <c r="S64" s="444">
        <f>25</f>
        <v>25</v>
      </c>
      <c r="T64" s="443"/>
      <c r="U64" s="444">
        <f>25</f>
        <v>25</v>
      </c>
      <c r="V64" s="443"/>
      <c r="W64" s="444">
        <f>25</f>
        <v>25</v>
      </c>
      <c r="X64" s="444">
        <f>4.56</f>
        <v>4.5599999999999996</v>
      </c>
      <c r="Y64" s="444">
        <f>25</f>
        <v>25</v>
      </c>
      <c r="Z64" s="444">
        <f t="shared" si="5"/>
        <v>4.5599999999999996</v>
      </c>
    </row>
    <row r="65" spans="1:26" x14ac:dyDescent="0.25">
      <c r="A65" s="442" t="s">
        <v>203</v>
      </c>
      <c r="B65" s="444">
        <f>180</f>
        <v>180</v>
      </c>
      <c r="C65" s="443"/>
      <c r="D65" s="443"/>
      <c r="E65" s="443"/>
      <c r="F65" s="444">
        <f>38.24</f>
        <v>38.24</v>
      </c>
      <c r="G65" s="444">
        <f>100</f>
        <v>100</v>
      </c>
      <c r="H65" s="444">
        <f>120</f>
        <v>120</v>
      </c>
      <c r="I65" s="444">
        <f>100</f>
        <v>100</v>
      </c>
      <c r="J65" s="444">
        <f>17.75</f>
        <v>17.75</v>
      </c>
      <c r="K65" s="444">
        <f>100</f>
        <v>100</v>
      </c>
      <c r="L65" s="443"/>
      <c r="M65" s="444">
        <f>100</f>
        <v>100</v>
      </c>
      <c r="N65" s="444">
        <f>387.15</f>
        <v>387.15</v>
      </c>
      <c r="O65" s="444">
        <f>100</f>
        <v>100</v>
      </c>
      <c r="P65" s="444">
        <f>330</f>
        <v>330</v>
      </c>
      <c r="Q65" s="444">
        <f>100</f>
        <v>100</v>
      </c>
      <c r="R65" s="443"/>
      <c r="S65" s="444">
        <f>100</f>
        <v>100</v>
      </c>
      <c r="T65" s="444">
        <f>100</f>
        <v>100</v>
      </c>
      <c r="U65" s="444">
        <f>100</f>
        <v>100</v>
      </c>
      <c r="V65" s="444">
        <f>70</f>
        <v>70</v>
      </c>
      <c r="W65" s="444">
        <f>100</f>
        <v>100</v>
      </c>
      <c r="X65" s="444">
        <f>100</f>
        <v>100</v>
      </c>
      <c r="Y65" s="444">
        <f>100</f>
        <v>100</v>
      </c>
      <c r="Z65" s="444">
        <f t="shared" si="5"/>
        <v>1343.1399999999999</v>
      </c>
    </row>
    <row r="66" spans="1:26" x14ac:dyDescent="0.25">
      <c r="A66" s="442" t="s">
        <v>444</v>
      </c>
      <c r="B66" s="443"/>
      <c r="C66" s="443"/>
      <c r="D66" s="443"/>
      <c r="E66" s="443"/>
      <c r="F66" s="443"/>
      <c r="G66" s="444">
        <f>0</f>
        <v>0</v>
      </c>
      <c r="H66" s="443"/>
      <c r="I66" s="444">
        <f>0</f>
        <v>0</v>
      </c>
      <c r="J66" s="443"/>
      <c r="K66" s="444">
        <f>0</f>
        <v>0</v>
      </c>
      <c r="L66" s="443"/>
      <c r="M66" s="444">
        <f>0</f>
        <v>0</v>
      </c>
      <c r="N66" s="443"/>
      <c r="O66" s="444">
        <f>0</f>
        <v>0</v>
      </c>
      <c r="P66" s="443"/>
      <c r="Q66" s="444">
        <f>1000</f>
        <v>1000</v>
      </c>
      <c r="R66" s="443"/>
      <c r="S66" s="444">
        <f>1000</f>
        <v>1000</v>
      </c>
      <c r="T66" s="443"/>
      <c r="U66" s="444">
        <f>0</f>
        <v>0</v>
      </c>
      <c r="V66" s="443"/>
      <c r="W66" s="444">
        <f>0</f>
        <v>0</v>
      </c>
      <c r="X66" s="444">
        <f>250</f>
        <v>250</v>
      </c>
      <c r="Y66" s="444">
        <f>0</f>
        <v>0</v>
      </c>
      <c r="Z66" s="444">
        <f t="shared" si="5"/>
        <v>250</v>
      </c>
    </row>
    <row r="67" spans="1:26" x14ac:dyDescent="0.25">
      <c r="A67" s="442" t="s">
        <v>204</v>
      </c>
      <c r="B67" s="444">
        <f>65.73</f>
        <v>65.73</v>
      </c>
      <c r="C67" s="443"/>
      <c r="D67" s="443"/>
      <c r="E67" s="443"/>
      <c r="F67" s="443"/>
      <c r="G67" s="444">
        <f>71</f>
        <v>71</v>
      </c>
      <c r="H67" s="444">
        <f>92.42</f>
        <v>92.42</v>
      </c>
      <c r="I67" s="444">
        <f>71</f>
        <v>71</v>
      </c>
      <c r="J67" s="444">
        <f>149.43</f>
        <v>149.43</v>
      </c>
      <c r="K67" s="444">
        <f>71</f>
        <v>71</v>
      </c>
      <c r="L67" s="443"/>
      <c r="M67" s="444">
        <f>71</f>
        <v>71</v>
      </c>
      <c r="N67" s="443"/>
      <c r="O67" s="444">
        <f>71</f>
        <v>71</v>
      </c>
      <c r="P67" s="444">
        <f>135.07</f>
        <v>135.07</v>
      </c>
      <c r="Q67" s="444">
        <f>71</f>
        <v>71</v>
      </c>
      <c r="R67" s="443"/>
      <c r="S67" s="444">
        <f>71</f>
        <v>71</v>
      </c>
      <c r="T67" s="444">
        <f>32.8</f>
        <v>32.799999999999997</v>
      </c>
      <c r="U67" s="444">
        <f>71</f>
        <v>71</v>
      </c>
      <c r="V67" s="444">
        <f>29.37</f>
        <v>29.37</v>
      </c>
      <c r="W67" s="444">
        <f>71</f>
        <v>71</v>
      </c>
      <c r="X67" s="444">
        <f>220.28</f>
        <v>220.28</v>
      </c>
      <c r="Y67" s="444">
        <f>71</f>
        <v>71</v>
      </c>
      <c r="Z67" s="444">
        <f t="shared" si="5"/>
        <v>725.1</v>
      </c>
    </row>
    <row r="68" spans="1:26" x14ac:dyDescent="0.25">
      <c r="A68" s="442" t="s">
        <v>205</v>
      </c>
      <c r="B68" s="443"/>
      <c r="C68" s="443"/>
      <c r="D68" s="443"/>
      <c r="E68" s="443"/>
      <c r="F68" s="443"/>
      <c r="G68" s="443"/>
      <c r="H68" s="443"/>
      <c r="I68" s="443"/>
      <c r="J68" s="443"/>
      <c r="K68" s="443"/>
      <c r="L68" s="443"/>
      <c r="M68" s="443"/>
      <c r="N68" s="443"/>
      <c r="O68" s="443"/>
      <c r="P68" s="444">
        <f>320</f>
        <v>320</v>
      </c>
      <c r="Q68" s="443"/>
      <c r="R68" s="443"/>
      <c r="S68" s="443"/>
      <c r="T68" s="444">
        <f>203.06</f>
        <v>203.06</v>
      </c>
      <c r="U68" s="443"/>
      <c r="V68" s="444">
        <f>71.6</f>
        <v>71.599999999999994</v>
      </c>
      <c r="W68" s="443"/>
      <c r="X68" s="443"/>
      <c r="Y68" s="443"/>
      <c r="Z68" s="444">
        <f t="shared" si="5"/>
        <v>594.66</v>
      </c>
    </row>
    <row r="69" spans="1:26" x14ac:dyDescent="0.25">
      <c r="A69" s="442" t="s">
        <v>206</v>
      </c>
      <c r="B69" s="444">
        <f>234.25</f>
        <v>234.25</v>
      </c>
      <c r="C69" s="443"/>
      <c r="D69" s="444">
        <f>72</f>
        <v>72</v>
      </c>
      <c r="E69" s="443"/>
      <c r="F69" s="443"/>
      <c r="G69" s="444">
        <f>292</f>
        <v>292</v>
      </c>
      <c r="H69" s="444">
        <f>188.23</f>
        <v>188.23</v>
      </c>
      <c r="I69" s="444">
        <f>292</f>
        <v>292</v>
      </c>
      <c r="J69" s="444">
        <f>278.79</f>
        <v>278.79000000000002</v>
      </c>
      <c r="K69" s="444">
        <f>292</f>
        <v>292</v>
      </c>
      <c r="L69" s="444">
        <f>23.47</f>
        <v>23.47</v>
      </c>
      <c r="M69" s="444">
        <f>292</f>
        <v>292</v>
      </c>
      <c r="N69" s="444">
        <f>219.76</f>
        <v>219.76</v>
      </c>
      <c r="O69" s="444">
        <f>292</f>
        <v>292</v>
      </c>
      <c r="P69" s="444">
        <f>474.22</f>
        <v>474.22</v>
      </c>
      <c r="Q69" s="444">
        <f>292</f>
        <v>292</v>
      </c>
      <c r="R69" s="444">
        <f>14.91</f>
        <v>14.91</v>
      </c>
      <c r="S69" s="444">
        <f>292</f>
        <v>292</v>
      </c>
      <c r="T69" s="444">
        <f>108.49</f>
        <v>108.49</v>
      </c>
      <c r="U69" s="444">
        <f>292</f>
        <v>292</v>
      </c>
      <c r="V69" s="444">
        <f>170.17</f>
        <v>170.17</v>
      </c>
      <c r="W69" s="444">
        <f>292</f>
        <v>292</v>
      </c>
      <c r="X69" s="444">
        <f>121.18</f>
        <v>121.18</v>
      </c>
      <c r="Y69" s="444">
        <f>292</f>
        <v>292</v>
      </c>
      <c r="Z69" s="444">
        <f t="shared" si="5"/>
        <v>1905.4700000000003</v>
      </c>
    </row>
    <row r="70" spans="1:26" x14ac:dyDescent="0.25">
      <c r="A70" s="442" t="s">
        <v>445</v>
      </c>
      <c r="B70" s="443"/>
      <c r="C70" s="443"/>
      <c r="D70" s="443"/>
      <c r="E70" s="443"/>
      <c r="F70" s="443"/>
      <c r="G70" s="443"/>
      <c r="H70" s="443"/>
      <c r="I70" s="443"/>
      <c r="J70" s="443"/>
      <c r="K70" s="443"/>
      <c r="L70" s="443"/>
      <c r="M70" s="443"/>
      <c r="N70" s="443"/>
      <c r="O70" s="443"/>
      <c r="P70" s="443"/>
      <c r="Q70" s="443"/>
      <c r="R70" s="443"/>
      <c r="S70" s="443"/>
      <c r="T70" s="443"/>
      <c r="U70" s="443"/>
      <c r="V70" s="443"/>
      <c r="W70" s="443"/>
      <c r="X70" s="444">
        <f>20.7</f>
        <v>20.7</v>
      </c>
      <c r="Y70" s="443"/>
      <c r="Z70" s="444">
        <f t="shared" si="5"/>
        <v>20.7</v>
      </c>
    </row>
    <row r="71" spans="1:26" x14ac:dyDescent="0.25">
      <c r="A71" s="442" t="s">
        <v>207</v>
      </c>
      <c r="B71" s="443"/>
      <c r="C71" s="443"/>
      <c r="D71" s="443"/>
      <c r="E71" s="443"/>
      <c r="F71" s="443"/>
      <c r="G71" s="444">
        <f>8</f>
        <v>8</v>
      </c>
      <c r="H71" s="443"/>
      <c r="I71" s="444">
        <f>8</f>
        <v>8</v>
      </c>
      <c r="J71" s="443"/>
      <c r="K71" s="444">
        <f>8</f>
        <v>8</v>
      </c>
      <c r="L71" s="443"/>
      <c r="M71" s="444">
        <f>8</f>
        <v>8</v>
      </c>
      <c r="N71" s="443"/>
      <c r="O71" s="444">
        <f>8</f>
        <v>8</v>
      </c>
      <c r="P71" s="443"/>
      <c r="Q71" s="444">
        <f>8</f>
        <v>8</v>
      </c>
      <c r="R71" s="443"/>
      <c r="S71" s="444">
        <f>8</f>
        <v>8</v>
      </c>
      <c r="T71" s="444">
        <f>20.95</f>
        <v>20.95</v>
      </c>
      <c r="U71" s="444">
        <f>8</f>
        <v>8</v>
      </c>
      <c r="V71" s="443"/>
      <c r="W71" s="444">
        <f>8</f>
        <v>8</v>
      </c>
      <c r="X71" s="443"/>
      <c r="Y71" s="444">
        <f>8</f>
        <v>8</v>
      </c>
      <c r="Z71" s="444">
        <f t="shared" si="5"/>
        <v>20.95</v>
      </c>
    </row>
    <row r="72" spans="1:26" x14ac:dyDescent="0.25">
      <c r="A72" s="442" t="s">
        <v>208</v>
      </c>
      <c r="B72" s="443"/>
      <c r="C72" s="443"/>
      <c r="D72" s="443"/>
      <c r="E72" s="443"/>
      <c r="F72" s="443"/>
      <c r="G72" s="444">
        <f>42</f>
        <v>42</v>
      </c>
      <c r="H72" s="443"/>
      <c r="I72" s="444">
        <f>42</f>
        <v>42</v>
      </c>
      <c r="J72" s="444">
        <f>25.99</f>
        <v>25.99</v>
      </c>
      <c r="K72" s="444">
        <f>42</f>
        <v>42</v>
      </c>
      <c r="L72" s="443"/>
      <c r="M72" s="444">
        <f>42</f>
        <v>42</v>
      </c>
      <c r="N72" s="444">
        <f>125.81</f>
        <v>125.81</v>
      </c>
      <c r="O72" s="444">
        <f>42</f>
        <v>42</v>
      </c>
      <c r="P72" s="444">
        <f>154.21</f>
        <v>154.21</v>
      </c>
      <c r="Q72" s="444">
        <f>42</f>
        <v>42</v>
      </c>
      <c r="R72" s="444">
        <f>150.48</f>
        <v>150.47999999999999</v>
      </c>
      <c r="S72" s="444">
        <f>42</f>
        <v>42</v>
      </c>
      <c r="T72" s="443"/>
      <c r="U72" s="444">
        <f>42</f>
        <v>42</v>
      </c>
      <c r="V72" s="443"/>
      <c r="W72" s="444">
        <f>42</f>
        <v>42</v>
      </c>
      <c r="X72" s="443"/>
      <c r="Y72" s="444">
        <f>42</f>
        <v>42</v>
      </c>
      <c r="Z72" s="444">
        <f t="shared" si="5"/>
        <v>456.49</v>
      </c>
    </row>
    <row r="73" spans="1:26" x14ac:dyDescent="0.25">
      <c r="A73" s="442" t="s">
        <v>209</v>
      </c>
      <c r="B73" s="444">
        <f>44</f>
        <v>44</v>
      </c>
      <c r="C73" s="443"/>
      <c r="D73" s="443"/>
      <c r="E73" s="443"/>
      <c r="F73" s="444">
        <f>1354.07</f>
        <v>1354.07</v>
      </c>
      <c r="G73" s="443"/>
      <c r="H73" s="444">
        <f>1109.95</f>
        <v>1109.95</v>
      </c>
      <c r="I73" s="443"/>
      <c r="J73" s="443"/>
      <c r="K73" s="443"/>
      <c r="L73" s="444">
        <f>39.75</f>
        <v>39.75</v>
      </c>
      <c r="M73" s="443"/>
      <c r="N73" s="443"/>
      <c r="O73" s="443"/>
      <c r="P73" s="443"/>
      <c r="Q73" s="443"/>
      <c r="R73" s="444">
        <f>906.2</f>
        <v>906.2</v>
      </c>
      <c r="S73" s="443"/>
      <c r="T73" s="443"/>
      <c r="U73" s="443"/>
      <c r="V73" s="443"/>
      <c r="W73" s="443"/>
      <c r="X73" s="444">
        <f>1686.41</f>
        <v>1686.41</v>
      </c>
      <c r="Y73" s="443"/>
      <c r="Z73" s="444">
        <f t="shared" si="5"/>
        <v>5140.38</v>
      </c>
    </row>
    <row r="74" spans="1:26" x14ac:dyDescent="0.25">
      <c r="A74" s="442" t="s">
        <v>654</v>
      </c>
      <c r="B74" s="443"/>
      <c r="C74" s="443"/>
      <c r="D74" s="443"/>
      <c r="E74" s="443"/>
      <c r="F74" s="443"/>
      <c r="G74" s="443"/>
      <c r="H74" s="443"/>
      <c r="I74" s="443"/>
      <c r="J74" s="444">
        <f>85</f>
        <v>85</v>
      </c>
      <c r="K74" s="443"/>
      <c r="L74" s="443"/>
      <c r="M74" s="443"/>
      <c r="N74" s="443"/>
      <c r="O74" s="443"/>
      <c r="P74" s="443"/>
      <c r="Q74" s="443"/>
      <c r="R74" s="443"/>
      <c r="S74" s="443"/>
      <c r="T74" s="443"/>
      <c r="U74" s="443"/>
      <c r="V74" s="443"/>
      <c r="W74" s="443"/>
      <c r="X74" s="443"/>
      <c r="Y74" s="443"/>
      <c r="Z74" s="444">
        <f t="shared" si="5"/>
        <v>85</v>
      </c>
    </row>
    <row r="75" spans="1:26" x14ac:dyDescent="0.25">
      <c r="A75" s="442" t="s">
        <v>211</v>
      </c>
      <c r="B75" s="444">
        <f>87.79</f>
        <v>87.79</v>
      </c>
      <c r="C75" s="443"/>
      <c r="D75" s="443"/>
      <c r="E75" s="443"/>
      <c r="F75" s="443"/>
      <c r="G75" s="444">
        <f>167</f>
        <v>167</v>
      </c>
      <c r="H75" s="444">
        <f>24.48</f>
        <v>24.48</v>
      </c>
      <c r="I75" s="444">
        <f>167</f>
        <v>167</v>
      </c>
      <c r="J75" s="443"/>
      <c r="K75" s="444">
        <f>167</f>
        <v>167</v>
      </c>
      <c r="L75" s="444">
        <f>211.33</f>
        <v>211.33</v>
      </c>
      <c r="M75" s="444">
        <f>167</f>
        <v>167</v>
      </c>
      <c r="N75" s="443"/>
      <c r="O75" s="444">
        <f>167</f>
        <v>167</v>
      </c>
      <c r="P75" s="443"/>
      <c r="Q75" s="444">
        <f>167</f>
        <v>167</v>
      </c>
      <c r="R75" s="443"/>
      <c r="S75" s="444">
        <f>167</f>
        <v>167</v>
      </c>
      <c r="T75" s="444">
        <f>529.43</f>
        <v>529.42999999999995</v>
      </c>
      <c r="U75" s="444">
        <f>167</f>
        <v>167</v>
      </c>
      <c r="V75" s="443"/>
      <c r="W75" s="444">
        <f>167</f>
        <v>167</v>
      </c>
      <c r="X75" s="444">
        <f>92.82</f>
        <v>92.82</v>
      </c>
      <c r="Y75" s="444">
        <f>167</f>
        <v>167</v>
      </c>
      <c r="Z75" s="444">
        <f t="shared" si="5"/>
        <v>945.84999999999991</v>
      </c>
    </row>
    <row r="76" spans="1:26" x14ac:dyDescent="0.25">
      <c r="A76" s="442" t="s">
        <v>212</v>
      </c>
      <c r="B76" s="443"/>
      <c r="C76" s="443"/>
      <c r="D76" s="443"/>
      <c r="E76" s="443"/>
      <c r="F76" s="444">
        <f>600</f>
        <v>600</v>
      </c>
      <c r="G76" s="444">
        <f>83</f>
        <v>83</v>
      </c>
      <c r="H76" s="443"/>
      <c r="I76" s="444">
        <f>83</f>
        <v>83</v>
      </c>
      <c r="J76" s="443"/>
      <c r="K76" s="444">
        <f>83</f>
        <v>83</v>
      </c>
      <c r="L76" s="443"/>
      <c r="M76" s="444">
        <f>83</f>
        <v>83</v>
      </c>
      <c r="N76" s="443"/>
      <c r="O76" s="444">
        <f>83</f>
        <v>83</v>
      </c>
      <c r="P76" s="443"/>
      <c r="Q76" s="444">
        <f>83</f>
        <v>83</v>
      </c>
      <c r="R76" s="443"/>
      <c r="S76" s="444">
        <f>83</f>
        <v>83</v>
      </c>
      <c r="T76" s="443"/>
      <c r="U76" s="444">
        <f>83</f>
        <v>83</v>
      </c>
      <c r="V76" s="443"/>
      <c r="W76" s="444">
        <f>83</f>
        <v>83</v>
      </c>
      <c r="X76" s="443"/>
      <c r="Y76" s="444">
        <f>83</f>
        <v>83</v>
      </c>
      <c r="Z76" s="444">
        <f t="shared" si="5"/>
        <v>600</v>
      </c>
    </row>
    <row r="77" spans="1:26" x14ac:dyDescent="0.25">
      <c r="A77" s="442" t="s">
        <v>213</v>
      </c>
      <c r="B77" s="445">
        <f t="shared" ref="B77:Y77" si="6">(((((((((((((((((((((((((((((((((((((B39)+(B40))+(B41))+(B42))+(B43))+(B44))+(B45))+(B46))+(B47))+(B48))+(B49))+(B50))+(B51))+(B52))+(B53))+(B54))+(B55))+(B56))+(B57))+(B58))+(B59))+(B60))+(B61))+(B62))+(B63))+(B64))+(B65))+(B66))+(B67))+(B68))+(B69))+(B70))+(B71))+(B72))+(B73))+(B74))+(B75))+(B76)</f>
        <v>28626.179999999993</v>
      </c>
      <c r="C77" s="445">
        <f t="shared" si="6"/>
        <v>0</v>
      </c>
      <c r="D77" s="445">
        <f t="shared" si="6"/>
        <v>33540.86</v>
      </c>
      <c r="E77" s="445">
        <f t="shared" si="6"/>
        <v>0</v>
      </c>
      <c r="F77" s="445">
        <f t="shared" si="6"/>
        <v>18102.38</v>
      </c>
      <c r="G77" s="445">
        <f t="shared" si="6"/>
        <v>17693</v>
      </c>
      <c r="H77" s="445">
        <f t="shared" si="6"/>
        <v>23209.14</v>
      </c>
      <c r="I77" s="445">
        <f t="shared" si="6"/>
        <v>17693</v>
      </c>
      <c r="J77" s="445">
        <f t="shared" si="6"/>
        <v>28930.880000000005</v>
      </c>
      <c r="K77" s="445">
        <f t="shared" si="6"/>
        <v>18226</v>
      </c>
      <c r="L77" s="445">
        <f t="shared" si="6"/>
        <v>16909.140000000003</v>
      </c>
      <c r="M77" s="445">
        <f t="shared" si="6"/>
        <v>17726</v>
      </c>
      <c r="N77" s="445">
        <f t="shared" si="6"/>
        <v>19045.88</v>
      </c>
      <c r="O77" s="445">
        <f t="shared" si="6"/>
        <v>17726</v>
      </c>
      <c r="P77" s="445">
        <f t="shared" si="6"/>
        <v>18963.93</v>
      </c>
      <c r="Q77" s="445">
        <f t="shared" si="6"/>
        <v>19976</v>
      </c>
      <c r="R77" s="445">
        <f t="shared" si="6"/>
        <v>23099.649999999998</v>
      </c>
      <c r="S77" s="445">
        <f t="shared" si="6"/>
        <v>25128</v>
      </c>
      <c r="T77" s="445">
        <f t="shared" si="6"/>
        <v>21212.300000000007</v>
      </c>
      <c r="U77" s="445">
        <f t="shared" si="6"/>
        <v>26976</v>
      </c>
      <c r="V77" s="445">
        <f t="shared" si="6"/>
        <v>23937.749999999996</v>
      </c>
      <c r="W77" s="445">
        <f t="shared" si="6"/>
        <v>17943</v>
      </c>
      <c r="X77" s="445">
        <f t="shared" si="6"/>
        <v>34505.17</v>
      </c>
      <c r="Y77" s="445">
        <f t="shared" si="6"/>
        <v>19193</v>
      </c>
      <c r="Z77" s="445">
        <f t="shared" si="5"/>
        <v>290083.26</v>
      </c>
    </row>
    <row r="78" spans="1:26" x14ac:dyDescent="0.25">
      <c r="A78" s="442" t="s">
        <v>214</v>
      </c>
      <c r="B78" s="445">
        <f t="shared" ref="B78:Y78" si="7">(B37)-(B77)</f>
        <v>-21193.449999999997</v>
      </c>
      <c r="C78" s="445">
        <f t="shared" si="7"/>
        <v>0</v>
      </c>
      <c r="D78" s="445">
        <f t="shared" si="7"/>
        <v>41631.499999999985</v>
      </c>
      <c r="E78" s="445">
        <f t="shared" si="7"/>
        <v>0</v>
      </c>
      <c r="F78" s="445">
        <f t="shared" si="7"/>
        <v>-13558.240000000002</v>
      </c>
      <c r="G78" s="445">
        <f t="shared" si="7"/>
        <v>-15845</v>
      </c>
      <c r="H78" s="445">
        <f t="shared" si="7"/>
        <v>-10110.43</v>
      </c>
      <c r="I78" s="445">
        <f t="shared" si="7"/>
        <v>116</v>
      </c>
      <c r="J78" s="445">
        <f t="shared" si="7"/>
        <v>-13504.350000000004</v>
      </c>
      <c r="K78" s="445">
        <f t="shared" si="7"/>
        <v>-7917</v>
      </c>
      <c r="L78" s="445">
        <f t="shared" si="7"/>
        <v>-14239.920000000002</v>
      </c>
      <c r="M78" s="445">
        <f t="shared" si="7"/>
        <v>-6069</v>
      </c>
      <c r="N78" s="445">
        <f t="shared" si="7"/>
        <v>15144.09</v>
      </c>
      <c r="O78" s="445">
        <f t="shared" si="7"/>
        <v>12740</v>
      </c>
      <c r="P78" s="445">
        <f t="shared" si="7"/>
        <v>-23517.65</v>
      </c>
      <c r="Q78" s="445">
        <f t="shared" si="7"/>
        <v>-4630</v>
      </c>
      <c r="R78" s="445">
        <f t="shared" si="7"/>
        <v>-23336.659999999996</v>
      </c>
      <c r="S78" s="445">
        <f t="shared" si="7"/>
        <v>-13610</v>
      </c>
      <c r="T78" s="445">
        <f t="shared" si="7"/>
        <v>-4976.6300000000101</v>
      </c>
      <c r="U78" s="445">
        <f t="shared" si="7"/>
        <v>1474</v>
      </c>
      <c r="V78" s="445">
        <f t="shared" si="7"/>
        <v>-3397.9599999999955</v>
      </c>
      <c r="W78" s="445">
        <f t="shared" si="7"/>
        <v>1545</v>
      </c>
      <c r="X78" s="445">
        <f t="shared" si="7"/>
        <v>106799.48</v>
      </c>
      <c r="Y78" s="445">
        <f t="shared" si="7"/>
        <v>139405</v>
      </c>
      <c r="Z78" s="445">
        <f t="shared" si="5"/>
        <v>35739.779999999984</v>
      </c>
    </row>
    <row r="79" spans="1:26" x14ac:dyDescent="0.25">
      <c r="A79" s="442" t="s">
        <v>215</v>
      </c>
      <c r="B79" s="443"/>
      <c r="C79" s="443"/>
      <c r="D79" s="443"/>
      <c r="E79" s="443"/>
      <c r="F79" s="443"/>
      <c r="G79" s="443"/>
      <c r="H79" s="443"/>
      <c r="I79" s="443"/>
      <c r="J79" s="443"/>
      <c r="K79" s="443"/>
      <c r="L79" s="443"/>
      <c r="M79" s="443"/>
      <c r="N79" s="443"/>
      <c r="O79" s="443"/>
      <c r="P79" s="443"/>
      <c r="Q79" s="443"/>
      <c r="R79" s="443"/>
      <c r="S79" s="443"/>
      <c r="T79" s="443"/>
      <c r="U79" s="443"/>
      <c r="V79" s="443"/>
      <c r="W79" s="443"/>
      <c r="X79" s="443"/>
      <c r="Y79" s="443"/>
      <c r="Z79" s="443"/>
    </row>
    <row r="80" spans="1:26" x14ac:dyDescent="0.25">
      <c r="A80" s="442" t="s">
        <v>216</v>
      </c>
      <c r="B80" s="443"/>
      <c r="C80" s="443"/>
      <c r="D80" s="444">
        <f>11.62</f>
        <v>11.62</v>
      </c>
      <c r="E80" s="443"/>
      <c r="F80" s="443"/>
      <c r="G80" s="444">
        <f>13</f>
        <v>13</v>
      </c>
      <c r="H80" s="443"/>
      <c r="I80" s="444">
        <f>13</f>
        <v>13</v>
      </c>
      <c r="J80" s="444">
        <f>3.57</f>
        <v>3.57</v>
      </c>
      <c r="K80" s="444">
        <f>13</f>
        <v>13</v>
      </c>
      <c r="L80" s="443"/>
      <c r="M80" s="444">
        <f>13</f>
        <v>13</v>
      </c>
      <c r="N80" s="443"/>
      <c r="O80" s="444">
        <f>13</f>
        <v>13</v>
      </c>
      <c r="P80" s="444">
        <f>0.63</f>
        <v>0.63</v>
      </c>
      <c r="Q80" s="444">
        <f>13</f>
        <v>13</v>
      </c>
      <c r="R80" s="444">
        <f>0.56</f>
        <v>0.56000000000000005</v>
      </c>
      <c r="S80" s="444">
        <f>13</f>
        <v>13</v>
      </c>
      <c r="T80" s="443"/>
      <c r="U80" s="444">
        <f>13</f>
        <v>13</v>
      </c>
      <c r="V80" s="444">
        <f>1.78</f>
        <v>1.78</v>
      </c>
      <c r="W80" s="444">
        <f>13</f>
        <v>13</v>
      </c>
      <c r="X80" s="443"/>
      <c r="Y80" s="444">
        <f>13</f>
        <v>13</v>
      </c>
      <c r="Z80" s="444">
        <f>(((((((((((B80)+(D80))+(F80))+(H80))+(J80))+(L80))+(N80))+(P80))+(R80))+(T80))+(V80))+(X80)</f>
        <v>18.16</v>
      </c>
    </row>
    <row r="81" spans="1:26" x14ac:dyDescent="0.25">
      <c r="A81" s="442" t="s">
        <v>217</v>
      </c>
      <c r="B81" s="445">
        <f t="shared" ref="B81:Y81" si="8">B80</f>
        <v>0</v>
      </c>
      <c r="C81" s="445">
        <f t="shared" si="8"/>
        <v>0</v>
      </c>
      <c r="D81" s="445">
        <f t="shared" si="8"/>
        <v>11.62</v>
      </c>
      <c r="E81" s="445">
        <f t="shared" si="8"/>
        <v>0</v>
      </c>
      <c r="F81" s="445">
        <f t="shared" si="8"/>
        <v>0</v>
      </c>
      <c r="G81" s="445">
        <f t="shared" si="8"/>
        <v>13</v>
      </c>
      <c r="H81" s="445">
        <f t="shared" si="8"/>
        <v>0</v>
      </c>
      <c r="I81" s="445">
        <f t="shared" si="8"/>
        <v>13</v>
      </c>
      <c r="J81" s="445">
        <f t="shared" si="8"/>
        <v>3.57</v>
      </c>
      <c r="K81" s="445">
        <f t="shared" si="8"/>
        <v>13</v>
      </c>
      <c r="L81" s="445">
        <f t="shared" si="8"/>
        <v>0</v>
      </c>
      <c r="M81" s="445">
        <f t="shared" si="8"/>
        <v>13</v>
      </c>
      <c r="N81" s="445">
        <f t="shared" si="8"/>
        <v>0</v>
      </c>
      <c r="O81" s="445">
        <f t="shared" si="8"/>
        <v>13</v>
      </c>
      <c r="P81" s="445">
        <f t="shared" si="8"/>
        <v>0.63</v>
      </c>
      <c r="Q81" s="445">
        <f t="shared" si="8"/>
        <v>13</v>
      </c>
      <c r="R81" s="445">
        <f t="shared" si="8"/>
        <v>0.56000000000000005</v>
      </c>
      <c r="S81" s="445">
        <f t="shared" si="8"/>
        <v>13</v>
      </c>
      <c r="T81" s="445">
        <f t="shared" si="8"/>
        <v>0</v>
      </c>
      <c r="U81" s="445">
        <f t="shared" si="8"/>
        <v>13</v>
      </c>
      <c r="V81" s="445">
        <f t="shared" si="8"/>
        <v>1.78</v>
      </c>
      <c r="W81" s="445">
        <f t="shared" si="8"/>
        <v>13</v>
      </c>
      <c r="X81" s="445">
        <f t="shared" si="8"/>
        <v>0</v>
      </c>
      <c r="Y81" s="445">
        <f t="shared" si="8"/>
        <v>13</v>
      </c>
      <c r="Z81" s="445">
        <f>(((((((((((B81)+(D81))+(F81))+(H81))+(J81))+(L81))+(N81))+(P81))+(R81))+(T81))+(V81))+(X81)</f>
        <v>18.16</v>
      </c>
    </row>
    <row r="82" spans="1:26" x14ac:dyDescent="0.25">
      <c r="A82" s="442" t="s">
        <v>218</v>
      </c>
      <c r="B82" s="44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443"/>
    </row>
    <row r="83" spans="1:26" x14ac:dyDescent="0.25">
      <c r="A83" s="442" t="s">
        <v>657</v>
      </c>
      <c r="B83" s="443"/>
      <c r="C83" s="443"/>
      <c r="D83" s="443"/>
      <c r="E83" s="443"/>
      <c r="F83" s="443"/>
      <c r="G83" s="443"/>
      <c r="H83" s="443"/>
      <c r="I83" s="443"/>
      <c r="J83" s="443"/>
      <c r="K83" s="443"/>
      <c r="L83" s="443"/>
      <c r="M83" s="443"/>
      <c r="N83" s="443"/>
      <c r="O83" s="443"/>
      <c r="P83" s="443"/>
      <c r="Q83" s="443"/>
      <c r="R83" s="443"/>
      <c r="S83" s="443"/>
      <c r="T83" s="443"/>
      <c r="U83" s="443"/>
      <c r="V83" s="444">
        <f>20.95</f>
        <v>20.95</v>
      </c>
      <c r="W83" s="443"/>
      <c r="X83" s="444">
        <f>263.1</f>
        <v>263.10000000000002</v>
      </c>
      <c r="Y83" s="443"/>
      <c r="Z83" s="444">
        <f t="shared" ref="Z83:Z86" si="9">(((((((((((B83)+(D83))+(F83))+(H83))+(J83))+(L83))+(N83))+(P83))+(R83))+(T83))+(V83))+(X83)</f>
        <v>284.05</v>
      </c>
    </row>
    <row r="84" spans="1:26" x14ac:dyDescent="0.25">
      <c r="A84" s="442" t="s">
        <v>220</v>
      </c>
      <c r="B84" s="445">
        <f t="shared" ref="B84:Y84" si="10">B83</f>
        <v>0</v>
      </c>
      <c r="C84" s="445">
        <f t="shared" si="10"/>
        <v>0</v>
      </c>
      <c r="D84" s="445">
        <f t="shared" si="10"/>
        <v>0</v>
      </c>
      <c r="E84" s="445">
        <f t="shared" si="10"/>
        <v>0</v>
      </c>
      <c r="F84" s="445">
        <f t="shared" si="10"/>
        <v>0</v>
      </c>
      <c r="G84" s="445">
        <f t="shared" si="10"/>
        <v>0</v>
      </c>
      <c r="H84" s="445">
        <f t="shared" si="10"/>
        <v>0</v>
      </c>
      <c r="I84" s="445">
        <f t="shared" si="10"/>
        <v>0</v>
      </c>
      <c r="J84" s="445">
        <f t="shared" si="10"/>
        <v>0</v>
      </c>
      <c r="K84" s="445">
        <f t="shared" si="10"/>
        <v>0</v>
      </c>
      <c r="L84" s="445">
        <f t="shared" si="10"/>
        <v>0</v>
      </c>
      <c r="M84" s="445">
        <f t="shared" si="10"/>
        <v>0</v>
      </c>
      <c r="N84" s="445">
        <f t="shared" si="10"/>
        <v>0</v>
      </c>
      <c r="O84" s="445">
        <f t="shared" si="10"/>
        <v>0</v>
      </c>
      <c r="P84" s="445">
        <f t="shared" si="10"/>
        <v>0</v>
      </c>
      <c r="Q84" s="445">
        <f t="shared" si="10"/>
        <v>0</v>
      </c>
      <c r="R84" s="445">
        <f t="shared" si="10"/>
        <v>0</v>
      </c>
      <c r="S84" s="445">
        <f t="shared" si="10"/>
        <v>0</v>
      </c>
      <c r="T84" s="445">
        <f t="shared" si="10"/>
        <v>0</v>
      </c>
      <c r="U84" s="445">
        <f t="shared" si="10"/>
        <v>0</v>
      </c>
      <c r="V84" s="445">
        <f t="shared" si="10"/>
        <v>20.95</v>
      </c>
      <c r="W84" s="445">
        <f t="shared" si="10"/>
        <v>0</v>
      </c>
      <c r="X84" s="445">
        <f t="shared" si="10"/>
        <v>263.10000000000002</v>
      </c>
      <c r="Y84" s="445">
        <f t="shared" si="10"/>
        <v>0</v>
      </c>
      <c r="Z84" s="445">
        <f t="shared" si="9"/>
        <v>284.05</v>
      </c>
    </row>
    <row r="85" spans="1:26" x14ac:dyDescent="0.25">
      <c r="A85" s="442" t="s">
        <v>221</v>
      </c>
      <c r="B85" s="445">
        <f t="shared" ref="B85:Y85" si="11">(B81)-(B84)</f>
        <v>0</v>
      </c>
      <c r="C85" s="445">
        <f t="shared" si="11"/>
        <v>0</v>
      </c>
      <c r="D85" s="445">
        <f t="shared" si="11"/>
        <v>11.62</v>
      </c>
      <c r="E85" s="445">
        <f t="shared" si="11"/>
        <v>0</v>
      </c>
      <c r="F85" s="445">
        <f t="shared" si="11"/>
        <v>0</v>
      </c>
      <c r="G85" s="445">
        <f t="shared" si="11"/>
        <v>13</v>
      </c>
      <c r="H85" s="445">
        <f t="shared" si="11"/>
        <v>0</v>
      </c>
      <c r="I85" s="445">
        <f t="shared" si="11"/>
        <v>13</v>
      </c>
      <c r="J85" s="445">
        <f t="shared" si="11"/>
        <v>3.57</v>
      </c>
      <c r="K85" s="445">
        <f t="shared" si="11"/>
        <v>13</v>
      </c>
      <c r="L85" s="445">
        <f t="shared" si="11"/>
        <v>0</v>
      </c>
      <c r="M85" s="445">
        <f t="shared" si="11"/>
        <v>13</v>
      </c>
      <c r="N85" s="445">
        <f t="shared" si="11"/>
        <v>0</v>
      </c>
      <c r="O85" s="445">
        <f t="shared" si="11"/>
        <v>13</v>
      </c>
      <c r="P85" s="445">
        <f t="shared" si="11"/>
        <v>0.63</v>
      </c>
      <c r="Q85" s="445">
        <f t="shared" si="11"/>
        <v>13</v>
      </c>
      <c r="R85" s="445">
        <f t="shared" si="11"/>
        <v>0.56000000000000005</v>
      </c>
      <c r="S85" s="445">
        <f t="shared" si="11"/>
        <v>13</v>
      </c>
      <c r="T85" s="445">
        <f t="shared" si="11"/>
        <v>0</v>
      </c>
      <c r="U85" s="445">
        <f t="shared" si="11"/>
        <v>13</v>
      </c>
      <c r="V85" s="445">
        <f t="shared" si="11"/>
        <v>-19.169999999999998</v>
      </c>
      <c r="W85" s="445">
        <f t="shared" si="11"/>
        <v>13</v>
      </c>
      <c r="X85" s="445">
        <f t="shared" si="11"/>
        <v>-263.10000000000002</v>
      </c>
      <c r="Y85" s="445">
        <f t="shared" si="11"/>
        <v>13</v>
      </c>
      <c r="Z85" s="445">
        <f t="shared" si="9"/>
        <v>-265.89000000000004</v>
      </c>
    </row>
    <row r="86" spans="1:26" x14ac:dyDescent="0.25">
      <c r="A86" s="442" t="s">
        <v>222</v>
      </c>
      <c r="B86" s="445">
        <f t="shared" ref="B86:Y86" si="12">(B78)+(B85)</f>
        <v>-21193.449999999997</v>
      </c>
      <c r="C86" s="445">
        <f t="shared" si="12"/>
        <v>0</v>
      </c>
      <c r="D86" s="445">
        <f t="shared" si="12"/>
        <v>41643.119999999988</v>
      </c>
      <c r="E86" s="445">
        <f t="shared" si="12"/>
        <v>0</v>
      </c>
      <c r="F86" s="445">
        <f t="shared" si="12"/>
        <v>-13558.240000000002</v>
      </c>
      <c r="G86" s="445">
        <f t="shared" si="12"/>
        <v>-15832</v>
      </c>
      <c r="H86" s="445">
        <f t="shared" si="12"/>
        <v>-10110.43</v>
      </c>
      <c r="I86" s="445">
        <f t="shared" si="12"/>
        <v>129</v>
      </c>
      <c r="J86" s="445">
        <f t="shared" si="12"/>
        <v>-13500.780000000004</v>
      </c>
      <c r="K86" s="445">
        <f t="shared" si="12"/>
        <v>-7904</v>
      </c>
      <c r="L86" s="445">
        <f t="shared" si="12"/>
        <v>-14239.920000000002</v>
      </c>
      <c r="M86" s="445">
        <f t="shared" si="12"/>
        <v>-6056</v>
      </c>
      <c r="N86" s="445">
        <f t="shared" si="12"/>
        <v>15144.09</v>
      </c>
      <c r="O86" s="445">
        <f t="shared" si="12"/>
        <v>12753</v>
      </c>
      <c r="P86" s="445">
        <f t="shared" si="12"/>
        <v>-23517.02</v>
      </c>
      <c r="Q86" s="445">
        <f t="shared" si="12"/>
        <v>-4617</v>
      </c>
      <c r="R86" s="445">
        <f t="shared" si="12"/>
        <v>-23336.099999999995</v>
      </c>
      <c r="S86" s="445">
        <f t="shared" si="12"/>
        <v>-13597</v>
      </c>
      <c r="T86" s="445">
        <f t="shared" si="12"/>
        <v>-4976.6300000000101</v>
      </c>
      <c r="U86" s="445">
        <f t="shared" si="12"/>
        <v>1487</v>
      </c>
      <c r="V86" s="445">
        <f t="shared" si="12"/>
        <v>-3417.1299999999956</v>
      </c>
      <c r="W86" s="445">
        <f t="shared" si="12"/>
        <v>1558</v>
      </c>
      <c r="X86" s="445">
        <f t="shared" si="12"/>
        <v>106536.37999999999</v>
      </c>
      <c r="Y86" s="445">
        <f t="shared" si="12"/>
        <v>139418</v>
      </c>
      <c r="Z86" s="445">
        <f t="shared" si="9"/>
        <v>35473.889999999985</v>
      </c>
    </row>
    <row r="87" spans="1:26" x14ac:dyDescent="0.25">
      <c r="A87" s="442"/>
      <c r="B87" s="443"/>
      <c r="C87" s="443"/>
      <c r="D87" s="443"/>
      <c r="E87" s="443"/>
      <c r="F87" s="443"/>
      <c r="G87" s="443"/>
      <c r="H87" s="443"/>
      <c r="I87" s="443"/>
      <c r="J87" s="443"/>
      <c r="K87" s="443"/>
      <c r="L87" s="443"/>
      <c r="M87" s="443"/>
      <c r="N87" s="443"/>
      <c r="O87" s="443"/>
      <c r="P87" s="443"/>
      <c r="Q87" s="443"/>
      <c r="R87" s="443"/>
      <c r="S87" s="443"/>
      <c r="T87" s="443"/>
      <c r="U87" s="443"/>
      <c r="V87" s="443"/>
      <c r="W87" s="443"/>
      <c r="X87" s="443"/>
      <c r="Y87" s="443"/>
      <c r="Z87" s="443"/>
    </row>
    <row r="90" spans="1:26" x14ac:dyDescent="0.25">
      <c r="A90" s="563" t="s">
        <v>675</v>
      </c>
      <c r="B90" s="541"/>
      <c r="C90" s="541"/>
      <c r="D90" s="541"/>
      <c r="E90" s="541"/>
      <c r="F90" s="541"/>
      <c r="G90" s="541"/>
      <c r="H90" s="541"/>
      <c r="I90" s="541"/>
      <c r="J90" s="541"/>
      <c r="K90" s="541"/>
      <c r="L90" s="541"/>
      <c r="M90" s="541"/>
      <c r="N90" s="541"/>
      <c r="O90" s="541"/>
      <c r="P90" s="541"/>
      <c r="Q90" s="541"/>
      <c r="R90" s="541"/>
      <c r="S90" s="541"/>
      <c r="T90" s="541"/>
      <c r="U90" s="541"/>
      <c r="V90" s="541"/>
      <c r="W90" s="541"/>
      <c r="X90" s="541"/>
      <c r="Y90" s="541"/>
      <c r="Z90" s="541"/>
    </row>
  </sheetData>
  <mergeCells count="15">
    <mergeCell ref="A90:Z90"/>
    <mergeCell ref="A1:Z1"/>
    <mergeCell ref="A2:Z2"/>
    <mergeCell ref="B4:C4"/>
    <mergeCell ref="D4:E4"/>
    <mergeCell ref="F4:G4"/>
    <mergeCell ref="H4:I4"/>
    <mergeCell ref="J4:K4"/>
    <mergeCell ref="L4:M4"/>
    <mergeCell ref="N4:O4"/>
    <mergeCell ref="P4:Q4"/>
    <mergeCell ref="R4:S4"/>
    <mergeCell ref="T4:U4"/>
    <mergeCell ref="V4:W4"/>
    <mergeCell ref="X4:Y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561"/>
  <sheetViews>
    <sheetView workbookViewId="0">
      <selection activeCell="G12" sqref="G12"/>
    </sheetView>
  </sheetViews>
  <sheetFormatPr defaultColWidth="8.875" defaultRowHeight="15" outlineLevelRow="1" outlineLevelCol="1" x14ac:dyDescent="0.25"/>
  <cols>
    <col min="1" max="1" width="30.625" style="438" customWidth="1"/>
    <col min="2" max="2" width="8.5" style="438" customWidth="1"/>
    <col min="3" max="3" width="9.375" style="438" customWidth="1"/>
    <col min="4" max="4" width="7" style="438" hidden="1" customWidth="1" outlineLevel="1"/>
    <col min="5" max="5" width="35.625" style="438" hidden="1" customWidth="1" outlineLevel="1"/>
    <col min="6" max="6" width="41.625" style="438" customWidth="1" collapsed="1"/>
    <col min="7" max="7" width="60.375" style="438" hidden="1" customWidth="1" outlineLevel="1"/>
    <col min="8" max="8" width="20.125" style="438" hidden="1" customWidth="1" outlineLevel="1"/>
    <col min="9" max="9" width="11.625" style="438" customWidth="1" collapsed="1"/>
    <col min="10" max="16384" width="8.875" style="438"/>
  </cols>
  <sheetData>
    <row r="1" spans="1:9" ht="18" x14ac:dyDescent="0.25">
      <c r="A1" s="564" t="s">
        <v>677</v>
      </c>
      <c r="B1" s="541"/>
      <c r="C1" s="541"/>
      <c r="D1" s="541"/>
      <c r="E1" s="541"/>
      <c r="F1" s="541"/>
      <c r="G1" s="541"/>
      <c r="H1" s="541"/>
      <c r="I1" s="541"/>
    </row>
    <row r="2" spans="1:9" x14ac:dyDescent="0.25">
      <c r="A2" s="565" t="s">
        <v>671</v>
      </c>
      <c r="B2" s="541"/>
      <c r="C2" s="541"/>
      <c r="D2" s="541"/>
      <c r="E2" s="541"/>
      <c r="F2" s="541"/>
      <c r="G2" s="541"/>
      <c r="H2" s="541"/>
      <c r="I2" s="541"/>
    </row>
    <row r="4" spans="1:9" ht="24.75" x14ac:dyDescent="0.25">
      <c r="B4" s="441" t="s">
        <v>75</v>
      </c>
      <c r="C4" s="441" t="s">
        <v>93</v>
      </c>
      <c r="D4" s="441" t="s">
        <v>94</v>
      </c>
      <c r="E4" s="441" t="s">
        <v>76</v>
      </c>
      <c r="F4" s="441" t="s">
        <v>95</v>
      </c>
      <c r="G4" s="441" t="s">
        <v>96</v>
      </c>
      <c r="H4" s="441" t="s">
        <v>112</v>
      </c>
      <c r="I4" s="441" t="s">
        <v>97</v>
      </c>
    </row>
    <row r="5" spans="1:9" hidden="1" outlineLevel="1" x14ac:dyDescent="0.25">
      <c r="A5" s="442" t="s">
        <v>40</v>
      </c>
    </row>
    <row r="6" spans="1:9" hidden="1" outlineLevel="1" x14ac:dyDescent="0.25">
      <c r="B6" s="446" t="s">
        <v>678</v>
      </c>
      <c r="C6" s="446" t="s">
        <v>38</v>
      </c>
      <c r="D6" s="446">
        <v>2486</v>
      </c>
      <c r="E6" s="446" t="s">
        <v>679</v>
      </c>
      <c r="F6" s="446" t="s">
        <v>113</v>
      </c>
      <c r="G6" s="446" t="s">
        <v>40</v>
      </c>
      <c r="H6" s="446" t="s">
        <v>41</v>
      </c>
      <c r="I6" s="447">
        <v>50</v>
      </c>
    </row>
    <row r="7" spans="1:9" hidden="1" outlineLevel="1" x14ac:dyDescent="0.25">
      <c r="B7" s="446" t="s">
        <v>680</v>
      </c>
      <c r="C7" s="446" t="s">
        <v>38</v>
      </c>
      <c r="D7" s="446">
        <v>2501</v>
      </c>
      <c r="E7" s="446" t="s">
        <v>681</v>
      </c>
      <c r="F7" s="446" t="s">
        <v>682</v>
      </c>
      <c r="G7" s="446" t="s">
        <v>40</v>
      </c>
      <c r="H7" s="446" t="s">
        <v>41</v>
      </c>
      <c r="I7" s="447" t="s">
        <v>683</v>
      </c>
    </row>
    <row r="8" spans="1:9" hidden="1" outlineLevel="1" x14ac:dyDescent="0.25">
      <c r="B8" s="446" t="s">
        <v>684</v>
      </c>
      <c r="C8" s="446" t="s">
        <v>38</v>
      </c>
      <c r="D8" s="446">
        <v>2517</v>
      </c>
      <c r="E8" s="446" t="s">
        <v>685</v>
      </c>
      <c r="F8" s="446" t="s">
        <v>686</v>
      </c>
      <c r="G8" s="446" t="s">
        <v>40</v>
      </c>
      <c r="H8" s="446" t="s">
        <v>41</v>
      </c>
      <c r="I8" s="447">
        <v>100</v>
      </c>
    </row>
    <row r="9" spans="1:9" hidden="1" outlineLevel="1" x14ac:dyDescent="0.25">
      <c r="B9" s="446" t="s">
        <v>687</v>
      </c>
      <c r="C9" s="446" t="s">
        <v>38</v>
      </c>
      <c r="D9" s="446">
        <v>2523</v>
      </c>
      <c r="E9" s="446" t="s">
        <v>688</v>
      </c>
      <c r="F9" s="446" t="s">
        <v>61</v>
      </c>
      <c r="G9" s="446" t="s">
        <v>40</v>
      </c>
      <c r="H9" s="446" t="s">
        <v>41</v>
      </c>
      <c r="I9" s="447" t="s">
        <v>689</v>
      </c>
    </row>
    <row r="10" spans="1:9" hidden="1" outlineLevel="1" x14ac:dyDescent="0.25">
      <c r="B10" s="446" t="s">
        <v>690</v>
      </c>
      <c r="C10" s="446" t="s">
        <v>38</v>
      </c>
      <c r="D10" s="446">
        <v>2555</v>
      </c>
      <c r="E10" s="446" t="s">
        <v>691</v>
      </c>
      <c r="F10" s="446" t="s">
        <v>61</v>
      </c>
      <c r="G10" s="446" t="s">
        <v>40</v>
      </c>
      <c r="H10" s="446" t="s">
        <v>41</v>
      </c>
      <c r="I10" s="447">
        <v>250</v>
      </c>
    </row>
    <row r="11" spans="1:9" hidden="1" outlineLevel="1" x14ac:dyDescent="0.25">
      <c r="B11" s="446" t="s">
        <v>690</v>
      </c>
      <c r="C11" s="446" t="s">
        <v>38</v>
      </c>
      <c r="D11" s="446">
        <v>2538</v>
      </c>
      <c r="E11" s="446" t="s">
        <v>679</v>
      </c>
      <c r="F11" s="446" t="s">
        <v>113</v>
      </c>
      <c r="G11" s="446" t="s">
        <v>40</v>
      </c>
      <c r="H11" s="446" t="s">
        <v>41</v>
      </c>
      <c r="I11" s="447">
        <v>50</v>
      </c>
    </row>
    <row r="12" spans="1:9" hidden="1" outlineLevel="1" x14ac:dyDescent="0.25">
      <c r="B12" s="446" t="s">
        <v>690</v>
      </c>
      <c r="C12" s="446" t="s">
        <v>38</v>
      </c>
      <c r="D12" s="446">
        <v>2542</v>
      </c>
      <c r="E12" s="446" t="s">
        <v>692</v>
      </c>
      <c r="F12" s="446" t="s">
        <v>61</v>
      </c>
      <c r="G12" s="446" t="s">
        <v>40</v>
      </c>
      <c r="H12" s="446" t="s">
        <v>41</v>
      </c>
      <c r="I12" s="447">
        <v>500</v>
      </c>
    </row>
    <row r="13" spans="1:9" hidden="1" outlineLevel="1" x14ac:dyDescent="0.25">
      <c r="B13" s="446" t="s">
        <v>693</v>
      </c>
      <c r="C13" s="446" t="s">
        <v>38</v>
      </c>
      <c r="D13" s="446">
        <v>2540</v>
      </c>
      <c r="E13" s="446" t="s">
        <v>694</v>
      </c>
      <c r="F13" s="446" t="s">
        <v>695</v>
      </c>
      <c r="G13" s="446" t="s">
        <v>40</v>
      </c>
      <c r="H13" s="446" t="s">
        <v>41</v>
      </c>
      <c r="I13" s="447" t="s">
        <v>696</v>
      </c>
    </row>
    <row r="14" spans="1:9" hidden="1" outlineLevel="1" x14ac:dyDescent="0.25">
      <c r="B14" s="446" t="s">
        <v>697</v>
      </c>
      <c r="C14" s="446" t="s">
        <v>38</v>
      </c>
      <c r="D14" s="446">
        <v>2584</v>
      </c>
      <c r="E14" s="446" t="s">
        <v>679</v>
      </c>
      <c r="F14" s="446" t="s">
        <v>113</v>
      </c>
      <c r="G14" s="446" t="s">
        <v>40</v>
      </c>
      <c r="H14" s="446" t="s">
        <v>41</v>
      </c>
      <c r="I14" s="447">
        <v>50</v>
      </c>
    </row>
    <row r="15" spans="1:9" hidden="1" outlineLevel="1" x14ac:dyDescent="0.25">
      <c r="B15" s="446" t="s">
        <v>698</v>
      </c>
      <c r="C15" s="446" t="s">
        <v>38</v>
      </c>
      <c r="D15" s="446">
        <v>2625</v>
      </c>
      <c r="E15" s="446" t="s">
        <v>679</v>
      </c>
      <c r="F15" s="446" t="s">
        <v>113</v>
      </c>
      <c r="G15" s="446" t="s">
        <v>40</v>
      </c>
      <c r="H15" s="446" t="s">
        <v>41</v>
      </c>
      <c r="I15" s="447">
        <v>50</v>
      </c>
    </row>
    <row r="16" spans="1:9" hidden="1" outlineLevel="1" x14ac:dyDescent="0.25">
      <c r="B16" s="446" t="s">
        <v>699</v>
      </c>
      <c r="C16" s="446" t="s">
        <v>38</v>
      </c>
      <c r="D16" s="446">
        <v>2676</v>
      </c>
      <c r="E16" s="446" t="s">
        <v>679</v>
      </c>
      <c r="F16" s="446" t="s">
        <v>113</v>
      </c>
      <c r="G16" s="446" t="s">
        <v>40</v>
      </c>
      <c r="H16" s="446" t="s">
        <v>41</v>
      </c>
      <c r="I16" s="447">
        <v>50</v>
      </c>
    </row>
    <row r="17" spans="1:9" hidden="1" outlineLevel="1" x14ac:dyDescent="0.25">
      <c r="B17" s="446" t="s">
        <v>700</v>
      </c>
      <c r="C17" s="446" t="s">
        <v>38</v>
      </c>
      <c r="D17" s="446">
        <v>2712</v>
      </c>
      <c r="E17" s="446" t="s">
        <v>679</v>
      </c>
      <c r="F17" s="446" t="s">
        <v>113</v>
      </c>
      <c r="G17" s="446" t="s">
        <v>40</v>
      </c>
      <c r="H17" s="446" t="s">
        <v>41</v>
      </c>
      <c r="I17" s="447">
        <v>50</v>
      </c>
    </row>
    <row r="18" spans="1:9" hidden="1" outlineLevel="1" x14ac:dyDescent="0.25">
      <c r="B18" s="446" t="s">
        <v>701</v>
      </c>
      <c r="C18" s="446" t="s">
        <v>38</v>
      </c>
      <c r="D18" s="446">
        <v>2760</v>
      </c>
      <c r="E18" s="446" t="s">
        <v>679</v>
      </c>
      <c r="F18" s="446" t="s">
        <v>113</v>
      </c>
      <c r="G18" s="446" t="s">
        <v>40</v>
      </c>
      <c r="H18" s="446" t="s">
        <v>41</v>
      </c>
      <c r="I18" s="447">
        <v>50</v>
      </c>
    </row>
    <row r="19" spans="1:9" hidden="1" outlineLevel="1" x14ac:dyDescent="0.25">
      <c r="B19" s="446" t="s">
        <v>702</v>
      </c>
      <c r="C19" s="446" t="s">
        <v>38</v>
      </c>
      <c r="D19" s="446">
        <v>2814</v>
      </c>
      <c r="E19" s="446" t="s">
        <v>67</v>
      </c>
      <c r="F19" s="446" t="s">
        <v>703</v>
      </c>
      <c r="G19" s="446" t="s">
        <v>40</v>
      </c>
      <c r="H19" s="446" t="s">
        <v>41</v>
      </c>
      <c r="I19" s="447">
        <v>100</v>
      </c>
    </row>
    <row r="20" spans="1:9" hidden="1" outlineLevel="1" x14ac:dyDescent="0.25">
      <c r="B20" s="446" t="s">
        <v>702</v>
      </c>
      <c r="C20" s="446" t="s">
        <v>38</v>
      </c>
      <c r="D20" s="446">
        <v>2796</v>
      </c>
      <c r="E20" s="446" t="s">
        <v>679</v>
      </c>
      <c r="F20" s="446" t="s">
        <v>113</v>
      </c>
      <c r="G20" s="446" t="s">
        <v>40</v>
      </c>
      <c r="H20" s="446" t="s">
        <v>41</v>
      </c>
      <c r="I20" s="447">
        <v>0</v>
      </c>
    </row>
    <row r="21" spans="1:9" hidden="1" outlineLevel="1" x14ac:dyDescent="0.25">
      <c r="B21" s="446" t="s">
        <v>702</v>
      </c>
      <c r="C21" s="446" t="s">
        <v>38</v>
      </c>
      <c r="D21" s="446">
        <v>2819</v>
      </c>
      <c r="E21" s="446" t="s">
        <v>68</v>
      </c>
      <c r="F21" s="446" t="s">
        <v>704</v>
      </c>
      <c r="G21" s="446" t="s">
        <v>40</v>
      </c>
      <c r="H21" s="446" t="s">
        <v>41</v>
      </c>
      <c r="I21" s="447">
        <v>50</v>
      </c>
    </row>
    <row r="22" spans="1:9" hidden="1" outlineLevel="1" x14ac:dyDescent="0.25">
      <c r="B22" s="446" t="s">
        <v>705</v>
      </c>
      <c r="C22" s="446" t="s">
        <v>38</v>
      </c>
      <c r="D22" s="446">
        <v>2846</v>
      </c>
      <c r="E22" s="446" t="s">
        <v>679</v>
      </c>
      <c r="F22" s="446" t="s">
        <v>113</v>
      </c>
      <c r="G22" s="446" t="s">
        <v>40</v>
      </c>
      <c r="H22" s="446" t="s">
        <v>41</v>
      </c>
      <c r="I22" s="447">
        <v>0</v>
      </c>
    </row>
    <row r="23" spans="1:9" hidden="1" outlineLevel="1" x14ac:dyDescent="0.25">
      <c r="B23" s="446" t="s">
        <v>706</v>
      </c>
      <c r="C23" s="446" t="s">
        <v>38</v>
      </c>
      <c r="D23" s="446">
        <v>2900</v>
      </c>
      <c r="E23" s="446" t="s">
        <v>679</v>
      </c>
      <c r="F23" s="446" t="s">
        <v>113</v>
      </c>
      <c r="G23" s="446" t="s">
        <v>40</v>
      </c>
      <c r="H23" s="446" t="s">
        <v>41</v>
      </c>
      <c r="I23" s="447">
        <v>50</v>
      </c>
    </row>
    <row r="24" spans="1:9" hidden="1" outlineLevel="1" x14ac:dyDescent="0.25">
      <c r="B24" s="446" t="s">
        <v>707</v>
      </c>
      <c r="C24" s="446" t="s">
        <v>38</v>
      </c>
      <c r="D24" s="446">
        <v>2940</v>
      </c>
      <c r="E24" s="446" t="s">
        <v>679</v>
      </c>
      <c r="F24" s="446" t="s">
        <v>113</v>
      </c>
      <c r="G24" s="446" t="s">
        <v>40</v>
      </c>
      <c r="H24" s="446" t="s">
        <v>41</v>
      </c>
      <c r="I24" s="447">
        <v>50</v>
      </c>
    </row>
    <row r="25" spans="1:9" hidden="1" outlineLevel="1" x14ac:dyDescent="0.25">
      <c r="B25" s="446" t="s">
        <v>708</v>
      </c>
      <c r="C25" s="446" t="s">
        <v>38</v>
      </c>
      <c r="D25" s="446">
        <v>3010</v>
      </c>
      <c r="E25" s="446" t="s">
        <v>679</v>
      </c>
      <c r="F25" s="446" t="s">
        <v>113</v>
      </c>
      <c r="G25" s="446" t="s">
        <v>40</v>
      </c>
      <c r="H25" s="446" t="s">
        <v>41</v>
      </c>
      <c r="I25" s="447">
        <v>50</v>
      </c>
    </row>
    <row r="26" spans="1:9" collapsed="1" x14ac:dyDescent="0.25">
      <c r="A26" s="442" t="s">
        <v>709</v>
      </c>
      <c r="I26" s="445" t="s">
        <v>710</v>
      </c>
    </row>
    <row r="27" spans="1:9" hidden="1" outlineLevel="1" x14ac:dyDescent="0.25">
      <c r="A27" s="442" t="s">
        <v>711</v>
      </c>
    </row>
    <row r="28" spans="1:9" hidden="1" outlineLevel="1" x14ac:dyDescent="0.25">
      <c r="B28" s="446" t="s">
        <v>712</v>
      </c>
      <c r="C28" s="446" t="s">
        <v>38</v>
      </c>
      <c r="D28" s="446">
        <v>2441</v>
      </c>
      <c r="E28" s="446" t="s">
        <v>713</v>
      </c>
      <c r="F28" s="446" t="s">
        <v>61</v>
      </c>
      <c r="G28" s="446" t="s">
        <v>714</v>
      </c>
      <c r="H28" s="446" t="s">
        <v>41</v>
      </c>
      <c r="I28" s="447" t="s">
        <v>715</v>
      </c>
    </row>
    <row r="29" spans="1:9" hidden="1" outlineLevel="1" x14ac:dyDescent="0.25">
      <c r="B29" s="446" t="s">
        <v>716</v>
      </c>
      <c r="C29" s="446" t="s">
        <v>38</v>
      </c>
      <c r="D29" s="446">
        <v>2446</v>
      </c>
      <c r="E29" s="446" t="s">
        <v>717</v>
      </c>
      <c r="F29" s="446" t="s">
        <v>718</v>
      </c>
      <c r="G29" s="446" t="s">
        <v>714</v>
      </c>
      <c r="H29" s="446" t="s">
        <v>41</v>
      </c>
      <c r="I29" s="447">
        <v>100</v>
      </c>
    </row>
    <row r="30" spans="1:9" hidden="1" outlineLevel="1" x14ac:dyDescent="0.25">
      <c r="B30" s="446" t="s">
        <v>719</v>
      </c>
      <c r="C30" s="446" t="s">
        <v>38</v>
      </c>
      <c r="D30" s="446">
        <v>2468</v>
      </c>
      <c r="E30" s="446" t="s">
        <v>59</v>
      </c>
      <c r="F30" s="446" t="s">
        <v>720</v>
      </c>
      <c r="G30" s="446" t="s">
        <v>714</v>
      </c>
      <c r="H30" s="446" t="s">
        <v>41</v>
      </c>
      <c r="I30" s="447" t="s">
        <v>715</v>
      </c>
    </row>
    <row r="31" spans="1:9" hidden="1" outlineLevel="1" x14ac:dyDescent="0.25">
      <c r="B31" s="446" t="s">
        <v>721</v>
      </c>
      <c r="C31" s="446" t="s">
        <v>38</v>
      </c>
      <c r="D31" s="446">
        <v>2452</v>
      </c>
      <c r="E31" s="446" t="s">
        <v>722</v>
      </c>
      <c r="F31" s="446" t="s">
        <v>723</v>
      </c>
      <c r="G31" s="446" t="s">
        <v>714</v>
      </c>
      <c r="H31" s="446" t="s">
        <v>41</v>
      </c>
      <c r="I31" s="447" t="s">
        <v>715</v>
      </c>
    </row>
    <row r="32" spans="1:9" hidden="1" outlineLevel="1" x14ac:dyDescent="0.25">
      <c r="B32" s="446" t="s">
        <v>724</v>
      </c>
      <c r="C32" s="446" t="s">
        <v>38</v>
      </c>
      <c r="D32" s="446">
        <v>2483</v>
      </c>
      <c r="E32" s="446" t="s">
        <v>39</v>
      </c>
      <c r="F32" s="446" t="s">
        <v>725</v>
      </c>
      <c r="G32" s="446" t="s">
        <v>714</v>
      </c>
      <c r="H32" s="446" t="s">
        <v>41</v>
      </c>
      <c r="I32" s="447" t="s">
        <v>726</v>
      </c>
    </row>
    <row r="33" spans="1:9" hidden="1" outlineLevel="1" x14ac:dyDescent="0.25">
      <c r="B33" s="446" t="s">
        <v>727</v>
      </c>
      <c r="C33" s="446" t="s">
        <v>38</v>
      </c>
      <c r="D33" s="446">
        <v>2496</v>
      </c>
      <c r="E33" s="446" t="s">
        <v>717</v>
      </c>
      <c r="F33" s="446" t="s">
        <v>718</v>
      </c>
      <c r="G33" s="446" t="s">
        <v>714</v>
      </c>
      <c r="H33" s="446" t="s">
        <v>41</v>
      </c>
      <c r="I33" s="447">
        <v>100</v>
      </c>
    </row>
    <row r="34" spans="1:9" hidden="1" outlineLevel="1" x14ac:dyDescent="0.25">
      <c r="B34" s="446" t="s">
        <v>680</v>
      </c>
      <c r="C34" s="446" t="s">
        <v>38</v>
      </c>
      <c r="D34" s="446">
        <v>2500</v>
      </c>
      <c r="E34" s="446" t="s">
        <v>39</v>
      </c>
      <c r="F34" s="446" t="s">
        <v>725</v>
      </c>
      <c r="G34" s="446" t="s">
        <v>714</v>
      </c>
      <c r="H34" s="446" t="s">
        <v>41</v>
      </c>
      <c r="I34" s="447" t="s">
        <v>726</v>
      </c>
    </row>
    <row r="35" spans="1:9" hidden="1" outlineLevel="1" x14ac:dyDescent="0.25">
      <c r="B35" s="446" t="s">
        <v>728</v>
      </c>
      <c r="C35" s="446" t="s">
        <v>38</v>
      </c>
      <c r="D35" s="446">
        <v>2530</v>
      </c>
      <c r="E35" s="446" t="s">
        <v>39</v>
      </c>
      <c r="F35" s="446" t="s">
        <v>725</v>
      </c>
      <c r="G35" s="446" t="s">
        <v>714</v>
      </c>
      <c r="H35" s="446" t="s">
        <v>41</v>
      </c>
      <c r="I35" s="447" t="s">
        <v>726</v>
      </c>
    </row>
    <row r="36" spans="1:9" hidden="1" outlineLevel="1" x14ac:dyDescent="0.25">
      <c r="B36" s="446" t="s">
        <v>729</v>
      </c>
      <c r="C36" s="446" t="s">
        <v>38</v>
      </c>
      <c r="D36" s="446">
        <v>2549</v>
      </c>
      <c r="E36" s="446" t="s">
        <v>53</v>
      </c>
      <c r="F36" s="446" t="s">
        <v>61</v>
      </c>
      <c r="G36" s="446" t="s">
        <v>714</v>
      </c>
      <c r="H36" s="446" t="s">
        <v>41</v>
      </c>
      <c r="I36" s="447" t="s">
        <v>730</v>
      </c>
    </row>
    <row r="37" spans="1:9" hidden="1" outlineLevel="1" x14ac:dyDescent="0.25">
      <c r="B37" s="446" t="s">
        <v>697</v>
      </c>
      <c r="C37" s="446" t="s">
        <v>38</v>
      </c>
      <c r="D37" s="446">
        <v>2590</v>
      </c>
      <c r="E37" s="446" t="s">
        <v>731</v>
      </c>
      <c r="F37" s="446" t="s">
        <v>732</v>
      </c>
      <c r="G37" s="446" t="s">
        <v>714</v>
      </c>
      <c r="H37" s="446" t="s">
        <v>41</v>
      </c>
      <c r="I37" s="447">
        <v>500</v>
      </c>
    </row>
    <row r="38" spans="1:9" hidden="1" outlineLevel="1" x14ac:dyDescent="0.25">
      <c r="B38" s="446" t="s">
        <v>733</v>
      </c>
      <c r="C38" s="446" t="s">
        <v>38</v>
      </c>
      <c r="D38" s="446">
        <v>2748</v>
      </c>
      <c r="E38" s="446" t="s">
        <v>49</v>
      </c>
      <c r="F38" s="446" t="s">
        <v>734</v>
      </c>
      <c r="G38" s="446" t="s">
        <v>714</v>
      </c>
      <c r="H38" s="446" t="s">
        <v>41</v>
      </c>
      <c r="I38" s="447" t="s">
        <v>735</v>
      </c>
    </row>
    <row r="39" spans="1:9" collapsed="1" x14ac:dyDescent="0.25">
      <c r="A39" s="442" t="s">
        <v>736</v>
      </c>
      <c r="I39" s="445" t="s">
        <v>737</v>
      </c>
    </row>
    <row r="40" spans="1:9" hidden="1" outlineLevel="1" x14ac:dyDescent="0.25">
      <c r="A40" s="442" t="s">
        <v>738</v>
      </c>
    </row>
    <row r="41" spans="1:9" hidden="1" outlineLevel="1" x14ac:dyDescent="0.25">
      <c r="B41" s="446" t="s">
        <v>739</v>
      </c>
      <c r="C41" s="446" t="s">
        <v>38</v>
      </c>
      <c r="D41" s="446">
        <v>2916</v>
      </c>
      <c r="E41" s="446" t="s">
        <v>740</v>
      </c>
      <c r="F41" s="446"/>
      <c r="G41" s="446" t="s">
        <v>741</v>
      </c>
      <c r="H41" s="446" t="s">
        <v>41</v>
      </c>
      <c r="I41" s="447" t="s">
        <v>726</v>
      </c>
    </row>
    <row r="42" spans="1:9" hidden="1" outlineLevel="1" x14ac:dyDescent="0.25">
      <c r="B42" s="446" t="s">
        <v>742</v>
      </c>
      <c r="C42" s="446" t="s">
        <v>38</v>
      </c>
      <c r="D42" s="446">
        <v>2929</v>
      </c>
      <c r="E42" s="446" t="s">
        <v>743</v>
      </c>
      <c r="F42" s="446" t="s">
        <v>61</v>
      </c>
      <c r="G42" s="446" t="s">
        <v>741</v>
      </c>
      <c r="H42" s="446" t="s">
        <v>41</v>
      </c>
      <c r="I42" s="447" t="s">
        <v>744</v>
      </c>
    </row>
    <row r="43" spans="1:9" hidden="1" outlineLevel="1" x14ac:dyDescent="0.25">
      <c r="B43" s="446" t="s">
        <v>745</v>
      </c>
      <c r="C43" s="446" t="s">
        <v>38</v>
      </c>
      <c r="D43" s="446">
        <v>2932</v>
      </c>
      <c r="E43" s="446" t="s">
        <v>746</v>
      </c>
      <c r="F43" s="446" t="s">
        <v>747</v>
      </c>
      <c r="G43" s="446" t="s">
        <v>741</v>
      </c>
      <c r="H43" s="446" t="s">
        <v>41</v>
      </c>
      <c r="I43" s="447" t="s">
        <v>748</v>
      </c>
    </row>
    <row r="44" spans="1:9" hidden="1" outlineLevel="1" x14ac:dyDescent="0.25">
      <c r="B44" s="446" t="s">
        <v>749</v>
      </c>
      <c r="C44" s="446" t="s">
        <v>38</v>
      </c>
      <c r="D44" s="446">
        <v>2943</v>
      </c>
      <c r="E44" s="446" t="s">
        <v>43</v>
      </c>
      <c r="F44" s="446" t="s">
        <v>750</v>
      </c>
      <c r="G44" s="446" t="s">
        <v>741</v>
      </c>
      <c r="H44" s="446" t="s">
        <v>41</v>
      </c>
      <c r="I44" s="447" t="s">
        <v>726</v>
      </c>
    </row>
    <row r="45" spans="1:9" hidden="1" outlineLevel="1" x14ac:dyDescent="0.25">
      <c r="B45" s="446" t="s">
        <v>751</v>
      </c>
      <c r="C45" s="446" t="s">
        <v>38</v>
      </c>
      <c r="D45" s="446">
        <v>2965</v>
      </c>
      <c r="E45" s="446" t="s">
        <v>752</v>
      </c>
      <c r="F45" s="446" t="s">
        <v>753</v>
      </c>
      <c r="G45" s="446" t="s">
        <v>741</v>
      </c>
      <c r="H45" s="446" t="s">
        <v>41</v>
      </c>
      <c r="I45" s="447" t="s">
        <v>683</v>
      </c>
    </row>
    <row r="46" spans="1:9" hidden="1" outlineLevel="1" x14ac:dyDescent="0.25">
      <c r="B46" s="446" t="s">
        <v>754</v>
      </c>
      <c r="C46" s="446" t="s">
        <v>38</v>
      </c>
      <c r="D46" s="446">
        <v>2959</v>
      </c>
      <c r="E46" s="446" t="s">
        <v>755</v>
      </c>
      <c r="F46" s="446" t="s">
        <v>756</v>
      </c>
      <c r="G46" s="446" t="s">
        <v>741</v>
      </c>
      <c r="H46" s="446" t="s">
        <v>41</v>
      </c>
      <c r="I46" s="447" t="s">
        <v>683</v>
      </c>
    </row>
    <row r="47" spans="1:9" hidden="1" outlineLevel="1" x14ac:dyDescent="0.25">
      <c r="B47" s="446" t="s">
        <v>754</v>
      </c>
      <c r="C47" s="446" t="s">
        <v>38</v>
      </c>
      <c r="D47" s="446">
        <v>2960</v>
      </c>
      <c r="E47" s="446" t="s">
        <v>59</v>
      </c>
      <c r="F47" s="446" t="s">
        <v>756</v>
      </c>
      <c r="G47" s="446" t="s">
        <v>741</v>
      </c>
      <c r="H47" s="446" t="s">
        <v>41</v>
      </c>
      <c r="I47" s="447" t="s">
        <v>757</v>
      </c>
    </row>
    <row r="48" spans="1:9" hidden="1" outlineLevel="1" x14ac:dyDescent="0.25">
      <c r="B48" s="446" t="s">
        <v>754</v>
      </c>
      <c r="C48" s="446" t="s">
        <v>38</v>
      </c>
      <c r="D48" s="446">
        <v>2972</v>
      </c>
      <c r="E48" s="446" t="s">
        <v>758</v>
      </c>
      <c r="F48" s="446" t="s">
        <v>753</v>
      </c>
      <c r="G48" s="446" t="s">
        <v>741</v>
      </c>
      <c r="H48" s="446" t="s">
        <v>41</v>
      </c>
      <c r="I48" s="447">
        <v>500</v>
      </c>
    </row>
    <row r="49" spans="2:9" hidden="1" outlineLevel="1" x14ac:dyDescent="0.25">
      <c r="B49" s="446" t="s">
        <v>754</v>
      </c>
      <c r="C49" s="446" t="s">
        <v>38</v>
      </c>
      <c r="D49" s="446">
        <v>2968</v>
      </c>
      <c r="E49" s="446" t="s">
        <v>759</v>
      </c>
      <c r="F49" s="446" t="s">
        <v>753</v>
      </c>
      <c r="G49" s="446" t="s">
        <v>741</v>
      </c>
      <c r="H49" s="446" t="s">
        <v>41</v>
      </c>
      <c r="I49" s="447">
        <v>250</v>
      </c>
    </row>
    <row r="50" spans="2:9" hidden="1" outlineLevel="1" x14ac:dyDescent="0.25">
      <c r="B50" s="446" t="s">
        <v>754</v>
      </c>
      <c r="C50" s="446" t="s">
        <v>38</v>
      </c>
      <c r="D50" s="446">
        <v>2969</v>
      </c>
      <c r="E50" s="446" t="s">
        <v>760</v>
      </c>
      <c r="F50" s="446" t="s">
        <v>753</v>
      </c>
      <c r="G50" s="446" t="s">
        <v>741</v>
      </c>
      <c r="H50" s="446" t="s">
        <v>41</v>
      </c>
      <c r="I50" s="447">
        <v>500</v>
      </c>
    </row>
    <row r="51" spans="2:9" hidden="1" outlineLevel="1" x14ac:dyDescent="0.25">
      <c r="B51" s="446" t="s">
        <v>754</v>
      </c>
      <c r="C51" s="446" t="s">
        <v>38</v>
      </c>
      <c r="D51" s="446">
        <v>2970</v>
      </c>
      <c r="E51" s="446" t="s">
        <v>761</v>
      </c>
      <c r="F51" s="446" t="s">
        <v>753</v>
      </c>
      <c r="G51" s="446" t="s">
        <v>741</v>
      </c>
      <c r="H51" s="446" t="s">
        <v>41</v>
      </c>
      <c r="I51" s="447">
        <v>200</v>
      </c>
    </row>
    <row r="52" spans="2:9" hidden="1" outlineLevel="1" x14ac:dyDescent="0.25">
      <c r="B52" s="446" t="s">
        <v>754</v>
      </c>
      <c r="C52" s="446" t="s">
        <v>38</v>
      </c>
      <c r="D52" s="446">
        <v>2971</v>
      </c>
      <c r="E52" s="446" t="s">
        <v>762</v>
      </c>
      <c r="F52" s="446" t="s">
        <v>763</v>
      </c>
      <c r="G52" s="446" t="s">
        <v>741</v>
      </c>
      <c r="H52" s="446" t="s">
        <v>41</v>
      </c>
      <c r="I52" s="447">
        <v>500</v>
      </c>
    </row>
    <row r="53" spans="2:9" hidden="1" outlineLevel="1" x14ac:dyDescent="0.25">
      <c r="B53" s="446" t="s">
        <v>754</v>
      </c>
      <c r="C53" s="446" t="s">
        <v>38</v>
      </c>
      <c r="D53" s="446">
        <v>2973</v>
      </c>
      <c r="E53" s="446" t="s">
        <v>764</v>
      </c>
      <c r="F53" s="446" t="s">
        <v>753</v>
      </c>
      <c r="G53" s="446" t="s">
        <v>741</v>
      </c>
      <c r="H53" s="446" t="s">
        <v>41</v>
      </c>
      <c r="I53" s="447" t="s">
        <v>696</v>
      </c>
    </row>
    <row r="54" spans="2:9" hidden="1" outlineLevel="1" x14ac:dyDescent="0.25">
      <c r="B54" s="446" t="s">
        <v>754</v>
      </c>
      <c r="C54" s="446" t="s">
        <v>38</v>
      </c>
      <c r="D54" s="446">
        <v>2974</v>
      </c>
      <c r="E54" s="446" t="s">
        <v>765</v>
      </c>
      <c r="F54" s="446" t="s">
        <v>753</v>
      </c>
      <c r="G54" s="446" t="s">
        <v>741</v>
      </c>
      <c r="H54" s="446" t="s">
        <v>41</v>
      </c>
      <c r="I54" s="447">
        <v>350</v>
      </c>
    </row>
    <row r="55" spans="2:9" hidden="1" outlineLevel="1" x14ac:dyDescent="0.25">
      <c r="B55" s="446" t="s">
        <v>754</v>
      </c>
      <c r="C55" s="446" t="s">
        <v>38</v>
      </c>
      <c r="D55" s="446">
        <v>2949</v>
      </c>
      <c r="E55" s="446" t="s">
        <v>766</v>
      </c>
      <c r="F55" s="446" t="s">
        <v>753</v>
      </c>
      <c r="G55" s="446" t="s">
        <v>741</v>
      </c>
      <c r="H55" s="446" t="s">
        <v>41</v>
      </c>
      <c r="I55" s="447">
        <v>100</v>
      </c>
    </row>
    <row r="56" spans="2:9" hidden="1" outlineLevel="1" x14ac:dyDescent="0.25">
      <c r="B56" s="446" t="s">
        <v>754</v>
      </c>
      <c r="C56" s="446" t="s">
        <v>38</v>
      </c>
      <c r="D56" s="446">
        <v>2948</v>
      </c>
      <c r="E56" s="446" t="s">
        <v>767</v>
      </c>
      <c r="F56" s="446" t="s">
        <v>753</v>
      </c>
      <c r="G56" s="446" t="s">
        <v>741</v>
      </c>
      <c r="H56" s="446" t="s">
        <v>41</v>
      </c>
      <c r="I56" s="447" t="s">
        <v>683</v>
      </c>
    </row>
    <row r="57" spans="2:9" hidden="1" outlineLevel="1" x14ac:dyDescent="0.25">
      <c r="B57" s="446" t="s">
        <v>754</v>
      </c>
      <c r="C57" s="446" t="s">
        <v>38</v>
      </c>
      <c r="D57" s="446">
        <v>2964</v>
      </c>
      <c r="E57" s="446" t="s">
        <v>768</v>
      </c>
      <c r="F57" s="446" t="s">
        <v>753</v>
      </c>
      <c r="G57" s="446" t="s">
        <v>741</v>
      </c>
      <c r="H57" s="446" t="s">
        <v>41</v>
      </c>
      <c r="I57" s="447" t="s">
        <v>696</v>
      </c>
    </row>
    <row r="58" spans="2:9" hidden="1" outlineLevel="1" x14ac:dyDescent="0.25">
      <c r="B58" s="446" t="s">
        <v>754</v>
      </c>
      <c r="C58" s="446" t="s">
        <v>38</v>
      </c>
      <c r="D58" s="446">
        <v>2961</v>
      </c>
      <c r="E58" s="446" t="s">
        <v>117</v>
      </c>
      <c r="F58" s="446" t="s">
        <v>756</v>
      </c>
      <c r="G58" s="446" t="s">
        <v>741</v>
      </c>
      <c r="H58" s="446" t="s">
        <v>41</v>
      </c>
      <c r="I58" s="447" t="s">
        <v>683</v>
      </c>
    </row>
    <row r="59" spans="2:9" hidden="1" outlineLevel="1" x14ac:dyDescent="0.25">
      <c r="B59" s="446" t="s">
        <v>754</v>
      </c>
      <c r="C59" s="446" t="s">
        <v>38</v>
      </c>
      <c r="D59" s="446">
        <v>2955</v>
      </c>
      <c r="E59" s="446" t="s">
        <v>769</v>
      </c>
      <c r="F59" s="446" t="s">
        <v>753</v>
      </c>
      <c r="G59" s="446" t="s">
        <v>741</v>
      </c>
      <c r="H59" s="446" t="s">
        <v>41</v>
      </c>
      <c r="I59" s="447">
        <v>500</v>
      </c>
    </row>
    <row r="60" spans="2:9" hidden="1" outlineLevel="1" x14ac:dyDescent="0.25">
      <c r="B60" s="446" t="s">
        <v>754</v>
      </c>
      <c r="C60" s="446" t="s">
        <v>38</v>
      </c>
      <c r="D60" s="446">
        <v>2963</v>
      </c>
      <c r="E60" s="446" t="s">
        <v>60</v>
      </c>
      <c r="F60" s="446" t="s">
        <v>770</v>
      </c>
      <c r="G60" s="446" t="s">
        <v>741</v>
      </c>
      <c r="H60" s="446" t="s">
        <v>41</v>
      </c>
      <c r="I60" s="447" t="s">
        <v>689</v>
      </c>
    </row>
    <row r="61" spans="2:9" hidden="1" outlineLevel="1" x14ac:dyDescent="0.25">
      <c r="B61" s="446" t="s">
        <v>754</v>
      </c>
      <c r="C61" s="446" t="s">
        <v>38</v>
      </c>
      <c r="D61" s="446">
        <v>2962</v>
      </c>
      <c r="E61" s="446" t="s">
        <v>71</v>
      </c>
      <c r="F61" s="446" t="s">
        <v>753</v>
      </c>
      <c r="G61" s="446" t="s">
        <v>741</v>
      </c>
      <c r="H61" s="446" t="s">
        <v>41</v>
      </c>
      <c r="I61" s="447">
        <v>20</v>
      </c>
    </row>
    <row r="62" spans="2:9" hidden="1" outlineLevel="1" x14ac:dyDescent="0.25">
      <c r="B62" s="446" t="s">
        <v>754</v>
      </c>
      <c r="C62" s="446" t="s">
        <v>38</v>
      </c>
      <c r="D62" s="446">
        <v>2952</v>
      </c>
      <c r="E62" s="446" t="s">
        <v>771</v>
      </c>
      <c r="F62" s="446" t="s">
        <v>772</v>
      </c>
      <c r="G62" s="446" t="s">
        <v>741</v>
      </c>
      <c r="H62" s="446" t="s">
        <v>41</v>
      </c>
      <c r="I62" s="447" t="s">
        <v>696</v>
      </c>
    </row>
    <row r="63" spans="2:9" hidden="1" outlineLevel="1" x14ac:dyDescent="0.25">
      <c r="B63" s="446" t="s">
        <v>754</v>
      </c>
      <c r="C63" s="446" t="s">
        <v>38</v>
      </c>
      <c r="D63" s="446">
        <v>2958</v>
      </c>
      <c r="E63" s="446" t="s">
        <v>768</v>
      </c>
      <c r="F63" s="446" t="s">
        <v>773</v>
      </c>
      <c r="G63" s="446" t="s">
        <v>741</v>
      </c>
      <c r="H63" s="446" t="s">
        <v>41</v>
      </c>
      <c r="I63" s="447" t="s">
        <v>744</v>
      </c>
    </row>
    <row r="64" spans="2:9" hidden="1" outlineLevel="1" x14ac:dyDescent="0.25">
      <c r="B64" s="446" t="s">
        <v>754</v>
      </c>
      <c r="C64" s="446" t="s">
        <v>38</v>
      </c>
      <c r="D64" s="446">
        <v>2957</v>
      </c>
      <c r="E64" s="446" t="s">
        <v>774</v>
      </c>
      <c r="F64" s="446" t="s">
        <v>753</v>
      </c>
      <c r="G64" s="446" t="s">
        <v>741</v>
      </c>
      <c r="H64" s="446" t="s">
        <v>41</v>
      </c>
      <c r="I64" s="447">
        <v>100</v>
      </c>
    </row>
    <row r="65" spans="2:9" hidden="1" outlineLevel="1" x14ac:dyDescent="0.25">
      <c r="B65" s="446" t="s">
        <v>754</v>
      </c>
      <c r="C65" s="446" t="s">
        <v>38</v>
      </c>
      <c r="D65" s="446">
        <v>2956</v>
      </c>
      <c r="E65" s="446" t="s">
        <v>775</v>
      </c>
      <c r="F65" s="446" t="s">
        <v>753</v>
      </c>
      <c r="G65" s="446" t="s">
        <v>741</v>
      </c>
      <c r="H65" s="446" t="s">
        <v>41</v>
      </c>
      <c r="I65" s="447" t="s">
        <v>696</v>
      </c>
    </row>
    <row r="66" spans="2:9" hidden="1" outlineLevel="1" x14ac:dyDescent="0.25">
      <c r="B66" s="446" t="s">
        <v>754</v>
      </c>
      <c r="C66" s="446" t="s">
        <v>38</v>
      </c>
      <c r="D66" s="446">
        <v>2954</v>
      </c>
      <c r="E66" s="446" t="s">
        <v>776</v>
      </c>
      <c r="F66" s="446" t="s">
        <v>753</v>
      </c>
      <c r="G66" s="446" t="s">
        <v>741</v>
      </c>
      <c r="H66" s="446" t="s">
        <v>41</v>
      </c>
      <c r="I66" s="447" t="s">
        <v>696</v>
      </c>
    </row>
    <row r="67" spans="2:9" hidden="1" outlineLevel="1" x14ac:dyDescent="0.25">
      <c r="B67" s="446" t="s">
        <v>754</v>
      </c>
      <c r="C67" s="446" t="s">
        <v>38</v>
      </c>
      <c r="D67" s="446">
        <v>2953</v>
      </c>
      <c r="E67" s="446" t="s">
        <v>777</v>
      </c>
      <c r="F67" s="446" t="s">
        <v>753</v>
      </c>
      <c r="G67" s="446" t="s">
        <v>741</v>
      </c>
      <c r="H67" s="446" t="s">
        <v>41</v>
      </c>
      <c r="I67" s="447" t="s">
        <v>683</v>
      </c>
    </row>
    <row r="68" spans="2:9" hidden="1" outlineLevel="1" x14ac:dyDescent="0.25">
      <c r="B68" s="446" t="s">
        <v>754</v>
      </c>
      <c r="C68" s="446" t="s">
        <v>38</v>
      </c>
      <c r="D68" s="446">
        <v>2951</v>
      </c>
      <c r="E68" s="446" t="s">
        <v>778</v>
      </c>
      <c r="F68" s="446" t="s">
        <v>753</v>
      </c>
      <c r="G68" s="446" t="s">
        <v>741</v>
      </c>
      <c r="H68" s="446" t="s">
        <v>41</v>
      </c>
      <c r="I68" s="447" t="s">
        <v>696</v>
      </c>
    </row>
    <row r="69" spans="2:9" hidden="1" outlineLevel="1" x14ac:dyDescent="0.25">
      <c r="B69" s="446" t="s">
        <v>754</v>
      </c>
      <c r="C69" s="446" t="s">
        <v>38</v>
      </c>
      <c r="D69" s="446">
        <v>2950</v>
      </c>
      <c r="E69" s="446" t="s">
        <v>779</v>
      </c>
      <c r="F69" s="446" t="s">
        <v>753</v>
      </c>
      <c r="G69" s="446" t="s">
        <v>741</v>
      </c>
      <c r="H69" s="446" t="s">
        <v>41</v>
      </c>
      <c r="I69" s="447" t="s">
        <v>696</v>
      </c>
    </row>
    <row r="70" spans="2:9" hidden="1" outlineLevel="1" x14ac:dyDescent="0.25">
      <c r="B70" s="446" t="s">
        <v>754</v>
      </c>
      <c r="C70" s="446" t="s">
        <v>38</v>
      </c>
      <c r="D70" s="446">
        <v>2979</v>
      </c>
      <c r="E70" s="446" t="s">
        <v>780</v>
      </c>
      <c r="F70" s="446" t="s">
        <v>753</v>
      </c>
      <c r="G70" s="446" t="s">
        <v>741</v>
      </c>
      <c r="H70" s="446" t="s">
        <v>41</v>
      </c>
      <c r="I70" s="447">
        <v>500</v>
      </c>
    </row>
    <row r="71" spans="2:9" hidden="1" outlineLevel="1" x14ac:dyDescent="0.25">
      <c r="B71" s="446" t="s">
        <v>754</v>
      </c>
      <c r="C71" s="446" t="s">
        <v>38</v>
      </c>
      <c r="D71" s="446">
        <v>2978</v>
      </c>
      <c r="E71" s="446" t="s">
        <v>781</v>
      </c>
      <c r="F71" s="446" t="s">
        <v>753</v>
      </c>
      <c r="G71" s="446" t="s">
        <v>741</v>
      </c>
      <c r="H71" s="446" t="s">
        <v>41</v>
      </c>
      <c r="I71" s="447">
        <v>500</v>
      </c>
    </row>
    <row r="72" spans="2:9" hidden="1" outlineLevel="1" x14ac:dyDescent="0.25">
      <c r="B72" s="446" t="s">
        <v>754</v>
      </c>
      <c r="C72" s="446" t="s">
        <v>38</v>
      </c>
      <c r="D72" s="446">
        <v>2977</v>
      </c>
      <c r="E72" s="446" t="s">
        <v>782</v>
      </c>
      <c r="F72" s="446" t="s">
        <v>783</v>
      </c>
      <c r="G72" s="446" t="s">
        <v>741</v>
      </c>
      <c r="H72" s="446" t="s">
        <v>41</v>
      </c>
      <c r="I72" s="447" t="s">
        <v>726</v>
      </c>
    </row>
    <row r="73" spans="2:9" hidden="1" outlineLevel="1" x14ac:dyDescent="0.25">
      <c r="B73" s="446" t="s">
        <v>754</v>
      </c>
      <c r="C73" s="446" t="s">
        <v>38</v>
      </c>
      <c r="D73" s="446">
        <v>2976</v>
      </c>
      <c r="E73" s="446" t="s">
        <v>784</v>
      </c>
      <c r="F73" s="446" t="s">
        <v>753</v>
      </c>
      <c r="G73" s="446" t="s">
        <v>741</v>
      </c>
      <c r="H73" s="446" t="s">
        <v>41</v>
      </c>
      <c r="I73" s="447" t="s">
        <v>726</v>
      </c>
    </row>
    <row r="74" spans="2:9" hidden="1" outlineLevel="1" x14ac:dyDescent="0.25">
      <c r="B74" s="446" t="s">
        <v>754</v>
      </c>
      <c r="C74" s="446" t="s">
        <v>38</v>
      </c>
      <c r="D74" s="446">
        <v>2975</v>
      </c>
      <c r="E74" s="446" t="s">
        <v>785</v>
      </c>
      <c r="F74" s="446" t="s">
        <v>753</v>
      </c>
      <c r="G74" s="446" t="s">
        <v>741</v>
      </c>
      <c r="H74" s="446" t="s">
        <v>41</v>
      </c>
      <c r="I74" s="447">
        <v>500</v>
      </c>
    </row>
    <row r="75" spans="2:9" hidden="1" outlineLevel="1" x14ac:dyDescent="0.25">
      <c r="B75" s="446" t="s">
        <v>786</v>
      </c>
      <c r="C75" s="446" t="s">
        <v>38</v>
      </c>
      <c r="D75" s="446">
        <v>2980</v>
      </c>
      <c r="E75" s="446" t="s">
        <v>787</v>
      </c>
      <c r="F75" s="446" t="s">
        <v>753</v>
      </c>
      <c r="G75" s="446" t="s">
        <v>741</v>
      </c>
      <c r="H75" s="446" t="s">
        <v>41</v>
      </c>
      <c r="I75" s="447">
        <v>500</v>
      </c>
    </row>
    <row r="76" spans="2:9" hidden="1" outlineLevel="1" x14ac:dyDescent="0.25">
      <c r="B76" s="446" t="s">
        <v>788</v>
      </c>
      <c r="C76" s="446" t="s">
        <v>789</v>
      </c>
      <c r="D76" s="446"/>
      <c r="E76" s="446" t="s">
        <v>790</v>
      </c>
      <c r="F76" s="446" t="s">
        <v>791</v>
      </c>
      <c r="G76" s="446" t="s">
        <v>741</v>
      </c>
      <c r="H76" s="446" t="s">
        <v>792</v>
      </c>
      <c r="I76" s="447" t="s">
        <v>793</v>
      </c>
    </row>
    <row r="77" spans="2:9" hidden="1" outlineLevel="1" x14ac:dyDescent="0.25">
      <c r="B77" s="446" t="s">
        <v>794</v>
      </c>
      <c r="C77" s="446" t="s">
        <v>38</v>
      </c>
      <c r="D77" s="446">
        <v>2992</v>
      </c>
      <c r="E77" s="446" t="s">
        <v>795</v>
      </c>
      <c r="F77" s="446" t="s">
        <v>796</v>
      </c>
      <c r="G77" s="446" t="s">
        <v>741</v>
      </c>
      <c r="H77" s="446" t="s">
        <v>41</v>
      </c>
      <c r="I77" s="447" t="s">
        <v>757</v>
      </c>
    </row>
    <row r="78" spans="2:9" hidden="1" outlineLevel="1" x14ac:dyDescent="0.25">
      <c r="B78" s="446" t="s">
        <v>794</v>
      </c>
      <c r="C78" s="446" t="s">
        <v>38</v>
      </c>
      <c r="D78" s="446">
        <v>2990</v>
      </c>
      <c r="E78" s="446" t="s">
        <v>797</v>
      </c>
      <c r="F78" s="446" t="s">
        <v>798</v>
      </c>
      <c r="G78" s="446" t="s">
        <v>741</v>
      </c>
      <c r="H78" s="446" t="s">
        <v>41</v>
      </c>
      <c r="I78" s="447" t="s">
        <v>696</v>
      </c>
    </row>
    <row r="79" spans="2:9" hidden="1" outlineLevel="1" x14ac:dyDescent="0.25">
      <c r="B79" s="446" t="s">
        <v>794</v>
      </c>
      <c r="C79" s="446" t="s">
        <v>38</v>
      </c>
      <c r="D79" s="446">
        <v>2989</v>
      </c>
      <c r="E79" s="446" t="s">
        <v>799</v>
      </c>
      <c r="F79" s="446" t="s">
        <v>798</v>
      </c>
      <c r="G79" s="446" t="s">
        <v>741</v>
      </c>
      <c r="H79" s="446" t="s">
        <v>41</v>
      </c>
      <c r="I79" s="447">
        <v>600</v>
      </c>
    </row>
    <row r="80" spans="2:9" hidden="1" outlineLevel="1" x14ac:dyDescent="0.25">
      <c r="B80" s="446" t="s">
        <v>794</v>
      </c>
      <c r="C80" s="446" t="s">
        <v>38</v>
      </c>
      <c r="D80" s="446">
        <v>2991</v>
      </c>
      <c r="E80" s="446" t="s">
        <v>800</v>
      </c>
      <c r="F80" s="446" t="s">
        <v>796</v>
      </c>
      <c r="G80" s="446" t="s">
        <v>741</v>
      </c>
      <c r="H80" s="446" t="s">
        <v>41</v>
      </c>
      <c r="I80" s="447" t="s">
        <v>683</v>
      </c>
    </row>
    <row r="81" spans="1:9" hidden="1" outlineLevel="1" x14ac:dyDescent="0.25">
      <c r="B81" s="446" t="s">
        <v>801</v>
      </c>
      <c r="C81" s="446" t="s">
        <v>38</v>
      </c>
      <c r="D81" s="446">
        <v>2994</v>
      </c>
      <c r="E81" s="446" t="s">
        <v>39</v>
      </c>
      <c r="F81" s="446" t="s">
        <v>802</v>
      </c>
      <c r="G81" s="446" t="s">
        <v>741</v>
      </c>
      <c r="H81" s="446" t="s">
        <v>41</v>
      </c>
      <c r="I81" s="447" t="s">
        <v>683</v>
      </c>
    </row>
    <row r="82" spans="1:9" hidden="1" outlineLevel="1" x14ac:dyDescent="0.25">
      <c r="B82" s="446" t="s">
        <v>803</v>
      </c>
      <c r="C82" s="446" t="s">
        <v>38</v>
      </c>
      <c r="D82" s="446">
        <v>2999</v>
      </c>
      <c r="E82" s="446" t="s">
        <v>804</v>
      </c>
      <c r="F82" s="446" t="s">
        <v>805</v>
      </c>
      <c r="G82" s="446" t="s">
        <v>741</v>
      </c>
      <c r="H82" s="446" t="s">
        <v>41</v>
      </c>
      <c r="I82" s="447" t="s">
        <v>757</v>
      </c>
    </row>
    <row r="83" spans="1:9" hidden="1" outlineLevel="1" x14ac:dyDescent="0.25">
      <c r="B83" s="446" t="s">
        <v>803</v>
      </c>
      <c r="C83" s="446" t="s">
        <v>38</v>
      </c>
      <c r="D83" s="446">
        <v>2999</v>
      </c>
      <c r="E83" s="446" t="s">
        <v>804</v>
      </c>
      <c r="F83" s="446" t="s">
        <v>806</v>
      </c>
      <c r="G83" s="446" t="s">
        <v>741</v>
      </c>
      <c r="H83" s="446" t="s">
        <v>41</v>
      </c>
      <c r="I83" s="447" t="s">
        <v>807</v>
      </c>
    </row>
    <row r="84" spans="1:9" hidden="1" outlineLevel="1" x14ac:dyDescent="0.25">
      <c r="B84" s="446" t="s">
        <v>808</v>
      </c>
      <c r="C84" s="446" t="s">
        <v>38</v>
      </c>
      <c r="D84" s="446">
        <v>3018</v>
      </c>
      <c r="E84" s="446" t="s">
        <v>39</v>
      </c>
      <c r="F84" s="446" t="s">
        <v>802</v>
      </c>
      <c r="G84" s="446" t="s">
        <v>741</v>
      </c>
      <c r="H84" s="446" t="s">
        <v>41</v>
      </c>
      <c r="I84" s="447" t="s">
        <v>683</v>
      </c>
    </row>
    <row r="85" spans="1:9" hidden="1" outlineLevel="1" x14ac:dyDescent="0.25">
      <c r="B85" s="446" t="s">
        <v>808</v>
      </c>
      <c r="C85" s="446" t="s">
        <v>38</v>
      </c>
      <c r="D85" s="446">
        <v>3014</v>
      </c>
      <c r="E85" s="446" t="s">
        <v>809</v>
      </c>
      <c r="F85" s="446" t="s">
        <v>805</v>
      </c>
      <c r="G85" s="446" t="s">
        <v>741</v>
      </c>
      <c r="H85" s="446" t="s">
        <v>41</v>
      </c>
      <c r="I85" s="447" t="s">
        <v>810</v>
      </c>
    </row>
    <row r="86" spans="1:9" hidden="1" outlineLevel="1" x14ac:dyDescent="0.25">
      <c r="B86" s="446" t="s">
        <v>808</v>
      </c>
      <c r="C86" s="446" t="s">
        <v>38</v>
      </c>
      <c r="D86" s="446">
        <v>3017</v>
      </c>
      <c r="E86" s="446" t="s">
        <v>713</v>
      </c>
      <c r="F86" s="446" t="s">
        <v>805</v>
      </c>
      <c r="G86" s="446" t="s">
        <v>741</v>
      </c>
      <c r="H86" s="446" t="s">
        <v>41</v>
      </c>
      <c r="I86" s="447" t="s">
        <v>811</v>
      </c>
    </row>
    <row r="87" spans="1:9" hidden="1" outlineLevel="1" x14ac:dyDescent="0.25">
      <c r="B87" s="446" t="s">
        <v>808</v>
      </c>
      <c r="C87" s="446" t="s">
        <v>38</v>
      </c>
      <c r="D87" s="446">
        <v>3016</v>
      </c>
      <c r="E87" s="446" t="s">
        <v>49</v>
      </c>
      <c r="F87" s="446" t="s">
        <v>805</v>
      </c>
      <c r="G87" s="446" t="s">
        <v>741</v>
      </c>
      <c r="H87" s="446" t="s">
        <v>41</v>
      </c>
      <c r="I87" s="447" t="s">
        <v>757</v>
      </c>
    </row>
    <row r="88" spans="1:9" hidden="1" outlineLevel="1" x14ac:dyDescent="0.25">
      <c r="B88" s="446" t="s">
        <v>808</v>
      </c>
      <c r="C88" s="446" t="s">
        <v>38</v>
      </c>
      <c r="D88" s="446">
        <v>3015</v>
      </c>
      <c r="E88" s="446" t="s">
        <v>53</v>
      </c>
      <c r="F88" s="446" t="s">
        <v>805</v>
      </c>
      <c r="G88" s="446" t="s">
        <v>741</v>
      </c>
      <c r="H88" s="446" t="s">
        <v>41</v>
      </c>
      <c r="I88" s="447" t="s">
        <v>683</v>
      </c>
    </row>
    <row r="89" spans="1:9" hidden="1" outlineLevel="1" x14ac:dyDescent="0.25">
      <c r="A89" s="442" t="s">
        <v>812</v>
      </c>
      <c r="I89" s="445" t="s">
        <v>813</v>
      </c>
    </row>
    <row r="90" spans="1:9" hidden="1" outlineLevel="1" x14ac:dyDescent="0.25">
      <c r="A90" s="442" t="s">
        <v>814</v>
      </c>
    </row>
    <row r="91" spans="1:9" ht="23.25" hidden="1" outlineLevel="1" x14ac:dyDescent="0.25">
      <c r="B91" s="446" t="s">
        <v>815</v>
      </c>
      <c r="C91" s="446" t="s">
        <v>789</v>
      </c>
      <c r="D91" s="446"/>
      <c r="E91" s="446" t="s">
        <v>816</v>
      </c>
      <c r="F91" s="446" t="s">
        <v>817</v>
      </c>
      <c r="G91" s="446" t="s">
        <v>818</v>
      </c>
      <c r="H91" s="446" t="s">
        <v>792</v>
      </c>
      <c r="I91" s="447">
        <v>10</v>
      </c>
    </row>
    <row r="92" spans="1:9" hidden="1" outlineLevel="1" x14ac:dyDescent="0.25">
      <c r="A92" s="442" t="s">
        <v>819</v>
      </c>
      <c r="I92" s="445" t="s">
        <v>820</v>
      </c>
    </row>
    <row r="93" spans="1:9" ht="23.25" hidden="1" outlineLevel="1" x14ac:dyDescent="0.25">
      <c r="A93" s="442" t="s">
        <v>821</v>
      </c>
      <c r="I93" s="445" t="s">
        <v>822</v>
      </c>
    </row>
    <row r="94" spans="1:9" hidden="1" outlineLevel="1" x14ac:dyDescent="0.25">
      <c r="A94" s="442" t="s">
        <v>823</v>
      </c>
    </row>
    <row r="95" spans="1:9" hidden="1" outlineLevel="1" x14ac:dyDescent="0.25">
      <c r="B95" s="446" t="s">
        <v>824</v>
      </c>
      <c r="C95" s="446" t="s">
        <v>38</v>
      </c>
      <c r="D95" s="446">
        <v>2434</v>
      </c>
      <c r="E95" s="446" t="s">
        <v>120</v>
      </c>
      <c r="F95" s="446" t="s">
        <v>113</v>
      </c>
      <c r="G95" s="446" t="s">
        <v>114</v>
      </c>
      <c r="H95" s="446" t="s">
        <v>41</v>
      </c>
      <c r="I95" s="447">
        <v>75</v>
      </c>
    </row>
    <row r="96" spans="1:9" hidden="1" outlineLevel="1" x14ac:dyDescent="0.25">
      <c r="B96" s="446" t="s">
        <v>712</v>
      </c>
      <c r="C96" s="446" t="s">
        <v>38</v>
      </c>
      <c r="D96" s="446">
        <v>2435</v>
      </c>
      <c r="E96" s="446" t="s">
        <v>39</v>
      </c>
      <c r="F96" s="446" t="s">
        <v>113</v>
      </c>
      <c r="G96" s="446" t="s">
        <v>114</v>
      </c>
      <c r="H96" s="446" t="s">
        <v>41</v>
      </c>
      <c r="I96" s="447" t="s">
        <v>696</v>
      </c>
    </row>
    <row r="97" spans="2:9" hidden="1" outlineLevel="1" x14ac:dyDescent="0.25">
      <c r="B97" s="446" t="s">
        <v>825</v>
      </c>
      <c r="C97" s="446" t="s">
        <v>38</v>
      </c>
      <c r="D97" s="446">
        <v>2442</v>
      </c>
      <c r="E97" s="446" t="s">
        <v>795</v>
      </c>
      <c r="F97" s="446" t="s">
        <v>113</v>
      </c>
      <c r="G97" s="446" t="s">
        <v>114</v>
      </c>
      <c r="H97" s="446" t="s">
        <v>41</v>
      </c>
      <c r="I97" s="447">
        <v>250</v>
      </c>
    </row>
    <row r="98" spans="2:9" hidden="1" outlineLevel="1" x14ac:dyDescent="0.25">
      <c r="B98" s="446" t="s">
        <v>826</v>
      </c>
      <c r="C98" s="446" t="s">
        <v>38</v>
      </c>
      <c r="D98" s="446">
        <v>2443</v>
      </c>
      <c r="E98" s="446" t="s">
        <v>54</v>
      </c>
      <c r="F98" s="446" t="s">
        <v>113</v>
      </c>
      <c r="G98" s="446" t="s">
        <v>114</v>
      </c>
      <c r="H98" s="446" t="s">
        <v>41</v>
      </c>
      <c r="I98" s="447">
        <v>50</v>
      </c>
    </row>
    <row r="99" spans="2:9" hidden="1" outlineLevel="1" x14ac:dyDescent="0.25">
      <c r="B99" s="446" t="s">
        <v>827</v>
      </c>
      <c r="C99" s="446" t="s">
        <v>38</v>
      </c>
      <c r="D99" s="446">
        <v>2445</v>
      </c>
      <c r="E99" s="446" t="s">
        <v>121</v>
      </c>
      <c r="F99" s="446" t="s">
        <v>113</v>
      </c>
      <c r="G99" s="446" t="s">
        <v>114</v>
      </c>
      <c r="H99" s="446" t="s">
        <v>41</v>
      </c>
      <c r="I99" s="447">
        <v>100</v>
      </c>
    </row>
    <row r="100" spans="2:9" hidden="1" outlineLevel="1" x14ac:dyDescent="0.25">
      <c r="B100" s="446" t="s">
        <v>719</v>
      </c>
      <c r="C100" s="446" t="s">
        <v>38</v>
      </c>
      <c r="D100" s="446">
        <v>2448</v>
      </c>
      <c r="E100" s="446" t="s">
        <v>828</v>
      </c>
      <c r="F100" s="446" t="s">
        <v>113</v>
      </c>
      <c r="G100" s="446" t="s">
        <v>114</v>
      </c>
      <c r="H100" s="446" t="s">
        <v>41</v>
      </c>
      <c r="I100" s="447">
        <v>100</v>
      </c>
    </row>
    <row r="101" spans="2:9" hidden="1" outlineLevel="1" x14ac:dyDescent="0.25">
      <c r="B101" s="446" t="s">
        <v>719</v>
      </c>
      <c r="C101" s="446" t="s">
        <v>38</v>
      </c>
      <c r="D101" s="446">
        <v>2444</v>
      </c>
      <c r="E101" s="446" t="s">
        <v>829</v>
      </c>
      <c r="F101" s="446" t="s">
        <v>113</v>
      </c>
      <c r="G101" s="446" t="s">
        <v>114</v>
      </c>
      <c r="H101" s="446" t="s">
        <v>41</v>
      </c>
      <c r="I101" s="447">
        <v>50</v>
      </c>
    </row>
    <row r="102" spans="2:9" hidden="1" outlineLevel="1" x14ac:dyDescent="0.25">
      <c r="B102" s="446" t="s">
        <v>719</v>
      </c>
      <c r="C102" s="446" t="s">
        <v>38</v>
      </c>
      <c r="D102" s="446">
        <v>2447</v>
      </c>
      <c r="E102" s="446" t="s">
        <v>115</v>
      </c>
      <c r="F102" s="446" t="s">
        <v>113</v>
      </c>
      <c r="G102" s="446" t="s">
        <v>114</v>
      </c>
      <c r="H102" s="446" t="s">
        <v>41</v>
      </c>
      <c r="I102" s="447">
        <v>25</v>
      </c>
    </row>
    <row r="103" spans="2:9" hidden="1" outlineLevel="1" x14ac:dyDescent="0.25">
      <c r="B103" s="446" t="s">
        <v>721</v>
      </c>
      <c r="C103" s="446" t="s">
        <v>38</v>
      </c>
      <c r="D103" s="446">
        <v>2451</v>
      </c>
      <c r="E103" s="446" t="s">
        <v>42</v>
      </c>
      <c r="F103" s="446" t="s">
        <v>113</v>
      </c>
      <c r="G103" s="446" t="s">
        <v>114</v>
      </c>
      <c r="H103" s="446" t="s">
        <v>41</v>
      </c>
      <c r="I103" s="447">
        <v>100</v>
      </c>
    </row>
    <row r="104" spans="2:9" hidden="1" outlineLevel="1" x14ac:dyDescent="0.25">
      <c r="B104" s="446" t="s">
        <v>830</v>
      </c>
      <c r="C104" s="446" t="s">
        <v>38</v>
      </c>
      <c r="D104" s="446">
        <v>2453</v>
      </c>
      <c r="E104" s="446" t="s">
        <v>43</v>
      </c>
      <c r="F104" s="446" t="s">
        <v>113</v>
      </c>
      <c r="G104" s="446" t="s">
        <v>114</v>
      </c>
      <c r="H104" s="446" t="s">
        <v>41</v>
      </c>
      <c r="I104" s="447">
        <v>400</v>
      </c>
    </row>
    <row r="105" spans="2:9" hidden="1" outlineLevel="1" x14ac:dyDescent="0.25">
      <c r="B105" s="446" t="s">
        <v>831</v>
      </c>
      <c r="C105" s="446" t="s">
        <v>38</v>
      </c>
      <c r="D105" s="446">
        <v>2454</v>
      </c>
      <c r="E105" s="446" t="s">
        <v>52</v>
      </c>
      <c r="F105" s="446" t="s">
        <v>113</v>
      </c>
      <c r="G105" s="446" t="s">
        <v>114</v>
      </c>
      <c r="H105" s="446" t="s">
        <v>41</v>
      </c>
      <c r="I105" s="447" t="s">
        <v>696</v>
      </c>
    </row>
    <row r="106" spans="2:9" hidden="1" outlineLevel="1" x14ac:dyDescent="0.25">
      <c r="B106" s="446" t="s">
        <v>832</v>
      </c>
      <c r="C106" s="446" t="s">
        <v>38</v>
      </c>
      <c r="D106" s="446">
        <v>2457</v>
      </c>
      <c r="E106" s="446" t="s">
        <v>44</v>
      </c>
      <c r="F106" s="446" t="s">
        <v>113</v>
      </c>
      <c r="G106" s="446" t="s">
        <v>114</v>
      </c>
      <c r="H106" s="446" t="s">
        <v>41</v>
      </c>
      <c r="I106" s="447">
        <v>100</v>
      </c>
    </row>
    <row r="107" spans="2:9" hidden="1" outlineLevel="1" x14ac:dyDescent="0.25">
      <c r="B107" s="446" t="s">
        <v>832</v>
      </c>
      <c r="C107" s="446" t="s">
        <v>38</v>
      </c>
      <c r="D107" s="446">
        <v>2458</v>
      </c>
      <c r="E107" s="446" t="s">
        <v>56</v>
      </c>
      <c r="F107" s="446" t="s">
        <v>113</v>
      </c>
      <c r="G107" s="446" t="s">
        <v>114</v>
      </c>
      <c r="H107" s="446" t="s">
        <v>41</v>
      </c>
      <c r="I107" s="447">
        <v>100</v>
      </c>
    </row>
    <row r="108" spans="2:9" hidden="1" outlineLevel="1" x14ac:dyDescent="0.25">
      <c r="B108" s="446" t="s">
        <v>833</v>
      </c>
      <c r="C108" s="446" t="s">
        <v>38</v>
      </c>
      <c r="D108" s="446">
        <v>2459</v>
      </c>
      <c r="E108" s="446" t="s">
        <v>117</v>
      </c>
      <c r="F108" s="446" t="s">
        <v>113</v>
      </c>
      <c r="G108" s="446" t="s">
        <v>114</v>
      </c>
      <c r="H108" s="446" t="s">
        <v>41</v>
      </c>
      <c r="I108" s="447">
        <v>150</v>
      </c>
    </row>
    <row r="109" spans="2:9" hidden="1" outlineLevel="1" x14ac:dyDescent="0.25">
      <c r="B109" s="446" t="s">
        <v>834</v>
      </c>
      <c r="C109" s="446" t="s">
        <v>38</v>
      </c>
      <c r="D109" s="446">
        <v>2461</v>
      </c>
      <c r="E109" s="446" t="s">
        <v>835</v>
      </c>
      <c r="F109" s="446" t="s">
        <v>113</v>
      </c>
      <c r="G109" s="446" t="s">
        <v>114</v>
      </c>
      <c r="H109" s="446" t="s">
        <v>41</v>
      </c>
      <c r="I109" s="447">
        <v>50</v>
      </c>
    </row>
    <row r="110" spans="2:9" hidden="1" outlineLevel="1" x14ac:dyDescent="0.25">
      <c r="B110" s="446" t="s">
        <v>834</v>
      </c>
      <c r="C110" s="446" t="s">
        <v>38</v>
      </c>
      <c r="D110" s="446">
        <v>2460</v>
      </c>
      <c r="E110" s="446" t="s">
        <v>46</v>
      </c>
      <c r="F110" s="446" t="s">
        <v>113</v>
      </c>
      <c r="G110" s="446" t="s">
        <v>114</v>
      </c>
      <c r="H110" s="446" t="s">
        <v>41</v>
      </c>
      <c r="I110" s="447">
        <v>50</v>
      </c>
    </row>
    <row r="111" spans="2:9" hidden="1" outlineLevel="1" x14ac:dyDescent="0.25">
      <c r="B111" s="446" t="s">
        <v>836</v>
      </c>
      <c r="C111" s="446" t="s">
        <v>38</v>
      </c>
      <c r="D111" s="446">
        <v>2462</v>
      </c>
      <c r="E111" s="446" t="s">
        <v>48</v>
      </c>
      <c r="F111" s="446" t="s">
        <v>113</v>
      </c>
      <c r="G111" s="446" t="s">
        <v>114</v>
      </c>
      <c r="H111" s="446" t="s">
        <v>41</v>
      </c>
      <c r="I111" s="447">
        <v>20</v>
      </c>
    </row>
    <row r="112" spans="2:9" hidden="1" outlineLevel="1" x14ac:dyDescent="0.25">
      <c r="B112" s="446" t="s">
        <v>837</v>
      </c>
      <c r="C112" s="446" t="s">
        <v>38</v>
      </c>
      <c r="D112" s="446">
        <v>2464</v>
      </c>
      <c r="E112" s="446" t="s">
        <v>47</v>
      </c>
      <c r="F112" s="446" t="s">
        <v>113</v>
      </c>
      <c r="G112" s="446" t="s">
        <v>114</v>
      </c>
      <c r="H112" s="446" t="s">
        <v>41</v>
      </c>
      <c r="I112" s="447">
        <v>100</v>
      </c>
    </row>
    <row r="113" spans="2:9" hidden="1" outlineLevel="1" x14ac:dyDescent="0.25">
      <c r="B113" s="446" t="s">
        <v>838</v>
      </c>
      <c r="C113" s="446" t="s">
        <v>38</v>
      </c>
      <c r="D113" s="446">
        <v>2465</v>
      </c>
      <c r="E113" s="446" t="s">
        <v>118</v>
      </c>
      <c r="F113" s="446" t="s">
        <v>113</v>
      </c>
      <c r="G113" s="446" t="s">
        <v>114</v>
      </c>
      <c r="H113" s="446" t="s">
        <v>41</v>
      </c>
      <c r="I113" s="447">
        <v>80</v>
      </c>
    </row>
    <row r="114" spans="2:9" hidden="1" outlineLevel="1" x14ac:dyDescent="0.25">
      <c r="B114" s="446" t="s">
        <v>838</v>
      </c>
      <c r="C114" s="446" t="s">
        <v>38</v>
      </c>
      <c r="D114" s="446">
        <v>2466</v>
      </c>
      <c r="E114" s="446" t="s">
        <v>49</v>
      </c>
      <c r="F114" s="446" t="s">
        <v>113</v>
      </c>
      <c r="G114" s="446" t="s">
        <v>114</v>
      </c>
      <c r="H114" s="446" t="s">
        <v>41</v>
      </c>
      <c r="I114" s="447" t="s">
        <v>696</v>
      </c>
    </row>
    <row r="115" spans="2:9" hidden="1" outlineLevel="1" x14ac:dyDescent="0.25">
      <c r="B115" s="446" t="s">
        <v>839</v>
      </c>
      <c r="C115" s="446" t="s">
        <v>38</v>
      </c>
      <c r="D115" s="446">
        <v>2467</v>
      </c>
      <c r="E115" s="446" t="s">
        <v>119</v>
      </c>
      <c r="F115" s="446" t="s">
        <v>113</v>
      </c>
      <c r="G115" s="446" t="s">
        <v>114</v>
      </c>
      <c r="H115" s="446" t="s">
        <v>41</v>
      </c>
      <c r="I115" s="447">
        <v>100</v>
      </c>
    </row>
    <row r="116" spans="2:9" hidden="1" outlineLevel="1" x14ac:dyDescent="0.25">
      <c r="B116" s="446" t="s">
        <v>840</v>
      </c>
      <c r="C116" s="446" t="s">
        <v>38</v>
      </c>
      <c r="D116" s="446">
        <v>2470</v>
      </c>
      <c r="E116" s="446" t="s">
        <v>51</v>
      </c>
      <c r="F116" s="446" t="s">
        <v>113</v>
      </c>
      <c r="G116" s="446" t="s">
        <v>114</v>
      </c>
      <c r="H116" s="446" t="s">
        <v>41</v>
      </c>
      <c r="I116" s="447">
        <v>100</v>
      </c>
    </row>
    <row r="117" spans="2:9" hidden="1" outlineLevel="1" x14ac:dyDescent="0.25">
      <c r="B117" s="446" t="s">
        <v>840</v>
      </c>
      <c r="C117" s="446" t="s">
        <v>38</v>
      </c>
      <c r="D117" s="446">
        <v>2471</v>
      </c>
      <c r="E117" s="446" t="s">
        <v>57</v>
      </c>
      <c r="F117" s="446" t="s">
        <v>113</v>
      </c>
      <c r="G117" s="446" t="s">
        <v>114</v>
      </c>
      <c r="H117" s="446" t="s">
        <v>41</v>
      </c>
      <c r="I117" s="447">
        <v>100</v>
      </c>
    </row>
    <row r="118" spans="2:9" hidden="1" outlineLevel="1" x14ac:dyDescent="0.25">
      <c r="B118" s="446" t="s">
        <v>840</v>
      </c>
      <c r="C118" s="446" t="s">
        <v>38</v>
      </c>
      <c r="D118" s="446">
        <v>2472</v>
      </c>
      <c r="E118" s="446" t="s">
        <v>116</v>
      </c>
      <c r="F118" s="446" t="s">
        <v>113</v>
      </c>
      <c r="G118" s="446" t="s">
        <v>114</v>
      </c>
      <c r="H118" s="446" t="s">
        <v>41</v>
      </c>
      <c r="I118" s="447">
        <v>40</v>
      </c>
    </row>
    <row r="119" spans="2:9" hidden="1" outlineLevel="1" x14ac:dyDescent="0.25">
      <c r="B119" s="446" t="s">
        <v>841</v>
      </c>
      <c r="C119" s="446" t="s">
        <v>38</v>
      </c>
      <c r="D119" s="446">
        <v>2482</v>
      </c>
      <c r="E119" s="446" t="s">
        <v>60</v>
      </c>
      <c r="F119" s="446" t="s">
        <v>113</v>
      </c>
      <c r="G119" s="446" t="s">
        <v>114</v>
      </c>
      <c r="H119" s="446" t="s">
        <v>41</v>
      </c>
      <c r="I119" s="447">
        <v>100</v>
      </c>
    </row>
    <row r="120" spans="2:9" hidden="1" outlineLevel="1" x14ac:dyDescent="0.25">
      <c r="B120" s="446" t="s">
        <v>841</v>
      </c>
      <c r="C120" s="446" t="s">
        <v>38</v>
      </c>
      <c r="D120" s="446">
        <v>2481</v>
      </c>
      <c r="E120" s="446" t="s">
        <v>53</v>
      </c>
      <c r="F120" s="446" t="s">
        <v>113</v>
      </c>
      <c r="G120" s="446" t="s">
        <v>114</v>
      </c>
      <c r="H120" s="446" t="s">
        <v>41</v>
      </c>
      <c r="I120" s="447" t="s">
        <v>696</v>
      </c>
    </row>
    <row r="121" spans="2:9" hidden="1" outlineLevel="1" x14ac:dyDescent="0.25">
      <c r="B121" s="446" t="s">
        <v>842</v>
      </c>
      <c r="C121" s="446" t="s">
        <v>38</v>
      </c>
      <c r="D121" s="446">
        <v>2489</v>
      </c>
      <c r="E121" s="446" t="s">
        <v>120</v>
      </c>
      <c r="F121" s="446" t="s">
        <v>113</v>
      </c>
      <c r="G121" s="446" t="s">
        <v>114</v>
      </c>
      <c r="H121" s="446" t="s">
        <v>41</v>
      </c>
      <c r="I121" s="447">
        <v>75</v>
      </c>
    </row>
    <row r="122" spans="2:9" hidden="1" outlineLevel="1" x14ac:dyDescent="0.25">
      <c r="B122" s="446" t="s">
        <v>843</v>
      </c>
      <c r="C122" s="446" t="s">
        <v>38</v>
      </c>
      <c r="D122" s="446">
        <v>2491</v>
      </c>
      <c r="E122" s="446" t="s">
        <v>39</v>
      </c>
      <c r="F122" s="446" t="s">
        <v>113</v>
      </c>
      <c r="G122" s="446" t="s">
        <v>114</v>
      </c>
      <c r="H122" s="446" t="s">
        <v>41</v>
      </c>
      <c r="I122" s="447" t="s">
        <v>696</v>
      </c>
    </row>
    <row r="123" spans="2:9" hidden="1" outlineLevel="1" x14ac:dyDescent="0.25">
      <c r="B123" s="446" t="s">
        <v>843</v>
      </c>
      <c r="C123" s="446" t="s">
        <v>844</v>
      </c>
      <c r="D123" s="446"/>
      <c r="E123" s="446"/>
      <c r="F123" s="446" t="s">
        <v>845</v>
      </c>
      <c r="G123" s="446" t="s">
        <v>114</v>
      </c>
      <c r="H123" s="446" t="s">
        <v>792</v>
      </c>
      <c r="I123" s="447">
        <v>-25</v>
      </c>
    </row>
    <row r="124" spans="2:9" hidden="1" outlineLevel="1" x14ac:dyDescent="0.25">
      <c r="B124" s="446" t="s">
        <v>846</v>
      </c>
      <c r="C124" s="446" t="s">
        <v>38</v>
      </c>
      <c r="D124" s="446">
        <v>2492</v>
      </c>
      <c r="E124" s="446" t="s">
        <v>795</v>
      </c>
      <c r="F124" s="446" t="s">
        <v>113</v>
      </c>
      <c r="G124" s="446" t="s">
        <v>114</v>
      </c>
      <c r="H124" s="446" t="s">
        <v>41</v>
      </c>
      <c r="I124" s="447">
        <v>250</v>
      </c>
    </row>
    <row r="125" spans="2:9" hidden="1" outlineLevel="1" x14ac:dyDescent="0.25">
      <c r="B125" s="446" t="s">
        <v>847</v>
      </c>
      <c r="C125" s="446" t="s">
        <v>38</v>
      </c>
      <c r="D125" s="446">
        <v>2493</v>
      </c>
      <c r="E125" s="446" t="s">
        <v>54</v>
      </c>
      <c r="F125" s="446" t="s">
        <v>113</v>
      </c>
      <c r="G125" s="446" t="s">
        <v>114</v>
      </c>
      <c r="H125" s="446" t="s">
        <v>41</v>
      </c>
      <c r="I125" s="447">
        <v>50</v>
      </c>
    </row>
    <row r="126" spans="2:9" hidden="1" outlineLevel="1" x14ac:dyDescent="0.25">
      <c r="B126" s="446" t="s">
        <v>848</v>
      </c>
      <c r="C126" s="446" t="s">
        <v>38</v>
      </c>
      <c r="D126" s="446">
        <v>2495</v>
      </c>
      <c r="E126" s="446" t="s">
        <v>121</v>
      </c>
      <c r="F126" s="446" t="s">
        <v>113</v>
      </c>
      <c r="G126" s="446" t="s">
        <v>114</v>
      </c>
      <c r="H126" s="446" t="s">
        <v>41</v>
      </c>
      <c r="I126" s="447">
        <v>100</v>
      </c>
    </row>
    <row r="127" spans="2:9" hidden="1" outlineLevel="1" x14ac:dyDescent="0.25">
      <c r="B127" s="446" t="s">
        <v>680</v>
      </c>
      <c r="C127" s="446" t="s">
        <v>38</v>
      </c>
      <c r="D127" s="446">
        <v>2504</v>
      </c>
      <c r="E127" s="446" t="s">
        <v>828</v>
      </c>
      <c r="F127" s="446" t="s">
        <v>113</v>
      </c>
      <c r="G127" s="446" t="s">
        <v>114</v>
      </c>
      <c r="H127" s="446" t="s">
        <v>41</v>
      </c>
      <c r="I127" s="447">
        <v>100</v>
      </c>
    </row>
    <row r="128" spans="2:9" hidden="1" outlineLevel="1" x14ac:dyDescent="0.25">
      <c r="B128" s="446" t="s">
        <v>680</v>
      </c>
      <c r="C128" s="446" t="s">
        <v>38</v>
      </c>
      <c r="D128" s="446">
        <v>2503</v>
      </c>
      <c r="E128" s="446" t="s">
        <v>115</v>
      </c>
      <c r="F128" s="446" t="s">
        <v>113</v>
      </c>
      <c r="G128" s="446" t="s">
        <v>114</v>
      </c>
      <c r="H128" s="446" t="s">
        <v>41</v>
      </c>
      <c r="I128" s="447">
        <v>25</v>
      </c>
    </row>
    <row r="129" spans="2:9" hidden="1" outlineLevel="1" x14ac:dyDescent="0.25">
      <c r="B129" s="446" t="s">
        <v>680</v>
      </c>
      <c r="C129" s="446" t="s">
        <v>38</v>
      </c>
      <c r="D129" s="446">
        <v>2497</v>
      </c>
      <c r="E129" s="446" t="s">
        <v>829</v>
      </c>
      <c r="F129" s="446" t="s">
        <v>113</v>
      </c>
      <c r="G129" s="446" t="s">
        <v>114</v>
      </c>
      <c r="H129" s="446" t="s">
        <v>41</v>
      </c>
      <c r="I129" s="447">
        <v>50</v>
      </c>
    </row>
    <row r="130" spans="2:9" hidden="1" outlineLevel="1" x14ac:dyDescent="0.25">
      <c r="B130" s="446" t="s">
        <v>849</v>
      </c>
      <c r="C130" s="446" t="s">
        <v>38</v>
      </c>
      <c r="D130" s="446">
        <v>2505</v>
      </c>
      <c r="E130" s="446" t="s">
        <v>42</v>
      </c>
      <c r="F130" s="446" t="s">
        <v>113</v>
      </c>
      <c r="G130" s="446" t="s">
        <v>114</v>
      </c>
      <c r="H130" s="446" t="s">
        <v>41</v>
      </c>
      <c r="I130" s="447">
        <v>100</v>
      </c>
    </row>
    <row r="131" spans="2:9" hidden="1" outlineLevel="1" x14ac:dyDescent="0.25">
      <c r="B131" s="446" t="s">
        <v>850</v>
      </c>
      <c r="C131" s="446" t="s">
        <v>38</v>
      </c>
      <c r="D131" s="446">
        <v>2506</v>
      </c>
      <c r="E131" s="446" t="s">
        <v>43</v>
      </c>
      <c r="F131" s="446" t="s">
        <v>113</v>
      </c>
      <c r="G131" s="446" t="s">
        <v>114</v>
      </c>
      <c r="H131" s="446" t="s">
        <v>41</v>
      </c>
      <c r="I131" s="447">
        <v>400</v>
      </c>
    </row>
    <row r="132" spans="2:9" hidden="1" outlineLevel="1" x14ac:dyDescent="0.25">
      <c r="B132" s="446" t="s">
        <v>851</v>
      </c>
      <c r="C132" s="446" t="s">
        <v>38</v>
      </c>
      <c r="D132" s="446">
        <v>2508</v>
      </c>
      <c r="E132" s="446" t="s">
        <v>52</v>
      </c>
      <c r="F132" s="446" t="s">
        <v>113</v>
      </c>
      <c r="G132" s="446" t="s">
        <v>114</v>
      </c>
      <c r="H132" s="446" t="s">
        <v>41</v>
      </c>
      <c r="I132" s="447" t="s">
        <v>696</v>
      </c>
    </row>
    <row r="133" spans="2:9" hidden="1" outlineLevel="1" x14ac:dyDescent="0.25">
      <c r="B133" s="446" t="s">
        <v>852</v>
      </c>
      <c r="C133" s="446" t="s">
        <v>38</v>
      </c>
      <c r="D133" s="446">
        <v>2509</v>
      </c>
      <c r="E133" s="446" t="s">
        <v>44</v>
      </c>
      <c r="F133" s="446" t="s">
        <v>113</v>
      </c>
      <c r="G133" s="446" t="s">
        <v>114</v>
      </c>
      <c r="H133" s="446" t="s">
        <v>41</v>
      </c>
      <c r="I133" s="447">
        <v>100</v>
      </c>
    </row>
    <row r="134" spans="2:9" hidden="1" outlineLevel="1" x14ac:dyDescent="0.25">
      <c r="B134" s="446" t="s">
        <v>852</v>
      </c>
      <c r="C134" s="446" t="s">
        <v>38</v>
      </c>
      <c r="D134" s="446">
        <v>2510</v>
      </c>
      <c r="E134" s="446" t="s">
        <v>56</v>
      </c>
      <c r="F134" s="446" t="s">
        <v>113</v>
      </c>
      <c r="G134" s="446" t="s">
        <v>114</v>
      </c>
      <c r="H134" s="446" t="s">
        <v>41</v>
      </c>
      <c r="I134" s="447">
        <v>100</v>
      </c>
    </row>
    <row r="135" spans="2:9" hidden="1" outlineLevel="1" x14ac:dyDescent="0.25">
      <c r="B135" s="446" t="s">
        <v>853</v>
      </c>
      <c r="C135" s="446" t="s">
        <v>38</v>
      </c>
      <c r="D135" s="446">
        <v>2511</v>
      </c>
      <c r="E135" s="446" t="s">
        <v>117</v>
      </c>
      <c r="F135" s="446" t="s">
        <v>113</v>
      </c>
      <c r="G135" s="446" t="s">
        <v>114</v>
      </c>
      <c r="H135" s="446" t="s">
        <v>41</v>
      </c>
      <c r="I135" s="447">
        <v>150</v>
      </c>
    </row>
    <row r="136" spans="2:9" hidden="1" outlineLevel="1" x14ac:dyDescent="0.25">
      <c r="B136" s="446" t="s">
        <v>728</v>
      </c>
      <c r="C136" s="446" t="s">
        <v>38</v>
      </c>
      <c r="D136" s="446">
        <v>2513</v>
      </c>
      <c r="E136" s="446" t="s">
        <v>46</v>
      </c>
      <c r="F136" s="446" t="s">
        <v>113</v>
      </c>
      <c r="G136" s="446" t="s">
        <v>114</v>
      </c>
      <c r="H136" s="446" t="s">
        <v>41</v>
      </c>
      <c r="I136" s="447">
        <v>50</v>
      </c>
    </row>
    <row r="137" spans="2:9" hidden="1" outlineLevel="1" x14ac:dyDescent="0.25">
      <c r="B137" s="446" t="s">
        <v>728</v>
      </c>
      <c r="C137" s="446" t="s">
        <v>38</v>
      </c>
      <c r="D137" s="446">
        <v>2514</v>
      </c>
      <c r="E137" s="446" t="s">
        <v>835</v>
      </c>
      <c r="F137" s="446" t="s">
        <v>113</v>
      </c>
      <c r="G137" s="446" t="s">
        <v>114</v>
      </c>
      <c r="H137" s="446" t="s">
        <v>41</v>
      </c>
      <c r="I137" s="447">
        <v>50</v>
      </c>
    </row>
    <row r="138" spans="2:9" hidden="1" outlineLevel="1" x14ac:dyDescent="0.25">
      <c r="B138" s="446" t="s">
        <v>728</v>
      </c>
      <c r="C138" s="446" t="s">
        <v>38</v>
      </c>
      <c r="D138" s="446">
        <v>2515</v>
      </c>
      <c r="E138" s="446" t="s">
        <v>45</v>
      </c>
      <c r="F138" s="446" t="s">
        <v>854</v>
      </c>
      <c r="G138" s="446" t="s">
        <v>114</v>
      </c>
      <c r="H138" s="446" t="s">
        <v>41</v>
      </c>
      <c r="I138" s="447">
        <v>100</v>
      </c>
    </row>
    <row r="139" spans="2:9" hidden="1" outlineLevel="1" x14ac:dyDescent="0.25">
      <c r="B139" s="446" t="s">
        <v>684</v>
      </c>
      <c r="C139" s="446" t="s">
        <v>38</v>
      </c>
      <c r="D139" s="446">
        <v>2516</v>
      </c>
      <c r="E139" s="446" t="s">
        <v>48</v>
      </c>
      <c r="F139" s="446" t="s">
        <v>113</v>
      </c>
      <c r="G139" s="446" t="s">
        <v>114</v>
      </c>
      <c r="H139" s="446" t="s">
        <v>41</v>
      </c>
      <c r="I139" s="447">
        <v>20</v>
      </c>
    </row>
    <row r="140" spans="2:9" hidden="1" outlineLevel="1" x14ac:dyDescent="0.25">
      <c r="B140" s="446" t="s">
        <v>855</v>
      </c>
      <c r="C140" s="446" t="s">
        <v>38</v>
      </c>
      <c r="D140" s="446">
        <v>2519</v>
      </c>
      <c r="E140" s="446" t="s">
        <v>47</v>
      </c>
      <c r="F140" s="446" t="s">
        <v>113</v>
      </c>
      <c r="G140" s="446" t="s">
        <v>114</v>
      </c>
      <c r="H140" s="446" t="s">
        <v>41</v>
      </c>
      <c r="I140" s="447">
        <v>100</v>
      </c>
    </row>
    <row r="141" spans="2:9" hidden="1" outlineLevel="1" x14ac:dyDescent="0.25">
      <c r="B141" s="446" t="s">
        <v>856</v>
      </c>
      <c r="C141" s="446" t="s">
        <v>38</v>
      </c>
      <c r="D141" s="446">
        <v>2521</v>
      </c>
      <c r="E141" s="446" t="s">
        <v>49</v>
      </c>
      <c r="F141" s="446" t="s">
        <v>113</v>
      </c>
      <c r="G141" s="446" t="s">
        <v>114</v>
      </c>
      <c r="H141" s="446" t="s">
        <v>41</v>
      </c>
      <c r="I141" s="447" t="s">
        <v>696</v>
      </c>
    </row>
    <row r="142" spans="2:9" hidden="1" outlineLevel="1" x14ac:dyDescent="0.25">
      <c r="B142" s="446" t="s">
        <v>856</v>
      </c>
      <c r="C142" s="446" t="s">
        <v>38</v>
      </c>
      <c r="D142" s="446">
        <v>2529</v>
      </c>
      <c r="E142" s="446" t="s">
        <v>120</v>
      </c>
      <c r="F142" s="446" t="s">
        <v>113</v>
      </c>
      <c r="G142" s="446" t="s">
        <v>114</v>
      </c>
      <c r="H142" s="446" t="s">
        <v>41</v>
      </c>
      <c r="I142" s="447">
        <v>50</v>
      </c>
    </row>
    <row r="143" spans="2:9" hidden="1" outlineLevel="1" x14ac:dyDescent="0.25">
      <c r="B143" s="446" t="s">
        <v>856</v>
      </c>
      <c r="C143" s="446" t="s">
        <v>38</v>
      </c>
      <c r="D143" s="446">
        <v>2520</v>
      </c>
      <c r="E143" s="446" t="s">
        <v>118</v>
      </c>
      <c r="F143" s="446" t="s">
        <v>113</v>
      </c>
      <c r="G143" s="446" t="s">
        <v>114</v>
      </c>
      <c r="H143" s="446" t="s">
        <v>41</v>
      </c>
      <c r="I143" s="447">
        <v>80</v>
      </c>
    </row>
    <row r="144" spans="2:9" hidden="1" outlineLevel="1" x14ac:dyDescent="0.25">
      <c r="B144" s="446" t="s">
        <v>857</v>
      </c>
      <c r="C144" s="446" t="s">
        <v>38</v>
      </c>
      <c r="D144" s="446">
        <v>2522</v>
      </c>
      <c r="E144" s="446" t="s">
        <v>119</v>
      </c>
      <c r="F144" s="446" t="s">
        <v>113</v>
      </c>
      <c r="G144" s="446" t="s">
        <v>114</v>
      </c>
      <c r="H144" s="446" t="s">
        <v>41</v>
      </c>
      <c r="I144" s="447">
        <v>100</v>
      </c>
    </row>
    <row r="145" spans="2:9" hidden="1" outlineLevel="1" x14ac:dyDescent="0.25">
      <c r="B145" s="446" t="s">
        <v>858</v>
      </c>
      <c r="C145" s="446" t="s">
        <v>38</v>
      </c>
      <c r="D145" s="446">
        <v>2526</v>
      </c>
      <c r="E145" s="446" t="s">
        <v>116</v>
      </c>
      <c r="F145" s="446" t="s">
        <v>113</v>
      </c>
      <c r="G145" s="446" t="s">
        <v>114</v>
      </c>
      <c r="H145" s="446" t="s">
        <v>41</v>
      </c>
      <c r="I145" s="447">
        <v>40</v>
      </c>
    </row>
    <row r="146" spans="2:9" hidden="1" outlineLevel="1" x14ac:dyDescent="0.25">
      <c r="B146" s="446" t="s">
        <v>858</v>
      </c>
      <c r="C146" s="446" t="s">
        <v>38</v>
      </c>
      <c r="D146" s="446">
        <v>2525</v>
      </c>
      <c r="E146" s="446" t="s">
        <v>57</v>
      </c>
      <c r="F146" s="446" t="s">
        <v>113</v>
      </c>
      <c r="G146" s="446" t="s">
        <v>114</v>
      </c>
      <c r="H146" s="446" t="s">
        <v>41</v>
      </c>
      <c r="I146" s="447">
        <v>100</v>
      </c>
    </row>
    <row r="147" spans="2:9" hidden="1" outlineLevel="1" x14ac:dyDescent="0.25">
      <c r="B147" s="446" t="s">
        <v>858</v>
      </c>
      <c r="C147" s="446" t="s">
        <v>38</v>
      </c>
      <c r="D147" s="446">
        <v>2524</v>
      </c>
      <c r="E147" s="446" t="s">
        <v>51</v>
      </c>
      <c r="F147" s="446" t="s">
        <v>113</v>
      </c>
      <c r="G147" s="446" t="s">
        <v>114</v>
      </c>
      <c r="H147" s="446" t="s">
        <v>41</v>
      </c>
      <c r="I147" s="447">
        <v>100</v>
      </c>
    </row>
    <row r="148" spans="2:9" hidden="1" outlineLevel="1" x14ac:dyDescent="0.25">
      <c r="B148" s="446" t="s">
        <v>858</v>
      </c>
      <c r="C148" s="446" t="s">
        <v>38</v>
      </c>
      <c r="D148" s="446">
        <v>2527</v>
      </c>
      <c r="E148" s="446" t="s">
        <v>50</v>
      </c>
      <c r="F148" s="446" t="s">
        <v>113</v>
      </c>
      <c r="G148" s="446" t="s">
        <v>114</v>
      </c>
      <c r="H148" s="446" t="s">
        <v>41</v>
      </c>
      <c r="I148" s="447" t="s">
        <v>696</v>
      </c>
    </row>
    <row r="149" spans="2:9" hidden="1" outlineLevel="1" x14ac:dyDescent="0.25">
      <c r="B149" s="446" t="s">
        <v>859</v>
      </c>
      <c r="C149" s="446" t="s">
        <v>38</v>
      </c>
      <c r="D149" s="446">
        <v>2536</v>
      </c>
      <c r="E149" s="446" t="s">
        <v>60</v>
      </c>
      <c r="F149" s="446" t="s">
        <v>113</v>
      </c>
      <c r="G149" s="446" t="s">
        <v>114</v>
      </c>
      <c r="H149" s="446" t="s">
        <v>41</v>
      </c>
      <c r="I149" s="447">
        <v>100</v>
      </c>
    </row>
    <row r="150" spans="2:9" hidden="1" outlineLevel="1" x14ac:dyDescent="0.25">
      <c r="B150" s="446" t="s">
        <v>859</v>
      </c>
      <c r="C150" s="446" t="s">
        <v>38</v>
      </c>
      <c r="D150" s="446">
        <v>2537</v>
      </c>
      <c r="E150" s="446" t="s">
        <v>70</v>
      </c>
      <c r="F150" s="446" t="s">
        <v>113</v>
      </c>
      <c r="G150" s="446" t="s">
        <v>114</v>
      </c>
      <c r="H150" s="446" t="s">
        <v>41</v>
      </c>
      <c r="I150" s="447">
        <v>100</v>
      </c>
    </row>
    <row r="151" spans="2:9" hidden="1" outlineLevel="1" x14ac:dyDescent="0.25">
      <c r="B151" s="446" t="s">
        <v>859</v>
      </c>
      <c r="C151" s="446" t="s">
        <v>38</v>
      </c>
      <c r="D151" s="446">
        <v>2535</v>
      </c>
      <c r="E151" s="446" t="s">
        <v>53</v>
      </c>
      <c r="F151" s="446" t="s">
        <v>113</v>
      </c>
      <c r="G151" s="446" t="s">
        <v>114</v>
      </c>
      <c r="H151" s="446" t="s">
        <v>41</v>
      </c>
      <c r="I151" s="447" t="s">
        <v>696</v>
      </c>
    </row>
    <row r="152" spans="2:9" hidden="1" outlineLevel="1" x14ac:dyDescent="0.25">
      <c r="B152" s="446" t="s">
        <v>860</v>
      </c>
      <c r="C152" s="446" t="s">
        <v>38</v>
      </c>
      <c r="D152" s="446">
        <v>2550</v>
      </c>
      <c r="E152" s="446" t="s">
        <v>39</v>
      </c>
      <c r="F152" s="446" t="s">
        <v>113</v>
      </c>
      <c r="G152" s="446" t="s">
        <v>114</v>
      </c>
      <c r="H152" s="446" t="s">
        <v>41</v>
      </c>
      <c r="I152" s="447" t="s">
        <v>696</v>
      </c>
    </row>
    <row r="153" spans="2:9" hidden="1" outlineLevel="1" x14ac:dyDescent="0.25">
      <c r="B153" s="446" t="s">
        <v>861</v>
      </c>
      <c r="C153" s="446" t="s">
        <v>38</v>
      </c>
      <c r="D153" s="446">
        <v>2551</v>
      </c>
      <c r="E153" s="446" t="s">
        <v>795</v>
      </c>
      <c r="F153" s="446" t="s">
        <v>113</v>
      </c>
      <c r="G153" s="446" t="s">
        <v>114</v>
      </c>
      <c r="H153" s="446" t="s">
        <v>41</v>
      </c>
      <c r="I153" s="447">
        <v>250</v>
      </c>
    </row>
    <row r="154" spans="2:9" hidden="1" outlineLevel="1" x14ac:dyDescent="0.25">
      <c r="B154" s="446" t="s">
        <v>862</v>
      </c>
      <c r="C154" s="446" t="s">
        <v>38</v>
      </c>
      <c r="D154" s="446">
        <v>2552</v>
      </c>
      <c r="E154" s="446" t="s">
        <v>54</v>
      </c>
      <c r="F154" s="446" t="s">
        <v>113</v>
      </c>
      <c r="G154" s="446" t="s">
        <v>114</v>
      </c>
      <c r="H154" s="446" t="s">
        <v>41</v>
      </c>
      <c r="I154" s="447">
        <v>50</v>
      </c>
    </row>
    <row r="155" spans="2:9" hidden="1" outlineLevel="1" x14ac:dyDescent="0.25">
      <c r="B155" s="446" t="s">
        <v>863</v>
      </c>
      <c r="C155" s="446" t="s">
        <v>38</v>
      </c>
      <c r="D155" s="446">
        <v>2557</v>
      </c>
      <c r="E155" s="446" t="s">
        <v>121</v>
      </c>
      <c r="F155" s="446" t="s">
        <v>113</v>
      </c>
      <c r="G155" s="446" t="s">
        <v>114</v>
      </c>
      <c r="H155" s="446" t="s">
        <v>41</v>
      </c>
      <c r="I155" s="447">
        <v>100</v>
      </c>
    </row>
    <row r="156" spans="2:9" hidden="1" outlineLevel="1" x14ac:dyDescent="0.25">
      <c r="B156" s="446" t="s">
        <v>864</v>
      </c>
      <c r="C156" s="446" t="s">
        <v>38</v>
      </c>
      <c r="D156" s="446">
        <v>2558</v>
      </c>
      <c r="E156" s="446" t="s">
        <v>717</v>
      </c>
      <c r="F156" s="446" t="s">
        <v>854</v>
      </c>
      <c r="G156" s="446" t="s">
        <v>114</v>
      </c>
      <c r="H156" s="446" t="s">
        <v>41</v>
      </c>
      <c r="I156" s="447">
        <v>100</v>
      </c>
    </row>
    <row r="157" spans="2:9" hidden="1" outlineLevel="1" x14ac:dyDescent="0.25">
      <c r="B157" s="446" t="s">
        <v>865</v>
      </c>
      <c r="C157" s="446" t="s">
        <v>38</v>
      </c>
      <c r="D157" s="446">
        <v>2561</v>
      </c>
      <c r="E157" s="446" t="s">
        <v>828</v>
      </c>
      <c r="F157" s="446" t="s">
        <v>113</v>
      </c>
      <c r="G157" s="446" t="s">
        <v>114</v>
      </c>
      <c r="H157" s="446" t="s">
        <v>41</v>
      </c>
      <c r="I157" s="447">
        <v>100</v>
      </c>
    </row>
    <row r="158" spans="2:9" hidden="1" outlineLevel="1" x14ac:dyDescent="0.25">
      <c r="B158" s="446" t="s">
        <v>865</v>
      </c>
      <c r="C158" s="446" t="s">
        <v>38</v>
      </c>
      <c r="D158" s="446">
        <v>2559</v>
      </c>
      <c r="E158" s="446" t="s">
        <v>829</v>
      </c>
      <c r="F158" s="446" t="s">
        <v>113</v>
      </c>
      <c r="G158" s="446" t="s">
        <v>114</v>
      </c>
      <c r="H158" s="446" t="s">
        <v>41</v>
      </c>
      <c r="I158" s="447">
        <v>50</v>
      </c>
    </row>
    <row r="159" spans="2:9" hidden="1" outlineLevel="1" x14ac:dyDescent="0.25">
      <c r="B159" s="446" t="s">
        <v>866</v>
      </c>
      <c r="C159" s="446" t="s">
        <v>38</v>
      </c>
      <c r="D159" s="446">
        <v>2563</v>
      </c>
      <c r="E159" s="446" t="s">
        <v>43</v>
      </c>
      <c r="F159" s="446" t="s">
        <v>113</v>
      </c>
      <c r="G159" s="446" t="s">
        <v>114</v>
      </c>
      <c r="H159" s="446" t="s">
        <v>41</v>
      </c>
      <c r="I159" s="447">
        <v>400</v>
      </c>
    </row>
    <row r="160" spans="2:9" hidden="1" outlineLevel="1" x14ac:dyDescent="0.25">
      <c r="B160" s="446" t="s">
        <v>866</v>
      </c>
      <c r="C160" s="446" t="s">
        <v>38</v>
      </c>
      <c r="D160" s="446">
        <v>2560</v>
      </c>
      <c r="E160" s="446" t="s">
        <v>115</v>
      </c>
      <c r="F160" s="446" t="s">
        <v>113</v>
      </c>
      <c r="G160" s="446" t="s">
        <v>114</v>
      </c>
      <c r="H160" s="446" t="s">
        <v>41</v>
      </c>
      <c r="I160" s="447">
        <v>25</v>
      </c>
    </row>
    <row r="161" spans="2:9" hidden="1" outlineLevel="1" x14ac:dyDescent="0.25">
      <c r="B161" s="446" t="s">
        <v>866</v>
      </c>
      <c r="C161" s="446" t="s">
        <v>38</v>
      </c>
      <c r="D161" s="446">
        <v>2562</v>
      </c>
      <c r="E161" s="446" t="s">
        <v>42</v>
      </c>
      <c r="F161" s="446" t="s">
        <v>113</v>
      </c>
      <c r="G161" s="446" t="s">
        <v>114</v>
      </c>
      <c r="H161" s="446" t="s">
        <v>41</v>
      </c>
      <c r="I161" s="447">
        <v>100</v>
      </c>
    </row>
    <row r="162" spans="2:9" hidden="1" outlineLevel="1" x14ac:dyDescent="0.25">
      <c r="B162" s="446" t="s">
        <v>867</v>
      </c>
      <c r="C162" s="446" t="s">
        <v>38</v>
      </c>
      <c r="D162" s="446">
        <v>2564</v>
      </c>
      <c r="E162" s="446" t="s">
        <v>52</v>
      </c>
      <c r="F162" s="446" t="s">
        <v>113</v>
      </c>
      <c r="G162" s="446" t="s">
        <v>114</v>
      </c>
      <c r="H162" s="446" t="s">
        <v>41</v>
      </c>
      <c r="I162" s="447">
        <v>500</v>
      </c>
    </row>
    <row r="163" spans="2:9" hidden="1" outlineLevel="1" x14ac:dyDescent="0.25">
      <c r="B163" s="446" t="s">
        <v>868</v>
      </c>
      <c r="C163" s="446" t="s">
        <v>38</v>
      </c>
      <c r="D163" s="446">
        <v>2565</v>
      </c>
      <c r="E163" s="446" t="s">
        <v>56</v>
      </c>
      <c r="F163" s="446" t="s">
        <v>113</v>
      </c>
      <c r="G163" s="446" t="s">
        <v>114</v>
      </c>
      <c r="H163" s="446" t="s">
        <v>41</v>
      </c>
      <c r="I163" s="447">
        <v>100</v>
      </c>
    </row>
    <row r="164" spans="2:9" hidden="1" outlineLevel="1" x14ac:dyDescent="0.25">
      <c r="B164" s="446" t="s">
        <v>869</v>
      </c>
      <c r="C164" s="446" t="s">
        <v>38</v>
      </c>
      <c r="D164" s="446">
        <v>2566</v>
      </c>
      <c r="E164" s="446" t="s">
        <v>45</v>
      </c>
      <c r="F164" s="446" t="s">
        <v>854</v>
      </c>
      <c r="G164" s="446" t="s">
        <v>114</v>
      </c>
      <c r="H164" s="446" t="s">
        <v>41</v>
      </c>
      <c r="I164" s="447">
        <v>100</v>
      </c>
    </row>
    <row r="165" spans="2:9" hidden="1" outlineLevel="1" x14ac:dyDescent="0.25">
      <c r="B165" s="446" t="s">
        <v>870</v>
      </c>
      <c r="C165" s="446" t="s">
        <v>38</v>
      </c>
      <c r="D165" s="446">
        <v>2569</v>
      </c>
      <c r="E165" s="446" t="s">
        <v>117</v>
      </c>
      <c r="F165" s="446" t="s">
        <v>113</v>
      </c>
      <c r="G165" s="446" t="s">
        <v>114</v>
      </c>
      <c r="H165" s="446" t="s">
        <v>41</v>
      </c>
      <c r="I165" s="447">
        <v>150</v>
      </c>
    </row>
    <row r="166" spans="2:9" hidden="1" outlineLevel="1" x14ac:dyDescent="0.25">
      <c r="B166" s="446" t="s">
        <v>871</v>
      </c>
      <c r="C166" s="446" t="s">
        <v>38</v>
      </c>
      <c r="D166" s="446">
        <v>2571</v>
      </c>
      <c r="E166" s="446" t="s">
        <v>46</v>
      </c>
      <c r="F166" s="446" t="s">
        <v>113</v>
      </c>
      <c r="G166" s="446" t="s">
        <v>114</v>
      </c>
      <c r="H166" s="446" t="s">
        <v>41</v>
      </c>
      <c r="I166" s="447">
        <v>50</v>
      </c>
    </row>
    <row r="167" spans="2:9" hidden="1" outlineLevel="1" x14ac:dyDescent="0.25">
      <c r="B167" s="446" t="s">
        <v>871</v>
      </c>
      <c r="C167" s="446" t="s">
        <v>38</v>
      </c>
      <c r="D167" s="446">
        <v>2572</v>
      </c>
      <c r="E167" s="446" t="s">
        <v>835</v>
      </c>
      <c r="F167" s="446" t="s">
        <v>113</v>
      </c>
      <c r="G167" s="446" t="s">
        <v>114</v>
      </c>
      <c r="H167" s="446" t="s">
        <v>41</v>
      </c>
      <c r="I167" s="447">
        <v>50</v>
      </c>
    </row>
    <row r="168" spans="2:9" hidden="1" outlineLevel="1" x14ac:dyDescent="0.25">
      <c r="B168" s="446" t="s">
        <v>872</v>
      </c>
      <c r="C168" s="446" t="s">
        <v>38</v>
      </c>
      <c r="D168" s="446">
        <v>2573</v>
      </c>
      <c r="E168" s="446" t="s">
        <v>48</v>
      </c>
      <c r="F168" s="446" t="s">
        <v>113</v>
      </c>
      <c r="G168" s="446" t="s">
        <v>114</v>
      </c>
      <c r="H168" s="446" t="s">
        <v>41</v>
      </c>
      <c r="I168" s="447">
        <v>20</v>
      </c>
    </row>
    <row r="169" spans="2:9" hidden="1" outlineLevel="1" x14ac:dyDescent="0.25">
      <c r="B169" s="446" t="s">
        <v>873</v>
      </c>
      <c r="C169" s="446" t="s">
        <v>38</v>
      </c>
      <c r="D169" s="446">
        <v>2575</v>
      </c>
      <c r="E169" s="446" t="s">
        <v>49</v>
      </c>
      <c r="F169" s="446" t="s">
        <v>113</v>
      </c>
      <c r="G169" s="446" t="s">
        <v>114</v>
      </c>
      <c r="H169" s="446" t="s">
        <v>41</v>
      </c>
      <c r="I169" s="447" t="s">
        <v>696</v>
      </c>
    </row>
    <row r="170" spans="2:9" hidden="1" outlineLevel="1" x14ac:dyDescent="0.25">
      <c r="B170" s="446" t="s">
        <v>873</v>
      </c>
      <c r="C170" s="446" t="s">
        <v>38</v>
      </c>
      <c r="D170" s="446">
        <v>2604</v>
      </c>
      <c r="E170" s="446" t="s">
        <v>120</v>
      </c>
      <c r="F170" s="446" t="s">
        <v>113</v>
      </c>
      <c r="G170" s="446" t="s">
        <v>114</v>
      </c>
      <c r="H170" s="446" t="s">
        <v>41</v>
      </c>
      <c r="I170" s="447">
        <v>75</v>
      </c>
    </row>
    <row r="171" spans="2:9" hidden="1" outlineLevel="1" x14ac:dyDescent="0.25">
      <c r="B171" s="446" t="s">
        <v>873</v>
      </c>
      <c r="C171" s="446" t="s">
        <v>38</v>
      </c>
      <c r="D171" s="446">
        <v>2574</v>
      </c>
      <c r="E171" s="446" t="s">
        <v>47</v>
      </c>
      <c r="F171" s="446" t="s">
        <v>113</v>
      </c>
      <c r="G171" s="446" t="s">
        <v>114</v>
      </c>
      <c r="H171" s="446" t="s">
        <v>41</v>
      </c>
      <c r="I171" s="447">
        <v>100</v>
      </c>
    </row>
    <row r="172" spans="2:9" hidden="1" outlineLevel="1" x14ac:dyDescent="0.25">
      <c r="B172" s="446" t="s">
        <v>874</v>
      </c>
      <c r="C172" s="446" t="s">
        <v>38</v>
      </c>
      <c r="D172" s="446">
        <v>2577</v>
      </c>
      <c r="E172" s="446" t="s">
        <v>119</v>
      </c>
      <c r="F172" s="446" t="s">
        <v>113</v>
      </c>
      <c r="G172" s="446" t="s">
        <v>114</v>
      </c>
      <c r="H172" s="446" t="s">
        <v>41</v>
      </c>
      <c r="I172" s="447">
        <v>100</v>
      </c>
    </row>
    <row r="173" spans="2:9" hidden="1" outlineLevel="1" x14ac:dyDescent="0.25">
      <c r="B173" s="446" t="s">
        <v>874</v>
      </c>
      <c r="C173" s="446" t="s">
        <v>38</v>
      </c>
      <c r="D173" s="446">
        <v>2576</v>
      </c>
      <c r="E173" s="446" t="s">
        <v>50</v>
      </c>
      <c r="F173" s="446" t="s">
        <v>113</v>
      </c>
      <c r="G173" s="446" t="s">
        <v>114</v>
      </c>
      <c r="H173" s="446" t="s">
        <v>41</v>
      </c>
      <c r="I173" s="447" t="s">
        <v>696</v>
      </c>
    </row>
    <row r="174" spans="2:9" hidden="1" outlineLevel="1" x14ac:dyDescent="0.25">
      <c r="B174" s="446" t="s">
        <v>875</v>
      </c>
      <c r="C174" s="446" t="s">
        <v>38</v>
      </c>
      <c r="D174" s="446">
        <v>2580</v>
      </c>
      <c r="E174" s="446" t="s">
        <v>116</v>
      </c>
      <c r="F174" s="446" t="s">
        <v>113</v>
      </c>
      <c r="G174" s="446" t="s">
        <v>114</v>
      </c>
      <c r="H174" s="446" t="s">
        <v>41</v>
      </c>
      <c r="I174" s="447">
        <v>40</v>
      </c>
    </row>
    <row r="175" spans="2:9" hidden="1" outlineLevel="1" x14ac:dyDescent="0.25">
      <c r="B175" s="446" t="s">
        <v>875</v>
      </c>
      <c r="C175" s="446" t="s">
        <v>38</v>
      </c>
      <c r="D175" s="446">
        <v>2579</v>
      </c>
      <c r="E175" s="446" t="s">
        <v>57</v>
      </c>
      <c r="F175" s="446" t="s">
        <v>113</v>
      </c>
      <c r="G175" s="446" t="s">
        <v>114</v>
      </c>
      <c r="H175" s="446" t="s">
        <v>41</v>
      </c>
      <c r="I175" s="447">
        <v>100</v>
      </c>
    </row>
    <row r="176" spans="2:9" hidden="1" outlineLevel="1" x14ac:dyDescent="0.25">
      <c r="B176" s="446" t="s">
        <v>875</v>
      </c>
      <c r="C176" s="446" t="s">
        <v>38</v>
      </c>
      <c r="D176" s="446">
        <v>2578</v>
      </c>
      <c r="E176" s="446" t="s">
        <v>51</v>
      </c>
      <c r="F176" s="446" t="s">
        <v>113</v>
      </c>
      <c r="G176" s="446" t="s">
        <v>114</v>
      </c>
      <c r="H176" s="446" t="s">
        <v>41</v>
      </c>
      <c r="I176" s="447">
        <v>100</v>
      </c>
    </row>
    <row r="177" spans="2:9" hidden="1" outlineLevel="1" x14ac:dyDescent="0.25">
      <c r="B177" s="446" t="s">
        <v>876</v>
      </c>
      <c r="C177" s="446" t="s">
        <v>38</v>
      </c>
      <c r="D177" s="446">
        <v>2583</v>
      </c>
      <c r="E177" s="446" t="s">
        <v>70</v>
      </c>
      <c r="F177" s="446" t="s">
        <v>113</v>
      </c>
      <c r="G177" s="446" t="s">
        <v>114</v>
      </c>
      <c r="H177" s="446" t="s">
        <v>41</v>
      </c>
      <c r="I177" s="447">
        <v>100</v>
      </c>
    </row>
    <row r="178" spans="2:9" hidden="1" outlineLevel="1" x14ac:dyDescent="0.25">
      <c r="B178" s="446" t="s">
        <v>876</v>
      </c>
      <c r="C178" s="446" t="s">
        <v>38</v>
      </c>
      <c r="D178" s="446">
        <v>2581</v>
      </c>
      <c r="E178" s="446" t="s">
        <v>53</v>
      </c>
      <c r="F178" s="446" t="s">
        <v>113</v>
      </c>
      <c r="G178" s="446" t="s">
        <v>114</v>
      </c>
      <c r="H178" s="446" t="s">
        <v>41</v>
      </c>
      <c r="I178" s="447" t="s">
        <v>696</v>
      </c>
    </row>
    <row r="179" spans="2:9" hidden="1" outlineLevel="1" x14ac:dyDescent="0.25">
      <c r="B179" s="446" t="s">
        <v>876</v>
      </c>
      <c r="C179" s="446" t="s">
        <v>38</v>
      </c>
      <c r="D179" s="446">
        <v>2582</v>
      </c>
      <c r="E179" s="446" t="s">
        <v>60</v>
      </c>
      <c r="F179" s="446" t="s">
        <v>113</v>
      </c>
      <c r="G179" s="446" t="s">
        <v>114</v>
      </c>
      <c r="H179" s="446" t="s">
        <v>41</v>
      </c>
      <c r="I179" s="447">
        <v>100</v>
      </c>
    </row>
    <row r="180" spans="2:9" hidden="1" outlineLevel="1" x14ac:dyDescent="0.25">
      <c r="B180" s="446" t="s">
        <v>697</v>
      </c>
      <c r="C180" s="446" t="s">
        <v>38</v>
      </c>
      <c r="D180" s="446">
        <v>2586</v>
      </c>
      <c r="E180" s="446" t="s">
        <v>877</v>
      </c>
      <c r="F180" s="446" t="s">
        <v>878</v>
      </c>
      <c r="G180" s="446" t="s">
        <v>114</v>
      </c>
      <c r="H180" s="446" t="s">
        <v>41</v>
      </c>
      <c r="I180" s="447">
        <v>500</v>
      </c>
    </row>
    <row r="181" spans="2:9" hidden="1" outlineLevel="1" x14ac:dyDescent="0.25">
      <c r="B181" s="446" t="s">
        <v>879</v>
      </c>
      <c r="C181" s="446" t="s">
        <v>38</v>
      </c>
      <c r="D181" s="446">
        <v>2595</v>
      </c>
      <c r="E181" s="446" t="s">
        <v>880</v>
      </c>
      <c r="F181" s="446" t="s">
        <v>881</v>
      </c>
      <c r="G181" s="446" t="s">
        <v>114</v>
      </c>
      <c r="H181" s="446" t="s">
        <v>41</v>
      </c>
      <c r="I181" s="447">
        <v>75</v>
      </c>
    </row>
    <row r="182" spans="2:9" hidden="1" outlineLevel="1" x14ac:dyDescent="0.25">
      <c r="B182" s="446" t="s">
        <v>879</v>
      </c>
      <c r="C182" s="446" t="s">
        <v>38</v>
      </c>
      <c r="D182" s="446">
        <v>2595</v>
      </c>
      <c r="E182" s="446" t="s">
        <v>880</v>
      </c>
      <c r="F182" s="446" t="s">
        <v>882</v>
      </c>
      <c r="G182" s="446" t="s">
        <v>114</v>
      </c>
      <c r="H182" s="446" t="s">
        <v>41</v>
      </c>
      <c r="I182" s="447">
        <v>150</v>
      </c>
    </row>
    <row r="183" spans="2:9" hidden="1" outlineLevel="1" x14ac:dyDescent="0.25">
      <c r="B183" s="446" t="s">
        <v>879</v>
      </c>
      <c r="C183" s="446" t="s">
        <v>38</v>
      </c>
      <c r="D183" s="446">
        <v>2596</v>
      </c>
      <c r="E183" s="446" t="s">
        <v>39</v>
      </c>
      <c r="F183" s="446" t="s">
        <v>113</v>
      </c>
      <c r="G183" s="446" t="s">
        <v>114</v>
      </c>
      <c r="H183" s="446" t="s">
        <v>41</v>
      </c>
      <c r="I183" s="447" t="s">
        <v>696</v>
      </c>
    </row>
    <row r="184" spans="2:9" hidden="1" outlineLevel="1" x14ac:dyDescent="0.25">
      <c r="B184" s="446" t="s">
        <v>883</v>
      </c>
      <c r="C184" s="446" t="s">
        <v>38</v>
      </c>
      <c r="D184" s="446">
        <v>2597</v>
      </c>
      <c r="E184" s="446" t="s">
        <v>54</v>
      </c>
      <c r="F184" s="446" t="s">
        <v>113</v>
      </c>
      <c r="G184" s="446" t="s">
        <v>114</v>
      </c>
      <c r="H184" s="446" t="s">
        <v>41</v>
      </c>
      <c r="I184" s="447">
        <v>50</v>
      </c>
    </row>
    <row r="185" spans="2:9" hidden="1" outlineLevel="1" x14ac:dyDescent="0.25">
      <c r="B185" s="446" t="s">
        <v>883</v>
      </c>
      <c r="C185" s="446" t="s">
        <v>38</v>
      </c>
      <c r="D185" s="446">
        <v>2598</v>
      </c>
      <c r="E185" s="446" t="s">
        <v>880</v>
      </c>
      <c r="F185" s="446" t="s">
        <v>884</v>
      </c>
      <c r="G185" s="446" t="s">
        <v>114</v>
      </c>
      <c r="H185" s="446" t="s">
        <v>41</v>
      </c>
      <c r="I185" s="447">
        <v>75</v>
      </c>
    </row>
    <row r="186" spans="2:9" hidden="1" outlineLevel="1" x14ac:dyDescent="0.25">
      <c r="B186" s="446" t="s">
        <v>885</v>
      </c>
      <c r="C186" s="446" t="s">
        <v>38</v>
      </c>
      <c r="D186" s="446">
        <v>2599</v>
      </c>
      <c r="E186" s="446" t="s">
        <v>121</v>
      </c>
      <c r="F186" s="446" t="s">
        <v>113</v>
      </c>
      <c r="G186" s="446" t="s">
        <v>114</v>
      </c>
      <c r="H186" s="446" t="s">
        <v>41</v>
      </c>
      <c r="I186" s="447">
        <v>100</v>
      </c>
    </row>
    <row r="187" spans="2:9" hidden="1" outlineLevel="1" x14ac:dyDescent="0.25">
      <c r="B187" s="446" t="s">
        <v>886</v>
      </c>
      <c r="C187" s="446" t="s">
        <v>38</v>
      </c>
      <c r="D187" s="446">
        <v>2600</v>
      </c>
      <c r="E187" s="446" t="s">
        <v>717</v>
      </c>
      <c r="F187" s="446" t="s">
        <v>854</v>
      </c>
      <c r="G187" s="446" t="s">
        <v>114</v>
      </c>
      <c r="H187" s="446" t="s">
        <v>41</v>
      </c>
      <c r="I187" s="447">
        <v>100</v>
      </c>
    </row>
    <row r="188" spans="2:9" hidden="1" outlineLevel="1" x14ac:dyDescent="0.25">
      <c r="B188" s="446" t="s">
        <v>887</v>
      </c>
      <c r="C188" s="446" t="s">
        <v>38</v>
      </c>
      <c r="D188" s="446">
        <v>2606</v>
      </c>
      <c r="E188" s="446" t="s">
        <v>828</v>
      </c>
      <c r="F188" s="446" t="s">
        <v>113</v>
      </c>
      <c r="G188" s="446" t="s">
        <v>114</v>
      </c>
      <c r="H188" s="446" t="s">
        <v>41</v>
      </c>
      <c r="I188" s="447">
        <v>100</v>
      </c>
    </row>
    <row r="189" spans="2:9" hidden="1" outlineLevel="1" x14ac:dyDescent="0.25">
      <c r="B189" s="446" t="s">
        <v>887</v>
      </c>
      <c r="C189" s="446" t="s">
        <v>38</v>
      </c>
      <c r="D189" s="446">
        <v>2601</v>
      </c>
      <c r="E189" s="446" t="s">
        <v>829</v>
      </c>
      <c r="F189" s="446" t="s">
        <v>113</v>
      </c>
      <c r="G189" s="446" t="s">
        <v>114</v>
      </c>
      <c r="H189" s="446" t="s">
        <v>41</v>
      </c>
      <c r="I189" s="447">
        <v>50</v>
      </c>
    </row>
    <row r="190" spans="2:9" hidden="1" outlineLevel="1" x14ac:dyDescent="0.25">
      <c r="B190" s="446" t="s">
        <v>887</v>
      </c>
      <c r="C190" s="446" t="s">
        <v>38</v>
      </c>
      <c r="D190" s="446">
        <v>2602</v>
      </c>
      <c r="E190" s="446" t="s">
        <v>115</v>
      </c>
      <c r="F190" s="446" t="s">
        <v>113</v>
      </c>
      <c r="G190" s="446" t="s">
        <v>114</v>
      </c>
      <c r="H190" s="446" t="s">
        <v>41</v>
      </c>
      <c r="I190" s="447">
        <v>25</v>
      </c>
    </row>
    <row r="191" spans="2:9" hidden="1" outlineLevel="1" x14ac:dyDescent="0.25">
      <c r="B191" s="446" t="s">
        <v>888</v>
      </c>
      <c r="C191" s="446" t="s">
        <v>38</v>
      </c>
      <c r="D191" s="446">
        <v>2607</v>
      </c>
      <c r="E191" s="446" t="s">
        <v>42</v>
      </c>
      <c r="F191" s="446" t="s">
        <v>113</v>
      </c>
      <c r="G191" s="446" t="s">
        <v>114</v>
      </c>
      <c r="H191" s="446" t="s">
        <v>41</v>
      </c>
      <c r="I191" s="447">
        <v>100</v>
      </c>
    </row>
    <row r="192" spans="2:9" hidden="1" outlineLevel="1" x14ac:dyDescent="0.25">
      <c r="B192" s="446" t="s">
        <v>889</v>
      </c>
      <c r="C192" s="446" t="s">
        <v>38</v>
      </c>
      <c r="D192" s="446">
        <v>2603</v>
      </c>
      <c r="E192" s="446" t="s">
        <v>43</v>
      </c>
      <c r="F192" s="446" t="s">
        <v>113</v>
      </c>
      <c r="G192" s="446" t="s">
        <v>114</v>
      </c>
      <c r="H192" s="446" t="s">
        <v>41</v>
      </c>
      <c r="I192" s="447">
        <v>400</v>
      </c>
    </row>
    <row r="193" spans="2:9" hidden="1" outlineLevel="1" x14ac:dyDescent="0.25">
      <c r="B193" s="446" t="s">
        <v>890</v>
      </c>
      <c r="C193" s="446" t="s">
        <v>38</v>
      </c>
      <c r="D193" s="446">
        <v>2608</v>
      </c>
      <c r="E193" s="446" t="s">
        <v>52</v>
      </c>
      <c r="F193" s="446" t="s">
        <v>113</v>
      </c>
      <c r="G193" s="446" t="s">
        <v>114</v>
      </c>
      <c r="H193" s="446" t="s">
        <v>41</v>
      </c>
      <c r="I193" s="447">
        <v>500</v>
      </c>
    </row>
    <row r="194" spans="2:9" hidden="1" outlineLevel="1" x14ac:dyDescent="0.25">
      <c r="B194" s="446" t="s">
        <v>891</v>
      </c>
      <c r="C194" s="446" t="s">
        <v>38</v>
      </c>
      <c r="D194" s="446">
        <v>2610</v>
      </c>
      <c r="E194" s="446" t="s">
        <v>56</v>
      </c>
      <c r="F194" s="446" t="s">
        <v>113</v>
      </c>
      <c r="G194" s="446" t="s">
        <v>114</v>
      </c>
      <c r="H194" s="446" t="s">
        <v>41</v>
      </c>
      <c r="I194" s="447">
        <v>100</v>
      </c>
    </row>
    <row r="195" spans="2:9" hidden="1" outlineLevel="1" x14ac:dyDescent="0.25">
      <c r="B195" s="446" t="s">
        <v>891</v>
      </c>
      <c r="C195" s="446" t="s">
        <v>38</v>
      </c>
      <c r="D195" s="446">
        <v>2609</v>
      </c>
      <c r="E195" s="446" t="s">
        <v>44</v>
      </c>
      <c r="F195" s="446" t="s">
        <v>113</v>
      </c>
      <c r="G195" s="446" t="s">
        <v>114</v>
      </c>
      <c r="H195" s="446" t="s">
        <v>41</v>
      </c>
      <c r="I195" s="447">
        <v>100</v>
      </c>
    </row>
    <row r="196" spans="2:9" hidden="1" outlineLevel="1" x14ac:dyDescent="0.25">
      <c r="B196" s="446" t="s">
        <v>892</v>
      </c>
      <c r="C196" s="446" t="s">
        <v>38</v>
      </c>
      <c r="D196" s="446">
        <v>2612</v>
      </c>
      <c r="E196" s="446" t="s">
        <v>117</v>
      </c>
      <c r="F196" s="446" t="s">
        <v>113</v>
      </c>
      <c r="G196" s="446" t="s">
        <v>114</v>
      </c>
      <c r="H196" s="446" t="s">
        <v>41</v>
      </c>
      <c r="I196" s="447">
        <v>150</v>
      </c>
    </row>
    <row r="197" spans="2:9" hidden="1" outlineLevel="1" x14ac:dyDescent="0.25">
      <c r="B197" s="446" t="s">
        <v>893</v>
      </c>
      <c r="C197" s="446" t="s">
        <v>38</v>
      </c>
      <c r="D197" s="446">
        <v>2614</v>
      </c>
      <c r="E197" s="446" t="s">
        <v>835</v>
      </c>
      <c r="F197" s="446" t="s">
        <v>113</v>
      </c>
      <c r="G197" s="446" t="s">
        <v>114</v>
      </c>
      <c r="H197" s="446" t="s">
        <v>41</v>
      </c>
      <c r="I197" s="447">
        <v>50</v>
      </c>
    </row>
    <row r="198" spans="2:9" hidden="1" outlineLevel="1" x14ac:dyDescent="0.25">
      <c r="B198" s="446" t="s">
        <v>893</v>
      </c>
      <c r="C198" s="446" t="s">
        <v>38</v>
      </c>
      <c r="D198" s="446">
        <v>2615</v>
      </c>
      <c r="E198" s="446" t="s">
        <v>45</v>
      </c>
      <c r="F198" s="446" t="s">
        <v>854</v>
      </c>
      <c r="G198" s="446" t="s">
        <v>114</v>
      </c>
      <c r="H198" s="446" t="s">
        <v>41</v>
      </c>
      <c r="I198" s="447">
        <v>100</v>
      </c>
    </row>
    <row r="199" spans="2:9" hidden="1" outlineLevel="1" x14ac:dyDescent="0.25">
      <c r="B199" s="446" t="s">
        <v>893</v>
      </c>
      <c r="C199" s="446" t="s">
        <v>38</v>
      </c>
      <c r="D199" s="446">
        <v>2613</v>
      </c>
      <c r="E199" s="446" t="s">
        <v>46</v>
      </c>
      <c r="F199" s="446" t="s">
        <v>113</v>
      </c>
      <c r="G199" s="446" t="s">
        <v>114</v>
      </c>
      <c r="H199" s="446" t="s">
        <v>41</v>
      </c>
      <c r="I199" s="447">
        <v>50</v>
      </c>
    </row>
    <row r="200" spans="2:9" hidden="1" outlineLevel="1" x14ac:dyDescent="0.25">
      <c r="B200" s="446" t="s">
        <v>894</v>
      </c>
      <c r="C200" s="446" t="s">
        <v>38</v>
      </c>
      <c r="D200" s="446">
        <v>2621</v>
      </c>
      <c r="E200" s="446" t="s">
        <v>48</v>
      </c>
      <c r="F200" s="446" t="s">
        <v>113</v>
      </c>
      <c r="G200" s="446" t="s">
        <v>114</v>
      </c>
      <c r="H200" s="446" t="s">
        <v>41</v>
      </c>
      <c r="I200" s="447">
        <v>20</v>
      </c>
    </row>
    <row r="201" spans="2:9" hidden="1" outlineLevel="1" x14ac:dyDescent="0.25">
      <c r="B201" s="446" t="s">
        <v>895</v>
      </c>
      <c r="C201" s="446" t="s">
        <v>38</v>
      </c>
      <c r="D201" s="446">
        <v>2617</v>
      </c>
      <c r="E201" s="446" t="s">
        <v>47</v>
      </c>
      <c r="F201" s="446" t="s">
        <v>113</v>
      </c>
      <c r="G201" s="446" t="s">
        <v>114</v>
      </c>
      <c r="H201" s="446" t="s">
        <v>41</v>
      </c>
      <c r="I201" s="447">
        <v>100</v>
      </c>
    </row>
    <row r="202" spans="2:9" hidden="1" outlineLevel="1" x14ac:dyDescent="0.25">
      <c r="B202" s="446" t="s">
        <v>896</v>
      </c>
      <c r="C202" s="446" t="s">
        <v>38</v>
      </c>
      <c r="D202" s="446">
        <v>2618</v>
      </c>
      <c r="E202" s="446" t="s">
        <v>49</v>
      </c>
      <c r="F202" s="446" t="s">
        <v>113</v>
      </c>
      <c r="G202" s="446" t="s">
        <v>114</v>
      </c>
      <c r="H202" s="446" t="s">
        <v>41</v>
      </c>
      <c r="I202" s="447" t="s">
        <v>696</v>
      </c>
    </row>
    <row r="203" spans="2:9" hidden="1" outlineLevel="1" x14ac:dyDescent="0.25">
      <c r="B203" s="446" t="s">
        <v>897</v>
      </c>
      <c r="C203" s="446" t="s">
        <v>38</v>
      </c>
      <c r="D203" s="446">
        <v>2620</v>
      </c>
      <c r="E203" s="446" t="s">
        <v>50</v>
      </c>
      <c r="F203" s="446" t="s">
        <v>113</v>
      </c>
      <c r="G203" s="446" t="s">
        <v>114</v>
      </c>
      <c r="H203" s="446" t="s">
        <v>41</v>
      </c>
      <c r="I203" s="447" t="s">
        <v>696</v>
      </c>
    </row>
    <row r="204" spans="2:9" hidden="1" outlineLevel="1" x14ac:dyDescent="0.25">
      <c r="B204" s="446" t="s">
        <v>897</v>
      </c>
      <c r="C204" s="446" t="s">
        <v>38</v>
      </c>
      <c r="D204" s="446">
        <v>2619</v>
      </c>
      <c r="E204" s="446" t="s">
        <v>119</v>
      </c>
      <c r="F204" s="446" t="s">
        <v>113</v>
      </c>
      <c r="G204" s="446" t="s">
        <v>114</v>
      </c>
      <c r="H204" s="446" t="s">
        <v>41</v>
      </c>
      <c r="I204" s="447">
        <v>100</v>
      </c>
    </row>
    <row r="205" spans="2:9" hidden="1" outlineLevel="1" x14ac:dyDescent="0.25">
      <c r="B205" s="446" t="s">
        <v>898</v>
      </c>
      <c r="C205" s="446" t="s">
        <v>38</v>
      </c>
      <c r="D205" s="446">
        <v>2623</v>
      </c>
      <c r="E205" s="446" t="s">
        <v>57</v>
      </c>
      <c r="F205" s="446" t="s">
        <v>113</v>
      </c>
      <c r="G205" s="446" t="s">
        <v>114</v>
      </c>
      <c r="H205" s="446" t="s">
        <v>41</v>
      </c>
      <c r="I205" s="447">
        <v>100</v>
      </c>
    </row>
    <row r="206" spans="2:9" hidden="1" outlineLevel="1" x14ac:dyDescent="0.25">
      <c r="B206" s="446" t="s">
        <v>898</v>
      </c>
      <c r="C206" s="446" t="s">
        <v>38</v>
      </c>
      <c r="D206" s="446">
        <v>2624</v>
      </c>
      <c r="E206" s="446" t="s">
        <v>116</v>
      </c>
      <c r="F206" s="446" t="s">
        <v>113</v>
      </c>
      <c r="G206" s="446" t="s">
        <v>114</v>
      </c>
      <c r="H206" s="446" t="s">
        <v>41</v>
      </c>
      <c r="I206" s="447">
        <v>40</v>
      </c>
    </row>
    <row r="207" spans="2:9" hidden="1" outlineLevel="1" x14ac:dyDescent="0.25">
      <c r="B207" s="446" t="s">
        <v>898</v>
      </c>
      <c r="C207" s="446" t="s">
        <v>38</v>
      </c>
      <c r="D207" s="446">
        <v>2622</v>
      </c>
      <c r="E207" s="446" t="s">
        <v>51</v>
      </c>
      <c r="F207" s="446" t="s">
        <v>113</v>
      </c>
      <c r="G207" s="446" t="s">
        <v>114</v>
      </c>
      <c r="H207" s="446" t="s">
        <v>41</v>
      </c>
      <c r="I207" s="447">
        <v>100</v>
      </c>
    </row>
    <row r="208" spans="2:9" hidden="1" outlineLevel="1" x14ac:dyDescent="0.25">
      <c r="B208" s="446" t="s">
        <v>698</v>
      </c>
      <c r="C208" s="446" t="s">
        <v>38</v>
      </c>
      <c r="D208" s="446">
        <v>2627</v>
      </c>
      <c r="E208" s="446" t="s">
        <v>60</v>
      </c>
      <c r="F208" s="446" t="s">
        <v>113</v>
      </c>
      <c r="G208" s="446" t="s">
        <v>114</v>
      </c>
      <c r="H208" s="446" t="s">
        <v>41</v>
      </c>
      <c r="I208" s="447">
        <v>100</v>
      </c>
    </row>
    <row r="209" spans="2:9" hidden="1" outlineLevel="1" x14ac:dyDescent="0.25">
      <c r="B209" s="446" t="s">
        <v>698</v>
      </c>
      <c r="C209" s="446" t="s">
        <v>38</v>
      </c>
      <c r="D209" s="446">
        <v>2628</v>
      </c>
      <c r="E209" s="446" t="s">
        <v>70</v>
      </c>
      <c r="F209" s="446" t="s">
        <v>113</v>
      </c>
      <c r="G209" s="446" t="s">
        <v>114</v>
      </c>
      <c r="H209" s="446" t="s">
        <v>41</v>
      </c>
      <c r="I209" s="447">
        <v>100</v>
      </c>
    </row>
    <row r="210" spans="2:9" hidden="1" outlineLevel="1" x14ac:dyDescent="0.25">
      <c r="B210" s="446" t="s">
        <v>698</v>
      </c>
      <c r="C210" s="446" t="s">
        <v>38</v>
      </c>
      <c r="D210" s="446">
        <v>2626</v>
      </c>
      <c r="E210" s="446" t="s">
        <v>53</v>
      </c>
      <c r="F210" s="446" t="s">
        <v>113</v>
      </c>
      <c r="G210" s="446" t="s">
        <v>114</v>
      </c>
      <c r="H210" s="446" t="s">
        <v>41</v>
      </c>
      <c r="I210" s="447" t="s">
        <v>696</v>
      </c>
    </row>
    <row r="211" spans="2:9" hidden="1" outlineLevel="1" x14ac:dyDescent="0.25">
      <c r="B211" s="446" t="s">
        <v>899</v>
      </c>
      <c r="C211" s="446" t="s">
        <v>38</v>
      </c>
      <c r="D211" s="446">
        <v>2631</v>
      </c>
      <c r="E211" s="446" t="s">
        <v>39</v>
      </c>
      <c r="F211" s="446" t="s">
        <v>113</v>
      </c>
      <c r="G211" s="446" t="s">
        <v>114</v>
      </c>
      <c r="H211" s="446" t="s">
        <v>41</v>
      </c>
      <c r="I211" s="447" t="s">
        <v>696</v>
      </c>
    </row>
    <row r="212" spans="2:9" hidden="1" outlineLevel="1" x14ac:dyDescent="0.25">
      <c r="B212" s="446" t="s">
        <v>900</v>
      </c>
      <c r="C212" s="446" t="s">
        <v>38</v>
      </c>
      <c r="D212" s="446">
        <v>2633</v>
      </c>
      <c r="E212" s="446" t="s">
        <v>54</v>
      </c>
      <c r="F212" s="446" t="s">
        <v>113</v>
      </c>
      <c r="G212" s="446" t="s">
        <v>114</v>
      </c>
      <c r="H212" s="446" t="s">
        <v>41</v>
      </c>
      <c r="I212" s="447">
        <v>50</v>
      </c>
    </row>
    <row r="213" spans="2:9" hidden="1" outlineLevel="1" x14ac:dyDescent="0.25">
      <c r="B213" s="446" t="s">
        <v>900</v>
      </c>
      <c r="C213" s="446" t="s">
        <v>38</v>
      </c>
      <c r="D213" s="446">
        <v>2634</v>
      </c>
      <c r="E213" s="446" t="s">
        <v>120</v>
      </c>
      <c r="F213" s="446" t="s">
        <v>113</v>
      </c>
      <c r="G213" s="446" t="s">
        <v>114</v>
      </c>
      <c r="H213" s="446" t="s">
        <v>41</v>
      </c>
      <c r="I213" s="447">
        <v>75</v>
      </c>
    </row>
    <row r="214" spans="2:9" hidden="1" outlineLevel="1" x14ac:dyDescent="0.25">
      <c r="B214" s="446" t="s">
        <v>900</v>
      </c>
      <c r="C214" s="446" t="s">
        <v>38</v>
      </c>
      <c r="D214" s="446">
        <v>2637</v>
      </c>
      <c r="E214" s="446" t="s">
        <v>901</v>
      </c>
      <c r="F214" s="446" t="s">
        <v>113</v>
      </c>
      <c r="G214" s="446" t="s">
        <v>114</v>
      </c>
      <c r="H214" s="446" t="s">
        <v>41</v>
      </c>
      <c r="I214" s="447">
        <v>250</v>
      </c>
    </row>
    <row r="215" spans="2:9" hidden="1" outlineLevel="1" x14ac:dyDescent="0.25">
      <c r="B215" s="446" t="s">
        <v>902</v>
      </c>
      <c r="C215" s="446" t="s">
        <v>38</v>
      </c>
      <c r="D215" s="446">
        <v>2639</v>
      </c>
      <c r="E215" s="446" t="s">
        <v>717</v>
      </c>
      <c r="F215" s="446" t="s">
        <v>854</v>
      </c>
      <c r="G215" s="446" t="s">
        <v>114</v>
      </c>
      <c r="H215" s="446" t="s">
        <v>41</v>
      </c>
      <c r="I215" s="447">
        <v>100</v>
      </c>
    </row>
    <row r="216" spans="2:9" hidden="1" outlineLevel="1" x14ac:dyDescent="0.25">
      <c r="B216" s="446" t="s">
        <v>903</v>
      </c>
      <c r="C216" s="446" t="s">
        <v>38</v>
      </c>
      <c r="D216" s="446">
        <v>2640</v>
      </c>
      <c r="E216" s="446" t="s">
        <v>795</v>
      </c>
      <c r="F216" s="446" t="s">
        <v>113</v>
      </c>
      <c r="G216" s="446" t="s">
        <v>114</v>
      </c>
      <c r="H216" s="446" t="s">
        <v>41</v>
      </c>
      <c r="I216" s="447">
        <v>500</v>
      </c>
    </row>
    <row r="217" spans="2:9" hidden="1" outlineLevel="1" x14ac:dyDescent="0.25">
      <c r="B217" s="446" t="s">
        <v>904</v>
      </c>
      <c r="C217" s="446" t="s">
        <v>38</v>
      </c>
      <c r="D217" s="446">
        <v>2641</v>
      </c>
      <c r="E217" s="446" t="s">
        <v>829</v>
      </c>
      <c r="F217" s="446" t="s">
        <v>113</v>
      </c>
      <c r="G217" s="446" t="s">
        <v>114</v>
      </c>
      <c r="H217" s="446" t="s">
        <v>41</v>
      </c>
      <c r="I217" s="447">
        <v>50</v>
      </c>
    </row>
    <row r="218" spans="2:9" hidden="1" outlineLevel="1" x14ac:dyDescent="0.25">
      <c r="B218" s="446" t="s">
        <v>904</v>
      </c>
      <c r="C218" s="446" t="s">
        <v>38</v>
      </c>
      <c r="D218" s="446">
        <v>2644</v>
      </c>
      <c r="E218" s="446" t="s">
        <v>115</v>
      </c>
      <c r="F218" s="446" t="s">
        <v>113</v>
      </c>
      <c r="G218" s="446" t="s">
        <v>114</v>
      </c>
      <c r="H218" s="446" t="s">
        <v>41</v>
      </c>
      <c r="I218" s="447">
        <v>25</v>
      </c>
    </row>
    <row r="219" spans="2:9" hidden="1" outlineLevel="1" x14ac:dyDescent="0.25">
      <c r="B219" s="446" t="s">
        <v>905</v>
      </c>
      <c r="C219" s="446" t="s">
        <v>38</v>
      </c>
      <c r="D219" s="446">
        <v>2647</v>
      </c>
      <c r="E219" s="446" t="s">
        <v>42</v>
      </c>
      <c r="F219" s="446" t="s">
        <v>113</v>
      </c>
      <c r="G219" s="446" t="s">
        <v>114</v>
      </c>
      <c r="H219" s="446" t="s">
        <v>41</v>
      </c>
      <c r="I219" s="447">
        <v>100</v>
      </c>
    </row>
    <row r="220" spans="2:9" hidden="1" outlineLevel="1" x14ac:dyDescent="0.25">
      <c r="B220" s="446" t="s">
        <v>906</v>
      </c>
      <c r="C220" s="446" t="s">
        <v>38</v>
      </c>
      <c r="D220" s="446">
        <v>2646</v>
      </c>
      <c r="E220" s="446" t="s">
        <v>43</v>
      </c>
      <c r="F220" s="446" t="s">
        <v>113</v>
      </c>
      <c r="G220" s="446" t="s">
        <v>114</v>
      </c>
      <c r="H220" s="446" t="s">
        <v>41</v>
      </c>
      <c r="I220" s="447">
        <v>400</v>
      </c>
    </row>
    <row r="221" spans="2:9" hidden="1" outlineLevel="1" x14ac:dyDescent="0.25">
      <c r="B221" s="446" t="s">
        <v>907</v>
      </c>
      <c r="C221" s="446" t="s">
        <v>38</v>
      </c>
      <c r="D221" s="446">
        <v>2651</v>
      </c>
      <c r="E221" s="446" t="s">
        <v>52</v>
      </c>
      <c r="F221" s="446" t="s">
        <v>113</v>
      </c>
      <c r="G221" s="446" t="s">
        <v>114</v>
      </c>
      <c r="H221" s="446" t="s">
        <v>41</v>
      </c>
      <c r="I221" s="447">
        <v>500</v>
      </c>
    </row>
    <row r="222" spans="2:9" hidden="1" outlineLevel="1" x14ac:dyDescent="0.25">
      <c r="B222" s="446" t="s">
        <v>908</v>
      </c>
      <c r="C222" s="446" t="s">
        <v>38</v>
      </c>
      <c r="D222" s="446">
        <v>2652</v>
      </c>
      <c r="E222" s="446" t="s">
        <v>44</v>
      </c>
      <c r="F222" s="446" t="s">
        <v>113</v>
      </c>
      <c r="G222" s="446" t="s">
        <v>114</v>
      </c>
      <c r="H222" s="446" t="s">
        <v>41</v>
      </c>
      <c r="I222" s="447">
        <v>100</v>
      </c>
    </row>
    <row r="223" spans="2:9" hidden="1" outlineLevel="1" x14ac:dyDescent="0.25">
      <c r="B223" s="446" t="s">
        <v>908</v>
      </c>
      <c r="C223" s="446" t="s">
        <v>38</v>
      </c>
      <c r="D223" s="446">
        <v>2653</v>
      </c>
      <c r="E223" s="446" t="s">
        <v>56</v>
      </c>
      <c r="F223" s="446" t="s">
        <v>113</v>
      </c>
      <c r="G223" s="446" t="s">
        <v>114</v>
      </c>
      <c r="H223" s="446" t="s">
        <v>41</v>
      </c>
      <c r="I223" s="447">
        <v>100</v>
      </c>
    </row>
    <row r="224" spans="2:9" hidden="1" outlineLevel="1" x14ac:dyDescent="0.25">
      <c r="B224" s="446" t="s">
        <v>909</v>
      </c>
      <c r="C224" s="446" t="s">
        <v>38</v>
      </c>
      <c r="D224" s="446">
        <v>2656</v>
      </c>
      <c r="E224" s="446" t="s">
        <v>910</v>
      </c>
      <c r="F224" s="446" t="s">
        <v>113</v>
      </c>
      <c r="G224" s="446" t="s">
        <v>114</v>
      </c>
      <c r="H224" s="446" t="s">
        <v>41</v>
      </c>
      <c r="I224" s="447">
        <v>100</v>
      </c>
    </row>
    <row r="225" spans="2:9" hidden="1" outlineLevel="1" x14ac:dyDescent="0.25">
      <c r="B225" s="446" t="s">
        <v>909</v>
      </c>
      <c r="C225" s="446" t="s">
        <v>38</v>
      </c>
      <c r="D225" s="446">
        <v>2654</v>
      </c>
      <c r="E225" s="446" t="s">
        <v>117</v>
      </c>
      <c r="F225" s="446" t="s">
        <v>113</v>
      </c>
      <c r="G225" s="446" t="s">
        <v>114</v>
      </c>
      <c r="H225" s="446" t="s">
        <v>41</v>
      </c>
      <c r="I225" s="447">
        <v>150</v>
      </c>
    </row>
    <row r="226" spans="2:9" hidden="1" outlineLevel="1" x14ac:dyDescent="0.25">
      <c r="B226" s="446" t="s">
        <v>911</v>
      </c>
      <c r="C226" s="446" t="s">
        <v>38</v>
      </c>
      <c r="D226" s="446">
        <v>2658</v>
      </c>
      <c r="E226" s="446" t="s">
        <v>835</v>
      </c>
      <c r="F226" s="446" t="s">
        <v>113</v>
      </c>
      <c r="G226" s="446" t="s">
        <v>114</v>
      </c>
      <c r="H226" s="446" t="s">
        <v>41</v>
      </c>
      <c r="I226" s="447">
        <v>50</v>
      </c>
    </row>
    <row r="227" spans="2:9" hidden="1" outlineLevel="1" x14ac:dyDescent="0.25">
      <c r="B227" s="446" t="s">
        <v>911</v>
      </c>
      <c r="C227" s="446" t="s">
        <v>38</v>
      </c>
      <c r="D227" s="446">
        <v>2659</v>
      </c>
      <c r="E227" s="446" t="s">
        <v>45</v>
      </c>
      <c r="F227" s="446" t="s">
        <v>854</v>
      </c>
      <c r="G227" s="446" t="s">
        <v>114</v>
      </c>
      <c r="H227" s="446" t="s">
        <v>41</v>
      </c>
      <c r="I227" s="447">
        <v>100</v>
      </c>
    </row>
    <row r="228" spans="2:9" hidden="1" outlineLevel="1" x14ac:dyDescent="0.25">
      <c r="B228" s="446" t="s">
        <v>911</v>
      </c>
      <c r="C228" s="446" t="s">
        <v>38</v>
      </c>
      <c r="D228" s="446">
        <v>2657</v>
      </c>
      <c r="E228" s="446" t="s">
        <v>46</v>
      </c>
      <c r="F228" s="446" t="s">
        <v>113</v>
      </c>
      <c r="G228" s="446" t="s">
        <v>114</v>
      </c>
      <c r="H228" s="446" t="s">
        <v>41</v>
      </c>
      <c r="I228" s="447">
        <v>50</v>
      </c>
    </row>
    <row r="229" spans="2:9" hidden="1" outlineLevel="1" x14ac:dyDescent="0.25">
      <c r="B229" s="446" t="s">
        <v>912</v>
      </c>
      <c r="C229" s="446" t="s">
        <v>38</v>
      </c>
      <c r="D229" s="446">
        <v>2661</v>
      </c>
      <c r="E229" s="446" t="s">
        <v>48</v>
      </c>
      <c r="F229" s="446" t="s">
        <v>113</v>
      </c>
      <c r="G229" s="446" t="s">
        <v>114</v>
      </c>
      <c r="H229" s="446" t="s">
        <v>41</v>
      </c>
      <c r="I229" s="447">
        <v>20</v>
      </c>
    </row>
    <row r="230" spans="2:9" hidden="1" outlineLevel="1" x14ac:dyDescent="0.25">
      <c r="B230" s="446" t="s">
        <v>913</v>
      </c>
      <c r="C230" s="446" t="s">
        <v>38</v>
      </c>
      <c r="D230" s="446">
        <v>2662</v>
      </c>
      <c r="E230" s="446" t="s">
        <v>47</v>
      </c>
      <c r="F230" s="446" t="s">
        <v>113</v>
      </c>
      <c r="G230" s="446" t="s">
        <v>114</v>
      </c>
      <c r="H230" s="446" t="s">
        <v>41</v>
      </c>
      <c r="I230" s="447">
        <v>100</v>
      </c>
    </row>
    <row r="231" spans="2:9" hidden="1" outlineLevel="1" x14ac:dyDescent="0.25">
      <c r="B231" s="446" t="s">
        <v>914</v>
      </c>
      <c r="C231" s="446" t="s">
        <v>38</v>
      </c>
      <c r="D231" s="446">
        <v>2663</v>
      </c>
      <c r="E231" s="446" t="s">
        <v>49</v>
      </c>
      <c r="F231" s="446" t="s">
        <v>113</v>
      </c>
      <c r="G231" s="446" t="s">
        <v>114</v>
      </c>
      <c r="H231" s="446" t="s">
        <v>41</v>
      </c>
      <c r="I231" s="447" t="s">
        <v>696</v>
      </c>
    </row>
    <row r="232" spans="2:9" hidden="1" outlineLevel="1" x14ac:dyDescent="0.25">
      <c r="B232" s="446" t="s">
        <v>915</v>
      </c>
      <c r="C232" s="446" t="s">
        <v>38</v>
      </c>
      <c r="D232" s="446">
        <v>2664</v>
      </c>
      <c r="E232" s="446" t="s">
        <v>119</v>
      </c>
      <c r="F232" s="446" t="s">
        <v>113</v>
      </c>
      <c r="G232" s="446" t="s">
        <v>114</v>
      </c>
      <c r="H232" s="446" t="s">
        <v>41</v>
      </c>
      <c r="I232" s="447">
        <v>100</v>
      </c>
    </row>
    <row r="233" spans="2:9" hidden="1" outlineLevel="1" x14ac:dyDescent="0.25">
      <c r="B233" s="446" t="s">
        <v>915</v>
      </c>
      <c r="C233" s="446" t="s">
        <v>38</v>
      </c>
      <c r="D233" s="446">
        <v>2665</v>
      </c>
      <c r="E233" s="446" t="s">
        <v>50</v>
      </c>
      <c r="F233" s="446" t="s">
        <v>113</v>
      </c>
      <c r="G233" s="446" t="s">
        <v>114</v>
      </c>
      <c r="H233" s="446" t="s">
        <v>41</v>
      </c>
      <c r="I233" s="447" t="s">
        <v>696</v>
      </c>
    </row>
    <row r="234" spans="2:9" hidden="1" outlineLevel="1" x14ac:dyDescent="0.25">
      <c r="B234" s="446" t="s">
        <v>916</v>
      </c>
      <c r="C234" s="446" t="s">
        <v>38</v>
      </c>
      <c r="D234" s="446">
        <v>2671</v>
      </c>
      <c r="E234" s="446" t="s">
        <v>116</v>
      </c>
      <c r="F234" s="446" t="s">
        <v>113</v>
      </c>
      <c r="G234" s="446" t="s">
        <v>114</v>
      </c>
      <c r="H234" s="446" t="s">
        <v>41</v>
      </c>
      <c r="I234" s="447">
        <v>40</v>
      </c>
    </row>
    <row r="235" spans="2:9" hidden="1" outlineLevel="1" x14ac:dyDescent="0.25">
      <c r="B235" s="446" t="s">
        <v>916</v>
      </c>
      <c r="C235" s="446" t="s">
        <v>38</v>
      </c>
      <c r="D235" s="446">
        <v>2670</v>
      </c>
      <c r="E235" s="446" t="s">
        <v>57</v>
      </c>
      <c r="F235" s="446" t="s">
        <v>113</v>
      </c>
      <c r="G235" s="446" t="s">
        <v>114</v>
      </c>
      <c r="H235" s="446" t="s">
        <v>41</v>
      </c>
      <c r="I235" s="447">
        <v>100</v>
      </c>
    </row>
    <row r="236" spans="2:9" hidden="1" outlineLevel="1" x14ac:dyDescent="0.25">
      <c r="B236" s="446" t="s">
        <v>916</v>
      </c>
      <c r="C236" s="446" t="s">
        <v>38</v>
      </c>
      <c r="D236" s="446">
        <v>2679</v>
      </c>
      <c r="E236" s="446" t="s">
        <v>804</v>
      </c>
      <c r="F236" s="446" t="s">
        <v>113</v>
      </c>
      <c r="G236" s="446" t="s">
        <v>114</v>
      </c>
      <c r="H236" s="446" t="s">
        <v>41</v>
      </c>
      <c r="I236" s="447" t="s">
        <v>696</v>
      </c>
    </row>
    <row r="237" spans="2:9" hidden="1" outlineLevel="1" x14ac:dyDescent="0.25">
      <c r="B237" s="446" t="s">
        <v>916</v>
      </c>
      <c r="C237" s="446" t="s">
        <v>38</v>
      </c>
      <c r="D237" s="446">
        <v>2669</v>
      </c>
      <c r="E237" s="446" t="s">
        <v>51</v>
      </c>
      <c r="F237" s="446" t="s">
        <v>113</v>
      </c>
      <c r="G237" s="446" t="s">
        <v>114</v>
      </c>
      <c r="H237" s="446" t="s">
        <v>41</v>
      </c>
      <c r="I237" s="447">
        <v>100</v>
      </c>
    </row>
    <row r="238" spans="2:9" hidden="1" outlineLevel="1" x14ac:dyDescent="0.25">
      <c r="B238" s="446" t="s">
        <v>699</v>
      </c>
      <c r="C238" s="446" t="s">
        <v>38</v>
      </c>
      <c r="D238" s="446">
        <v>2677</v>
      </c>
      <c r="E238" s="446" t="s">
        <v>53</v>
      </c>
      <c r="F238" s="446" t="s">
        <v>113</v>
      </c>
      <c r="G238" s="446" t="s">
        <v>114</v>
      </c>
      <c r="H238" s="446" t="s">
        <v>41</v>
      </c>
      <c r="I238" s="447" t="s">
        <v>696</v>
      </c>
    </row>
    <row r="239" spans="2:9" hidden="1" outlineLevel="1" x14ac:dyDescent="0.25">
      <c r="B239" s="446" t="s">
        <v>699</v>
      </c>
      <c r="C239" s="446" t="s">
        <v>38</v>
      </c>
      <c r="D239" s="446">
        <v>2678</v>
      </c>
      <c r="E239" s="446" t="s">
        <v>70</v>
      </c>
      <c r="F239" s="446" t="s">
        <v>113</v>
      </c>
      <c r="G239" s="446" t="s">
        <v>114</v>
      </c>
      <c r="H239" s="446" t="s">
        <v>41</v>
      </c>
      <c r="I239" s="447">
        <v>100</v>
      </c>
    </row>
    <row r="240" spans="2:9" hidden="1" outlineLevel="1" x14ac:dyDescent="0.25">
      <c r="B240" s="446" t="s">
        <v>699</v>
      </c>
      <c r="C240" s="446" t="s">
        <v>38</v>
      </c>
      <c r="D240" s="446">
        <v>2675</v>
      </c>
      <c r="E240" s="446" t="s">
        <v>60</v>
      </c>
      <c r="F240" s="446" t="s">
        <v>113</v>
      </c>
      <c r="G240" s="446" t="s">
        <v>114</v>
      </c>
      <c r="H240" s="446" t="s">
        <v>41</v>
      </c>
      <c r="I240" s="447">
        <v>100</v>
      </c>
    </row>
    <row r="241" spans="2:9" hidden="1" outlineLevel="1" x14ac:dyDescent="0.25">
      <c r="B241" s="446" t="s">
        <v>917</v>
      </c>
      <c r="C241" s="446" t="s">
        <v>38</v>
      </c>
      <c r="D241" s="446">
        <v>2680</v>
      </c>
      <c r="E241" s="446" t="s">
        <v>39</v>
      </c>
      <c r="F241" s="446" t="s">
        <v>113</v>
      </c>
      <c r="G241" s="446" t="s">
        <v>114</v>
      </c>
      <c r="H241" s="446" t="s">
        <v>41</v>
      </c>
      <c r="I241" s="447" t="s">
        <v>696</v>
      </c>
    </row>
    <row r="242" spans="2:9" hidden="1" outlineLevel="1" x14ac:dyDescent="0.25">
      <c r="B242" s="446" t="s">
        <v>918</v>
      </c>
      <c r="C242" s="446" t="s">
        <v>38</v>
      </c>
      <c r="D242" s="446">
        <v>2693</v>
      </c>
      <c r="E242" s="446" t="s">
        <v>919</v>
      </c>
      <c r="F242" s="446" t="s">
        <v>113</v>
      </c>
      <c r="G242" s="446" t="s">
        <v>114</v>
      </c>
      <c r="H242" s="446" t="s">
        <v>41</v>
      </c>
      <c r="I242" s="447">
        <v>50</v>
      </c>
    </row>
    <row r="243" spans="2:9" hidden="1" outlineLevel="1" x14ac:dyDescent="0.25">
      <c r="B243" s="446" t="s">
        <v>920</v>
      </c>
      <c r="C243" s="446" t="s">
        <v>38</v>
      </c>
      <c r="D243" s="446">
        <v>2681</v>
      </c>
      <c r="E243" s="446" t="s">
        <v>54</v>
      </c>
      <c r="F243" s="446" t="s">
        <v>113</v>
      </c>
      <c r="G243" s="446" t="s">
        <v>114</v>
      </c>
      <c r="H243" s="446" t="s">
        <v>41</v>
      </c>
      <c r="I243" s="447">
        <v>50</v>
      </c>
    </row>
    <row r="244" spans="2:9" hidden="1" outlineLevel="1" x14ac:dyDescent="0.25">
      <c r="B244" s="446" t="s">
        <v>921</v>
      </c>
      <c r="C244" s="446" t="s">
        <v>38</v>
      </c>
      <c r="D244" s="446">
        <v>2682</v>
      </c>
      <c r="E244" s="446" t="s">
        <v>120</v>
      </c>
      <c r="F244" s="446" t="s">
        <v>113</v>
      </c>
      <c r="G244" s="446" t="s">
        <v>114</v>
      </c>
      <c r="H244" s="446" t="s">
        <v>41</v>
      </c>
      <c r="I244" s="447">
        <v>75</v>
      </c>
    </row>
    <row r="245" spans="2:9" hidden="1" outlineLevel="1" x14ac:dyDescent="0.25">
      <c r="B245" s="446" t="s">
        <v>921</v>
      </c>
      <c r="C245" s="446" t="s">
        <v>38</v>
      </c>
      <c r="D245" s="446">
        <v>2683</v>
      </c>
      <c r="E245" s="446" t="s">
        <v>795</v>
      </c>
      <c r="F245" s="446" t="s">
        <v>113</v>
      </c>
      <c r="G245" s="446" t="s">
        <v>114</v>
      </c>
      <c r="H245" s="446" t="s">
        <v>41</v>
      </c>
      <c r="I245" s="447">
        <v>500</v>
      </c>
    </row>
    <row r="246" spans="2:9" hidden="1" outlineLevel="1" x14ac:dyDescent="0.25">
      <c r="B246" s="446" t="s">
        <v>921</v>
      </c>
      <c r="C246" s="446" t="s">
        <v>38</v>
      </c>
      <c r="D246" s="446">
        <v>2684</v>
      </c>
      <c r="E246" s="446" t="s">
        <v>717</v>
      </c>
      <c r="F246" s="446" t="s">
        <v>854</v>
      </c>
      <c r="G246" s="446" t="s">
        <v>114</v>
      </c>
      <c r="H246" s="446" t="s">
        <v>41</v>
      </c>
      <c r="I246" s="447">
        <v>100</v>
      </c>
    </row>
    <row r="247" spans="2:9" hidden="1" outlineLevel="1" x14ac:dyDescent="0.25">
      <c r="B247" s="446" t="s">
        <v>922</v>
      </c>
      <c r="C247" s="446" t="s">
        <v>38</v>
      </c>
      <c r="D247" s="446">
        <v>2689</v>
      </c>
      <c r="E247" s="446" t="s">
        <v>115</v>
      </c>
      <c r="F247" s="446" t="s">
        <v>113</v>
      </c>
      <c r="G247" s="446" t="s">
        <v>114</v>
      </c>
      <c r="H247" s="446" t="s">
        <v>41</v>
      </c>
      <c r="I247" s="447">
        <v>25</v>
      </c>
    </row>
    <row r="248" spans="2:9" hidden="1" outlineLevel="1" x14ac:dyDescent="0.25">
      <c r="B248" s="446" t="s">
        <v>922</v>
      </c>
      <c r="C248" s="446" t="s">
        <v>38</v>
      </c>
      <c r="D248" s="446">
        <v>2688</v>
      </c>
      <c r="E248" s="446" t="s">
        <v>829</v>
      </c>
      <c r="F248" s="446" t="s">
        <v>113</v>
      </c>
      <c r="G248" s="446" t="s">
        <v>114</v>
      </c>
      <c r="H248" s="446" t="s">
        <v>41</v>
      </c>
      <c r="I248" s="447">
        <v>50</v>
      </c>
    </row>
    <row r="249" spans="2:9" hidden="1" outlineLevel="1" x14ac:dyDescent="0.25">
      <c r="B249" s="446" t="s">
        <v>923</v>
      </c>
      <c r="C249" s="446" t="s">
        <v>38</v>
      </c>
      <c r="D249" s="446">
        <v>2691</v>
      </c>
      <c r="E249" s="446" t="s">
        <v>42</v>
      </c>
      <c r="F249" s="446" t="s">
        <v>113</v>
      </c>
      <c r="G249" s="446" t="s">
        <v>114</v>
      </c>
      <c r="H249" s="446" t="s">
        <v>41</v>
      </c>
      <c r="I249" s="447">
        <v>100</v>
      </c>
    </row>
    <row r="250" spans="2:9" hidden="1" outlineLevel="1" x14ac:dyDescent="0.25">
      <c r="B250" s="446" t="s">
        <v>924</v>
      </c>
      <c r="C250" s="446" t="s">
        <v>38</v>
      </c>
      <c r="D250" s="446">
        <v>2690</v>
      </c>
      <c r="E250" s="446" t="s">
        <v>43</v>
      </c>
      <c r="F250" s="446" t="s">
        <v>113</v>
      </c>
      <c r="G250" s="446" t="s">
        <v>114</v>
      </c>
      <c r="H250" s="446" t="s">
        <v>41</v>
      </c>
      <c r="I250" s="447">
        <v>400</v>
      </c>
    </row>
    <row r="251" spans="2:9" hidden="1" outlineLevel="1" x14ac:dyDescent="0.25">
      <c r="B251" s="446" t="s">
        <v>925</v>
      </c>
      <c r="C251" s="446" t="s">
        <v>38</v>
      </c>
      <c r="D251" s="446">
        <v>2692</v>
      </c>
      <c r="E251" s="446" t="s">
        <v>52</v>
      </c>
      <c r="F251" s="446" t="s">
        <v>113</v>
      </c>
      <c r="G251" s="446" t="s">
        <v>114</v>
      </c>
      <c r="H251" s="446" t="s">
        <v>41</v>
      </c>
      <c r="I251" s="447">
        <v>500</v>
      </c>
    </row>
    <row r="252" spans="2:9" hidden="1" outlineLevel="1" x14ac:dyDescent="0.25">
      <c r="B252" s="446" t="s">
        <v>926</v>
      </c>
      <c r="C252" s="446" t="s">
        <v>38</v>
      </c>
      <c r="D252" s="446">
        <v>2694</v>
      </c>
      <c r="E252" s="446" t="s">
        <v>44</v>
      </c>
      <c r="F252" s="446" t="s">
        <v>113</v>
      </c>
      <c r="G252" s="446" t="s">
        <v>114</v>
      </c>
      <c r="H252" s="446" t="s">
        <v>41</v>
      </c>
      <c r="I252" s="447">
        <v>100</v>
      </c>
    </row>
    <row r="253" spans="2:9" hidden="1" outlineLevel="1" x14ac:dyDescent="0.25">
      <c r="B253" s="446" t="s">
        <v>926</v>
      </c>
      <c r="C253" s="446" t="s">
        <v>38</v>
      </c>
      <c r="D253" s="446">
        <v>2695</v>
      </c>
      <c r="E253" s="446" t="s">
        <v>56</v>
      </c>
      <c r="F253" s="446" t="s">
        <v>113</v>
      </c>
      <c r="G253" s="446" t="s">
        <v>114</v>
      </c>
      <c r="H253" s="446" t="s">
        <v>41</v>
      </c>
      <c r="I253" s="447">
        <v>100</v>
      </c>
    </row>
    <row r="254" spans="2:9" hidden="1" outlineLevel="1" x14ac:dyDescent="0.25">
      <c r="B254" s="446" t="s">
        <v>927</v>
      </c>
      <c r="C254" s="446" t="s">
        <v>38</v>
      </c>
      <c r="D254" s="446">
        <v>2696</v>
      </c>
      <c r="E254" s="446" t="s">
        <v>45</v>
      </c>
      <c r="F254" s="446" t="s">
        <v>854</v>
      </c>
      <c r="G254" s="446" t="s">
        <v>114</v>
      </c>
      <c r="H254" s="446" t="s">
        <v>41</v>
      </c>
      <c r="I254" s="447">
        <v>100</v>
      </c>
    </row>
    <row r="255" spans="2:9" hidden="1" outlineLevel="1" x14ac:dyDescent="0.25">
      <c r="B255" s="446" t="s">
        <v>927</v>
      </c>
      <c r="C255" s="446" t="s">
        <v>38</v>
      </c>
      <c r="D255" s="446">
        <v>2697</v>
      </c>
      <c r="E255" s="446" t="s">
        <v>901</v>
      </c>
      <c r="F255" s="446" t="s">
        <v>113</v>
      </c>
      <c r="G255" s="446" t="s">
        <v>114</v>
      </c>
      <c r="H255" s="446" t="s">
        <v>41</v>
      </c>
      <c r="I255" s="447">
        <v>250</v>
      </c>
    </row>
    <row r="256" spans="2:9" hidden="1" outlineLevel="1" x14ac:dyDescent="0.25">
      <c r="B256" s="446" t="s">
        <v>928</v>
      </c>
      <c r="C256" s="446" t="s">
        <v>38</v>
      </c>
      <c r="D256" s="446">
        <v>2698</v>
      </c>
      <c r="E256" s="446" t="s">
        <v>117</v>
      </c>
      <c r="F256" s="446" t="s">
        <v>113</v>
      </c>
      <c r="G256" s="446" t="s">
        <v>114</v>
      </c>
      <c r="H256" s="446" t="s">
        <v>41</v>
      </c>
      <c r="I256" s="447">
        <v>150</v>
      </c>
    </row>
    <row r="257" spans="2:9" hidden="1" outlineLevel="1" x14ac:dyDescent="0.25">
      <c r="B257" s="446" t="s">
        <v>929</v>
      </c>
      <c r="C257" s="446" t="s">
        <v>38</v>
      </c>
      <c r="D257" s="446">
        <v>2699</v>
      </c>
      <c r="E257" s="446" t="s">
        <v>46</v>
      </c>
      <c r="F257" s="446" t="s">
        <v>113</v>
      </c>
      <c r="G257" s="446" t="s">
        <v>114</v>
      </c>
      <c r="H257" s="446" t="s">
        <v>41</v>
      </c>
      <c r="I257" s="447">
        <v>50</v>
      </c>
    </row>
    <row r="258" spans="2:9" hidden="1" outlineLevel="1" x14ac:dyDescent="0.25">
      <c r="B258" s="446" t="s">
        <v>930</v>
      </c>
      <c r="C258" s="446" t="s">
        <v>38</v>
      </c>
      <c r="D258" s="446">
        <v>2702</v>
      </c>
      <c r="E258" s="446" t="s">
        <v>48</v>
      </c>
      <c r="F258" s="446" t="s">
        <v>113</v>
      </c>
      <c r="G258" s="446" t="s">
        <v>114</v>
      </c>
      <c r="H258" s="446" t="s">
        <v>41</v>
      </c>
      <c r="I258" s="447">
        <v>20</v>
      </c>
    </row>
    <row r="259" spans="2:9" hidden="1" outlineLevel="1" x14ac:dyDescent="0.25">
      <c r="B259" s="446" t="s">
        <v>931</v>
      </c>
      <c r="C259" s="446" t="s">
        <v>38</v>
      </c>
      <c r="D259" s="446">
        <v>2703</v>
      </c>
      <c r="E259" s="446" t="s">
        <v>47</v>
      </c>
      <c r="F259" s="446" t="s">
        <v>113</v>
      </c>
      <c r="G259" s="446" t="s">
        <v>114</v>
      </c>
      <c r="H259" s="446" t="s">
        <v>41</v>
      </c>
      <c r="I259" s="447">
        <v>100</v>
      </c>
    </row>
    <row r="260" spans="2:9" hidden="1" outlineLevel="1" x14ac:dyDescent="0.25">
      <c r="B260" s="446" t="s">
        <v>932</v>
      </c>
      <c r="C260" s="446" t="s">
        <v>38</v>
      </c>
      <c r="D260" s="446">
        <v>2704</v>
      </c>
      <c r="E260" s="446" t="s">
        <v>49</v>
      </c>
      <c r="F260" s="446" t="s">
        <v>113</v>
      </c>
      <c r="G260" s="446" t="s">
        <v>114</v>
      </c>
      <c r="H260" s="446" t="s">
        <v>41</v>
      </c>
      <c r="I260" s="447" t="s">
        <v>696</v>
      </c>
    </row>
    <row r="261" spans="2:9" hidden="1" outlineLevel="1" x14ac:dyDescent="0.25">
      <c r="B261" s="446" t="s">
        <v>933</v>
      </c>
      <c r="C261" s="446" t="s">
        <v>38</v>
      </c>
      <c r="D261" s="446">
        <v>2706</v>
      </c>
      <c r="E261" s="446" t="s">
        <v>50</v>
      </c>
      <c r="F261" s="446" t="s">
        <v>113</v>
      </c>
      <c r="G261" s="446" t="s">
        <v>114</v>
      </c>
      <c r="H261" s="446" t="s">
        <v>41</v>
      </c>
      <c r="I261" s="447" t="s">
        <v>696</v>
      </c>
    </row>
    <row r="262" spans="2:9" hidden="1" outlineLevel="1" x14ac:dyDescent="0.25">
      <c r="B262" s="446" t="s">
        <v>933</v>
      </c>
      <c r="C262" s="446" t="s">
        <v>38</v>
      </c>
      <c r="D262" s="446">
        <v>2705</v>
      </c>
      <c r="E262" s="446" t="s">
        <v>119</v>
      </c>
      <c r="F262" s="446" t="s">
        <v>113</v>
      </c>
      <c r="G262" s="446" t="s">
        <v>114</v>
      </c>
      <c r="H262" s="446" t="s">
        <v>41</v>
      </c>
      <c r="I262" s="447">
        <v>100</v>
      </c>
    </row>
    <row r="263" spans="2:9" hidden="1" outlineLevel="1" x14ac:dyDescent="0.25">
      <c r="B263" s="446" t="s">
        <v>934</v>
      </c>
      <c r="C263" s="446" t="s">
        <v>38</v>
      </c>
      <c r="D263" s="446">
        <v>2707</v>
      </c>
      <c r="E263" s="446" t="s">
        <v>55</v>
      </c>
      <c r="F263" s="446" t="s">
        <v>113</v>
      </c>
      <c r="G263" s="446" t="s">
        <v>114</v>
      </c>
      <c r="H263" s="446" t="s">
        <v>41</v>
      </c>
      <c r="I263" s="447">
        <v>100</v>
      </c>
    </row>
    <row r="264" spans="2:9" hidden="1" outlineLevel="1" x14ac:dyDescent="0.25">
      <c r="B264" s="446" t="s">
        <v>935</v>
      </c>
      <c r="C264" s="446" t="s">
        <v>38</v>
      </c>
      <c r="D264" s="446">
        <v>2710</v>
      </c>
      <c r="E264" s="446" t="s">
        <v>116</v>
      </c>
      <c r="F264" s="446" t="s">
        <v>113</v>
      </c>
      <c r="G264" s="446" t="s">
        <v>114</v>
      </c>
      <c r="H264" s="446" t="s">
        <v>41</v>
      </c>
      <c r="I264" s="447">
        <v>40</v>
      </c>
    </row>
    <row r="265" spans="2:9" hidden="1" outlineLevel="1" x14ac:dyDescent="0.25">
      <c r="B265" s="446" t="s">
        <v>935</v>
      </c>
      <c r="C265" s="446" t="s">
        <v>38</v>
      </c>
      <c r="D265" s="446">
        <v>2709</v>
      </c>
      <c r="E265" s="446" t="s">
        <v>57</v>
      </c>
      <c r="F265" s="446" t="s">
        <v>113</v>
      </c>
      <c r="G265" s="446" t="s">
        <v>114</v>
      </c>
      <c r="H265" s="446" t="s">
        <v>41</v>
      </c>
      <c r="I265" s="447">
        <v>100</v>
      </c>
    </row>
    <row r="266" spans="2:9" hidden="1" outlineLevel="1" x14ac:dyDescent="0.25">
      <c r="B266" s="446" t="s">
        <v>935</v>
      </c>
      <c r="C266" s="446" t="s">
        <v>38</v>
      </c>
      <c r="D266" s="446">
        <v>2708</v>
      </c>
      <c r="E266" s="446" t="s">
        <v>51</v>
      </c>
      <c r="F266" s="446" t="s">
        <v>113</v>
      </c>
      <c r="G266" s="446" t="s">
        <v>114</v>
      </c>
      <c r="H266" s="446" t="s">
        <v>41</v>
      </c>
      <c r="I266" s="447">
        <v>100</v>
      </c>
    </row>
    <row r="267" spans="2:9" hidden="1" outlineLevel="1" x14ac:dyDescent="0.25">
      <c r="B267" s="446" t="s">
        <v>700</v>
      </c>
      <c r="C267" s="446" t="s">
        <v>38</v>
      </c>
      <c r="D267" s="446">
        <v>2713</v>
      </c>
      <c r="E267" s="446" t="s">
        <v>53</v>
      </c>
      <c r="F267" s="446" t="s">
        <v>113</v>
      </c>
      <c r="G267" s="446" t="s">
        <v>114</v>
      </c>
      <c r="H267" s="446" t="s">
        <v>41</v>
      </c>
      <c r="I267" s="447" t="s">
        <v>696</v>
      </c>
    </row>
    <row r="268" spans="2:9" hidden="1" outlineLevel="1" x14ac:dyDescent="0.25">
      <c r="B268" s="446" t="s">
        <v>700</v>
      </c>
      <c r="C268" s="446" t="s">
        <v>38</v>
      </c>
      <c r="D268" s="446">
        <v>2714</v>
      </c>
      <c r="E268" s="446" t="s">
        <v>70</v>
      </c>
      <c r="F268" s="446" t="s">
        <v>113</v>
      </c>
      <c r="G268" s="446" t="s">
        <v>114</v>
      </c>
      <c r="H268" s="446" t="s">
        <v>41</v>
      </c>
      <c r="I268" s="447">
        <v>100</v>
      </c>
    </row>
    <row r="269" spans="2:9" hidden="1" outlineLevel="1" x14ac:dyDescent="0.25">
      <c r="B269" s="446" t="s">
        <v>700</v>
      </c>
      <c r="C269" s="446" t="s">
        <v>38</v>
      </c>
      <c r="D269" s="446">
        <v>2715</v>
      </c>
      <c r="E269" s="446" t="s">
        <v>804</v>
      </c>
      <c r="F269" s="446" t="s">
        <v>113</v>
      </c>
      <c r="G269" s="446" t="s">
        <v>114</v>
      </c>
      <c r="H269" s="446" t="s">
        <v>41</v>
      </c>
      <c r="I269" s="447" t="s">
        <v>696</v>
      </c>
    </row>
    <row r="270" spans="2:9" hidden="1" outlineLevel="1" x14ac:dyDescent="0.25">
      <c r="B270" s="446" t="s">
        <v>700</v>
      </c>
      <c r="C270" s="446" t="s">
        <v>38</v>
      </c>
      <c r="D270" s="446">
        <v>2711</v>
      </c>
      <c r="E270" s="446" t="s">
        <v>60</v>
      </c>
      <c r="F270" s="446" t="s">
        <v>113</v>
      </c>
      <c r="G270" s="446" t="s">
        <v>114</v>
      </c>
      <c r="H270" s="446" t="s">
        <v>41</v>
      </c>
      <c r="I270" s="447">
        <v>100</v>
      </c>
    </row>
    <row r="271" spans="2:9" hidden="1" outlineLevel="1" x14ac:dyDescent="0.25">
      <c r="B271" s="446" t="s">
        <v>936</v>
      </c>
      <c r="C271" s="446" t="s">
        <v>38</v>
      </c>
      <c r="D271" s="446">
        <v>2716</v>
      </c>
      <c r="E271" s="446" t="s">
        <v>880</v>
      </c>
      <c r="F271" s="446" t="s">
        <v>882</v>
      </c>
      <c r="G271" s="446" t="s">
        <v>114</v>
      </c>
      <c r="H271" s="446" t="s">
        <v>41</v>
      </c>
      <c r="I271" s="447">
        <v>150</v>
      </c>
    </row>
    <row r="272" spans="2:9" hidden="1" outlineLevel="1" x14ac:dyDescent="0.25">
      <c r="B272" s="446" t="s">
        <v>936</v>
      </c>
      <c r="C272" s="446" t="s">
        <v>38</v>
      </c>
      <c r="D272" s="446">
        <v>2717</v>
      </c>
      <c r="E272" s="446" t="s">
        <v>795</v>
      </c>
      <c r="F272" s="446" t="s">
        <v>113</v>
      </c>
      <c r="G272" s="446" t="s">
        <v>114</v>
      </c>
      <c r="H272" s="446" t="s">
        <v>41</v>
      </c>
      <c r="I272" s="447">
        <v>500</v>
      </c>
    </row>
    <row r="273" spans="2:9" hidden="1" outlineLevel="1" x14ac:dyDescent="0.25">
      <c r="B273" s="446" t="s">
        <v>936</v>
      </c>
      <c r="C273" s="446" t="s">
        <v>38</v>
      </c>
      <c r="D273" s="446">
        <v>2718</v>
      </c>
      <c r="E273" s="446" t="s">
        <v>120</v>
      </c>
      <c r="F273" s="446" t="s">
        <v>113</v>
      </c>
      <c r="G273" s="446" t="s">
        <v>114</v>
      </c>
      <c r="H273" s="446" t="s">
        <v>41</v>
      </c>
      <c r="I273" s="447">
        <v>75</v>
      </c>
    </row>
    <row r="274" spans="2:9" hidden="1" outlineLevel="1" x14ac:dyDescent="0.25">
      <c r="B274" s="446" t="s">
        <v>936</v>
      </c>
      <c r="C274" s="446" t="s">
        <v>38</v>
      </c>
      <c r="D274" s="446">
        <v>2716</v>
      </c>
      <c r="E274" s="446" t="s">
        <v>880</v>
      </c>
      <c r="F274" s="446" t="s">
        <v>881</v>
      </c>
      <c r="G274" s="446" t="s">
        <v>114</v>
      </c>
      <c r="H274" s="446" t="s">
        <v>41</v>
      </c>
      <c r="I274" s="447">
        <v>75</v>
      </c>
    </row>
    <row r="275" spans="2:9" hidden="1" outlineLevel="1" x14ac:dyDescent="0.25">
      <c r="B275" s="446" t="s">
        <v>937</v>
      </c>
      <c r="C275" s="446" t="s">
        <v>38</v>
      </c>
      <c r="D275" s="446">
        <v>2720</v>
      </c>
      <c r="E275" s="446" t="s">
        <v>39</v>
      </c>
      <c r="F275" s="446" t="s">
        <v>113</v>
      </c>
      <c r="G275" s="446" t="s">
        <v>114</v>
      </c>
      <c r="H275" s="446" t="s">
        <v>41</v>
      </c>
      <c r="I275" s="447" t="s">
        <v>696</v>
      </c>
    </row>
    <row r="276" spans="2:9" hidden="1" outlineLevel="1" x14ac:dyDescent="0.25">
      <c r="B276" s="446" t="s">
        <v>938</v>
      </c>
      <c r="C276" s="446" t="s">
        <v>38</v>
      </c>
      <c r="D276" s="446">
        <v>2724</v>
      </c>
      <c r="E276" s="446" t="s">
        <v>55</v>
      </c>
      <c r="F276" s="446" t="s">
        <v>113</v>
      </c>
      <c r="G276" s="446" t="s">
        <v>114</v>
      </c>
      <c r="H276" s="446" t="s">
        <v>41</v>
      </c>
      <c r="I276" s="447">
        <v>100</v>
      </c>
    </row>
    <row r="277" spans="2:9" hidden="1" outlineLevel="1" x14ac:dyDescent="0.25">
      <c r="B277" s="446" t="s">
        <v>939</v>
      </c>
      <c r="C277" s="446" t="s">
        <v>38</v>
      </c>
      <c r="D277" s="446">
        <v>2721</v>
      </c>
      <c r="E277" s="446" t="s">
        <v>919</v>
      </c>
      <c r="F277" s="446" t="s">
        <v>113</v>
      </c>
      <c r="G277" s="446" t="s">
        <v>114</v>
      </c>
      <c r="H277" s="446" t="s">
        <v>41</v>
      </c>
      <c r="I277" s="447">
        <v>50</v>
      </c>
    </row>
    <row r="278" spans="2:9" hidden="1" outlineLevel="1" x14ac:dyDescent="0.25">
      <c r="B278" s="446" t="s">
        <v>940</v>
      </c>
      <c r="C278" s="446" t="s">
        <v>38</v>
      </c>
      <c r="D278" s="446">
        <v>2728</v>
      </c>
      <c r="E278" s="446" t="s">
        <v>880</v>
      </c>
      <c r="F278" s="446" t="s">
        <v>884</v>
      </c>
      <c r="G278" s="446" t="s">
        <v>114</v>
      </c>
      <c r="H278" s="446" t="s">
        <v>41</v>
      </c>
      <c r="I278" s="447">
        <v>75</v>
      </c>
    </row>
    <row r="279" spans="2:9" hidden="1" outlineLevel="1" x14ac:dyDescent="0.25">
      <c r="B279" s="446" t="s">
        <v>940</v>
      </c>
      <c r="C279" s="446" t="s">
        <v>38</v>
      </c>
      <c r="D279" s="446">
        <v>2726</v>
      </c>
      <c r="E279" s="446" t="s">
        <v>54</v>
      </c>
      <c r="F279" s="446" t="s">
        <v>113</v>
      </c>
      <c r="G279" s="446" t="s">
        <v>114</v>
      </c>
      <c r="H279" s="446" t="s">
        <v>41</v>
      </c>
      <c r="I279" s="447">
        <v>50</v>
      </c>
    </row>
    <row r="280" spans="2:9" hidden="1" outlineLevel="1" x14ac:dyDescent="0.25">
      <c r="B280" s="446" t="s">
        <v>941</v>
      </c>
      <c r="C280" s="446" t="s">
        <v>38</v>
      </c>
      <c r="D280" s="446">
        <v>2733</v>
      </c>
      <c r="E280" s="446" t="s">
        <v>717</v>
      </c>
      <c r="F280" s="446" t="s">
        <v>854</v>
      </c>
      <c r="G280" s="446" t="s">
        <v>114</v>
      </c>
      <c r="H280" s="446" t="s">
        <v>41</v>
      </c>
      <c r="I280" s="447">
        <v>100</v>
      </c>
    </row>
    <row r="281" spans="2:9" hidden="1" outlineLevel="1" x14ac:dyDescent="0.25">
      <c r="B281" s="446" t="s">
        <v>942</v>
      </c>
      <c r="C281" s="446" t="s">
        <v>38</v>
      </c>
      <c r="D281" s="446">
        <v>2729</v>
      </c>
      <c r="E281" s="446" t="s">
        <v>829</v>
      </c>
      <c r="F281" s="446" t="s">
        <v>113</v>
      </c>
      <c r="G281" s="446" t="s">
        <v>114</v>
      </c>
      <c r="H281" s="446" t="s">
        <v>41</v>
      </c>
      <c r="I281" s="447">
        <v>50</v>
      </c>
    </row>
    <row r="282" spans="2:9" hidden="1" outlineLevel="1" x14ac:dyDescent="0.25">
      <c r="B282" s="446" t="s">
        <v>942</v>
      </c>
      <c r="C282" s="446" t="s">
        <v>38</v>
      </c>
      <c r="D282" s="446">
        <v>2730</v>
      </c>
      <c r="E282" s="446" t="s">
        <v>115</v>
      </c>
      <c r="F282" s="446" t="s">
        <v>113</v>
      </c>
      <c r="G282" s="446" t="s">
        <v>114</v>
      </c>
      <c r="H282" s="446" t="s">
        <v>41</v>
      </c>
      <c r="I282" s="447">
        <v>25</v>
      </c>
    </row>
    <row r="283" spans="2:9" hidden="1" outlineLevel="1" x14ac:dyDescent="0.25">
      <c r="B283" s="446" t="s">
        <v>943</v>
      </c>
      <c r="C283" s="446" t="s">
        <v>38</v>
      </c>
      <c r="D283" s="446">
        <v>2732</v>
      </c>
      <c r="E283" s="446" t="s">
        <v>42</v>
      </c>
      <c r="F283" s="446" t="s">
        <v>113</v>
      </c>
      <c r="G283" s="446" t="s">
        <v>114</v>
      </c>
      <c r="H283" s="446" t="s">
        <v>41</v>
      </c>
      <c r="I283" s="447">
        <v>100</v>
      </c>
    </row>
    <row r="284" spans="2:9" hidden="1" outlineLevel="1" x14ac:dyDescent="0.25">
      <c r="B284" s="446" t="s">
        <v>944</v>
      </c>
      <c r="C284" s="446" t="s">
        <v>38</v>
      </c>
      <c r="D284" s="446">
        <v>2735</v>
      </c>
      <c r="E284" s="446" t="s">
        <v>52</v>
      </c>
      <c r="F284" s="446" t="s">
        <v>113</v>
      </c>
      <c r="G284" s="446" t="s">
        <v>114</v>
      </c>
      <c r="H284" s="446" t="s">
        <v>41</v>
      </c>
      <c r="I284" s="447">
        <v>500</v>
      </c>
    </row>
    <row r="285" spans="2:9" hidden="1" outlineLevel="1" x14ac:dyDescent="0.25">
      <c r="B285" s="446" t="s">
        <v>945</v>
      </c>
      <c r="C285" s="446" t="s">
        <v>38</v>
      </c>
      <c r="D285" s="446">
        <v>2740</v>
      </c>
      <c r="E285" s="446" t="s">
        <v>44</v>
      </c>
      <c r="F285" s="446" t="s">
        <v>113</v>
      </c>
      <c r="G285" s="446" t="s">
        <v>114</v>
      </c>
      <c r="H285" s="446" t="s">
        <v>41</v>
      </c>
      <c r="I285" s="447">
        <v>100</v>
      </c>
    </row>
    <row r="286" spans="2:9" hidden="1" outlineLevel="1" x14ac:dyDescent="0.25">
      <c r="B286" s="446" t="s">
        <v>945</v>
      </c>
      <c r="C286" s="446" t="s">
        <v>38</v>
      </c>
      <c r="D286" s="446">
        <v>2741</v>
      </c>
      <c r="E286" s="446" t="s">
        <v>56</v>
      </c>
      <c r="F286" s="446" t="s">
        <v>113</v>
      </c>
      <c r="G286" s="446" t="s">
        <v>114</v>
      </c>
      <c r="H286" s="446" t="s">
        <v>41</v>
      </c>
      <c r="I286" s="447">
        <v>100</v>
      </c>
    </row>
    <row r="287" spans="2:9" hidden="1" outlineLevel="1" x14ac:dyDescent="0.25">
      <c r="B287" s="446" t="s">
        <v>946</v>
      </c>
      <c r="C287" s="446" t="s">
        <v>38</v>
      </c>
      <c r="D287" s="446">
        <v>2742</v>
      </c>
      <c r="E287" s="446" t="s">
        <v>117</v>
      </c>
      <c r="F287" s="446" t="s">
        <v>113</v>
      </c>
      <c r="G287" s="446" t="s">
        <v>114</v>
      </c>
      <c r="H287" s="446" t="s">
        <v>41</v>
      </c>
      <c r="I287" s="447">
        <v>150</v>
      </c>
    </row>
    <row r="288" spans="2:9" hidden="1" outlineLevel="1" x14ac:dyDescent="0.25">
      <c r="B288" s="446" t="s">
        <v>946</v>
      </c>
      <c r="C288" s="446" t="s">
        <v>38</v>
      </c>
      <c r="D288" s="446">
        <v>2744</v>
      </c>
      <c r="E288" s="446" t="s">
        <v>901</v>
      </c>
      <c r="F288" s="446" t="s">
        <v>113</v>
      </c>
      <c r="G288" s="446" t="s">
        <v>114</v>
      </c>
      <c r="H288" s="446" t="s">
        <v>41</v>
      </c>
      <c r="I288" s="447">
        <v>250</v>
      </c>
    </row>
    <row r="289" spans="2:9" hidden="1" outlineLevel="1" x14ac:dyDescent="0.25">
      <c r="B289" s="446" t="s">
        <v>733</v>
      </c>
      <c r="C289" s="446" t="s">
        <v>38</v>
      </c>
      <c r="D289" s="446">
        <v>2746</v>
      </c>
      <c r="E289" s="446" t="s">
        <v>835</v>
      </c>
      <c r="F289" s="446" t="s">
        <v>113</v>
      </c>
      <c r="G289" s="446" t="s">
        <v>114</v>
      </c>
      <c r="H289" s="446" t="s">
        <v>41</v>
      </c>
      <c r="I289" s="447">
        <v>50</v>
      </c>
    </row>
    <row r="290" spans="2:9" hidden="1" outlineLevel="1" x14ac:dyDescent="0.25">
      <c r="B290" s="446" t="s">
        <v>733</v>
      </c>
      <c r="C290" s="446" t="s">
        <v>38</v>
      </c>
      <c r="D290" s="446">
        <v>2745</v>
      </c>
      <c r="E290" s="446" t="s">
        <v>46</v>
      </c>
      <c r="F290" s="446" t="s">
        <v>113</v>
      </c>
      <c r="G290" s="446" t="s">
        <v>114</v>
      </c>
      <c r="H290" s="446" t="s">
        <v>41</v>
      </c>
      <c r="I290" s="447">
        <v>50</v>
      </c>
    </row>
    <row r="291" spans="2:9" hidden="1" outlineLevel="1" x14ac:dyDescent="0.25">
      <c r="B291" s="446" t="s">
        <v>947</v>
      </c>
      <c r="C291" s="446" t="s">
        <v>38</v>
      </c>
      <c r="D291" s="446">
        <v>2749</v>
      </c>
      <c r="E291" s="446" t="s">
        <v>48</v>
      </c>
      <c r="F291" s="446" t="s">
        <v>113</v>
      </c>
      <c r="G291" s="446" t="s">
        <v>114</v>
      </c>
      <c r="H291" s="446" t="s">
        <v>41</v>
      </c>
      <c r="I291" s="447">
        <v>20</v>
      </c>
    </row>
    <row r="292" spans="2:9" hidden="1" outlineLevel="1" x14ac:dyDescent="0.25">
      <c r="B292" s="446" t="s">
        <v>948</v>
      </c>
      <c r="C292" s="446" t="s">
        <v>38</v>
      </c>
      <c r="D292" s="446">
        <v>2750</v>
      </c>
      <c r="E292" s="446" t="s">
        <v>795</v>
      </c>
      <c r="F292" s="446" t="s">
        <v>113</v>
      </c>
      <c r="G292" s="446" t="s">
        <v>114</v>
      </c>
      <c r="H292" s="446" t="s">
        <v>41</v>
      </c>
      <c r="I292" s="447">
        <v>500</v>
      </c>
    </row>
    <row r="293" spans="2:9" hidden="1" outlineLevel="1" x14ac:dyDescent="0.25">
      <c r="B293" s="446" t="s">
        <v>949</v>
      </c>
      <c r="C293" s="446" t="s">
        <v>38</v>
      </c>
      <c r="D293" s="446">
        <v>2752</v>
      </c>
      <c r="E293" s="446" t="s">
        <v>47</v>
      </c>
      <c r="F293" s="446" t="s">
        <v>113</v>
      </c>
      <c r="G293" s="446" t="s">
        <v>114</v>
      </c>
      <c r="H293" s="446" t="s">
        <v>41</v>
      </c>
      <c r="I293" s="447">
        <v>100</v>
      </c>
    </row>
    <row r="294" spans="2:9" hidden="1" outlineLevel="1" x14ac:dyDescent="0.25">
      <c r="B294" s="446" t="s">
        <v>950</v>
      </c>
      <c r="C294" s="446" t="s">
        <v>38</v>
      </c>
      <c r="D294" s="446">
        <v>2753</v>
      </c>
      <c r="E294" s="446" t="s">
        <v>49</v>
      </c>
      <c r="F294" s="446" t="s">
        <v>113</v>
      </c>
      <c r="G294" s="446" t="s">
        <v>114</v>
      </c>
      <c r="H294" s="446" t="s">
        <v>41</v>
      </c>
      <c r="I294" s="447" t="s">
        <v>696</v>
      </c>
    </row>
    <row r="295" spans="2:9" hidden="1" outlineLevel="1" x14ac:dyDescent="0.25">
      <c r="B295" s="446" t="s">
        <v>951</v>
      </c>
      <c r="C295" s="446" t="s">
        <v>38</v>
      </c>
      <c r="D295" s="446">
        <v>2754</v>
      </c>
      <c r="E295" s="446" t="s">
        <v>119</v>
      </c>
      <c r="F295" s="446" t="s">
        <v>113</v>
      </c>
      <c r="G295" s="446" t="s">
        <v>114</v>
      </c>
      <c r="H295" s="446" t="s">
        <v>41</v>
      </c>
      <c r="I295" s="447">
        <v>100</v>
      </c>
    </row>
    <row r="296" spans="2:9" hidden="1" outlineLevel="1" x14ac:dyDescent="0.25">
      <c r="B296" s="446" t="s">
        <v>951</v>
      </c>
      <c r="C296" s="446" t="s">
        <v>38</v>
      </c>
      <c r="D296" s="446">
        <v>2755</v>
      </c>
      <c r="E296" s="446" t="s">
        <v>50</v>
      </c>
      <c r="F296" s="446" t="s">
        <v>113</v>
      </c>
      <c r="G296" s="446" t="s">
        <v>114</v>
      </c>
      <c r="H296" s="446" t="s">
        <v>41</v>
      </c>
      <c r="I296" s="447" t="s">
        <v>696</v>
      </c>
    </row>
    <row r="297" spans="2:9" hidden="1" outlineLevel="1" x14ac:dyDescent="0.25">
      <c r="B297" s="446" t="s">
        <v>952</v>
      </c>
      <c r="C297" s="446" t="s">
        <v>38</v>
      </c>
      <c r="D297" s="446">
        <v>2758</v>
      </c>
      <c r="E297" s="446" t="s">
        <v>116</v>
      </c>
      <c r="F297" s="446" t="s">
        <v>113</v>
      </c>
      <c r="G297" s="446" t="s">
        <v>114</v>
      </c>
      <c r="H297" s="446" t="s">
        <v>41</v>
      </c>
      <c r="I297" s="447">
        <v>40</v>
      </c>
    </row>
    <row r="298" spans="2:9" hidden="1" outlineLevel="1" x14ac:dyDescent="0.25">
      <c r="B298" s="446" t="s">
        <v>952</v>
      </c>
      <c r="C298" s="446" t="s">
        <v>38</v>
      </c>
      <c r="D298" s="446">
        <v>2756</v>
      </c>
      <c r="E298" s="446" t="s">
        <v>51</v>
      </c>
      <c r="F298" s="446" t="s">
        <v>113</v>
      </c>
      <c r="G298" s="446" t="s">
        <v>114</v>
      </c>
      <c r="H298" s="446" t="s">
        <v>41</v>
      </c>
      <c r="I298" s="447">
        <v>100</v>
      </c>
    </row>
    <row r="299" spans="2:9" hidden="1" outlineLevel="1" x14ac:dyDescent="0.25">
      <c r="B299" s="446" t="s">
        <v>952</v>
      </c>
      <c r="C299" s="446" t="s">
        <v>38</v>
      </c>
      <c r="D299" s="446">
        <v>2757</v>
      </c>
      <c r="E299" s="446" t="s">
        <v>57</v>
      </c>
      <c r="F299" s="446" t="s">
        <v>113</v>
      </c>
      <c r="G299" s="446" t="s">
        <v>114</v>
      </c>
      <c r="H299" s="446" t="s">
        <v>41</v>
      </c>
      <c r="I299" s="447">
        <v>100</v>
      </c>
    </row>
    <row r="300" spans="2:9" hidden="1" outlineLevel="1" x14ac:dyDescent="0.25">
      <c r="B300" s="446" t="s">
        <v>701</v>
      </c>
      <c r="C300" s="446" t="s">
        <v>38</v>
      </c>
      <c r="D300" s="446">
        <v>2761</v>
      </c>
      <c r="E300" s="446" t="s">
        <v>53</v>
      </c>
      <c r="F300" s="446" t="s">
        <v>113</v>
      </c>
      <c r="G300" s="446" t="s">
        <v>114</v>
      </c>
      <c r="H300" s="446" t="s">
        <v>41</v>
      </c>
      <c r="I300" s="447" t="s">
        <v>696</v>
      </c>
    </row>
    <row r="301" spans="2:9" hidden="1" outlineLevel="1" x14ac:dyDescent="0.25">
      <c r="B301" s="446" t="s">
        <v>701</v>
      </c>
      <c r="C301" s="446" t="s">
        <v>38</v>
      </c>
      <c r="D301" s="446">
        <v>2762</v>
      </c>
      <c r="E301" s="446" t="s">
        <v>70</v>
      </c>
      <c r="F301" s="446" t="s">
        <v>113</v>
      </c>
      <c r="G301" s="446" t="s">
        <v>114</v>
      </c>
      <c r="H301" s="446" t="s">
        <v>41</v>
      </c>
      <c r="I301" s="447">
        <v>100</v>
      </c>
    </row>
    <row r="302" spans="2:9" hidden="1" outlineLevel="1" x14ac:dyDescent="0.25">
      <c r="B302" s="446" t="s">
        <v>701</v>
      </c>
      <c r="C302" s="446" t="s">
        <v>38</v>
      </c>
      <c r="D302" s="446">
        <v>2763</v>
      </c>
      <c r="E302" s="446" t="s">
        <v>804</v>
      </c>
      <c r="F302" s="446" t="s">
        <v>113</v>
      </c>
      <c r="G302" s="446" t="s">
        <v>114</v>
      </c>
      <c r="H302" s="446" t="s">
        <v>41</v>
      </c>
      <c r="I302" s="447" t="s">
        <v>696</v>
      </c>
    </row>
    <row r="303" spans="2:9" hidden="1" outlineLevel="1" x14ac:dyDescent="0.25">
      <c r="B303" s="446" t="s">
        <v>701</v>
      </c>
      <c r="C303" s="446" t="s">
        <v>38</v>
      </c>
      <c r="D303" s="446">
        <v>2759</v>
      </c>
      <c r="E303" s="446" t="s">
        <v>60</v>
      </c>
      <c r="F303" s="446" t="s">
        <v>113</v>
      </c>
      <c r="G303" s="446" t="s">
        <v>114</v>
      </c>
      <c r="H303" s="446" t="s">
        <v>41</v>
      </c>
      <c r="I303" s="447">
        <v>100</v>
      </c>
    </row>
    <row r="304" spans="2:9" hidden="1" outlineLevel="1" x14ac:dyDescent="0.25">
      <c r="B304" s="446" t="s">
        <v>953</v>
      </c>
      <c r="C304" s="446" t="s">
        <v>38</v>
      </c>
      <c r="D304" s="446">
        <v>2766</v>
      </c>
      <c r="E304" s="446" t="s">
        <v>120</v>
      </c>
      <c r="F304" s="446" t="s">
        <v>113</v>
      </c>
      <c r="G304" s="446" t="s">
        <v>114</v>
      </c>
      <c r="H304" s="446" t="s">
        <v>41</v>
      </c>
      <c r="I304" s="447">
        <v>75</v>
      </c>
    </row>
    <row r="305" spans="2:9" hidden="1" outlineLevel="1" x14ac:dyDescent="0.25">
      <c r="B305" s="446" t="s">
        <v>954</v>
      </c>
      <c r="C305" s="446" t="s">
        <v>38</v>
      </c>
      <c r="D305" s="446">
        <v>2767</v>
      </c>
      <c r="E305" s="446" t="s">
        <v>39</v>
      </c>
      <c r="F305" s="446" t="s">
        <v>113</v>
      </c>
      <c r="G305" s="446" t="s">
        <v>114</v>
      </c>
      <c r="H305" s="446" t="s">
        <v>41</v>
      </c>
      <c r="I305" s="447" t="s">
        <v>696</v>
      </c>
    </row>
    <row r="306" spans="2:9" hidden="1" outlineLevel="1" x14ac:dyDescent="0.25">
      <c r="B306" s="446" t="s">
        <v>955</v>
      </c>
      <c r="C306" s="446" t="s">
        <v>38</v>
      </c>
      <c r="D306" s="446">
        <v>2768</v>
      </c>
      <c r="E306" s="446" t="s">
        <v>55</v>
      </c>
      <c r="F306" s="446" t="s">
        <v>113</v>
      </c>
      <c r="G306" s="446" t="s">
        <v>114</v>
      </c>
      <c r="H306" s="446" t="s">
        <v>41</v>
      </c>
      <c r="I306" s="447">
        <v>100</v>
      </c>
    </row>
    <row r="307" spans="2:9" hidden="1" outlineLevel="1" x14ac:dyDescent="0.25">
      <c r="B307" s="446" t="s">
        <v>956</v>
      </c>
      <c r="C307" s="446" t="s">
        <v>38</v>
      </c>
      <c r="D307" s="446">
        <v>2769</v>
      </c>
      <c r="E307" s="446" t="s">
        <v>919</v>
      </c>
      <c r="F307" s="446" t="s">
        <v>113</v>
      </c>
      <c r="G307" s="446" t="s">
        <v>114</v>
      </c>
      <c r="H307" s="446" t="s">
        <v>41</v>
      </c>
      <c r="I307" s="447">
        <v>50</v>
      </c>
    </row>
    <row r="308" spans="2:9" hidden="1" outlineLevel="1" x14ac:dyDescent="0.25">
      <c r="B308" s="446" t="s">
        <v>956</v>
      </c>
      <c r="C308" s="446" t="s">
        <v>38</v>
      </c>
      <c r="D308" s="446">
        <v>2770</v>
      </c>
      <c r="E308" s="446" t="s">
        <v>54</v>
      </c>
      <c r="F308" s="446" t="s">
        <v>113</v>
      </c>
      <c r="G308" s="446" t="s">
        <v>114</v>
      </c>
      <c r="H308" s="446" t="s">
        <v>41</v>
      </c>
      <c r="I308" s="447">
        <v>50</v>
      </c>
    </row>
    <row r="309" spans="2:9" hidden="1" outlineLevel="1" x14ac:dyDescent="0.25">
      <c r="B309" s="446" t="s">
        <v>957</v>
      </c>
      <c r="C309" s="446" t="s">
        <v>38</v>
      </c>
      <c r="D309" s="446">
        <v>2772</v>
      </c>
      <c r="E309" s="446" t="s">
        <v>717</v>
      </c>
      <c r="F309" s="446" t="s">
        <v>854</v>
      </c>
      <c r="G309" s="446" t="s">
        <v>114</v>
      </c>
      <c r="H309" s="446" t="s">
        <v>41</v>
      </c>
      <c r="I309" s="447">
        <v>100</v>
      </c>
    </row>
    <row r="310" spans="2:9" hidden="1" outlineLevel="1" x14ac:dyDescent="0.25">
      <c r="B310" s="446" t="s">
        <v>958</v>
      </c>
      <c r="C310" s="446" t="s">
        <v>38</v>
      </c>
      <c r="D310" s="446">
        <v>2773</v>
      </c>
      <c r="E310" s="446" t="s">
        <v>829</v>
      </c>
      <c r="F310" s="446" t="s">
        <v>113</v>
      </c>
      <c r="G310" s="446" t="s">
        <v>114</v>
      </c>
      <c r="H310" s="446" t="s">
        <v>41</v>
      </c>
      <c r="I310" s="447">
        <v>50</v>
      </c>
    </row>
    <row r="311" spans="2:9" hidden="1" outlineLevel="1" x14ac:dyDescent="0.25">
      <c r="B311" s="446" t="s">
        <v>958</v>
      </c>
      <c r="C311" s="446" t="s">
        <v>38</v>
      </c>
      <c r="D311" s="446">
        <v>2774</v>
      </c>
      <c r="E311" s="446" t="s">
        <v>115</v>
      </c>
      <c r="F311" s="446" t="s">
        <v>113</v>
      </c>
      <c r="G311" s="446" t="s">
        <v>114</v>
      </c>
      <c r="H311" s="446" t="s">
        <v>41</v>
      </c>
      <c r="I311" s="447">
        <v>25</v>
      </c>
    </row>
    <row r="312" spans="2:9" hidden="1" outlineLevel="1" x14ac:dyDescent="0.25">
      <c r="B312" s="446" t="s">
        <v>959</v>
      </c>
      <c r="C312" s="446" t="s">
        <v>38</v>
      </c>
      <c r="D312" s="446">
        <v>2776</v>
      </c>
      <c r="E312" s="446" t="s">
        <v>42</v>
      </c>
      <c r="F312" s="446" t="s">
        <v>113</v>
      </c>
      <c r="G312" s="446" t="s">
        <v>114</v>
      </c>
      <c r="H312" s="446" t="s">
        <v>41</v>
      </c>
      <c r="I312" s="447">
        <v>100</v>
      </c>
    </row>
    <row r="313" spans="2:9" hidden="1" outlineLevel="1" x14ac:dyDescent="0.25">
      <c r="B313" s="446" t="s">
        <v>960</v>
      </c>
      <c r="C313" s="446" t="s">
        <v>38</v>
      </c>
      <c r="D313" s="446">
        <v>2777</v>
      </c>
      <c r="E313" s="446" t="s">
        <v>52</v>
      </c>
      <c r="F313" s="446" t="s">
        <v>113</v>
      </c>
      <c r="G313" s="446" t="s">
        <v>114</v>
      </c>
      <c r="H313" s="446" t="s">
        <v>41</v>
      </c>
      <c r="I313" s="447">
        <v>500</v>
      </c>
    </row>
    <row r="314" spans="2:9" hidden="1" outlineLevel="1" x14ac:dyDescent="0.25">
      <c r="B314" s="446" t="s">
        <v>961</v>
      </c>
      <c r="C314" s="446" t="s">
        <v>38</v>
      </c>
      <c r="D314" s="446">
        <v>2779</v>
      </c>
      <c r="E314" s="446" t="s">
        <v>56</v>
      </c>
      <c r="F314" s="446" t="s">
        <v>113</v>
      </c>
      <c r="G314" s="446" t="s">
        <v>114</v>
      </c>
      <c r="H314" s="446" t="s">
        <v>41</v>
      </c>
      <c r="I314" s="447">
        <v>100</v>
      </c>
    </row>
    <row r="315" spans="2:9" hidden="1" outlineLevel="1" x14ac:dyDescent="0.25">
      <c r="B315" s="446" t="s">
        <v>961</v>
      </c>
      <c r="C315" s="446" t="s">
        <v>38</v>
      </c>
      <c r="D315" s="446">
        <v>2778</v>
      </c>
      <c r="E315" s="446" t="s">
        <v>44</v>
      </c>
      <c r="F315" s="446" t="s">
        <v>113</v>
      </c>
      <c r="G315" s="446" t="s">
        <v>114</v>
      </c>
      <c r="H315" s="446" t="s">
        <v>41</v>
      </c>
      <c r="I315" s="447">
        <v>100</v>
      </c>
    </row>
    <row r="316" spans="2:9" hidden="1" outlineLevel="1" x14ac:dyDescent="0.25">
      <c r="B316" s="446" t="s">
        <v>962</v>
      </c>
      <c r="C316" s="446" t="s">
        <v>38</v>
      </c>
      <c r="D316" s="446">
        <v>2780</v>
      </c>
      <c r="E316" s="446" t="s">
        <v>117</v>
      </c>
      <c r="F316" s="446" t="s">
        <v>113</v>
      </c>
      <c r="G316" s="446" t="s">
        <v>114</v>
      </c>
      <c r="H316" s="446" t="s">
        <v>41</v>
      </c>
      <c r="I316" s="447">
        <v>150</v>
      </c>
    </row>
    <row r="317" spans="2:9" hidden="1" outlineLevel="1" x14ac:dyDescent="0.25">
      <c r="B317" s="446" t="s">
        <v>963</v>
      </c>
      <c r="C317" s="446" t="s">
        <v>38</v>
      </c>
      <c r="D317" s="446">
        <v>2781</v>
      </c>
      <c r="E317" s="446" t="s">
        <v>46</v>
      </c>
      <c r="F317" s="446" t="s">
        <v>113</v>
      </c>
      <c r="G317" s="446" t="s">
        <v>114</v>
      </c>
      <c r="H317" s="446" t="s">
        <v>41</v>
      </c>
      <c r="I317" s="447">
        <v>50</v>
      </c>
    </row>
    <row r="318" spans="2:9" hidden="1" outlineLevel="1" x14ac:dyDescent="0.25">
      <c r="B318" s="446" t="s">
        <v>963</v>
      </c>
      <c r="C318" s="446" t="s">
        <v>38</v>
      </c>
      <c r="D318" s="446">
        <v>2782</v>
      </c>
      <c r="E318" s="446" t="s">
        <v>835</v>
      </c>
      <c r="F318" s="446" t="s">
        <v>113</v>
      </c>
      <c r="G318" s="446" t="s">
        <v>114</v>
      </c>
      <c r="H318" s="446" t="s">
        <v>41</v>
      </c>
      <c r="I318" s="447">
        <v>50</v>
      </c>
    </row>
    <row r="319" spans="2:9" hidden="1" outlineLevel="1" x14ac:dyDescent="0.25">
      <c r="B319" s="446" t="s">
        <v>964</v>
      </c>
      <c r="C319" s="446" t="s">
        <v>38</v>
      </c>
      <c r="D319" s="446">
        <v>2785</v>
      </c>
      <c r="E319" s="446" t="s">
        <v>48</v>
      </c>
      <c r="F319" s="446" t="s">
        <v>113</v>
      </c>
      <c r="G319" s="446" t="s">
        <v>114</v>
      </c>
      <c r="H319" s="446" t="s">
        <v>41</v>
      </c>
      <c r="I319" s="447">
        <v>20</v>
      </c>
    </row>
    <row r="320" spans="2:9" hidden="1" outlineLevel="1" x14ac:dyDescent="0.25">
      <c r="B320" s="446" t="s">
        <v>965</v>
      </c>
      <c r="C320" s="446" t="s">
        <v>38</v>
      </c>
      <c r="D320" s="446">
        <v>2786</v>
      </c>
      <c r="E320" s="446" t="s">
        <v>45</v>
      </c>
      <c r="F320" s="446" t="s">
        <v>854</v>
      </c>
      <c r="G320" s="446" t="s">
        <v>114</v>
      </c>
      <c r="H320" s="446" t="s">
        <v>41</v>
      </c>
      <c r="I320" s="447">
        <v>50</v>
      </c>
    </row>
    <row r="321" spans="2:9" hidden="1" outlineLevel="1" x14ac:dyDescent="0.25">
      <c r="B321" s="446" t="s">
        <v>966</v>
      </c>
      <c r="C321" s="446" t="s">
        <v>38</v>
      </c>
      <c r="D321" s="446">
        <v>2788</v>
      </c>
      <c r="E321" s="446" t="s">
        <v>967</v>
      </c>
      <c r="F321" s="446" t="s">
        <v>113</v>
      </c>
      <c r="G321" s="446" t="s">
        <v>114</v>
      </c>
      <c r="H321" s="446" t="s">
        <v>41</v>
      </c>
      <c r="I321" s="447">
        <v>15</v>
      </c>
    </row>
    <row r="322" spans="2:9" hidden="1" outlineLevel="1" x14ac:dyDescent="0.25">
      <c r="B322" s="446" t="s">
        <v>966</v>
      </c>
      <c r="C322" s="446" t="s">
        <v>38</v>
      </c>
      <c r="D322" s="446">
        <v>2783</v>
      </c>
      <c r="E322" s="446" t="s">
        <v>47</v>
      </c>
      <c r="F322" s="446" t="s">
        <v>113</v>
      </c>
      <c r="G322" s="446" t="s">
        <v>114</v>
      </c>
      <c r="H322" s="446" t="s">
        <v>41</v>
      </c>
      <c r="I322" s="447">
        <v>100</v>
      </c>
    </row>
    <row r="323" spans="2:9" hidden="1" outlineLevel="1" x14ac:dyDescent="0.25">
      <c r="B323" s="446" t="s">
        <v>968</v>
      </c>
      <c r="C323" s="446" t="s">
        <v>38</v>
      </c>
      <c r="D323" s="446">
        <v>2784</v>
      </c>
      <c r="E323" s="446" t="s">
        <v>49</v>
      </c>
      <c r="F323" s="446" t="s">
        <v>113</v>
      </c>
      <c r="G323" s="446" t="s">
        <v>114</v>
      </c>
      <c r="H323" s="446" t="s">
        <v>41</v>
      </c>
      <c r="I323" s="447" t="s">
        <v>696</v>
      </c>
    </row>
    <row r="324" spans="2:9" hidden="1" outlineLevel="1" x14ac:dyDescent="0.25">
      <c r="B324" s="446" t="s">
        <v>968</v>
      </c>
      <c r="C324" s="446" t="s">
        <v>38</v>
      </c>
      <c r="D324" s="446">
        <v>2789</v>
      </c>
      <c r="E324" s="446" t="s">
        <v>795</v>
      </c>
      <c r="F324" s="446" t="s">
        <v>113</v>
      </c>
      <c r="G324" s="446" t="s">
        <v>114</v>
      </c>
      <c r="H324" s="446" t="s">
        <v>41</v>
      </c>
      <c r="I324" s="447">
        <v>500</v>
      </c>
    </row>
    <row r="325" spans="2:9" hidden="1" outlineLevel="1" x14ac:dyDescent="0.25">
      <c r="B325" s="446" t="s">
        <v>969</v>
      </c>
      <c r="C325" s="446" t="s">
        <v>38</v>
      </c>
      <c r="D325" s="446">
        <v>2791</v>
      </c>
      <c r="E325" s="446" t="s">
        <v>119</v>
      </c>
      <c r="F325" s="446" t="s">
        <v>113</v>
      </c>
      <c r="G325" s="446" t="s">
        <v>114</v>
      </c>
      <c r="H325" s="446" t="s">
        <v>41</v>
      </c>
      <c r="I325" s="447">
        <v>100</v>
      </c>
    </row>
    <row r="326" spans="2:9" hidden="1" outlineLevel="1" x14ac:dyDescent="0.25">
      <c r="B326" s="446" t="s">
        <v>970</v>
      </c>
      <c r="C326" s="446" t="s">
        <v>38</v>
      </c>
      <c r="D326" s="446">
        <v>2792</v>
      </c>
      <c r="E326" s="446" t="s">
        <v>57</v>
      </c>
      <c r="F326" s="446" t="s">
        <v>113</v>
      </c>
      <c r="G326" s="446" t="s">
        <v>114</v>
      </c>
      <c r="H326" s="446" t="s">
        <v>41</v>
      </c>
      <c r="I326" s="447">
        <v>100</v>
      </c>
    </row>
    <row r="327" spans="2:9" hidden="1" outlineLevel="1" x14ac:dyDescent="0.25">
      <c r="B327" s="446" t="s">
        <v>970</v>
      </c>
      <c r="C327" s="446" t="s">
        <v>38</v>
      </c>
      <c r="D327" s="446">
        <v>2793</v>
      </c>
      <c r="E327" s="446" t="s">
        <v>116</v>
      </c>
      <c r="F327" s="446" t="s">
        <v>113</v>
      </c>
      <c r="G327" s="446" t="s">
        <v>114</v>
      </c>
      <c r="H327" s="446" t="s">
        <v>41</v>
      </c>
      <c r="I327" s="447">
        <v>40</v>
      </c>
    </row>
    <row r="328" spans="2:9" hidden="1" outlineLevel="1" x14ac:dyDescent="0.25">
      <c r="B328" s="446" t="s">
        <v>970</v>
      </c>
      <c r="C328" s="446" t="s">
        <v>38</v>
      </c>
      <c r="D328" s="446">
        <v>2794</v>
      </c>
      <c r="E328" s="446" t="s">
        <v>51</v>
      </c>
      <c r="F328" s="446" t="s">
        <v>113</v>
      </c>
      <c r="G328" s="446" t="s">
        <v>114</v>
      </c>
      <c r="H328" s="446" t="s">
        <v>41</v>
      </c>
      <c r="I328" s="447">
        <v>100</v>
      </c>
    </row>
    <row r="329" spans="2:9" hidden="1" outlineLevel="1" x14ac:dyDescent="0.25">
      <c r="B329" s="446" t="s">
        <v>702</v>
      </c>
      <c r="C329" s="446" t="s">
        <v>38</v>
      </c>
      <c r="D329" s="446">
        <v>2797</v>
      </c>
      <c r="E329" s="446" t="s">
        <v>53</v>
      </c>
      <c r="F329" s="446" t="s">
        <v>113</v>
      </c>
      <c r="G329" s="446" t="s">
        <v>114</v>
      </c>
      <c r="H329" s="446" t="s">
        <v>41</v>
      </c>
      <c r="I329" s="447" t="s">
        <v>696</v>
      </c>
    </row>
    <row r="330" spans="2:9" hidden="1" outlineLevel="1" x14ac:dyDescent="0.25">
      <c r="B330" s="446" t="s">
        <v>702</v>
      </c>
      <c r="C330" s="446" t="s">
        <v>38</v>
      </c>
      <c r="D330" s="446">
        <v>2798</v>
      </c>
      <c r="E330" s="446" t="s">
        <v>70</v>
      </c>
      <c r="F330" s="446" t="s">
        <v>113</v>
      </c>
      <c r="G330" s="446" t="s">
        <v>114</v>
      </c>
      <c r="H330" s="446" t="s">
        <v>41</v>
      </c>
      <c r="I330" s="447">
        <v>100</v>
      </c>
    </row>
    <row r="331" spans="2:9" hidden="1" outlineLevel="1" x14ac:dyDescent="0.25">
      <c r="B331" s="446" t="s">
        <v>702</v>
      </c>
      <c r="C331" s="446" t="s">
        <v>38</v>
      </c>
      <c r="D331" s="446">
        <v>2799</v>
      </c>
      <c r="E331" s="446" t="s">
        <v>804</v>
      </c>
      <c r="F331" s="446" t="s">
        <v>113</v>
      </c>
      <c r="G331" s="446" t="s">
        <v>114</v>
      </c>
      <c r="H331" s="446" t="s">
        <v>41</v>
      </c>
      <c r="I331" s="447" t="s">
        <v>696</v>
      </c>
    </row>
    <row r="332" spans="2:9" hidden="1" outlineLevel="1" x14ac:dyDescent="0.25">
      <c r="B332" s="446" t="s">
        <v>702</v>
      </c>
      <c r="C332" s="446" t="s">
        <v>38</v>
      </c>
      <c r="D332" s="446">
        <v>2795</v>
      </c>
      <c r="E332" s="446" t="s">
        <v>60</v>
      </c>
      <c r="F332" s="446" t="s">
        <v>113</v>
      </c>
      <c r="G332" s="446" t="s">
        <v>114</v>
      </c>
      <c r="H332" s="446" t="s">
        <v>41</v>
      </c>
      <c r="I332" s="447">
        <v>100</v>
      </c>
    </row>
    <row r="333" spans="2:9" hidden="1" outlineLevel="1" x14ac:dyDescent="0.25">
      <c r="B333" s="446" t="s">
        <v>971</v>
      </c>
      <c r="C333" s="446" t="s">
        <v>38</v>
      </c>
      <c r="D333" s="446">
        <v>2805</v>
      </c>
      <c r="E333" s="446" t="s">
        <v>120</v>
      </c>
      <c r="F333" s="446" t="s">
        <v>113</v>
      </c>
      <c r="G333" s="446" t="s">
        <v>114</v>
      </c>
      <c r="H333" s="446" t="s">
        <v>41</v>
      </c>
      <c r="I333" s="447">
        <v>75</v>
      </c>
    </row>
    <row r="334" spans="2:9" hidden="1" outlineLevel="1" x14ac:dyDescent="0.25">
      <c r="B334" s="446" t="s">
        <v>971</v>
      </c>
      <c r="C334" s="446" t="s">
        <v>38</v>
      </c>
      <c r="D334" s="446">
        <v>2802</v>
      </c>
      <c r="E334" s="446" t="s">
        <v>39</v>
      </c>
      <c r="F334" s="446" t="s">
        <v>113</v>
      </c>
      <c r="G334" s="446" t="s">
        <v>114</v>
      </c>
      <c r="H334" s="446" t="s">
        <v>41</v>
      </c>
      <c r="I334" s="447" t="s">
        <v>696</v>
      </c>
    </row>
    <row r="335" spans="2:9" hidden="1" outlineLevel="1" x14ac:dyDescent="0.25">
      <c r="B335" s="446" t="s">
        <v>972</v>
      </c>
      <c r="C335" s="446" t="s">
        <v>38</v>
      </c>
      <c r="D335" s="446">
        <v>2806</v>
      </c>
      <c r="E335" s="446" t="s">
        <v>55</v>
      </c>
      <c r="F335" s="446" t="s">
        <v>113</v>
      </c>
      <c r="G335" s="446" t="s">
        <v>114</v>
      </c>
      <c r="H335" s="446" t="s">
        <v>41</v>
      </c>
      <c r="I335" s="447">
        <v>100</v>
      </c>
    </row>
    <row r="336" spans="2:9" hidden="1" outlineLevel="1" x14ac:dyDescent="0.25">
      <c r="B336" s="446" t="s">
        <v>973</v>
      </c>
      <c r="C336" s="446" t="s">
        <v>38</v>
      </c>
      <c r="D336" s="446">
        <v>2807</v>
      </c>
      <c r="E336" s="446" t="s">
        <v>919</v>
      </c>
      <c r="F336" s="446" t="s">
        <v>113</v>
      </c>
      <c r="G336" s="446" t="s">
        <v>114</v>
      </c>
      <c r="H336" s="446" t="s">
        <v>41</v>
      </c>
      <c r="I336" s="447">
        <v>50</v>
      </c>
    </row>
    <row r="337" spans="2:9" hidden="1" outlineLevel="1" x14ac:dyDescent="0.25">
      <c r="B337" s="446" t="s">
        <v>974</v>
      </c>
      <c r="C337" s="446" t="s">
        <v>38</v>
      </c>
      <c r="D337" s="446">
        <v>2808</v>
      </c>
      <c r="E337" s="446" t="s">
        <v>54</v>
      </c>
      <c r="F337" s="446" t="s">
        <v>113</v>
      </c>
      <c r="G337" s="446" t="s">
        <v>114</v>
      </c>
      <c r="H337" s="446" t="s">
        <v>41</v>
      </c>
      <c r="I337" s="447">
        <v>50</v>
      </c>
    </row>
    <row r="338" spans="2:9" hidden="1" outlineLevel="1" x14ac:dyDescent="0.25">
      <c r="B338" s="446" t="s">
        <v>975</v>
      </c>
      <c r="C338" s="446" t="s">
        <v>38</v>
      </c>
      <c r="D338" s="446">
        <v>2823</v>
      </c>
      <c r="E338" s="446" t="s">
        <v>717</v>
      </c>
      <c r="F338" s="446" t="s">
        <v>854</v>
      </c>
      <c r="G338" s="446" t="s">
        <v>114</v>
      </c>
      <c r="H338" s="446" t="s">
        <v>41</v>
      </c>
      <c r="I338" s="447">
        <v>100</v>
      </c>
    </row>
    <row r="339" spans="2:9" hidden="1" outlineLevel="1" x14ac:dyDescent="0.25">
      <c r="B339" s="446" t="s">
        <v>815</v>
      </c>
      <c r="C339" s="446" t="s">
        <v>38</v>
      </c>
      <c r="D339" s="446">
        <v>2827</v>
      </c>
      <c r="E339" s="446" t="s">
        <v>115</v>
      </c>
      <c r="F339" s="446" t="s">
        <v>113</v>
      </c>
      <c r="G339" s="446" t="s">
        <v>114</v>
      </c>
      <c r="H339" s="446" t="s">
        <v>41</v>
      </c>
      <c r="I339" s="447">
        <v>25</v>
      </c>
    </row>
    <row r="340" spans="2:9" hidden="1" outlineLevel="1" x14ac:dyDescent="0.25">
      <c r="B340" s="446" t="s">
        <v>815</v>
      </c>
      <c r="C340" s="446" t="s">
        <v>38</v>
      </c>
      <c r="D340" s="446">
        <v>2826</v>
      </c>
      <c r="E340" s="446" t="s">
        <v>829</v>
      </c>
      <c r="F340" s="446" t="s">
        <v>113</v>
      </c>
      <c r="G340" s="446" t="s">
        <v>114</v>
      </c>
      <c r="H340" s="446" t="s">
        <v>41</v>
      </c>
      <c r="I340" s="447">
        <v>50</v>
      </c>
    </row>
    <row r="341" spans="2:9" hidden="1" outlineLevel="1" x14ac:dyDescent="0.25">
      <c r="B341" s="446" t="s">
        <v>976</v>
      </c>
      <c r="C341" s="446" t="s">
        <v>38</v>
      </c>
      <c r="D341" s="446">
        <v>2828</v>
      </c>
      <c r="E341" s="446" t="s">
        <v>42</v>
      </c>
      <c r="F341" s="446" t="s">
        <v>113</v>
      </c>
      <c r="G341" s="446" t="s">
        <v>114</v>
      </c>
      <c r="H341" s="446" t="s">
        <v>41</v>
      </c>
      <c r="I341" s="447">
        <v>100</v>
      </c>
    </row>
    <row r="342" spans="2:9" hidden="1" outlineLevel="1" x14ac:dyDescent="0.25">
      <c r="B342" s="446" t="s">
        <v>977</v>
      </c>
      <c r="C342" s="446" t="s">
        <v>38</v>
      </c>
      <c r="D342" s="446">
        <v>2829</v>
      </c>
      <c r="E342" s="446" t="s">
        <v>52</v>
      </c>
      <c r="F342" s="446" t="s">
        <v>113</v>
      </c>
      <c r="G342" s="446" t="s">
        <v>114</v>
      </c>
      <c r="H342" s="446" t="s">
        <v>41</v>
      </c>
      <c r="I342" s="447">
        <v>500</v>
      </c>
    </row>
    <row r="343" spans="2:9" hidden="1" outlineLevel="1" x14ac:dyDescent="0.25">
      <c r="B343" s="446" t="s">
        <v>978</v>
      </c>
      <c r="C343" s="446" t="s">
        <v>38</v>
      </c>
      <c r="D343" s="446">
        <v>2831</v>
      </c>
      <c r="E343" s="446" t="s">
        <v>56</v>
      </c>
      <c r="F343" s="446" t="s">
        <v>113</v>
      </c>
      <c r="G343" s="446" t="s">
        <v>114</v>
      </c>
      <c r="H343" s="446" t="s">
        <v>41</v>
      </c>
      <c r="I343" s="447">
        <v>100</v>
      </c>
    </row>
    <row r="344" spans="2:9" hidden="1" outlineLevel="1" x14ac:dyDescent="0.25">
      <c r="B344" s="446" t="s">
        <v>978</v>
      </c>
      <c r="C344" s="446" t="s">
        <v>38</v>
      </c>
      <c r="D344" s="446">
        <v>2830</v>
      </c>
      <c r="E344" s="446" t="s">
        <v>44</v>
      </c>
      <c r="F344" s="446" t="s">
        <v>113</v>
      </c>
      <c r="G344" s="446" t="s">
        <v>114</v>
      </c>
      <c r="H344" s="446" t="s">
        <v>41</v>
      </c>
      <c r="I344" s="447">
        <v>100</v>
      </c>
    </row>
    <row r="345" spans="2:9" hidden="1" outlineLevel="1" x14ac:dyDescent="0.25">
      <c r="B345" s="446" t="s">
        <v>979</v>
      </c>
      <c r="C345" s="446" t="s">
        <v>38</v>
      </c>
      <c r="D345" s="446">
        <v>2833</v>
      </c>
      <c r="E345" s="446" t="s">
        <v>117</v>
      </c>
      <c r="F345" s="446" t="s">
        <v>113</v>
      </c>
      <c r="G345" s="446" t="s">
        <v>114</v>
      </c>
      <c r="H345" s="446" t="s">
        <v>41</v>
      </c>
      <c r="I345" s="447">
        <v>150</v>
      </c>
    </row>
    <row r="346" spans="2:9" hidden="1" outlineLevel="1" x14ac:dyDescent="0.25">
      <c r="B346" s="446" t="s">
        <v>980</v>
      </c>
      <c r="C346" s="446" t="s">
        <v>38</v>
      </c>
      <c r="D346" s="446">
        <v>2834</v>
      </c>
      <c r="E346" s="446" t="s">
        <v>46</v>
      </c>
      <c r="F346" s="446" t="s">
        <v>113</v>
      </c>
      <c r="G346" s="446" t="s">
        <v>114</v>
      </c>
      <c r="H346" s="446" t="s">
        <v>41</v>
      </c>
      <c r="I346" s="447">
        <v>50</v>
      </c>
    </row>
    <row r="347" spans="2:9" hidden="1" outlineLevel="1" x14ac:dyDescent="0.25">
      <c r="B347" s="446" t="s">
        <v>980</v>
      </c>
      <c r="C347" s="446" t="s">
        <v>38</v>
      </c>
      <c r="D347" s="446">
        <v>2835</v>
      </c>
      <c r="E347" s="446" t="s">
        <v>835</v>
      </c>
      <c r="F347" s="446" t="s">
        <v>113</v>
      </c>
      <c r="G347" s="446" t="s">
        <v>114</v>
      </c>
      <c r="H347" s="446" t="s">
        <v>41</v>
      </c>
      <c r="I347" s="447">
        <v>50</v>
      </c>
    </row>
    <row r="348" spans="2:9" hidden="1" outlineLevel="1" x14ac:dyDescent="0.25">
      <c r="B348" s="446" t="s">
        <v>981</v>
      </c>
      <c r="C348" s="446" t="s">
        <v>38</v>
      </c>
      <c r="D348" s="446">
        <v>2838</v>
      </c>
      <c r="E348" s="446" t="s">
        <v>48</v>
      </c>
      <c r="F348" s="446" t="s">
        <v>113</v>
      </c>
      <c r="G348" s="446" t="s">
        <v>114</v>
      </c>
      <c r="H348" s="446" t="s">
        <v>41</v>
      </c>
      <c r="I348" s="447">
        <v>20</v>
      </c>
    </row>
    <row r="349" spans="2:9" hidden="1" outlineLevel="1" x14ac:dyDescent="0.25">
      <c r="B349" s="446" t="s">
        <v>982</v>
      </c>
      <c r="C349" s="446" t="s">
        <v>38</v>
      </c>
      <c r="D349" s="446">
        <v>2837</v>
      </c>
      <c r="E349" s="446" t="s">
        <v>967</v>
      </c>
      <c r="F349" s="446" t="s">
        <v>113</v>
      </c>
      <c r="G349" s="446" t="s">
        <v>114</v>
      </c>
      <c r="H349" s="446" t="s">
        <v>41</v>
      </c>
      <c r="I349" s="447">
        <v>15</v>
      </c>
    </row>
    <row r="350" spans="2:9" hidden="1" outlineLevel="1" x14ac:dyDescent="0.25">
      <c r="B350" s="446" t="s">
        <v>982</v>
      </c>
      <c r="C350" s="446" t="s">
        <v>38</v>
      </c>
      <c r="D350" s="446">
        <v>2836</v>
      </c>
      <c r="E350" s="446" t="s">
        <v>47</v>
      </c>
      <c r="F350" s="446" t="s">
        <v>113</v>
      </c>
      <c r="G350" s="446" t="s">
        <v>114</v>
      </c>
      <c r="H350" s="446" t="s">
        <v>41</v>
      </c>
      <c r="I350" s="447">
        <v>100</v>
      </c>
    </row>
    <row r="351" spans="2:9" hidden="1" outlineLevel="1" x14ac:dyDescent="0.25">
      <c r="B351" s="446" t="s">
        <v>983</v>
      </c>
      <c r="C351" s="446" t="s">
        <v>38</v>
      </c>
      <c r="D351" s="446">
        <v>2839</v>
      </c>
      <c r="E351" s="446" t="s">
        <v>49</v>
      </c>
      <c r="F351" s="446" t="s">
        <v>113</v>
      </c>
      <c r="G351" s="446" t="s">
        <v>114</v>
      </c>
      <c r="H351" s="446" t="s">
        <v>41</v>
      </c>
      <c r="I351" s="447" t="s">
        <v>696</v>
      </c>
    </row>
    <row r="352" spans="2:9" hidden="1" outlineLevel="1" x14ac:dyDescent="0.25">
      <c r="B352" s="446" t="s">
        <v>984</v>
      </c>
      <c r="C352" s="446" t="s">
        <v>38</v>
      </c>
      <c r="D352" s="446">
        <v>2840</v>
      </c>
      <c r="E352" s="446" t="s">
        <v>119</v>
      </c>
      <c r="F352" s="446" t="s">
        <v>113</v>
      </c>
      <c r="G352" s="446" t="s">
        <v>114</v>
      </c>
      <c r="H352" s="446" t="s">
        <v>41</v>
      </c>
      <c r="I352" s="447">
        <v>100</v>
      </c>
    </row>
    <row r="353" spans="2:9" hidden="1" outlineLevel="1" x14ac:dyDescent="0.25">
      <c r="B353" s="446" t="s">
        <v>984</v>
      </c>
      <c r="C353" s="446" t="s">
        <v>38</v>
      </c>
      <c r="D353" s="446">
        <v>2841</v>
      </c>
      <c r="E353" s="446" t="s">
        <v>880</v>
      </c>
      <c r="F353" s="446" t="s">
        <v>882</v>
      </c>
      <c r="G353" s="446" t="s">
        <v>114</v>
      </c>
      <c r="H353" s="446" t="s">
        <v>41</v>
      </c>
      <c r="I353" s="447">
        <v>150</v>
      </c>
    </row>
    <row r="354" spans="2:9" hidden="1" outlineLevel="1" x14ac:dyDescent="0.25">
      <c r="B354" s="446" t="s">
        <v>984</v>
      </c>
      <c r="C354" s="446" t="s">
        <v>38</v>
      </c>
      <c r="D354" s="446">
        <v>2841</v>
      </c>
      <c r="E354" s="446" t="s">
        <v>880</v>
      </c>
      <c r="F354" s="446" t="s">
        <v>881</v>
      </c>
      <c r="G354" s="446" t="s">
        <v>114</v>
      </c>
      <c r="H354" s="446" t="s">
        <v>41</v>
      </c>
      <c r="I354" s="447">
        <v>75</v>
      </c>
    </row>
    <row r="355" spans="2:9" hidden="1" outlineLevel="1" x14ac:dyDescent="0.25">
      <c r="B355" s="446" t="s">
        <v>985</v>
      </c>
      <c r="C355" s="446" t="s">
        <v>38</v>
      </c>
      <c r="D355" s="446">
        <v>2843</v>
      </c>
      <c r="E355" s="446" t="s">
        <v>116</v>
      </c>
      <c r="F355" s="446" t="s">
        <v>113</v>
      </c>
      <c r="G355" s="446" t="s">
        <v>114</v>
      </c>
      <c r="H355" s="446" t="s">
        <v>41</v>
      </c>
      <c r="I355" s="447">
        <v>40</v>
      </c>
    </row>
    <row r="356" spans="2:9" hidden="1" outlineLevel="1" x14ac:dyDescent="0.25">
      <c r="B356" s="446" t="s">
        <v>985</v>
      </c>
      <c r="C356" s="446" t="s">
        <v>38</v>
      </c>
      <c r="D356" s="446">
        <v>2844</v>
      </c>
      <c r="E356" s="446" t="s">
        <v>51</v>
      </c>
      <c r="F356" s="446" t="s">
        <v>113</v>
      </c>
      <c r="G356" s="446" t="s">
        <v>114</v>
      </c>
      <c r="H356" s="446" t="s">
        <v>41</v>
      </c>
      <c r="I356" s="447">
        <v>100</v>
      </c>
    </row>
    <row r="357" spans="2:9" hidden="1" outlineLevel="1" x14ac:dyDescent="0.25">
      <c r="B357" s="446" t="s">
        <v>985</v>
      </c>
      <c r="C357" s="446" t="s">
        <v>38</v>
      </c>
      <c r="D357" s="446">
        <v>2842</v>
      </c>
      <c r="E357" s="446" t="s">
        <v>57</v>
      </c>
      <c r="F357" s="446" t="s">
        <v>113</v>
      </c>
      <c r="G357" s="446" t="s">
        <v>114</v>
      </c>
      <c r="H357" s="446" t="s">
        <v>41</v>
      </c>
      <c r="I357" s="447">
        <v>100</v>
      </c>
    </row>
    <row r="358" spans="2:9" hidden="1" outlineLevel="1" x14ac:dyDescent="0.25">
      <c r="B358" s="446" t="s">
        <v>705</v>
      </c>
      <c r="C358" s="446" t="s">
        <v>38</v>
      </c>
      <c r="D358" s="446">
        <v>2849</v>
      </c>
      <c r="E358" s="446" t="s">
        <v>804</v>
      </c>
      <c r="F358" s="446" t="s">
        <v>113</v>
      </c>
      <c r="G358" s="446" t="s">
        <v>114</v>
      </c>
      <c r="H358" s="446" t="s">
        <v>41</v>
      </c>
      <c r="I358" s="447" t="s">
        <v>696</v>
      </c>
    </row>
    <row r="359" spans="2:9" hidden="1" outlineLevel="1" x14ac:dyDescent="0.25">
      <c r="B359" s="446" t="s">
        <v>705</v>
      </c>
      <c r="C359" s="446" t="s">
        <v>38</v>
      </c>
      <c r="D359" s="446">
        <v>2848</v>
      </c>
      <c r="E359" s="446" t="s">
        <v>70</v>
      </c>
      <c r="F359" s="446" t="s">
        <v>113</v>
      </c>
      <c r="G359" s="446" t="s">
        <v>114</v>
      </c>
      <c r="H359" s="446" t="s">
        <v>41</v>
      </c>
      <c r="I359" s="447">
        <v>100</v>
      </c>
    </row>
    <row r="360" spans="2:9" hidden="1" outlineLevel="1" x14ac:dyDescent="0.25">
      <c r="B360" s="446" t="s">
        <v>705</v>
      </c>
      <c r="C360" s="446" t="s">
        <v>38</v>
      </c>
      <c r="D360" s="446">
        <v>2845</v>
      </c>
      <c r="E360" s="446" t="s">
        <v>60</v>
      </c>
      <c r="F360" s="446" t="s">
        <v>113</v>
      </c>
      <c r="G360" s="446" t="s">
        <v>114</v>
      </c>
      <c r="H360" s="446" t="s">
        <v>41</v>
      </c>
      <c r="I360" s="447">
        <v>100</v>
      </c>
    </row>
    <row r="361" spans="2:9" hidden="1" outlineLevel="1" x14ac:dyDescent="0.25">
      <c r="B361" s="446" t="s">
        <v>705</v>
      </c>
      <c r="C361" s="446" t="s">
        <v>38</v>
      </c>
      <c r="D361" s="446">
        <v>2847</v>
      </c>
      <c r="E361" s="446" t="s">
        <v>53</v>
      </c>
      <c r="F361" s="446" t="s">
        <v>113</v>
      </c>
      <c r="G361" s="446" t="s">
        <v>114</v>
      </c>
      <c r="H361" s="446" t="s">
        <v>41</v>
      </c>
      <c r="I361" s="447" t="s">
        <v>696</v>
      </c>
    </row>
    <row r="362" spans="2:9" hidden="1" outlineLevel="1" x14ac:dyDescent="0.25">
      <c r="B362" s="446" t="s">
        <v>986</v>
      </c>
      <c r="C362" s="446" t="s">
        <v>38</v>
      </c>
      <c r="D362" s="446">
        <v>2851</v>
      </c>
      <c r="E362" s="446" t="s">
        <v>45</v>
      </c>
      <c r="F362" s="446" t="s">
        <v>854</v>
      </c>
      <c r="G362" s="446" t="s">
        <v>114</v>
      </c>
      <c r="H362" s="446" t="s">
        <v>41</v>
      </c>
      <c r="I362" s="447">
        <v>50</v>
      </c>
    </row>
    <row r="363" spans="2:9" hidden="1" outlineLevel="1" x14ac:dyDescent="0.25">
      <c r="B363" s="446" t="s">
        <v>987</v>
      </c>
      <c r="C363" s="446" t="s">
        <v>38</v>
      </c>
      <c r="D363" s="446">
        <v>2856</v>
      </c>
      <c r="E363" s="446" t="s">
        <v>795</v>
      </c>
      <c r="F363" s="446" t="s">
        <v>113</v>
      </c>
      <c r="G363" s="446" t="s">
        <v>114</v>
      </c>
      <c r="H363" s="446" t="s">
        <v>41</v>
      </c>
      <c r="I363" s="447">
        <v>500</v>
      </c>
    </row>
    <row r="364" spans="2:9" hidden="1" outlineLevel="1" x14ac:dyDescent="0.25">
      <c r="B364" s="446" t="s">
        <v>987</v>
      </c>
      <c r="C364" s="446" t="s">
        <v>38</v>
      </c>
      <c r="D364" s="446">
        <v>2852</v>
      </c>
      <c r="E364" s="446" t="s">
        <v>880</v>
      </c>
      <c r="F364" s="446" t="s">
        <v>884</v>
      </c>
      <c r="G364" s="446" t="s">
        <v>114</v>
      </c>
      <c r="H364" s="446" t="s">
        <v>41</v>
      </c>
      <c r="I364" s="447">
        <v>75</v>
      </c>
    </row>
    <row r="365" spans="2:9" hidden="1" outlineLevel="1" x14ac:dyDescent="0.25">
      <c r="B365" s="446" t="s">
        <v>988</v>
      </c>
      <c r="C365" s="446" t="s">
        <v>38</v>
      </c>
      <c r="D365" s="446">
        <v>2861</v>
      </c>
      <c r="E365" s="446" t="s">
        <v>39</v>
      </c>
      <c r="F365" s="446" t="s">
        <v>113</v>
      </c>
      <c r="G365" s="446" t="s">
        <v>114</v>
      </c>
      <c r="H365" s="446" t="s">
        <v>41</v>
      </c>
      <c r="I365" s="447" t="s">
        <v>696</v>
      </c>
    </row>
    <row r="366" spans="2:9" hidden="1" outlineLevel="1" x14ac:dyDescent="0.25">
      <c r="B366" s="446" t="s">
        <v>988</v>
      </c>
      <c r="C366" s="446" t="s">
        <v>38</v>
      </c>
      <c r="D366" s="446">
        <v>2865</v>
      </c>
      <c r="E366" s="446" t="s">
        <v>120</v>
      </c>
      <c r="F366" s="446" t="s">
        <v>113</v>
      </c>
      <c r="G366" s="446" t="s">
        <v>114</v>
      </c>
      <c r="H366" s="446" t="s">
        <v>41</v>
      </c>
      <c r="I366" s="447">
        <v>75</v>
      </c>
    </row>
    <row r="367" spans="2:9" hidden="1" outlineLevel="1" x14ac:dyDescent="0.25">
      <c r="B367" s="446" t="s">
        <v>989</v>
      </c>
      <c r="C367" s="446" t="s">
        <v>38</v>
      </c>
      <c r="D367" s="446">
        <v>2866</v>
      </c>
      <c r="E367" s="446" t="s">
        <v>55</v>
      </c>
      <c r="F367" s="446" t="s">
        <v>113</v>
      </c>
      <c r="G367" s="446" t="s">
        <v>114</v>
      </c>
      <c r="H367" s="446" t="s">
        <v>41</v>
      </c>
      <c r="I367" s="447">
        <v>100</v>
      </c>
    </row>
    <row r="368" spans="2:9" hidden="1" outlineLevel="1" x14ac:dyDescent="0.25">
      <c r="B368" s="446" t="s">
        <v>990</v>
      </c>
      <c r="C368" s="446" t="s">
        <v>38</v>
      </c>
      <c r="D368" s="446">
        <v>2869</v>
      </c>
      <c r="E368" s="446" t="s">
        <v>54</v>
      </c>
      <c r="F368" s="446" t="s">
        <v>113</v>
      </c>
      <c r="G368" s="446" t="s">
        <v>114</v>
      </c>
      <c r="H368" s="446" t="s">
        <v>41</v>
      </c>
      <c r="I368" s="447">
        <v>50</v>
      </c>
    </row>
    <row r="369" spans="2:9" hidden="1" outlineLevel="1" x14ac:dyDescent="0.25">
      <c r="B369" s="446" t="s">
        <v>990</v>
      </c>
      <c r="C369" s="446" t="s">
        <v>38</v>
      </c>
      <c r="D369" s="446">
        <v>2867</v>
      </c>
      <c r="E369" s="446" t="s">
        <v>919</v>
      </c>
      <c r="F369" s="446" t="s">
        <v>113</v>
      </c>
      <c r="G369" s="446" t="s">
        <v>114</v>
      </c>
      <c r="H369" s="446" t="s">
        <v>41</v>
      </c>
      <c r="I369" s="447">
        <v>50</v>
      </c>
    </row>
    <row r="370" spans="2:9" hidden="1" outlineLevel="1" x14ac:dyDescent="0.25">
      <c r="B370" s="446" t="s">
        <v>991</v>
      </c>
      <c r="C370" s="446" t="s">
        <v>38</v>
      </c>
      <c r="D370" s="446">
        <v>2872</v>
      </c>
      <c r="E370" s="446" t="s">
        <v>717</v>
      </c>
      <c r="F370" s="446" t="s">
        <v>854</v>
      </c>
      <c r="G370" s="446" t="s">
        <v>114</v>
      </c>
      <c r="H370" s="446" t="s">
        <v>41</v>
      </c>
      <c r="I370" s="447">
        <v>100</v>
      </c>
    </row>
    <row r="371" spans="2:9" hidden="1" outlineLevel="1" x14ac:dyDescent="0.25">
      <c r="B371" s="446" t="s">
        <v>992</v>
      </c>
      <c r="C371" s="446" t="s">
        <v>38</v>
      </c>
      <c r="D371" s="446">
        <v>2873</v>
      </c>
      <c r="E371" s="446" t="s">
        <v>829</v>
      </c>
      <c r="F371" s="446" t="s">
        <v>113</v>
      </c>
      <c r="G371" s="446" t="s">
        <v>114</v>
      </c>
      <c r="H371" s="446" t="s">
        <v>41</v>
      </c>
      <c r="I371" s="447">
        <v>50</v>
      </c>
    </row>
    <row r="372" spans="2:9" hidden="1" outlineLevel="1" x14ac:dyDescent="0.25">
      <c r="B372" s="446" t="s">
        <v>992</v>
      </c>
      <c r="C372" s="446" t="s">
        <v>38</v>
      </c>
      <c r="D372" s="446">
        <v>2874</v>
      </c>
      <c r="E372" s="446" t="s">
        <v>115</v>
      </c>
      <c r="F372" s="446" t="s">
        <v>113</v>
      </c>
      <c r="G372" s="446" t="s">
        <v>114</v>
      </c>
      <c r="H372" s="446" t="s">
        <v>41</v>
      </c>
      <c r="I372" s="447">
        <v>25</v>
      </c>
    </row>
    <row r="373" spans="2:9" hidden="1" outlineLevel="1" x14ac:dyDescent="0.25">
      <c r="B373" s="446" t="s">
        <v>993</v>
      </c>
      <c r="C373" s="446" t="s">
        <v>38</v>
      </c>
      <c r="D373" s="446">
        <v>2876</v>
      </c>
      <c r="E373" s="446" t="s">
        <v>42</v>
      </c>
      <c r="F373" s="446" t="s">
        <v>113</v>
      </c>
      <c r="G373" s="446" t="s">
        <v>114</v>
      </c>
      <c r="H373" s="446" t="s">
        <v>41</v>
      </c>
      <c r="I373" s="447">
        <v>100</v>
      </c>
    </row>
    <row r="374" spans="2:9" hidden="1" outlineLevel="1" x14ac:dyDescent="0.25">
      <c r="B374" s="446" t="s">
        <v>994</v>
      </c>
      <c r="C374" s="446" t="s">
        <v>38</v>
      </c>
      <c r="D374" s="446">
        <v>2877</v>
      </c>
      <c r="E374" s="446" t="s">
        <v>52</v>
      </c>
      <c r="F374" s="446" t="s">
        <v>113</v>
      </c>
      <c r="G374" s="446" t="s">
        <v>114</v>
      </c>
      <c r="H374" s="446" t="s">
        <v>41</v>
      </c>
      <c r="I374" s="447">
        <v>500</v>
      </c>
    </row>
    <row r="375" spans="2:9" hidden="1" outlineLevel="1" x14ac:dyDescent="0.25">
      <c r="B375" s="446" t="s">
        <v>995</v>
      </c>
      <c r="C375" s="446" t="s">
        <v>38</v>
      </c>
      <c r="D375" s="446">
        <v>2878</v>
      </c>
      <c r="E375" s="446" t="s">
        <v>44</v>
      </c>
      <c r="F375" s="446" t="s">
        <v>113</v>
      </c>
      <c r="G375" s="446" t="s">
        <v>114</v>
      </c>
      <c r="H375" s="446" t="s">
        <v>41</v>
      </c>
      <c r="I375" s="447">
        <v>100</v>
      </c>
    </row>
    <row r="376" spans="2:9" hidden="1" outlineLevel="1" x14ac:dyDescent="0.25">
      <c r="B376" s="446" t="s">
        <v>995</v>
      </c>
      <c r="C376" s="446" t="s">
        <v>38</v>
      </c>
      <c r="D376" s="446">
        <v>2879</v>
      </c>
      <c r="E376" s="446" t="s">
        <v>56</v>
      </c>
      <c r="F376" s="446" t="s">
        <v>113</v>
      </c>
      <c r="G376" s="446" t="s">
        <v>114</v>
      </c>
      <c r="H376" s="446" t="s">
        <v>41</v>
      </c>
      <c r="I376" s="447">
        <v>0</v>
      </c>
    </row>
    <row r="377" spans="2:9" hidden="1" outlineLevel="1" x14ac:dyDescent="0.25">
      <c r="B377" s="446" t="s">
        <v>996</v>
      </c>
      <c r="C377" s="446" t="s">
        <v>38</v>
      </c>
      <c r="D377" s="446">
        <v>2880</v>
      </c>
      <c r="E377" s="446" t="s">
        <v>117</v>
      </c>
      <c r="F377" s="446" t="s">
        <v>113</v>
      </c>
      <c r="G377" s="446" t="s">
        <v>114</v>
      </c>
      <c r="H377" s="446" t="s">
        <v>41</v>
      </c>
      <c r="I377" s="447">
        <v>150</v>
      </c>
    </row>
    <row r="378" spans="2:9" hidden="1" outlineLevel="1" x14ac:dyDescent="0.25">
      <c r="B378" s="446" t="s">
        <v>997</v>
      </c>
      <c r="C378" s="446" t="s">
        <v>38</v>
      </c>
      <c r="D378" s="446">
        <v>2883</v>
      </c>
      <c r="E378" s="446" t="s">
        <v>835</v>
      </c>
      <c r="F378" s="446" t="s">
        <v>113</v>
      </c>
      <c r="G378" s="446" t="s">
        <v>114</v>
      </c>
      <c r="H378" s="446" t="s">
        <v>41</v>
      </c>
      <c r="I378" s="447">
        <v>50</v>
      </c>
    </row>
    <row r="379" spans="2:9" hidden="1" outlineLevel="1" x14ac:dyDescent="0.25">
      <c r="B379" s="446" t="s">
        <v>997</v>
      </c>
      <c r="C379" s="446" t="s">
        <v>38</v>
      </c>
      <c r="D379" s="446">
        <v>2882</v>
      </c>
      <c r="E379" s="446" t="s">
        <v>46</v>
      </c>
      <c r="F379" s="446" t="s">
        <v>113</v>
      </c>
      <c r="G379" s="446" t="s">
        <v>114</v>
      </c>
      <c r="H379" s="446" t="s">
        <v>41</v>
      </c>
      <c r="I379" s="447">
        <v>50</v>
      </c>
    </row>
    <row r="380" spans="2:9" hidden="1" outlineLevel="1" x14ac:dyDescent="0.25">
      <c r="B380" s="446" t="s">
        <v>998</v>
      </c>
      <c r="C380" s="446" t="s">
        <v>38</v>
      </c>
      <c r="D380" s="446">
        <v>2890</v>
      </c>
      <c r="E380" s="446" t="s">
        <v>48</v>
      </c>
      <c r="F380" s="446" t="s">
        <v>113</v>
      </c>
      <c r="G380" s="446" t="s">
        <v>114</v>
      </c>
      <c r="H380" s="446" t="s">
        <v>41</v>
      </c>
      <c r="I380" s="447">
        <v>20</v>
      </c>
    </row>
    <row r="381" spans="2:9" hidden="1" outlineLevel="1" x14ac:dyDescent="0.25">
      <c r="B381" s="446" t="s">
        <v>999</v>
      </c>
      <c r="C381" s="446" t="s">
        <v>38</v>
      </c>
      <c r="D381" s="446">
        <v>2892</v>
      </c>
      <c r="E381" s="446" t="s">
        <v>967</v>
      </c>
      <c r="F381" s="446" t="s">
        <v>113</v>
      </c>
      <c r="G381" s="446" t="s">
        <v>114</v>
      </c>
      <c r="H381" s="446" t="s">
        <v>41</v>
      </c>
      <c r="I381" s="447">
        <v>15</v>
      </c>
    </row>
    <row r="382" spans="2:9" hidden="1" outlineLevel="1" x14ac:dyDescent="0.25">
      <c r="B382" s="446" t="s">
        <v>999</v>
      </c>
      <c r="C382" s="446" t="s">
        <v>38</v>
      </c>
      <c r="D382" s="446">
        <v>2891</v>
      </c>
      <c r="E382" s="446" t="s">
        <v>47</v>
      </c>
      <c r="F382" s="446" t="s">
        <v>113</v>
      </c>
      <c r="G382" s="446" t="s">
        <v>114</v>
      </c>
      <c r="H382" s="446" t="s">
        <v>41</v>
      </c>
      <c r="I382" s="447">
        <v>100</v>
      </c>
    </row>
    <row r="383" spans="2:9" hidden="1" outlineLevel="1" x14ac:dyDescent="0.25">
      <c r="B383" s="446" t="s">
        <v>1000</v>
      </c>
      <c r="C383" s="446" t="s">
        <v>38</v>
      </c>
      <c r="D383" s="446">
        <v>2893</v>
      </c>
      <c r="E383" s="446" t="s">
        <v>49</v>
      </c>
      <c r="F383" s="446" t="s">
        <v>113</v>
      </c>
      <c r="G383" s="446" t="s">
        <v>114</v>
      </c>
      <c r="H383" s="446" t="s">
        <v>41</v>
      </c>
      <c r="I383" s="447" t="s">
        <v>696</v>
      </c>
    </row>
    <row r="384" spans="2:9" hidden="1" outlineLevel="1" x14ac:dyDescent="0.25">
      <c r="B384" s="446" t="s">
        <v>1001</v>
      </c>
      <c r="C384" s="446" t="s">
        <v>38</v>
      </c>
      <c r="D384" s="446">
        <v>2894</v>
      </c>
      <c r="E384" s="446" t="s">
        <v>119</v>
      </c>
      <c r="F384" s="446" t="s">
        <v>113</v>
      </c>
      <c r="G384" s="446" t="s">
        <v>114</v>
      </c>
      <c r="H384" s="446" t="s">
        <v>41</v>
      </c>
      <c r="I384" s="447">
        <v>100</v>
      </c>
    </row>
    <row r="385" spans="2:9" hidden="1" outlineLevel="1" x14ac:dyDescent="0.25">
      <c r="B385" s="446" t="s">
        <v>1002</v>
      </c>
      <c r="C385" s="446" t="s">
        <v>38</v>
      </c>
      <c r="D385" s="446">
        <v>2895</v>
      </c>
      <c r="E385" s="446" t="s">
        <v>57</v>
      </c>
      <c r="F385" s="446" t="s">
        <v>113</v>
      </c>
      <c r="G385" s="446" t="s">
        <v>114</v>
      </c>
      <c r="H385" s="446" t="s">
        <v>41</v>
      </c>
      <c r="I385" s="447">
        <v>100</v>
      </c>
    </row>
    <row r="386" spans="2:9" hidden="1" outlineLevel="1" x14ac:dyDescent="0.25">
      <c r="B386" s="446" t="s">
        <v>1002</v>
      </c>
      <c r="C386" s="446" t="s">
        <v>38</v>
      </c>
      <c r="D386" s="446">
        <v>2898</v>
      </c>
      <c r="E386" s="446" t="s">
        <v>804</v>
      </c>
      <c r="F386" s="446" t="s">
        <v>113</v>
      </c>
      <c r="G386" s="446" t="s">
        <v>114</v>
      </c>
      <c r="H386" s="446" t="s">
        <v>41</v>
      </c>
      <c r="I386" s="447" t="s">
        <v>696</v>
      </c>
    </row>
    <row r="387" spans="2:9" hidden="1" outlineLevel="1" x14ac:dyDescent="0.25">
      <c r="B387" s="446" t="s">
        <v>1002</v>
      </c>
      <c r="C387" s="446" t="s">
        <v>38</v>
      </c>
      <c r="D387" s="446">
        <v>2897</v>
      </c>
      <c r="E387" s="446" t="s">
        <v>51</v>
      </c>
      <c r="F387" s="446" t="s">
        <v>113</v>
      </c>
      <c r="G387" s="446" t="s">
        <v>114</v>
      </c>
      <c r="H387" s="446" t="s">
        <v>41</v>
      </c>
      <c r="I387" s="447">
        <v>100</v>
      </c>
    </row>
    <row r="388" spans="2:9" hidden="1" outlineLevel="1" x14ac:dyDescent="0.25">
      <c r="B388" s="446" t="s">
        <v>1002</v>
      </c>
      <c r="C388" s="446" t="s">
        <v>38</v>
      </c>
      <c r="D388" s="446">
        <v>2896</v>
      </c>
      <c r="E388" s="446" t="s">
        <v>116</v>
      </c>
      <c r="F388" s="446" t="s">
        <v>113</v>
      </c>
      <c r="G388" s="446" t="s">
        <v>114</v>
      </c>
      <c r="H388" s="446" t="s">
        <v>41</v>
      </c>
      <c r="I388" s="447">
        <v>40</v>
      </c>
    </row>
    <row r="389" spans="2:9" hidden="1" outlineLevel="1" x14ac:dyDescent="0.25">
      <c r="B389" s="446" t="s">
        <v>706</v>
      </c>
      <c r="C389" s="446" t="s">
        <v>38</v>
      </c>
      <c r="D389" s="446">
        <v>2902</v>
      </c>
      <c r="E389" s="446" t="s">
        <v>70</v>
      </c>
      <c r="F389" s="446" t="s">
        <v>113</v>
      </c>
      <c r="G389" s="446" t="s">
        <v>114</v>
      </c>
      <c r="H389" s="446" t="s">
        <v>41</v>
      </c>
      <c r="I389" s="447">
        <v>100</v>
      </c>
    </row>
    <row r="390" spans="2:9" hidden="1" outlineLevel="1" x14ac:dyDescent="0.25">
      <c r="B390" s="446" t="s">
        <v>706</v>
      </c>
      <c r="C390" s="446" t="s">
        <v>38</v>
      </c>
      <c r="D390" s="446">
        <v>2901</v>
      </c>
      <c r="E390" s="446" t="s">
        <v>53</v>
      </c>
      <c r="F390" s="446" t="s">
        <v>113</v>
      </c>
      <c r="G390" s="446" t="s">
        <v>114</v>
      </c>
      <c r="H390" s="446" t="s">
        <v>41</v>
      </c>
      <c r="I390" s="447" t="s">
        <v>696</v>
      </c>
    </row>
    <row r="391" spans="2:9" hidden="1" outlineLevel="1" x14ac:dyDescent="0.25">
      <c r="B391" s="446" t="s">
        <v>706</v>
      </c>
      <c r="C391" s="446" t="s">
        <v>38</v>
      </c>
      <c r="D391" s="446">
        <v>2899</v>
      </c>
      <c r="E391" s="446" t="s">
        <v>60</v>
      </c>
      <c r="F391" s="446" t="s">
        <v>113</v>
      </c>
      <c r="G391" s="446" t="s">
        <v>114</v>
      </c>
      <c r="H391" s="446" t="s">
        <v>41</v>
      </c>
      <c r="I391" s="447">
        <v>100</v>
      </c>
    </row>
    <row r="392" spans="2:9" hidden="1" outlineLevel="1" x14ac:dyDescent="0.25">
      <c r="B392" s="446" t="s">
        <v>706</v>
      </c>
      <c r="C392" s="446" t="s">
        <v>38</v>
      </c>
      <c r="D392" s="446">
        <v>2907</v>
      </c>
      <c r="E392" s="446" t="s">
        <v>795</v>
      </c>
      <c r="F392" s="446" t="s">
        <v>113</v>
      </c>
      <c r="G392" s="446" t="s">
        <v>114</v>
      </c>
      <c r="H392" s="446" t="s">
        <v>41</v>
      </c>
      <c r="I392" s="447">
        <v>500</v>
      </c>
    </row>
    <row r="393" spans="2:9" hidden="1" outlineLevel="1" x14ac:dyDescent="0.25">
      <c r="B393" s="446" t="s">
        <v>1003</v>
      </c>
      <c r="C393" s="446" t="s">
        <v>38</v>
      </c>
      <c r="D393" s="446">
        <v>2910</v>
      </c>
      <c r="E393" s="446" t="s">
        <v>39</v>
      </c>
      <c r="F393" s="446" t="s">
        <v>113</v>
      </c>
      <c r="G393" s="446" t="s">
        <v>114</v>
      </c>
      <c r="H393" s="446" t="s">
        <v>41</v>
      </c>
      <c r="I393" s="447" t="s">
        <v>696</v>
      </c>
    </row>
    <row r="394" spans="2:9" hidden="1" outlineLevel="1" x14ac:dyDescent="0.25">
      <c r="B394" s="446" t="s">
        <v>1004</v>
      </c>
      <c r="C394" s="446" t="s">
        <v>38</v>
      </c>
      <c r="D394" s="446">
        <v>2911</v>
      </c>
      <c r="E394" s="446" t="s">
        <v>55</v>
      </c>
      <c r="F394" s="446" t="s">
        <v>113</v>
      </c>
      <c r="G394" s="446" t="s">
        <v>114</v>
      </c>
      <c r="H394" s="446" t="s">
        <v>41</v>
      </c>
      <c r="I394" s="447">
        <v>100</v>
      </c>
    </row>
    <row r="395" spans="2:9" hidden="1" outlineLevel="1" x14ac:dyDescent="0.25">
      <c r="B395" s="446" t="s">
        <v>1005</v>
      </c>
      <c r="C395" s="446" t="s">
        <v>38</v>
      </c>
      <c r="D395" s="446">
        <v>2912</v>
      </c>
      <c r="E395" s="446" t="s">
        <v>919</v>
      </c>
      <c r="F395" s="446" t="s">
        <v>113</v>
      </c>
      <c r="G395" s="446" t="s">
        <v>114</v>
      </c>
      <c r="H395" s="446" t="s">
        <v>41</v>
      </c>
      <c r="I395" s="447">
        <v>50</v>
      </c>
    </row>
    <row r="396" spans="2:9" hidden="1" outlineLevel="1" x14ac:dyDescent="0.25">
      <c r="B396" s="446" t="s">
        <v>1005</v>
      </c>
      <c r="C396" s="446" t="s">
        <v>38</v>
      </c>
      <c r="D396" s="446">
        <v>2913</v>
      </c>
      <c r="E396" s="446" t="s">
        <v>54</v>
      </c>
      <c r="F396" s="446" t="s">
        <v>113</v>
      </c>
      <c r="G396" s="446" t="s">
        <v>114</v>
      </c>
      <c r="H396" s="446" t="s">
        <v>41</v>
      </c>
      <c r="I396" s="447">
        <v>50</v>
      </c>
    </row>
    <row r="397" spans="2:9" hidden="1" outlineLevel="1" x14ac:dyDescent="0.25">
      <c r="B397" s="446" t="s">
        <v>1006</v>
      </c>
      <c r="C397" s="446" t="s">
        <v>38</v>
      </c>
      <c r="D397" s="446">
        <v>2914</v>
      </c>
      <c r="E397" s="446" t="s">
        <v>717</v>
      </c>
      <c r="F397" s="446" t="s">
        <v>854</v>
      </c>
      <c r="G397" s="446" t="s">
        <v>114</v>
      </c>
      <c r="H397" s="446" t="s">
        <v>41</v>
      </c>
      <c r="I397" s="447">
        <v>100</v>
      </c>
    </row>
    <row r="398" spans="2:9" hidden="1" outlineLevel="1" x14ac:dyDescent="0.25">
      <c r="B398" s="446" t="s">
        <v>1007</v>
      </c>
      <c r="C398" s="446" t="s">
        <v>38</v>
      </c>
      <c r="D398" s="446">
        <v>2917</v>
      </c>
      <c r="E398" s="446" t="s">
        <v>829</v>
      </c>
      <c r="F398" s="446" t="s">
        <v>113</v>
      </c>
      <c r="G398" s="446" t="s">
        <v>114</v>
      </c>
      <c r="H398" s="446" t="s">
        <v>41</v>
      </c>
      <c r="I398" s="447">
        <v>50</v>
      </c>
    </row>
    <row r="399" spans="2:9" hidden="1" outlineLevel="1" x14ac:dyDescent="0.25">
      <c r="B399" s="446" t="s">
        <v>1007</v>
      </c>
      <c r="C399" s="446" t="s">
        <v>38</v>
      </c>
      <c r="D399" s="446">
        <v>2918</v>
      </c>
      <c r="E399" s="446" t="s">
        <v>115</v>
      </c>
      <c r="F399" s="446" t="s">
        <v>113</v>
      </c>
      <c r="G399" s="446" t="s">
        <v>114</v>
      </c>
      <c r="H399" s="446" t="s">
        <v>41</v>
      </c>
      <c r="I399" s="447">
        <v>25</v>
      </c>
    </row>
    <row r="400" spans="2:9" hidden="1" outlineLevel="1" x14ac:dyDescent="0.25">
      <c r="B400" s="446" t="s">
        <v>1008</v>
      </c>
      <c r="C400" s="446" t="s">
        <v>38</v>
      </c>
      <c r="D400" s="446">
        <v>2919</v>
      </c>
      <c r="E400" s="446" t="s">
        <v>42</v>
      </c>
      <c r="F400" s="446" t="s">
        <v>113</v>
      </c>
      <c r="G400" s="446" t="s">
        <v>114</v>
      </c>
      <c r="H400" s="446" t="s">
        <v>41</v>
      </c>
      <c r="I400" s="447">
        <v>100</v>
      </c>
    </row>
    <row r="401" spans="2:9" hidden="1" outlineLevel="1" x14ac:dyDescent="0.25">
      <c r="B401" s="446" t="s">
        <v>1009</v>
      </c>
      <c r="C401" s="446" t="s">
        <v>38</v>
      </c>
      <c r="D401" s="446">
        <v>2920</v>
      </c>
      <c r="E401" s="446" t="s">
        <v>52</v>
      </c>
      <c r="F401" s="446" t="s">
        <v>113</v>
      </c>
      <c r="G401" s="446" t="s">
        <v>114</v>
      </c>
      <c r="H401" s="446" t="s">
        <v>41</v>
      </c>
      <c r="I401" s="447">
        <v>500</v>
      </c>
    </row>
    <row r="402" spans="2:9" hidden="1" outlineLevel="1" x14ac:dyDescent="0.25">
      <c r="B402" s="446" t="s">
        <v>1010</v>
      </c>
      <c r="C402" s="446" t="s">
        <v>38</v>
      </c>
      <c r="D402" s="446">
        <v>2921</v>
      </c>
      <c r="E402" s="446" t="s">
        <v>44</v>
      </c>
      <c r="F402" s="446" t="s">
        <v>113</v>
      </c>
      <c r="G402" s="446" t="s">
        <v>114</v>
      </c>
      <c r="H402" s="446" t="s">
        <v>41</v>
      </c>
      <c r="I402" s="447">
        <v>100</v>
      </c>
    </row>
    <row r="403" spans="2:9" hidden="1" outlineLevel="1" x14ac:dyDescent="0.25">
      <c r="B403" s="446" t="s">
        <v>1010</v>
      </c>
      <c r="C403" s="446" t="s">
        <v>38</v>
      </c>
      <c r="D403" s="446">
        <v>2922</v>
      </c>
      <c r="E403" s="446" t="s">
        <v>56</v>
      </c>
      <c r="F403" s="446" t="s">
        <v>113</v>
      </c>
      <c r="G403" s="446" t="s">
        <v>114</v>
      </c>
      <c r="H403" s="446" t="s">
        <v>41</v>
      </c>
      <c r="I403" s="447">
        <v>100</v>
      </c>
    </row>
    <row r="404" spans="2:9" hidden="1" outlineLevel="1" x14ac:dyDescent="0.25">
      <c r="B404" s="446" t="s">
        <v>1011</v>
      </c>
      <c r="C404" s="446" t="s">
        <v>38</v>
      </c>
      <c r="D404" s="446">
        <v>2923</v>
      </c>
      <c r="E404" s="446" t="s">
        <v>117</v>
      </c>
      <c r="F404" s="446" t="s">
        <v>113</v>
      </c>
      <c r="G404" s="446" t="s">
        <v>114</v>
      </c>
      <c r="H404" s="446" t="s">
        <v>41</v>
      </c>
      <c r="I404" s="447">
        <v>150</v>
      </c>
    </row>
    <row r="405" spans="2:9" hidden="1" outlineLevel="1" x14ac:dyDescent="0.25">
      <c r="B405" s="446" t="s">
        <v>742</v>
      </c>
      <c r="C405" s="446" t="s">
        <v>38</v>
      </c>
      <c r="D405" s="446">
        <v>2925</v>
      </c>
      <c r="E405" s="446" t="s">
        <v>835</v>
      </c>
      <c r="F405" s="446" t="s">
        <v>113</v>
      </c>
      <c r="G405" s="446" t="s">
        <v>114</v>
      </c>
      <c r="H405" s="446" t="s">
        <v>41</v>
      </c>
      <c r="I405" s="447">
        <v>50</v>
      </c>
    </row>
    <row r="406" spans="2:9" hidden="1" outlineLevel="1" x14ac:dyDescent="0.25">
      <c r="B406" s="446" t="s">
        <v>742</v>
      </c>
      <c r="C406" s="446" t="s">
        <v>38</v>
      </c>
      <c r="D406" s="446">
        <v>2928</v>
      </c>
      <c r="E406" s="446" t="s">
        <v>120</v>
      </c>
      <c r="F406" s="446" t="s">
        <v>113</v>
      </c>
      <c r="G406" s="446" t="s">
        <v>114</v>
      </c>
      <c r="H406" s="446" t="s">
        <v>41</v>
      </c>
      <c r="I406" s="447">
        <v>75</v>
      </c>
    </row>
    <row r="407" spans="2:9" hidden="1" outlineLevel="1" x14ac:dyDescent="0.25">
      <c r="B407" s="446" t="s">
        <v>742</v>
      </c>
      <c r="C407" s="446" t="s">
        <v>38</v>
      </c>
      <c r="D407" s="446">
        <v>2924</v>
      </c>
      <c r="E407" s="446" t="s">
        <v>46</v>
      </c>
      <c r="F407" s="446" t="s">
        <v>113</v>
      </c>
      <c r="G407" s="446" t="s">
        <v>114</v>
      </c>
      <c r="H407" s="446" t="s">
        <v>41</v>
      </c>
      <c r="I407" s="447">
        <v>50</v>
      </c>
    </row>
    <row r="408" spans="2:9" hidden="1" outlineLevel="1" x14ac:dyDescent="0.25">
      <c r="B408" s="446" t="s">
        <v>1012</v>
      </c>
      <c r="C408" s="446" t="s">
        <v>38</v>
      </c>
      <c r="D408" s="446">
        <v>2930</v>
      </c>
      <c r="E408" s="446" t="s">
        <v>48</v>
      </c>
      <c r="F408" s="446" t="s">
        <v>113</v>
      </c>
      <c r="G408" s="446" t="s">
        <v>114</v>
      </c>
      <c r="H408" s="446" t="s">
        <v>41</v>
      </c>
      <c r="I408" s="447">
        <v>20</v>
      </c>
    </row>
    <row r="409" spans="2:9" hidden="1" outlineLevel="1" x14ac:dyDescent="0.25">
      <c r="B409" s="446" t="s">
        <v>1012</v>
      </c>
      <c r="C409" s="446" t="s">
        <v>38</v>
      </c>
      <c r="D409" s="446">
        <v>2927</v>
      </c>
      <c r="E409" s="446" t="s">
        <v>967</v>
      </c>
      <c r="F409" s="446" t="s">
        <v>113</v>
      </c>
      <c r="G409" s="446" t="s">
        <v>114</v>
      </c>
      <c r="H409" s="446" t="s">
        <v>41</v>
      </c>
      <c r="I409" s="447">
        <v>15</v>
      </c>
    </row>
    <row r="410" spans="2:9" hidden="1" outlineLevel="1" x14ac:dyDescent="0.25">
      <c r="B410" s="446" t="s">
        <v>1012</v>
      </c>
      <c r="C410" s="446" t="s">
        <v>38</v>
      </c>
      <c r="D410" s="446">
        <v>2926</v>
      </c>
      <c r="E410" s="446" t="s">
        <v>47</v>
      </c>
      <c r="F410" s="446" t="s">
        <v>113</v>
      </c>
      <c r="G410" s="446" t="s">
        <v>114</v>
      </c>
      <c r="H410" s="446" t="s">
        <v>41</v>
      </c>
      <c r="I410" s="447">
        <v>100</v>
      </c>
    </row>
    <row r="411" spans="2:9" hidden="1" outlineLevel="1" x14ac:dyDescent="0.25">
      <c r="B411" s="446" t="s">
        <v>745</v>
      </c>
      <c r="C411" s="446" t="s">
        <v>38</v>
      </c>
      <c r="D411" s="446">
        <v>2931</v>
      </c>
      <c r="E411" s="446" t="s">
        <v>49</v>
      </c>
      <c r="F411" s="446" t="s">
        <v>113</v>
      </c>
      <c r="G411" s="446" t="s">
        <v>114</v>
      </c>
      <c r="H411" s="446" t="s">
        <v>41</v>
      </c>
      <c r="I411" s="447" t="s">
        <v>696</v>
      </c>
    </row>
    <row r="412" spans="2:9" hidden="1" outlineLevel="1" x14ac:dyDescent="0.25">
      <c r="B412" s="446" t="s">
        <v>1013</v>
      </c>
      <c r="C412" s="446" t="s">
        <v>38</v>
      </c>
      <c r="D412" s="446">
        <v>2933</v>
      </c>
      <c r="E412" s="446" t="s">
        <v>119</v>
      </c>
      <c r="F412" s="446" t="s">
        <v>113</v>
      </c>
      <c r="G412" s="446" t="s">
        <v>114</v>
      </c>
      <c r="H412" s="446" t="s">
        <v>41</v>
      </c>
      <c r="I412" s="447">
        <v>100</v>
      </c>
    </row>
    <row r="413" spans="2:9" hidden="1" outlineLevel="1" x14ac:dyDescent="0.25">
      <c r="B413" s="446" t="s">
        <v>1014</v>
      </c>
      <c r="C413" s="446" t="s">
        <v>38</v>
      </c>
      <c r="D413" s="446">
        <v>2937</v>
      </c>
      <c r="E413" s="446" t="s">
        <v>51</v>
      </c>
      <c r="F413" s="446" t="s">
        <v>113</v>
      </c>
      <c r="G413" s="446" t="s">
        <v>114</v>
      </c>
      <c r="H413" s="446" t="s">
        <v>41</v>
      </c>
      <c r="I413" s="447">
        <v>100</v>
      </c>
    </row>
    <row r="414" spans="2:9" hidden="1" outlineLevel="1" x14ac:dyDescent="0.25">
      <c r="B414" s="446" t="s">
        <v>1014</v>
      </c>
      <c r="C414" s="446" t="s">
        <v>38</v>
      </c>
      <c r="D414" s="446">
        <v>2936</v>
      </c>
      <c r="E414" s="446" t="s">
        <v>804</v>
      </c>
      <c r="F414" s="446" t="s">
        <v>113</v>
      </c>
      <c r="G414" s="446" t="s">
        <v>114</v>
      </c>
      <c r="H414" s="446" t="s">
        <v>41</v>
      </c>
      <c r="I414" s="447" t="s">
        <v>696</v>
      </c>
    </row>
    <row r="415" spans="2:9" hidden="1" outlineLevel="1" x14ac:dyDescent="0.25">
      <c r="B415" s="446" t="s">
        <v>1014</v>
      </c>
      <c r="C415" s="446" t="s">
        <v>38</v>
      </c>
      <c r="D415" s="446">
        <v>2934</v>
      </c>
      <c r="E415" s="446" t="s">
        <v>57</v>
      </c>
      <c r="F415" s="446" t="s">
        <v>113</v>
      </c>
      <c r="G415" s="446" t="s">
        <v>114</v>
      </c>
      <c r="H415" s="446" t="s">
        <v>41</v>
      </c>
      <c r="I415" s="447">
        <v>100</v>
      </c>
    </row>
    <row r="416" spans="2:9" hidden="1" outlineLevel="1" x14ac:dyDescent="0.25">
      <c r="B416" s="446" t="s">
        <v>1014</v>
      </c>
      <c r="C416" s="446" t="s">
        <v>38</v>
      </c>
      <c r="D416" s="446">
        <v>2938</v>
      </c>
      <c r="E416" s="446" t="s">
        <v>795</v>
      </c>
      <c r="F416" s="446" t="s">
        <v>113</v>
      </c>
      <c r="G416" s="446" t="s">
        <v>114</v>
      </c>
      <c r="H416" s="446" t="s">
        <v>41</v>
      </c>
      <c r="I416" s="447">
        <v>500</v>
      </c>
    </row>
    <row r="417" spans="2:9" hidden="1" outlineLevel="1" x14ac:dyDescent="0.25">
      <c r="B417" s="446" t="s">
        <v>1014</v>
      </c>
      <c r="C417" s="446" t="s">
        <v>38</v>
      </c>
      <c r="D417" s="446">
        <v>2935</v>
      </c>
      <c r="E417" s="446" t="s">
        <v>116</v>
      </c>
      <c r="F417" s="446" t="s">
        <v>113</v>
      </c>
      <c r="G417" s="446" t="s">
        <v>114</v>
      </c>
      <c r="H417" s="446" t="s">
        <v>41</v>
      </c>
      <c r="I417" s="447">
        <v>40</v>
      </c>
    </row>
    <row r="418" spans="2:9" hidden="1" outlineLevel="1" x14ac:dyDescent="0.25">
      <c r="B418" s="446" t="s">
        <v>707</v>
      </c>
      <c r="C418" s="446" t="s">
        <v>38</v>
      </c>
      <c r="D418" s="446">
        <v>2941</v>
      </c>
      <c r="E418" s="446" t="s">
        <v>53</v>
      </c>
      <c r="F418" s="446" t="s">
        <v>113</v>
      </c>
      <c r="G418" s="446" t="s">
        <v>114</v>
      </c>
      <c r="H418" s="446" t="s">
        <v>41</v>
      </c>
      <c r="I418" s="447" t="s">
        <v>696</v>
      </c>
    </row>
    <row r="419" spans="2:9" hidden="1" outlineLevel="1" x14ac:dyDescent="0.25">
      <c r="B419" s="446" t="s">
        <v>707</v>
      </c>
      <c r="C419" s="446" t="s">
        <v>38</v>
      </c>
      <c r="D419" s="446">
        <v>2942</v>
      </c>
      <c r="E419" s="446" t="s">
        <v>70</v>
      </c>
      <c r="F419" s="446" t="s">
        <v>113</v>
      </c>
      <c r="G419" s="446" t="s">
        <v>114</v>
      </c>
      <c r="H419" s="446" t="s">
        <v>41</v>
      </c>
      <c r="I419" s="447">
        <v>100</v>
      </c>
    </row>
    <row r="420" spans="2:9" hidden="1" outlineLevel="1" x14ac:dyDescent="0.25">
      <c r="B420" s="446" t="s">
        <v>707</v>
      </c>
      <c r="C420" s="446" t="s">
        <v>38</v>
      </c>
      <c r="D420" s="446">
        <v>2939</v>
      </c>
      <c r="E420" s="446" t="s">
        <v>60</v>
      </c>
      <c r="F420" s="446" t="s">
        <v>113</v>
      </c>
      <c r="G420" s="446" t="s">
        <v>114</v>
      </c>
      <c r="H420" s="446" t="s">
        <v>41</v>
      </c>
      <c r="I420" s="447">
        <v>100</v>
      </c>
    </row>
    <row r="421" spans="2:9" hidden="1" outlineLevel="1" x14ac:dyDescent="0.25">
      <c r="B421" s="446" t="s">
        <v>751</v>
      </c>
      <c r="C421" s="446" t="s">
        <v>38</v>
      </c>
      <c r="D421" s="446">
        <v>2944</v>
      </c>
      <c r="E421" s="446" t="s">
        <v>39</v>
      </c>
      <c r="F421" s="446" t="s">
        <v>113</v>
      </c>
      <c r="G421" s="446" t="s">
        <v>114</v>
      </c>
      <c r="H421" s="446" t="s">
        <v>41</v>
      </c>
      <c r="I421" s="447" t="s">
        <v>696</v>
      </c>
    </row>
    <row r="422" spans="2:9" hidden="1" outlineLevel="1" x14ac:dyDescent="0.25">
      <c r="B422" s="446" t="s">
        <v>1015</v>
      </c>
      <c r="C422" s="446" t="s">
        <v>38</v>
      </c>
      <c r="D422" s="446">
        <v>2945</v>
      </c>
      <c r="E422" s="446" t="s">
        <v>55</v>
      </c>
      <c r="F422" s="446" t="s">
        <v>113</v>
      </c>
      <c r="G422" s="446" t="s">
        <v>114</v>
      </c>
      <c r="H422" s="446" t="s">
        <v>41</v>
      </c>
      <c r="I422" s="447">
        <v>100</v>
      </c>
    </row>
    <row r="423" spans="2:9" hidden="1" outlineLevel="1" x14ac:dyDescent="0.25">
      <c r="B423" s="446" t="s">
        <v>1016</v>
      </c>
      <c r="C423" s="446" t="s">
        <v>38</v>
      </c>
      <c r="D423" s="446">
        <v>2946</v>
      </c>
      <c r="E423" s="446" t="s">
        <v>919</v>
      </c>
      <c r="F423" s="446" t="s">
        <v>113</v>
      </c>
      <c r="G423" s="446" t="s">
        <v>114</v>
      </c>
      <c r="H423" s="446" t="s">
        <v>41</v>
      </c>
      <c r="I423" s="447">
        <v>50</v>
      </c>
    </row>
    <row r="424" spans="2:9" hidden="1" outlineLevel="1" x14ac:dyDescent="0.25">
      <c r="B424" s="446" t="s">
        <v>1016</v>
      </c>
      <c r="C424" s="446" t="s">
        <v>38</v>
      </c>
      <c r="D424" s="446">
        <v>2947</v>
      </c>
      <c r="E424" s="446" t="s">
        <v>54</v>
      </c>
      <c r="F424" s="446" t="s">
        <v>113</v>
      </c>
      <c r="G424" s="446" t="s">
        <v>114</v>
      </c>
      <c r="H424" s="446" t="s">
        <v>41</v>
      </c>
      <c r="I424" s="447">
        <v>50</v>
      </c>
    </row>
    <row r="425" spans="2:9" hidden="1" outlineLevel="1" x14ac:dyDescent="0.25">
      <c r="B425" s="446" t="s">
        <v>754</v>
      </c>
      <c r="C425" s="446" t="s">
        <v>38</v>
      </c>
      <c r="D425" s="446">
        <v>2966</v>
      </c>
      <c r="E425" s="446" t="s">
        <v>120</v>
      </c>
      <c r="F425" s="446" t="s">
        <v>113</v>
      </c>
      <c r="G425" s="446" t="s">
        <v>114</v>
      </c>
      <c r="H425" s="446" t="s">
        <v>41</v>
      </c>
      <c r="I425" s="447">
        <v>75</v>
      </c>
    </row>
    <row r="426" spans="2:9" hidden="1" outlineLevel="1" x14ac:dyDescent="0.25">
      <c r="B426" s="446" t="s">
        <v>786</v>
      </c>
      <c r="C426" s="446" t="s">
        <v>38</v>
      </c>
      <c r="D426" s="446">
        <v>2981</v>
      </c>
      <c r="E426" s="446" t="s">
        <v>1017</v>
      </c>
      <c r="F426" s="446" t="s">
        <v>1018</v>
      </c>
      <c r="G426" s="446" t="s">
        <v>114</v>
      </c>
      <c r="H426" s="446" t="s">
        <v>41</v>
      </c>
      <c r="I426" s="447">
        <v>50</v>
      </c>
    </row>
    <row r="427" spans="2:9" hidden="1" outlineLevel="1" x14ac:dyDescent="0.25">
      <c r="B427" s="446" t="s">
        <v>1019</v>
      </c>
      <c r="C427" s="446" t="s">
        <v>38</v>
      </c>
      <c r="D427" s="446">
        <v>2982</v>
      </c>
      <c r="E427" s="446" t="s">
        <v>717</v>
      </c>
      <c r="F427" s="446" t="s">
        <v>854</v>
      </c>
      <c r="G427" s="446" t="s">
        <v>114</v>
      </c>
      <c r="H427" s="446" t="s">
        <v>41</v>
      </c>
      <c r="I427" s="447">
        <v>100</v>
      </c>
    </row>
    <row r="428" spans="2:9" hidden="1" outlineLevel="1" x14ac:dyDescent="0.25">
      <c r="B428" s="446" t="s">
        <v>1020</v>
      </c>
      <c r="C428" s="446" t="s">
        <v>38</v>
      </c>
      <c r="D428" s="446">
        <v>2984</v>
      </c>
      <c r="E428" s="446" t="s">
        <v>115</v>
      </c>
      <c r="F428" s="446" t="s">
        <v>113</v>
      </c>
      <c r="G428" s="446" t="s">
        <v>114</v>
      </c>
      <c r="H428" s="446" t="s">
        <v>41</v>
      </c>
      <c r="I428" s="447">
        <v>25</v>
      </c>
    </row>
    <row r="429" spans="2:9" hidden="1" outlineLevel="1" x14ac:dyDescent="0.25">
      <c r="B429" s="446" t="s">
        <v>1020</v>
      </c>
      <c r="C429" s="446" t="s">
        <v>38</v>
      </c>
      <c r="D429" s="446">
        <v>2983</v>
      </c>
      <c r="E429" s="446" t="s">
        <v>829</v>
      </c>
      <c r="F429" s="446" t="s">
        <v>113</v>
      </c>
      <c r="G429" s="446" t="s">
        <v>114</v>
      </c>
      <c r="H429" s="446" t="s">
        <v>41</v>
      </c>
      <c r="I429" s="447">
        <v>50</v>
      </c>
    </row>
    <row r="430" spans="2:9" hidden="1" outlineLevel="1" x14ac:dyDescent="0.25">
      <c r="B430" s="446" t="s">
        <v>1021</v>
      </c>
      <c r="C430" s="446" t="s">
        <v>38</v>
      </c>
      <c r="D430" s="446">
        <v>2985</v>
      </c>
      <c r="E430" s="446" t="s">
        <v>42</v>
      </c>
      <c r="F430" s="446" t="s">
        <v>113</v>
      </c>
      <c r="G430" s="446" t="s">
        <v>114</v>
      </c>
      <c r="H430" s="446" t="s">
        <v>41</v>
      </c>
      <c r="I430" s="447">
        <v>100</v>
      </c>
    </row>
    <row r="431" spans="2:9" hidden="1" outlineLevel="1" x14ac:dyDescent="0.25">
      <c r="B431" s="446" t="s">
        <v>1022</v>
      </c>
      <c r="C431" s="446" t="s">
        <v>38</v>
      </c>
      <c r="D431" s="446">
        <v>2986</v>
      </c>
      <c r="E431" s="446" t="s">
        <v>52</v>
      </c>
      <c r="F431" s="446" t="s">
        <v>113</v>
      </c>
      <c r="G431" s="446" t="s">
        <v>114</v>
      </c>
      <c r="H431" s="446" t="s">
        <v>41</v>
      </c>
      <c r="I431" s="447">
        <v>500</v>
      </c>
    </row>
    <row r="432" spans="2:9" hidden="1" outlineLevel="1" x14ac:dyDescent="0.25">
      <c r="B432" s="446" t="s">
        <v>794</v>
      </c>
      <c r="C432" s="446" t="s">
        <v>38</v>
      </c>
      <c r="D432" s="446">
        <v>2987</v>
      </c>
      <c r="E432" s="446" t="s">
        <v>44</v>
      </c>
      <c r="F432" s="446" t="s">
        <v>113</v>
      </c>
      <c r="G432" s="446" t="s">
        <v>114</v>
      </c>
      <c r="H432" s="446" t="s">
        <v>41</v>
      </c>
      <c r="I432" s="447">
        <v>100</v>
      </c>
    </row>
    <row r="433" spans="2:9" hidden="1" outlineLevel="1" x14ac:dyDescent="0.25">
      <c r="B433" s="446" t="s">
        <v>794</v>
      </c>
      <c r="C433" s="446" t="s">
        <v>38</v>
      </c>
      <c r="D433" s="446">
        <v>2988</v>
      </c>
      <c r="E433" s="446" t="s">
        <v>56</v>
      </c>
      <c r="F433" s="446" t="s">
        <v>113</v>
      </c>
      <c r="G433" s="446" t="s">
        <v>114</v>
      </c>
      <c r="H433" s="446" t="s">
        <v>41</v>
      </c>
      <c r="I433" s="447">
        <v>0</v>
      </c>
    </row>
    <row r="434" spans="2:9" hidden="1" outlineLevel="1" x14ac:dyDescent="0.25">
      <c r="B434" s="446" t="s">
        <v>1023</v>
      </c>
      <c r="C434" s="446" t="s">
        <v>38</v>
      </c>
      <c r="D434" s="446">
        <v>2995</v>
      </c>
      <c r="E434" s="446" t="s">
        <v>117</v>
      </c>
      <c r="F434" s="446" t="s">
        <v>113</v>
      </c>
      <c r="G434" s="446" t="s">
        <v>114</v>
      </c>
      <c r="H434" s="446" t="s">
        <v>41</v>
      </c>
      <c r="I434" s="447">
        <v>150</v>
      </c>
    </row>
    <row r="435" spans="2:9" hidden="1" outlineLevel="1" x14ac:dyDescent="0.25">
      <c r="B435" s="446" t="s">
        <v>1024</v>
      </c>
      <c r="C435" s="446" t="s">
        <v>38</v>
      </c>
      <c r="D435" s="446">
        <v>2997</v>
      </c>
      <c r="E435" s="446" t="s">
        <v>835</v>
      </c>
      <c r="F435" s="446" t="s">
        <v>113</v>
      </c>
      <c r="G435" s="446" t="s">
        <v>114</v>
      </c>
      <c r="H435" s="446" t="s">
        <v>41</v>
      </c>
      <c r="I435" s="447">
        <v>50</v>
      </c>
    </row>
    <row r="436" spans="2:9" hidden="1" outlineLevel="1" x14ac:dyDescent="0.25">
      <c r="B436" s="446" t="s">
        <v>1024</v>
      </c>
      <c r="C436" s="446" t="s">
        <v>38</v>
      </c>
      <c r="D436" s="446">
        <v>2996</v>
      </c>
      <c r="E436" s="446" t="s">
        <v>46</v>
      </c>
      <c r="F436" s="446" t="s">
        <v>113</v>
      </c>
      <c r="G436" s="446" t="s">
        <v>114</v>
      </c>
      <c r="H436" s="446" t="s">
        <v>41</v>
      </c>
      <c r="I436" s="447">
        <v>50</v>
      </c>
    </row>
    <row r="437" spans="2:9" hidden="1" outlineLevel="1" x14ac:dyDescent="0.25">
      <c r="B437" s="446" t="s">
        <v>1025</v>
      </c>
      <c r="C437" s="446" t="s">
        <v>38</v>
      </c>
      <c r="D437" s="446">
        <v>3003</v>
      </c>
      <c r="E437" s="446" t="s">
        <v>48</v>
      </c>
      <c r="F437" s="446" t="s">
        <v>113</v>
      </c>
      <c r="G437" s="446" t="s">
        <v>114</v>
      </c>
      <c r="H437" s="446" t="s">
        <v>41</v>
      </c>
      <c r="I437" s="447">
        <v>20</v>
      </c>
    </row>
    <row r="438" spans="2:9" hidden="1" outlineLevel="1" x14ac:dyDescent="0.25">
      <c r="B438" s="446" t="s">
        <v>803</v>
      </c>
      <c r="C438" s="446" t="s">
        <v>38</v>
      </c>
      <c r="D438" s="446">
        <v>2998</v>
      </c>
      <c r="E438" s="446" t="s">
        <v>795</v>
      </c>
      <c r="F438" s="446" t="s">
        <v>113</v>
      </c>
      <c r="G438" s="446" t="s">
        <v>114</v>
      </c>
      <c r="H438" s="446" t="s">
        <v>41</v>
      </c>
      <c r="I438" s="447">
        <v>500</v>
      </c>
    </row>
    <row r="439" spans="2:9" hidden="1" outlineLevel="1" x14ac:dyDescent="0.25">
      <c r="B439" s="446" t="s">
        <v>1026</v>
      </c>
      <c r="C439" s="446" t="s">
        <v>38</v>
      </c>
      <c r="D439" s="446">
        <v>3001</v>
      </c>
      <c r="E439" s="446" t="s">
        <v>967</v>
      </c>
      <c r="F439" s="446" t="s">
        <v>113</v>
      </c>
      <c r="G439" s="446" t="s">
        <v>114</v>
      </c>
      <c r="H439" s="446" t="s">
        <v>41</v>
      </c>
      <c r="I439" s="447">
        <v>15</v>
      </c>
    </row>
    <row r="440" spans="2:9" hidden="1" outlineLevel="1" x14ac:dyDescent="0.25">
      <c r="B440" s="446" t="s">
        <v>1026</v>
      </c>
      <c r="C440" s="446" t="s">
        <v>38</v>
      </c>
      <c r="D440" s="446">
        <v>3000</v>
      </c>
      <c r="E440" s="446" t="s">
        <v>47</v>
      </c>
      <c r="F440" s="446" t="s">
        <v>113</v>
      </c>
      <c r="G440" s="446" t="s">
        <v>114</v>
      </c>
      <c r="H440" s="446" t="s">
        <v>41</v>
      </c>
      <c r="I440" s="447">
        <v>100</v>
      </c>
    </row>
    <row r="441" spans="2:9" hidden="1" outlineLevel="1" x14ac:dyDescent="0.25">
      <c r="B441" s="446" t="s">
        <v>1027</v>
      </c>
      <c r="C441" s="446" t="s">
        <v>38</v>
      </c>
      <c r="D441" s="446">
        <v>3002</v>
      </c>
      <c r="E441" s="446" t="s">
        <v>49</v>
      </c>
      <c r="F441" s="446" t="s">
        <v>113</v>
      </c>
      <c r="G441" s="446" t="s">
        <v>114</v>
      </c>
      <c r="H441" s="446" t="s">
        <v>41</v>
      </c>
      <c r="I441" s="447" t="s">
        <v>696</v>
      </c>
    </row>
    <row r="442" spans="2:9" hidden="1" outlineLevel="1" x14ac:dyDescent="0.25">
      <c r="B442" s="446" t="s">
        <v>808</v>
      </c>
      <c r="C442" s="446" t="s">
        <v>38</v>
      </c>
      <c r="D442" s="446">
        <v>3013</v>
      </c>
      <c r="E442" s="446" t="s">
        <v>880</v>
      </c>
      <c r="F442" s="446" t="s">
        <v>882</v>
      </c>
      <c r="G442" s="446" t="s">
        <v>114</v>
      </c>
      <c r="H442" s="446" t="s">
        <v>41</v>
      </c>
      <c r="I442" s="447">
        <v>150</v>
      </c>
    </row>
    <row r="443" spans="2:9" hidden="1" outlineLevel="1" x14ac:dyDescent="0.25">
      <c r="B443" s="446" t="s">
        <v>808</v>
      </c>
      <c r="C443" s="446" t="s">
        <v>38</v>
      </c>
      <c r="D443" s="446">
        <v>3013</v>
      </c>
      <c r="E443" s="446" t="s">
        <v>880</v>
      </c>
      <c r="F443" s="446" t="s">
        <v>881</v>
      </c>
      <c r="G443" s="446" t="s">
        <v>114</v>
      </c>
      <c r="H443" s="446" t="s">
        <v>41</v>
      </c>
      <c r="I443" s="447">
        <v>75</v>
      </c>
    </row>
    <row r="444" spans="2:9" hidden="1" outlineLevel="1" x14ac:dyDescent="0.25">
      <c r="B444" s="446" t="s">
        <v>808</v>
      </c>
      <c r="C444" s="446" t="s">
        <v>38</v>
      </c>
      <c r="D444" s="446">
        <v>3004</v>
      </c>
      <c r="E444" s="446" t="s">
        <v>119</v>
      </c>
      <c r="F444" s="446" t="s">
        <v>113</v>
      </c>
      <c r="G444" s="446" t="s">
        <v>114</v>
      </c>
      <c r="H444" s="446" t="s">
        <v>41</v>
      </c>
      <c r="I444" s="447">
        <v>100</v>
      </c>
    </row>
    <row r="445" spans="2:9" hidden="1" outlineLevel="1" x14ac:dyDescent="0.25">
      <c r="B445" s="446" t="s">
        <v>1028</v>
      </c>
      <c r="C445" s="446" t="s">
        <v>38</v>
      </c>
      <c r="D445" s="446">
        <v>3008</v>
      </c>
      <c r="E445" s="446" t="s">
        <v>51</v>
      </c>
      <c r="F445" s="446" t="s">
        <v>113</v>
      </c>
      <c r="G445" s="446" t="s">
        <v>114</v>
      </c>
      <c r="H445" s="446" t="s">
        <v>41</v>
      </c>
      <c r="I445" s="447">
        <v>100</v>
      </c>
    </row>
    <row r="446" spans="2:9" hidden="1" outlineLevel="1" x14ac:dyDescent="0.25">
      <c r="B446" s="446" t="s">
        <v>1028</v>
      </c>
      <c r="C446" s="446" t="s">
        <v>38</v>
      </c>
      <c r="D446" s="446">
        <v>3006</v>
      </c>
      <c r="E446" s="446" t="s">
        <v>116</v>
      </c>
      <c r="F446" s="446" t="s">
        <v>113</v>
      </c>
      <c r="G446" s="446" t="s">
        <v>114</v>
      </c>
      <c r="H446" s="446" t="s">
        <v>41</v>
      </c>
      <c r="I446" s="447">
        <v>40</v>
      </c>
    </row>
    <row r="447" spans="2:9" hidden="1" outlineLevel="1" x14ac:dyDescent="0.25">
      <c r="B447" s="446" t="s">
        <v>1028</v>
      </c>
      <c r="C447" s="446" t="s">
        <v>38</v>
      </c>
      <c r="D447" s="446">
        <v>3005</v>
      </c>
      <c r="E447" s="446" t="s">
        <v>57</v>
      </c>
      <c r="F447" s="446" t="s">
        <v>113</v>
      </c>
      <c r="G447" s="446" t="s">
        <v>114</v>
      </c>
      <c r="H447" s="446" t="s">
        <v>41</v>
      </c>
      <c r="I447" s="447">
        <v>100</v>
      </c>
    </row>
    <row r="448" spans="2:9" hidden="1" outlineLevel="1" x14ac:dyDescent="0.25">
      <c r="B448" s="446" t="s">
        <v>1028</v>
      </c>
      <c r="C448" s="446" t="s">
        <v>38</v>
      </c>
      <c r="D448" s="446">
        <v>3007</v>
      </c>
      <c r="E448" s="446" t="s">
        <v>804</v>
      </c>
      <c r="F448" s="446" t="s">
        <v>113</v>
      </c>
      <c r="G448" s="446" t="s">
        <v>114</v>
      </c>
      <c r="H448" s="446" t="s">
        <v>41</v>
      </c>
      <c r="I448" s="447" t="s">
        <v>696</v>
      </c>
    </row>
    <row r="449" spans="1:9" hidden="1" outlineLevel="1" x14ac:dyDescent="0.25">
      <c r="B449" s="446" t="s">
        <v>708</v>
      </c>
      <c r="C449" s="446" t="s">
        <v>38</v>
      </c>
      <c r="D449" s="446">
        <v>3011</v>
      </c>
      <c r="E449" s="446" t="s">
        <v>53</v>
      </c>
      <c r="F449" s="446" t="s">
        <v>113</v>
      </c>
      <c r="G449" s="446" t="s">
        <v>114</v>
      </c>
      <c r="H449" s="446" t="s">
        <v>41</v>
      </c>
      <c r="I449" s="447" t="s">
        <v>696</v>
      </c>
    </row>
    <row r="450" spans="1:9" hidden="1" outlineLevel="1" x14ac:dyDescent="0.25">
      <c r="B450" s="446" t="s">
        <v>708</v>
      </c>
      <c r="C450" s="446" t="s">
        <v>38</v>
      </c>
      <c r="D450" s="446">
        <v>3012</v>
      </c>
      <c r="E450" s="446" t="s">
        <v>70</v>
      </c>
      <c r="F450" s="446" t="s">
        <v>113</v>
      </c>
      <c r="G450" s="446" t="s">
        <v>114</v>
      </c>
      <c r="H450" s="446" t="s">
        <v>41</v>
      </c>
      <c r="I450" s="447">
        <v>100</v>
      </c>
    </row>
    <row r="451" spans="1:9" hidden="1" outlineLevel="1" x14ac:dyDescent="0.25">
      <c r="B451" s="446" t="s">
        <v>708</v>
      </c>
      <c r="C451" s="446" t="s">
        <v>38</v>
      </c>
      <c r="D451" s="446">
        <v>3009</v>
      </c>
      <c r="E451" s="446" t="s">
        <v>60</v>
      </c>
      <c r="F451" s="446" t="s">
        <v>113</v>
      </c>
      <c r="G451" s="446" t="s">
        <v>114</v>
      </c>
      <c r="H451" s="446" t="s">
        <v>41</v>
      </c>
      <c r="I451" s="447">
        <v>100</v>
      </c>
    </row>
    <row r="452" spans="1:9" collapsed="1" x14ac:dyDescent="0.25">
      <c r="A452" s="442" t="s">
        <v>1029</v>
      </c>
      <c r="I452" s="445" t="s">
        <v>1030</v>
      </c>
    </row>
    <row r="453" spans="1:9" hidden="1" outlineLevel="1" x14ac:dyDescent="0.25">
      <c r="A453" s="442" t="s">
        <v>1031</v>
      </c>
    </row>
    <row r="454" spans="1:9" hidden="1" outlineLevel="1" x14ac:dyDescent="0.25">
      <c r="B454" s="446" t="s">
        <v>721</v>
      </c>
      <c r="C454" s="446" t="s">
        <v>38</v>
      </c>
      <c r="D454" s="446">
        <v>2450</v>
      </c>
      <c r="E454" s="446" t="s">
        <v>1032</v>
      </c>
      <c r="F454" s="446" t="s">
        <v>1033</v>
      </c>
      <c r="G454" s="446" t="s">
        <v>1034</v>
      </c>
      <c r="H454" s="446" t="s">
        <v>41</v>
      </c>
      <c r="I454" s="447">
        <v>19</v>
      </c>
    </row>
    <row r="455" spans="1:9" hidden="1" outlineLevel="1" x14ac:dyDescent="0.25">
      <c r="B455" s="446" t="s">
        <v>831</v>
      </c>
      <c r="C455" s="446" t="s">
        <v>38</v>
      </c>
      <c r="D455" s="446">
        <v>2455</v>
      </c>
      <c r="E455" s="446" t="s">
        <v>1035</v>
      </c>
      <c r="F455" s="446" t="s">
        <v>732</v>
      </c>
      <c r="G455" s="446" t="s">
        <v>1034</v>
      </c>
      <c r="H455" s="446" t="s">
        <v>41</v>
      </c>
      <c r="I455" s="447" t="s">
        <v>696</v>
      </c>
    </row>
    <row r="456" spans="1:9" hidden="1" outlineLevel="1" x14ac:dyDescent="0.25">
      <c r="B456" s="446" t="s">
        <v>831</v>
      </c>
      <c r="C456" s="446" t="s">
        <v>38</v>
      </c>
      <c r="D456" s="446">
        <v>2456</v>
      </c>
      <c r="E456" s="446" t="s">
        <v>910</v>
      </c>
      <c r="F456" s="446" t="s">
        <v>732</v>
      </c>
      <c r="G456" s="446" t="s">
        <v>1034</v>
      </c>
      <c r="H456" s="446" t="s">
        <v>41</v>
      </c>
      <c r="I456" s="447">
        <v>50</v>
      </c>
    </row>
    <row r="457" spans="1:9" hidden="1" outlineLevel="1" x14ac:dyDescent="0.25">
      <c r="B457" s="446" t="s">
        <v>1036</v>
      </c>
      <c r="C457" s="446" t="s">
        <v>38</v>
      </c>
      <c r="D457" s="446">
        <v>2463</v>
      </c>
      <c r="E457" s="446" t="s">
        <v>910</v>
      </c>
      <c r="F457" s="446" t="s">
        <v>732</v>
      </c>
      <c r="G457" s="446" t="s">
        <v>1034</v>
      </c>
      <c r="H457" s="446" t="s">
        <v>41</v>
      </c>
      <c r="I457" s="447">
        <v>30</v>
      </c>
    </row>
    <row r="458" spans="1:9" hidden="1" outlineLevel="1" x14ac:dyDescent="0.25">
      <c r="B458" s="446" t="s">
        <v>840</v>
      </c>
      <c r="C458" s="446" t="s">
        <v>38</v>
      </c>
      <c r="D458" s="446">
        <v>2479</v>
      </c>
      <c r="E458" s="446" t="s">
        <v>1037</v>
      </c>
      <c r="F458" s="446" t="s">
        <v>1038</v>
      </c>
      <c r="G458" s="446" t="s">
        <v>1034</v>
      </c>
      <c r="H458" s="446" t="s">
        <v>41</v>
      </c>
      <c r="I458" s="447">
        <v>20</v>
      </c>
    </row>
    <row r="459" spans="1:9" hidden="1" outlineLevel="1" x14ac:dyDescent="0.25">
      <c r="B459" s="446" t="s">
        <v>840</v>
      </c>
      <c r="C459" s="446" t="s">
        <v>38</v>
      </c>
      <c r="D459" s="446">
        <v>2480</v>
      </c>
      <c r="E459" s="446" t="s">
        <v>1039</v>
      </c>
      <c r="F459" s="446" t="s">
        <v>1038</v>
      </c>
      <c r="G459" s="446" t="s">
        <v>1034</v>
      </c>
      <c r="H459" s="446" t="s">
        <v>41</v>
      </c>
      <c r="I459" s="447" t="s">
        <v>696</v>
      </c>
    </row>
    <row r="460" spans="1:9" hidden="1" outlineLevel="1" x14ac:dyDescent="0.25">
      <c r="B460" s="446" t="s">
        <v>840</v>
      </c>
      <c r="C460" s="446" t="s">
        <v>38</v>
      </c>
      <c r="D460" s="446">
        <v>2477</v>
      </c>
      <c r="E460" s="446" t="s">
        <v>46</v>
      </c>
      <c r="F460" s="446" t="s">
        <v>1038</v>
      </c>
      <c r="G460" s="446" t="s">
        <v>1034</v>
      </c>
      <c r="H460" s="446" t="s">
        <v>41</v>
      </c>
      <c r="I460" s="447">
        <v>100</v>
      </c>
    </row>
    <row r="461" spans="1:9" hidden="1" outlineLevel="1" x14ac:dyDescent="0.25">
      <c r="B461" s="446" t="s">
        <v>840</v>
      </c>
      <c r="C461" s="446" t="s">
        <v>38</v>
      </c>
      <c r="D461" s="446">
        <v>2469</v>
      </c>
      <c r="E461" s="446" t="s">
        <v>877</v>
      </c>
      <c r="F461" s="446" t="s">
        <v>1040</v>
      </c>
      <c r="G461" s="446" t="s">
        <v>1034</v>
      </c>
      <c r="H461" s="446" t="s">
        <v>41</v>
      </c>
      <c r="I461" s="447" t="s">
        <v>696</v>
      </c>
    </row>
    <row r="462" spans="1:9" hidden="1" outlineLevel="1" x14ac:dyDescent="0.25">
      <c r="B462" s="446" t="s">
        <v>840</v>
      </c>
      <c r="C462" s="446" t="s">
        <v>38</v>
      </c>
      <c r="D462" s="446">
        <v>2478</v>
      </c>
      <c r="E462" s="446" t="s">
        <v>1041</v>
      </c>
      <c r="F462" s="446" t="s">
        <v>1038</v>
      </c>
      <c r="G462" s="446" t="s">
        <v>1034</v>
      </c>
      <c r="H462" s="446" t="s">
        <v>41</v>
      </c>
      <c r="I462" s="447">
        <v>50</v>
      </c>
    </row>
    <row r="463" spans="1:9" hidden="1" outlineLevel="1" x14ac:dyDescent="0.25">
      <c r="B463" s="446" t="s">
        <v>840</v>
      </c>
      <c r="C463" s="446" t="s">
        <v>38</v>
      </c>
      <c r="D463" s="446">
        <v>2475</v>
      </c>
      <c r="E463" s="446" t="s">
        <v>1042</v>
      </c>
      <c r="F463" s="446" t="s">
        <v>1038</v>
      </c>
      <c r="G463" s="446" t="s">
        <v>1034</v>
      </c>
      <c r="H463" s="446" t="s">
        <v>41</v>
      </c>
      <c r="I463" s="447">
        <v>100</v>
      </c>
    </row>
    <row r="464" spans="1:9" hidden="1" outlineLevel="1" x14ac:dyDescent="0.25">
      <c r="B464" s="446" t="s">
        <v>840</v>
      </c>
      <c r="C464" s="446" t="s">
        <v>38</v>
      </c>
      <c r="D464" s="446">
        <v>2474</v>
      </c>
      <c r="E464" s="446" t="s">
        <v>1043</v>
      </c>
      <c r="F464" s="446" t="s">
        <v>1038</v>
      </c>
      <c r="G464" s="446" t="s">
        <v>1034</v>
      </c>
      <c r="H464" s="446" t="s">
        <v>41</v>
      </c>
      <c r="I464" s="447" t="s">
        <v>696</v>
      </c>
    </row>
    <row r="465" spans="2:9" hidden="1" outlineLevel="1" x14ac:dyDescent="0.25">
      <c r="B465" s="446" t="s">
        <v>840</v>
      </c>
      <c r="C465" s="446" t="s">
        <v>38</v>
      </c>
      <c r="D465" s="446">
        <v>2473</v>
      </c>
      <c r="E465" s="446" t="s">
        <v>1044</v>
      </c>
      <c r="F465" s="446" t="s">
        <v>1038</v>
      </c>
      <c r="G465" s="446" t="s">
        <v>1034</v>
      </c>
      <c r="H465" s="446" t="s">
        <v>41</v>
      </c>
      <c r="I465" s="447">
        <v>100</v>
      </c>
    </row>
    <row r="466" spans="2:9" hidden="1" outlineLevel="1" x14ac:dyDescent="0.25">
      <c r="B466" s="446" t="s">
        <v>840</v>
      </c>
      <c r="C466" s="446" t="s">
        <v>38</v>
      </c>
      <c r="D466" s="446">
        <v>2476</v>
      </c>
      <c r="E466" s="446" t="s">
        <v>1045</v>
      </c>
      <c r="F466" s="446" t="s">
        <v>1038</v>
      </c>
      <c r="G466" s="446" t="s">
        <v>1034</v>
      </c>
      <c r="H466" s="446" t="s">
        <v>41</v>
      </c>
      <c r="I466" s="447" t="s">
        <v>696</v>
      </c>
    </row>
    <row r="467" spans="2:9" hidden="1" outlineLevel="1" x14ac:dyDescent="0.25">
      <c r="B467" s="446" t="s">
        <v>678</v>
      </c>
      <c r="C467" s="446" t="s">
        <v>38</v>
      </c>
      <c r="D467" s="446">
        <v>2487</v>
      </c>
      <c r="E467" s="446" t="s">
        <v>910</v>
      </c>
      <c r="F467" s="446" t="s">
        <v>732</v>
      </c>
      <c r="G467" s="446" t="s">
        <v>1034</v>
      </c>
      <c r="H467" s="446" t="s">
        <v>41</v>
      </c>
      <c r="I467" s="447">
        <v>30</v>
      </c>
    </row>
    <row r="468" spans="2:9" hidden="1" outlineLevel="1" x14ac:dyDescent="0.25">
      <c r="B468" s="446" t="s">
        <v>842</v>
      </c>
      <c r="C468" s="446" t="s">
        <v>38</v>
      </c>
      <c r="D468" s="446">
        <v>2488</v>
      </c>
      <c r="E468" s="446" t="s">
        <v>58</v>
      </c>
      <c r="F468" s="446" t="s">
        <v>61</v>
      </c>
      <c r="G468" s="446" t="s">
        <v>1034</v>
      </c>
      <c r="H468" s="446" t="s">
        <v>41</v>
      </c>
      <c r="I468" s="447">
        <v>500</v>
      </c>
    </row>
    <row r="469" spans="2:9" hidden="1" outlineLevel="1" x14ac:dyDescent="0.25">
      <c r="B469" s="446" t="s">
        <v>842</v>
      </c>
      <c r="C469" s="446" t="s">
        <v>38</v>
      </c>
      <c r="D469" s="446">
        <v>2490</v>
      </c>
      <c r="E469" s="446" t="s">
        <v>901</v>
      </c>
      <c r="F469" s="446" t="s">
        <v>732</v>
      </c>
      <c r="G469" s="446" t="s">
        <v>1034</v>
      </c>
      <c r="H469" s="446" t="s">
        <v>41</v>
      </c>
      <c r="I469" s="447">
        <v>400</v>
      </c>
    </row>
    <row r="470" spans="2:9" hidden="1" outlineLevel="1" x14ac:dyDescent="0.25">
      <c r="B470" s="446" t="s">
        <v>1046</v>
      </c>
      <c r="C470" s="446" t="s">
        <v>38</v>
      </c>
      <c r="D470" s="446">
        <v>2494</v>
      </c>
      <c r="E470" s="446" t="s">
        <v>1047</v>
      </c>
      <c r="F470" s="446" t="s">
        <v>61</v>
      </c>
      <c r="G470" s="446" t="s">
        <v>1034</v>
      </c>
      <c r="H470" s="446" t="s">
        <v>41</v>
      </c>
      <c r="I470" s="447">
        <v>75</v>
      </c>
    </row>
    <row r="471" spans="2:9" hidden="1" outlineLevel="1" x14ac:dyDescent="0.25">
      <c r="B471" s="446" t="s">
        <v>680</v>
      </c>
      <c r="C471" s="446" t="s">
        <v>38</v>
      </c>
      <c r="D471" s="446">
        <v>2498</v>
      </c>
      <c r="E471" s="446" t="s">
        <v>1048</v>
      </c>
      <c r="F471" s="446" t="s">
        <v>61</v>
      </c>
      <c r="G471" s="446" t="s">
        <v>1034</v>
      </c>
      <c r="H471" s="446" t="s">
        <v>41</v>
      </c>
      <c r="I471" s="447">
        <v>300</v>
      </c>
    </row>
    <row r="472" spans="2:9" hidden="1" outlineLevel="1" x14ac:dyDescent="0.25">
      <c r="B472" s="446" t="s">
        <v>680</v>
      </c>
      <c r="C472" s="446" t="s">
        <v>38</v>
      </c>
      <c r="D472" s="446">
        <v>2499</v>
      </c>
      <c r="E472" s="446" t="s">
        <v>1049</v>
      </c>
      <c r="F472" s="446" t="s">
        <v>61</v>
      </c>
      <c r="G472" s="446" t="s">
        <v>1034</v>
      </c>
      <c r="H472" s="446" t="s">
        <v>41</v>
      </c>
      <c r="I472" s="447" t="s">
        <v>1050</v>
      </c>
    </row>
    <row r="473" spans="2:9" hidden="1" outlineLevel="1" x14ac:dyDescent="0.25">
      <c r="B473" s="446" t="s">
        <v>850</v>
      </c>
      <c r="C473" s="446" t="s">
        <v>38</v>
      </c>
      <c r="D473" s="446">
        <v>2507</v>
      </c>
      <c r="E473" s="446" t="s">
        <v>1051</v>
      </c>
      <c r="F473" s="446" t="s">
        <v>61</v>
      </c>
      <c r="G473" s="446" t="s">
        <v>1034</v>
      </c>
      <c r="H473" s="446" t="s">
        <v>41</v>
      </c>
      <c r="I473" s="447">
        <v>500</v>
      </c>
    </row>
    <row r="474" spans="2:9" hidden="1" outlineLevel="1" x14ac:dyDescent="0.25">
      <c r="B474" s="446" t="s">
        <v>851</v>
      </c>
      <c r="C474" s="446" t="s">
        <v>38</v>
      </c>
      <c r="D474" s="446">
        <v>2533</v>
      </c>
      <c r="E474" s="446" t="s">
        <v>1052</v>
      </c>
      <c r="F474" s="446" t="s">
        <v>61</v>
      </c>
      <c r="G474" s="446" t="s">
        <v>1034</v>
      </c>
      <c r="H474" s="446" t="s">
        <v>41</v>
      </c>
      <c r="I474" s="447">
        <v>500</v>
      </c>
    </row>
    <row r="475" spans="2:9" hidden="1" outlineLevel="1" x14ac:dyDescent="0.25">
      <c r="B475" s="446" t="s">
        <v>851</v>
      </c>
      <c r="C475" s="446" t="s">
        <v>38</v>
      </c>
      <c r="D475" s="446">
        <v>2532</v>
      </c>
      <c r="E475" s="446" t="s">
        <v>740</v>
      </c>
      <c r="F475" s="446" t="s">
        <v>61</v>
      </c>
      <c r="G475" s="446" t="s">
        <v>1034</v>
      </c>
      <c r="H475" s="446" t="s">
        <v>41</v>
      </c>
      <c r="I475" s="447" t="s">
        <v>1053</v>
      </c>
    </row>
    <row r="476" spans="2:9" hidden="1" outlineLevel="1" x14ac:dyDescent="0.25">
      <c r="B476" s="446" t="s">
        <v>853</v>
      </c>
      <c r="C476" s="446" t="s">
        <v>38</v>
      </c>
      <c r="D476" s="446">
        <v>2534</v>
      </c>
      <c r="E476" s="446" t="s">
        <v>1054</v>
      </c>
      <c r="F476" s="446" t="s">
        <v>61</v>
      </c>
      <c r="G476" s="446" t="s">
        <v>1034</v>
      </c>
      <c r="H476" s="446" t="s">
        <v>41</v>
      </c>
      <c r="I476" s="447">
        <v>500</v>
      </c>
    </row>
    <row r="477" spans="2:9" hidden="1" outlineLevel="1" x14ac:dyDescent="0.25">
      <c r="B477" s="446" t="s">
        <v>853</v>
      </c>
      <c r="C477" s="446" t="s">
        <v>38</v>
      </c>
      <c r="D477" s="446">
        <v>2512</v>
      </c>
      <c r="E477" s="446" t="s">
        <v>1055</v>
      </c>
      <c r="F477" s="446" t="s">
        <v>61</v>
      </c>
      <c r="G477" s="446" t="s">
        <v>1034</v>
      </c>
      <c r="H477" s="446" t="s">
        <v>41</v>
      </c>
      <c r="I477" s="447">
        <v>250</v>
      </c>
    </row>
    <row r="478" spans="2:9" hidden="1" outlineLevel="1" x14ac:dyDescent="0.25">
      <c r="B478" s="446" t="s">
        <v>684</v>
      </c>
      <c r="C478" s="446" t="s">
        <v>38</v>
      </c>
      <c r="D478" s="446">
        <v>2531</v>
      </c>
      <c r="E478" s="446" t="s">
        <v>1056</v>
      </c>
      <c r="F478" s="446" t="s">
        <v>61</v>
      </c>
      <c r="G478" s="446" t="s">
        <v>1034</v>
      </c>
      <c r="H478" s="446" t="s">
        <v>41</v>
      </c>
      <c r="I478" s="447">
        <v>500</v>
      </c>
    </row>
    <row r="479" spans="2:9" hidden="1" outlineLevel="1" x14ac:dyDescent="0.25">
      <c r="B479" s="446" t="s">
        <v>1057</v>
      </c>
      <c r="C479" s="446" t="s">
        <v>38</v>
      </c>
      <c r="D479" s="446">
        <v>2518</v>
      </c>
      <c r="E479" s="446" t="s">
        <v>62</v>
      </c>
      <c r="F479" s="446" t="s">
        <v>61</v>
      </c>
      <c r="G479" s="446" t="s">
        <v>1034</v>
      </c>
      <c r="H479" s="446" t="s">
        <v>41</v>
      </c>
      <c r="I479" s="447" t="s">
        <v>683</v>
      </c>
    </row>
    <row r="480" spans="2:9" hidden="1" outlineLevel="1" x14ac:dyDescent="0.25">
      <c r="B480" s="446" t="s">
        <v>859</v>
      </c>
      <c r="C480" s="446" t="s">
        <v>38</v>
      </c>
      <c r="D480" s="446">
        <v>2528</v>
      </c>
      <c r="E480" s="446" t="s">
        <v>1058</v>
      </c>
      <c r="F480" s="446" t="s">
        <v>1059</v>
      </c>
      <c r="G480" s="446" t="s">
        <v>1034</v>
      </c>
      <c r="H480" s="446" t="s">
        <v>41</v>
      </c>
      <c r="I480" s="447">
        <v>300</v>
      </c>
    </row>
    <row r="481" spans="2:9" hidden="1" outlineLevel="1" x14ac:dyDescent="0.25">
      <c r="B481" s="446" t="s">
        <v>690</v>
      </c>
      <c r="C481" s="446" t="s">
        <v>38</v>
      </c>
      <c r="D481" s="446">
        <v>2543</v>
      </c>
      <c r="E481" s="446" t="s">
        <v>713</v>
      </c>
      <c r="F481" s="446" t="s">
        <v>61</v>
      </c>
      <c r="G481" s="446" t="s">
        <v>1034</v>
      </c>
      <c r="H481" s="446" t="s">
        <v>41</v>
      </c>
      <c r="I481" s="447" t="s">
        <v>811</v>
      </c>
    </row>
    <row r="482" spans="2:9" hidden="1" outlineLevel="1" x14ac:dyDescent="0.25">
      <c r="B482" s="446" t="s">
        <v>690</v>
      </c>
      <c r="C482" s="446" t="s">
        <v>38</v>
      </c>
      <c r="D482" s="446">
        <v>2539</v>
      </c>
      <c r="E482" s="446" t="s">
        <v>1060</v>
      </c>
      <c r="F482" s="446" t="s">
        <v>1061</v>
      </c>
      <c r="G482" s="446" t="s">
        <v>1034</v>
      </c>
      <c r="H482" s="446" t="s">
        <v>41</v>
      </c>
      <c r="I482" s="447" t="s">
        <v>1062</v>
      </c>
    </row>
    <row r="483" spans="2:9" hidden="1" outlineLevel="1" x14ac:dyDescent="0.25">
      <c r="B483" s="446" t="s">
        <v>690</v>
      </c>
      <c r="C483" s="446" t="s">
        <v>38</v>
      </c>
      <c r="D483" s="446">
        <v>2541</v>
      </c>
      <c r="E483" s="446" t="s">
        <v>1063</v>
      </c>
      <c r="F483" s="446" t="s">
        <v>61</v>
      </c>
      <c r="G483" s="446" t="s">
        <v>1034</v>
      </c>
      <c r="H483" s="446" t="s">
        <v>41</v>
      </c>
      <c r="I483" s="447">
        <v>300</v>
      </c>
    </row>
    <row r="484" spans="2:9" hidden="1" outlineLevel="1" x14ac:dyDescent="0.25">
      <c r="B484" s="446" t="s">
        <v>729</v>
      </c>
      <c r="C484" s="446" t="s">
        <v>38</v>
      </c>
      <c r="D484" s="446">
        <v>2545</v>
      </c>
      <c r="E484" s="446" t="s">
        <v>731</v>
      </c>
      <c r="F484" s="446" t="s">
        <v>61</v>
      </c>
      <c r="G484" s="446" t="s">
        <v>1034</v>
      </c>
      <c r="H484" s="446" t="s">
        <v>41</v>
      </c>
      <c r="I484" s="447">
        <v>500</v>
      </c>
    </row>
    <row r="485" spans="2:9" hidden="1" outlineLevel="1" x14ac:dyDescent="0.25">
      <c r="B485" s="446" t="s">
        <v>729</v>
      </c>
      <c r="C485" s="446" t="s">
        <v>38</v>
      </c>
      <c r="D485" s="446">
        <v>2546</v>
      </c>
      <c r="E485" s="446" t="s">
        <v>1064</v>
      </c>
      <c r="F485" s="446" t="s">
        <v>61</v>
      </c>
      <c r="G485" s="446" t="s">
        <v>1034</v>
      </c>
      <c r="H485" s="446" t="s">
        <v>41</v>
      </c>
      <c r="I485" s="447" t="s">
        <v>696</v>
      </c>
    </row>
    <row r="486" spans="2:9" hidden="1" outlineLevel="1" x14ac:dyDescent="0.25">
      <c r="B486" s="446" t="s">
        <v>729</v>
      </c>
      <c r="C486" s="446" t="s">
        <v>38</v>
      </c>
      <c r="D486" s="446">
        <v>2547</v>
      </c>
      <c r="E486" s="446" t="s">
        <v>1065</v>
      </c>
      <c r="F486" s="446" t="s">
        <v>61</v>
      </c>
      <c r="G486" s="446" t="s">
        <v>1034</v>
      </c>
      <c r="H486" s="446" t="s">
        <v>41</v>
      </c>
      <c r="I486" s="447" t="s">
        <v>696</v>
      </c>
    </row>
    <row r="487" spans="2:9" hidden="1" outlineLevel="1" x14ac:dyDescent="0.25">
      <c r="B487" s="446" t="s">
        <v>729</v>
      </c>
      <c r="C487" s="446" t="s">
        <v>38</v>
      </c>
      <c r="D487" s="446">
        <v>2548</v>
      </c>
      <c r="E487" s="446" t="s">
        <v>1066</v>
      </c>
      <c r="F487" s="446" t="s">
        <v>61</v>
      </c>
      <c r="G487" s="446" t="s">
        <v>1034</v>
      </c>
      <c r="H487" s="446" t="s">
        <v>41</v>
      </c>
      <c r="I487" s="447">
        <v>250</v>
      </c>
    </row>
    <row r="488" spans="2:9" hidden="1" outlineLevel="1" x14ac:dyDescent="0.25">
      <c r="B488" s="446" t="s">
        <v>729</v>
      </c>
      <c r="C488" s="446" t="s">
        <v>38</v>
      </c>
      <c r="D488" s="446">
        <v>2556</v>
      </c>
      <c r="E488" s="446" t="s">
        <v>1067</v>
      </c>
      <c r="F488" s="446" t="s">
        <v>61</v>
      </c>
      <c r="G488" s="446" t="s">
        <v>1034</v>
      </c>
      <c r="H488" s="446" t="s">
        <v>41</v>
      </c>
      <c r="I488" s="447">
        <v>100</v>
      </c>
    </row>
    <row r="489" spans="2:9" hidden="1" outlineLevel="1" x14ac:dyDescent="0.25">
      <c r="B489" s="446" t="s">
        <v>729</v>
      </c>
      <c r="C489" s="446" t="s">
        <v>38</v>
      </c>
      <c r="D489" s="446">
        <v>2544</v>
      </c>
      <c r="E489" s="446" t="s">
        <v>1068</v>
      </c>
      <c r="F489" s="446" t="s">
        <v>61</v>
      </c>
      <c r="G489" s="446" t="s">
        <v>1034</v>
      </c>
      <c r="H489" s="446" t="s">
        <v>41</v>
      </c>
      <c r="I489" s="447">
        <v>50</v>
      </c>
    </row>
    <row r="490" spans="2:9" hidden="1" outlineLevel="1" x14ac:dyDescent="0.25">
      <c r="B490" s="446" t="s">
        <v>1069</v>
      </c>
      <c r="C490" s="446" t="s">
        <v>38</v>
      </c>
      <c r="D490" s="446">
        <v>2553</v>
      </c>
      <c r="E490" s="446" t="s">
        <v>1070</v>
      </c>
      <c r="F490" s="446" t="s">
        <v>61</v>
      </c>
      <c r="G490" s="446" t="s">
        <v>1034</v>
      </c>
      <c r="H490" s="446" t="s">
        <v>41</v>
      </c>
      <c r="I490" s="447">
        <v>300</v>
      </c>
    </row>
    <row r="491" spans="2:9" hidden="1" outlineLevel="1" x14ac:dyDescent="0.25">
      <c r="B491" s="446" t="s">
        <v>1071</v>
      </c>
      <c r="C491" s="446" t="s">
        <v>38</v>
      </c>
      <c r="D491" s="446">
        <v>2554</v>
      </c>
      <c r="E491" s="446" t="s">
        <v>901</v>
      </c>
      <c r="F491" s="446" t="s">
        <v>61</v>
      </c>
      <c r="G491" s="446" t="s">
        <v>1034</v>
      </c>
      <c r="H491" s="446" t="s">
        <v>41</v>
      </c>
      <c r="I491" s="447">
        <v>250</v>
      </c>
    </row>
    <row r="492" spans="2:9" hidden="1" outlineLevel="1" x14ac:dyDescent="0.25">
      <c r="B492" s="446" t="s">
        <v>1072</v>
      </c>
      <c r="C492" s="446" t="s">
        <v>38</v>
      </c>
      <c r="D492" s="446">
        <v>2570</v>
      </c>
      <c r="E492" s="446" t="s">
        <v>910</v>
      </c>
      <c r="F492" s="446" t="s">
        <v>732</v>
      </c>
      <c r="G492" s="446" t="s">
        <v>1034</v>
      </c>
      <c r="H492" s="446" t="s">
        <v>41</v>
      </c>
      <c r="I492" s="447">
        <v>60</v>
      </c>
    </row>
    <row r="493" spans="2:9" hidden="1" outlineLevel="1" x14ac:dyDescent="0.25">
      <c r="B493" s="446" t="s">
        <v>697</v>
      </c>
      <c r="C493" s="446" t="s">
        <v>38</v>
      </c>
      <c r="D493" s="446">
        <v>2589</v>
      </c>
      <c r="E493" s="446" t="s">
        <v>1073</v>
      </c>
      <c r="F493" s="446" t="s">
        <v>61</v>
      </c>
      <c r="G493" s="446" t="s">
        <v>1034</v>
      </c>
      <c r="H493" s="446" t="s">
        <v>41</v>
      </c>
      <c r="I493" s="447" t="s">
        <v>757</v>
      </c>
    </row>
    <row r="494" spans="2:9" hidden="1" outlineLevel="1" x14ac:dyDescent="0.25">
      <c r="B494" s="446" t="s">
        <v>697</v>
      </c>
      <c r="C494" s="446" t="s">
        <v>38</v>
      </c>
      <c r="D494" s="446">
        <v>2593</v>
      </c>
      <c r="E494" s="446" t="s">
        <v>1060</v>
      </c>
      <c r="F494" s="446" t="s">
        <v>1074</v>
      </c>
      <c r="G494" s="446" t="s">
        <v>1034</v>
      </c>
      <c r="H494" s="446" t="s">
        <v>41</v>
      </c>
      <c r="I494" s="447" t="s">
        <v>696</v>
      </c>
    </row>
    <row r="495" spans="2:9" hidden="1" outlineLevel="1" x14ac:dyDescent="0.25">
      <c r="B495" s="446" t="s">
        <v>697</v>
      </c>
      <c r="C495" s="446" t="s">
        <v>38</v>
      </c>
      <c r="D495" s="446">
        <v>2587</v>
      </c>
      <c r="E495" s="446" t="s">
        <v>1075</v>
      </c>
      <c r="F495" s="446" t="s">
        <v>1076</v>
      </c>
      <c r="G495" s="446" t="s">
        <v>1034</v>
      </c>
      <c r="H495" s="446" t="s">
        <v>41</v>
      </c>
      <c r="I495" s="447">
        <v>87</v>
      </c>
    </row>
    <row r="496" spans="2:9" hidden="1" outlineLevel="1" x14ac:dyDescent="0.25">
      <c r="B496" s="446" t="s">
        <v>891</v>
      </c>
      <c r="C496" s="446" t="s">
        <v>38</v>
      </c>
      <c r="D496" s="446">
        <v>2611</v>
      </c>
      <c r="E496" s="446" t="s">
        <v>1077</v>
      </c>
      <c r="F496" s="446" t="s">
        <v>61</v>
      </c>
      <c r="G496" s="446" t="s">
        <v>1034</v>
      </c>
      <c r="H496" s="446" t="s">
        <v>41</v>
      </c>
      <c r="I496" s="447" t="s">
        <v>696</v>
      </c>
    </row>
    <row r="497" spans="2:9" hidden="1" outlineLevel="1" x14ac:dyDescent="0.25">
      <c r="B497" s="446" t="s">
        <v>893</v>
      </c>
      <c r="C497" s="446" t="s">
        <v>38</v>
      </c>
      <c r="D497" s="446">
        <v>2616</v>
      </c>
      <c r="E497" s="446" t="s">
        <v>1078</v>
      </c>
      <c r="F497" s="446" t="s">
        <v>61</v>
      </c>
      <c r="G497" s="446" t="s">
        <v>1034</v>
      </c>
      <c r="H497" s="446" t="s">
        <v>41</v>
      </c>
      <c r="I497" s="447">
        <v>38</v>
      </c>
    </row>
    <row r="498" spans="2:9" hidden="1" outlineLevel="1" x14ac:dyDescent="0.25">
      <c r="B498" s="446" t="s">
        <v>896</v>
      </c>
      <c r="C498" s="446" t="s">
        <v>38</v>
      </c>
      <c r="D498" s="446">
        <v>2685</v>
      </c>
      <c r="E498" s="446" t="s">
        <v>1079</v>
      </c>
      <c r="F498" s="446" t="s">
        <v>61</v>
      </c>
      <c r="G498" s="446" t="s">
        <v>1034</v>
      </c>
      <c r="H498" s="446" t="s">
        <v>41</v>
      </c>
      <c r="I498" s="447">
        <v>50</v>
      </c>
    </row>
    <row r="499" spans="2:9" hidden="1" outlineLevel="1" x14ac:dyDescent="0.25">
      <c r="B499" s="446" t="s">
        <v>896</v>
      </c>
      <c r="C499" s="446" t="s">
        <v>38</v>
      </c>
      <c r="D499" s="446">
        <v>2629</v>
      </c>
      <c r="E499" s="446" t="s">
        <v>1080</v>
      </c>
      <c r="F499" s="446" t="s">
        <v>1081</v>
      </c>
      <c r="G499" s="446" t="s">
        <v>1034</v>
      </c>
      <c r="H499" s="446" t="s">
        <v>41</v>
      </c>
      <c r="I499" s="447">
        <v>0</v>
      </c>
    </row>
    <row r="500" spans="2:9" hidden="1" outlineLevel="1" x14ac:dyDescent="0.25">
      <c r="B500" s="446" t="s">
        <v>1082</v>
      </c>
      <c r="C500" s="446" t="s">
        <v>38</v>
      </c>
      <c r="D500" s="446">
        <v>2632</v>
      </c>
      <c r="E500" s="446" t="s">
        <v>1083</v>
      </c>
      <c r="F500" s="446" t="s">
        <v>1084</v>
      </c>
      <c r="G500" s="446" t="s">
        <v>1034</v>
      </c>
      <c r="H500" s="446" t="s">
        <v>41</v>
      </c>
      <c r="I500" s="447">
        <v>50</v>
      </c>
    </row>
    <row r="501" spans="2:9" hidden="1" outlineLevel="1" x14ac:dyDescent="0.25">
      <c r="B501" s="446" t="s">
        <v>900</v>
      </c>
      <c r="C501" s="446" t="s">
        <v>38</v>
      </c>
      <c r="D501" s="446">
        <v>2638</v>
      </c>
      <c r="E501" s="446" t="s">
        <v>1085</v>
      </c>
      <c r="F501" s="446" t="s">
        <v>63</v>
      </c>
      <c r="G501" s="446" t="s">
        <v>1034</v>
      </c>
      <c r="H501" s="446" t="s">
        <v>41</v>
      </c>
      <c r="I501" s="447">
        <v>400</v>
      </c>
    </row>
    <row r="502" spans="2:9" hidden="1" outlineLevel="1" x14ac:dyDescent="0.25">
      <c r="B502" s="446" t="s">
        <v>900</v>
      </c>
      <c r="C502" s="446" t="s">
        <v>38</v>
      </c>
      <c r="D502" s="446">
        <v>2636</v>
      </c>
      <c r="E502" s="446" t="s">
        <v>681</v>
      </c>
      <c r="F502" s="446" t="s">
        <v>1086</v>
      </c>
      <c r="G502" s="446" t="s">
        <v>1034</v>
      </c>
      <c r="H502" s="446" t="s">
        <v>41</v>
      </c>
      <c r="I502" s="447" t="s">
        <v>810</v>
      </c>
    </row>
    <row r="503" spans="2:9" hidden="1" outlineLevel="1" x14ac:dyDescent="0.25">
      <c r="B503" s="446" t="s">
        <v>900</v>
      </c>
      <c r="C503" s="446" t="s">
        <v>38</v>
      </c>
      <c r="D503" s="446">
        <v>2635</v>
      </c>
      <c r="E503" s="446" t="s">
        <v>681</v>
      </c>
      <c r="F503" s="446" t="s">
        <v>1087</v>
      </c>
      <c r="G503" s="446" t="s">
        <v>1034</v>
      </c>
      <c r="H503" s="446" t="s">
        <v>41</v>
      </c>
      <c r="I503" s="447" t="s">
        <v>757</v>
      </c>
    </row>
    <row r="504" spans="2:9" hidden="1" outlineLevel="1" x14ac:dyDescent="0.25">
      <c r="B504" s="446" t="s">
        <v>1088</v>
      </c>
      <c r="C504" s="446" t="s">
        <v>38</v>
      </c>
      <c r="D504" s="446">
        <v>2642</v>
      </c>
      <c r="E504" s="446" t="s">
        <v>1089</v>
      </c>
      <c r="F504" s="446" t="s">
        <v>1090</v>
      </c>
      <c r="G504" s="446" t="s">
        <v>1034</v>
      </c>
      <c r="H504" s="446" t="s">
        <v>41</v>
      </c>
      <c r="I504" s="447">
        <v>50</v>
      </c>
    </row>
    <row r="505" spans="2:9" hidden="1" outlineLevel="1" x14ac:dyDescent="0.25">
      <c r="B505" s="446" t="s">
        <v>1088</v>
      </c>
      <c r="C505" s="446" t="s">
        <v>38</v>
      </c>
      <c r="D505" s="446">
        <v>2643</v>
      </c>
      <c r="E505" s="446" t="s">
        <v>1080</v>
      </c>
      <c r="F505" s="446" t="s">
        <v>1091</v>
      </c>
      <c r="G505" s="446" t="s">
        <v>1034</v>
      </c>
      <c r="H505" s="446" t="s">
        <v>41</v>
      </c>
      <c r="I505" s="447">
        <v>50</v>
      </c>
    </row>
    <row r="506" spans="2:9" hidden="1" outlineLevel="1" x14ac:dyDescent="0.25">
      <c r="B506" s="446" t="s">
        <v>904</v>
      </c>
      <c r="C506" s="446" t="s">
        <v>38</v>
      </c>
      <c r="D506" s="446">
        <v>2645</v>
      </c>
      <c r="E506" s="446" t="s">
        <v>64</v>
      </c>
      <c r="F506" s="446" t="s">
        <v>1092</v>
      </c>
      <c r="G506" s="446" t="s">
        <v>1034</v>
      </c>
      <c r="H506" s="446" t="s">
        <v>41</v>
      </c>
      <c r="I506" s="447" t="s">
        <v>696</v>
      </c>
    </row>
    <row r="507" spans="2:9" hidden="1" outlineLevel="1" x14ac:dyDescent="0.25">
      <c r="B507" s="446" t="s">
        <v>906</v>
      </c>
      <c r="C507" s="446" t="s">
        <v>38</v>
      </c>
      <c r="D507" s="446">
        <v>2649</v>
      </c>
      <c r="E507" s="446" t="s">
        <v>1093</v>
      </c>
      <c r="F507" s="446" t="s">
        <v>1094</v>
      </c>
      <c r="G507" s="446" t="s">
        <v>1034</v>
      </c>
      <c r="H507" s="446" t="s">
        <v>41</v>
      </c>
      <c r="I507" s="447">
        <v>50</v>
      </c>
    </row>
    <row r="508" spans="2:9" hidden="1" outlineLevel="1" x14ac:dyDescent="0.25">
      <c r="B508" s="446" t="s">
        <v>906</v>
      </c>
      <c r="C508" s="446" t="s">
        <v>38</v>
      </c>
      <c r="D508" s="446">
        <v>2648</v>
      </c>
      <c r="E508" s="446" t="s">
        <v>1095</v>
      </c>
      <c r="F508" s="446" t="s">
        <v>1096</v>
      </c>
      <c r="G508" s="446" t="s">
        <v>1034</v>
      </c>
      <c r="H508" s="446" t="s">
        <v>41</v>
      </c>
      <c r="I508" s="447">
        <v>200</v>
      </c>
    </row>
    <row r="509" spans="2:9" hidden="1" outlineLevel="1" x14ac:dyDescent="0.25">
      <c r="B509" s="446" t="s">
        <v>906</v>
      </c>
      <c r="C509" s="446" t="s">
        <v>38</v>
      </c>
      <c r="D509" s="446">
        <v>2650</v>
      </c>
      <c r="E509" s="446" t="s">
        <v>1097</v>
      </c>
      <c r="F509" s="446" t="s">
        <v>1098</v>
      </c>
      <c r="G509" s="446" t="s">
        <v>1034</v>
      </c>
      <c r="H509" s="446" t="s">
        <v>41</v>
      </c>
      <c r="I509" s="447">
        <v>50</v>
      </c>
    </row>
    <row r="510" spans="2:9" hidden="1" outlineLevel="1" x14ac:dyDescent="0.25">
      <c r="B510" s="446" t="s">
        <v>909</v>
      </c>
      <c r="C510" s="446" t="s">
        <v>38</v>
      </c>
      <c r="D510" s="446">
        <v>2655</v>
      </c>
      <c r="E510" s="446" t="s">
        <v>1099</v>
      </c>
      <c r="F510" s="446" t="s">
        <v>1100</v>
      </c>
      <c r="G510" s="446" t="s">
        <v>1034</v>
      </c>
      <c r="H510" s="446" t="s">
        <v>41</v>
      </c>
      <c r="I510" s="447">
        <v>150</v>
      </c>
    </row>
    <row r="511" spans="2:9" hidden="1" outlineLevel="1" x14ac:dyDescent="0.25">
      <c r="B511" s="446" t="s">
        <v>911</v>
      </c>
      <c r="C511" s="446" t="s">
        <v>38</v>
      </c>
      <c r="D511" s="446">
        <v>2660</v>
      </c>
      <c r="E511" s="446" t="s">
        <v>1101</v>
      </c>
      <c r="F511" s="446" t="s">
        <v>1102</v>
      </c>
      <c r="G511" s="446" t="s">
        <v>1034</v>
      </c>
      <c r="H511" s="446" t="s">
        <v>41</v>
      </c>
      <c r="I511" s="447">
        <v>120</v>
      </c>
    </row>
    <row r="512" spans="2:9" hidden="1" outlineLevel="1" x14ac:dyDescent="0.25">
      <c r="B512" s="446" t="s">
        <v>915</v>
      </c>
      <c r="C512" s="446" t="s">
        <v>38</v>
      </c>
      <c r="D512" s="446">
        <v>2667</v>
      </c>
      <c r="E512" s="446" t="s">
        <v>1103</v>
      </c>
      <c r="F512" s="446" t="s">
        <v>1104</v>
      </c>
      <c r="G512" s="446" t="s">
        <v>1034</v>
      </c>
      <c r="H512" s="446" t="s">
        <v>41</v>
      </c>
      <c r="I512" s="447">
        <v>50</v>
      </c>
    </row>
    <row r="513" spans="2:9" hidden="1" outlineLevel="1" x14ac:dyDescent="0.25">
      <c r="B513" s="446" t="s">
        <v>915</v>
      </c>
      <c r="C513" s="446" t="s">
        <v>38</v>
      </c>
      <c r="D513" s="446">
        <v>2668</v>
      </c>
      <c r="E513" s="446" t="s">
        <v>1075</v>
      </c>
      <c r="F513" s="446" t="s">
        <v>1105</v>
      </c>
      <c r="G513" s="446" t="s">
        <v>1034</v>
      </c>
      <c r="H513" s="446" t="s">
        <v>41</v>
      </c>
      <c r="I513" s="447">
        <v>870</v>
      </c>
    </row>
    <row r="514" spans="2:9" hidden="1" outlineLevel="1" x14ac:dyDescent="0.25">
      <c r="B514" s="446" t="s">
        <v>915</v>
      </c>
      <c r="C514" s="446" t="s">
        <v>38</v>
      </c>
      <c r="D514" s="446">
        <v>2666</v>
      </c>
      <c r="E514" s="446" t="s">
        <v>1106</v>
      </c>
      <c r="F514" s="446" t="s">
        <v>1104</v>
      </c>
      <c r="G514" s="446" t="s">
        <v>1034</v>
      </c>
      <c r="H514" s="446" t="s">
        <v>41</v>
      </c>
      <c r="I514" s="447">
        <v>40</v>
      </c>
    </row>
    <row r="515" spans="2:9" hidden="1" outlineLevel="1" x14ac:dyDescent="0.25">
      <c r="B515" s="446" t="s">
        <v>916</v>
      </c>
      <c r="C515" s="446" t="s">
        <v>38</v>
      </c>
      <c r="D515" s="446">
        <v>2674</v>
      </c>
      <c r="E515" s="446" t="s">
        <v>1107</v>
      </c>
      <c r="F515" s="446" t="s">
        <v>1104</v>
      </c>
      <c r="G515" s="446" t="s">
        <v>1034</v>
      </c>
      <c r="H515" s="446" t="s">
        <v>41</v>
      </c>
      <c r="I515" s="447">
        <v>50</v>
      </c>
    </row>
    <row r="516" spans="2:9" hidden="1" outlineLevel="1" x14ac:dyDescent="0.25">
      <c r="B516" s="446" t="s">
        <v>921</v>
      </c>
      <c r="C516" s="446" t="s">
        <v>38</v>
      </c>
      <c r="D516" s="446">
        <v>2686</v>
      </c>
      <c r="E516" s="446" t="s">
        <v>1079</v>
      </c>
      <c r="F516" s="446" t="s">
        <v>1098</v>
      </c>
      <c r="G516" s="446" t="s">
        <v>1034</v>
      </c>
      <c r="H516" s="446" t="s">
        <v>41</v>
      </c>
      <c r="I516" s="447">
        <v>100</v>
      </c>
    </row>
    <row r="517" spans="2:9" hidden="1" outlineLevel="1" x14ac:dyDescent="0.25">
      <c r="B517" s="446" t="s">
        <v>921</v>
      </c>
      <c r="C517" s="446" t="s">
        <v>38</v>
      </c>
      <c r="D517" s="446">
        <v>2687</v>
      </c>
      <c r="E517" s="446" t="s">
        <v>1108</v>
      </c>
      <c r="F517" s="446" t="s">
        <v>1100</v>
      </c>
      <c r="G517" s="446" t="s">
        <v>1034</v>
      </c>
      <c r="H517" s="446" t="s">
        <v>41</v>
      </c>
      <c r="I517" s="447">
        <v>100</v>
      </c>
    </row>
    <row r="518" spans="2:9" hidden="1" outlineLevel="1" x14ac:dyDescent="0.25">
      <c r="B518" s="446" t="s">
        <v>1109</v>
      </c>
      <c r="C518" s="446" t="s">
        <v>38</v>
      </c>
      <c r="D518" s="446">
        <v>2701</v>
      </c>
      <c r="E518" s="446" t="s">
        <v>1110</v>
      </c>
      <c r="F518" s="446" t="s">
        <v>1111</v>
      </c>
      <c r="G518" s="446" t="s">
        <v>1034</v>
      </c>
      <c r="H518" s="446" t="s">
        <v>41</v>
      </c>
      <c r="I518" s="447">
        <v>150</v>
      </c>
    </row>
    <row r="519" spans="2:9" hidden="1" outlineLevel="1" x14ac:dyDescent="0.25">
      <c r="B519" s="446" t="s">
        <v>1112</v>
      </c>
      <c r="C519" s="446" t="s">
        <v>38</v>
      </c>
      <c r="D519" s="446">
        <v>2719</v>
      </c>
      <c r="E519" s="446" t="s">
        <v>1113</v>
      </c>
      <c r="F519" s="446" t="s">
        <v>61</v>
      </c>
      <c r="G519" s="446" t="s">
        <v>1034</v>
      </c>
      <c r="H519" s="446" t="s">
        <v>41</v>
      </c>
      <c r="I519" s="447" t="s">
        <v>683</v>
      </c>
    </row>
    <row r="520" spans="2:9" hidden="1" outlineLevel="1" x14ac:dyDescent="0.25">
      <c r="B520" s="446" t="s">
        <v>1114</v>
      </c>
      <c r="C520" s="446" t="s">
        <v>38</v>
      </c>
      <c r="D520" s="446">
        <v>2723</v>
      </c>
      <c r="E520" s="446" t="s">
        <v>69</v>
      </c>
      <c r="F520" s="446" t="s">
        <v>61</v>
      </c>
      <c r="G520" s="446" t="s">
        <v>1034</v>
      </c>
      <c r="H520" s="446" t="s">
        <v>41</v>
      </c>
      <c r="I520" s="447">
        <v>100</v>
      </c>
    </row>
    <row r="521" spans="2:9" hidden="1" outlineLevel="1" x14ac:dyDescent="0.25">
      <c r="B521" s="446" t="s">
        <v>938</v>
      </c>
      <c r="C521" s="446" t="s">
        <v>38</v>
      </c>
      <c r="D521" s="446">
        <v>2727</v>
      </c>
      <c r="E521" s="446" t="s">
        <v>1078</v>
      </c>
      <c r="F521" s="446" t="s">
        <v>61</v>
      </c>
      <c r="G521" s="446" t="s">
        <v>1034</v>
      </c>
      <c r="H521" s="446" t="s">
        <v>41</v>
      </c>
      <c r="I521" s="447">
        <v>32</v>
      </c>
    </row>
    <row r="522" spans="2:9" hidden="1" outlineLevel="1" x14ac:dyDescent="0.25">
      <c r="B522" s="446" t="s">
        <v>1115</v>
      </c>
      <c r="C522" s="446" t="s">
        <v>38</v>
      </c>
      <c r="D522" s="446">
        <v>2734</v>
      </c>
      <c r="E522" s="446" t="s">
        <v>1116</v>
      </c>
      <c r="F522" s="446" t="s">
        <v>1117</v>
      </c>
      <c r="G522" s="446" t="s">
        <v>1034</v>
      </c>
      <c r="H522" s="446" t="s">
        <v>41</v>
      </c>
      <c r="I522" s="447" t="s">
        <v>1118</v>
      </c>
    </row>
    <row r="523" spans="2:9" hidden="1" outlineLevel="1" x14ac:dyDescent="0.25">
      <c r="B523" s="446" t="s">
        <v>944</v>
      </c>
      <c r="C523" s="446" t="s">
        <v>38</v>
      </c>
      <c r="D523" s="446">
        <v>2738</v>
      </c>
      <c r="E523" s="446" t="s">
        <v>1032</v>
      </c>
      <c r="F523" s="446" t="s">
        <v>1119</v>
      </c>
      <c r="G523" s="446" t="s">
        <v>1034</v>
      </c>
      <c r="H523" s="446" t="s">
        <v>41</v>
      </c>
      <c r="I523" s="447">
        <v>37</v>
      </c>
    </row>
    <row r="524" spans="2:9" hidden="1" outlineLevel="1" x14ac:dyDescent="0.25">
      <c r="B524" s="446" t="s">
        <v>945</v>
      </c>
      <c r="C524" s="446" t="s">
        <v>38</v>
      </c>
      <c r="D524" s="446">
        <v>2747</v>
      </c>
      <c r="E524" s="446" t="s">
        <v>1120</v>
      </c>
      <c r="F524" s="446" t="s">
        <v>63</v>
      </c>
      <c r="G524" s="446" t="s">
        <v>1034</v>
      </c>
      <c r="H524" s="446" t="s">
        <v>41</v>
      </c>
      <c r="I524" s="447">
        <v>400</v>
      </c>
    </row>
    <row r="525" spans="2:9" hidden="1" outlineLevel="1" x14ac:dyDescent="0.25">
      <c r="B525" s="446" t="s">
        <v>946</v>
      </c>
      <c r="C525" s="446" t="s">
        <v>38</v>
      </c>
      <c r="D525" s="446">
        <v>2743</v>
      </c>
      <c r="E525" s="446" t="s">
        <v>681</v>
      </c>
      <c r="F525" s="446" t="s">
        <v>1086</v>
      </c>
      <c r="G525" s="446" t="s">
        <v>1034</v>
      </c>
      <c r="H525" s="446" t="s">
        <v>41</v>
      </c>
      <c r="I525" s="447" t="s">
        <v>683</v>
      </c>
    </row>
    <row r="526" spans="2:9" hidden="1" outlineLevel="1" x14ac:dyDescent="0.25">
      <c r="B526" s="446" t="s">
        <v>966</v>
      </c>
      <c r="C526" s="446" t="s">
        <v>38</v>
      </c>
      <c r="D526" s="446">
        <v>2787</v>
      </c>
      <c r="E526" s="446" t="s">
        <v>967</v>
      </c>
      <c r="F526" s="446" t="s">
        <v>61</v>
      </c>
      <c r="G526" s="446" t="s">
        <v>1034</v>
      </c>
      <c r="H526" s="446" t="s">
        <v>41</v>
      </c>
      <c r="I526" s="447">
        <v>25</v>
      </c>
    </row>
    <row r="527" spans="2:9" hidden="1" outlineLevel="1" x14ac:dyDescent="0.25">
      <c r="B527" s="446" t="s">
        <v>1121</v>
      </c>
      <c r="C527" s="446" t="s">
        <v>38</v>
      </c>
      <c r="D527" s="446">
        <v>2800</v>
      </c>
      <c r="E527" s="446" t="s">
        <v>1122</v>
      </c>
      <c r="F527" s="446" t="s">
        <v>61</v>
      </c>
      <c r="G527" s="446" t="s">
        <v>1034</v>
      </c>
      <c r="H527" s="446" t="s">
        <v>41</v>
      </c>
      <c r="I527" s="447">
        <v>50</v>
      </c>
    </row>
    <row r="528" spans="2:9" hidden="1" outlineLevel="1" x14ac:dyDescent="0.25">
      <c r="B528" s="446" t="s">
        <v>702</v>
      </c>
      <c r="C528" s="446" t="s">
        <v>38</v>
      </c>
      <c r="D528" s="446">
        <v>2820</v>
      </c>
      <c r="E528" s="446" t="s">
        <v>71</v>
      </c>
      <c r="F528" s="446" t="s">
        <v>704</v>
      </c>
      <c r="G528" s="446" t="s">
        <v>1034</v>
      </c>
      <c r="H528" s="446" t="s">
        <v>41</v>
      </c>
      <c r="I528" s="447">
        <v>100</v>
      </c>
    </row>
    <row r="529" spans="2:9" hidden="1" outlineLevel="1" x14ac:dyDescent="0.25">
      <c r="B529" s="446" t="s">
        <v>702</v>
      </c>
      <c r="C529" s="446" t="s">
        <v>38</v>
      </c>
      <c r="D529" s="446">
        <v>2817</v>
      </c>
      <c r="E529" s="446" t="s">
        <v>1123</v>
      </c>
      <c r="F529" s="446" t="s">
        <v>704</v>
      </c>
      <c r="G529" s="446" t="s">
        <v>1034</v>
      </c>
      <c r="H529" s="446" t="s">
        <v>41</v>
      </c>
      <c r="I529" s="447">
        <v>20</v>
      </c>
    </row>
    <row r="530" spans="2:9" hidden="1" outlineLevel="1" x14ac:dyDescent="0.25">
      <c r="B530" s="446" t="s">
        <v>702</v>
      </c>
      <c r="C530" s="446" t="s">
        <v>38</v>
      </c>
      <c r="D530" s="446">
        <v>2813</v>
      </c>
      <c r="E530" s="446" t="s">
        <v>694</v>
      </c>
      <c r="F530" s="446" t="s">
        <v>1124</v>
      </c>
      <c r="G530" s="446" t="s">
        <v>1034</v>
      </c>
      <c r="H530" s="446" t="s">
        <v>41</v>
      </c>
      <c r="I530" s="447">
        <v>50</v>
      </c>
    </row>
    <row r="531" spans="2:9" hidden="1" outlineLevel="1" x14ac:dyDescent="0.25">
      <c r="B531" s="446" t="s">
        <v>702</v>
      </c>
      <c r="C531" s="446" t="s">
        <v>38</v>
      </c>
      <c r="D531" s="446">
        <v>2818</v>
      </c>
      <c r="E531" s="446" t="s">
        <v>1125</v>
      </c>
      <c r="F531" s="446" t="s">
        <v>1126</v>
      </c>
      <c r="G531" s="446" t="s">
        <v>1034</v>
      </c>
      <c r="H531" s="446" t="s">
        <v>41</v>
      </c>
      <c r="I531" s="447">
        <v>100</v>
      </c>
    </row>
    <row r="532" spans="2:9" hidden="1" outlineLevel="1" x14ac:dyDescent="0.25">
      <c r="B532" s="446" t="s">
        <v>702</v>
      </c>
      <c r="C532" s="446" t="s">
        <v>38</v>
      </c>
      <c r="D532" s="446">
        <v>2812</v>
      </c>
      <c r="E532" s="446" t="s">
        <v>1127</v>
      </c>
      <c r="F532" s="446" t="s">
        <v>1128</v>
      </c>
      <c r="G532" s="446" t="s">
        <v>1034</v>
      </c>
      <c r="H532" s="446" t="s">
        <v>41</v>
      </c>
      <c r="I532" s="447">
        <v>100</v>
      </c>
    </row>
    <row r="533" spans="2:9" hidden="1" outlineLevel="1" x14ac:dyDescent="0.25">
      <c r="B533" s="446" t="s">
        <v>702</v>
      </c>
      <c r="C533" s="446" t="s">
        <v>38</v>
      </c>
      <c r="D533" s="446">
        <v>2811</v>
      </c>
      <c r="E533" s="446" t="s">
        <v>1129</v>
      </c>
      <c r="F533" s="446" t="s">
        <v>1128</v>
      </c>
      <c r="G533" s="446" t="s">
        <v>1034</v>
      </c>
      <c r="H533" s="446" t="s">
        <v>41</v>
      </c>
      <c r="I533" s="447">
        <v>25</v>
      </c>
    </row>
    <row r="534" spans="2:9" hidden="1" outlineLevel="1" x14ac:dyDescent="0.25">
      <c r="B534" s="446" t="s">
        <v>702</v>
      </c>
      <c r="C534" s="446" t="s">
        <v>38</v>
      </c>
      <c r="D534" s="446">
        <v>2816</v>
      </c>
      <c r="E534" s="446" t="s">
        <v>1130</v>
      </c>
      <c r="F534" s="446" t="s">
        <v>1128</v>
      </c>
      <c r="G534" s="446" t="s">
        <v>1034</v>
      </c>
      <c r="H534" s="446" t="s">
        <v>41</v>
      </c>
      <c r="I534" s="447">
        <v>25</v>
      </c>
    </row>
    <row r="535" spans="2:9" hidden="1" outlineLevel="1" x14ac:dyDescent="0.25">
      <c r="B535" s="446" t="s">
        <v>1131</v>
      </c>
      <c r="C535" s="446" t="s">
        <v>38</v>
      </c>
      <c r="D535" s="446">
        <v>2801</v>
      </c>
      <c r="E535" s="446" t="s">
        <v>1132</v>
      </c>
      <c r="F535" s="446" t="s">
        <v>61</v>
      </c>
      <c r="G535" s="446" t="s">
        <v>1034</v>
      </c>
      <c r="H535" s="446" t="s">
        <v>41</v>
      </c>
      <c r="I535" s="447">
        <v>125</v>
      </c>
    </row>
    <row r="536" spans="2:9" hidden="1" outlineLevel="1" x14ac:dyDescent="0.25">
      <c r="B536" s="446" t="s">
        <v>974</v>
      </c>
      <c r="C536" s="446" t="s">
        <v>38</v>
      </c>
      <c r="D536" s="446">
        <v>2821</v>
      </c>
      <c r="E536" s="446" t="s">
        <v>1133</v>
      </c>
      <c r="F536" s="446" t="s">
        <v>63</v>
      </c>
      <c r="G536" s="446" t="s">
        <v>1034</v>
      </c>
      <c r="H536" s="446" t="s">
        <v>41</v>
      </c>
      <c r="I536" s="447">
        <v>20</v>
      </c>
    </row>
    <row r="537" spans="2:9" hidden="1" outlineLevel="1" x14ac:dyDescent="0.25">
      <c r="B537" s="446" t="s">
        <v>1134</v>
      </c>
      <c r="C537" s="446" t="s">
        <v>38</v>
      </c>
      <c r="D537" s="446">
        <v>2822</v>
      </c>
      <c r="E537" s="446" t="s">
        <v>72</v>
      </c>
      <c r="F537" s="446" t="s">
        <v>61</v>
      </c>
      <c r="G537" s="446" t="s">
        <v>1034</v>
      </c>
      <c r="H537" s="446" t="s">
        <v>41</v>
      </c>
      <c r="I537" s="447" t="s">
        <v>744</v>
      </c>
    </row>
    <row r="538" spans="2:9" hidden="1" outlineLevel="1" x14ac:dyDescent="0.25">
      <c r="B538" s="446" t="s">
        <v>978</v>
      </c>
      <c r="C538" s="446" t="s">
        <v>38</v>
      </c>
      <c r="D538" s="446">
        <v>2832</v>
      </c>
      <c r="E538" s="446" t="s">
        <v>1132</v>
      </c>
      <c r="F538" s="446" t="s">
        <v>61</v>
      </c>
      <c r="G538" s="446" t="s">
        <v>1034</v>
      </c>
      <c r="H538" s="446" t="s">
        <v>41</v>
      </c>
      <c r="I538" s="447">
        <v>100</v>
      </c>
    </row>
    <row r="539" spans="2:9" hidden="1" outlineLevel="1" x14ac:dyDescent="0.25">
      <c r="B539" s="446" t="s">
        <v>986</v>
      </c>
      <c r="C539" s="446" t="s">
        <v>38</v>
      </c>
      <c r="D539" s="446">
        <v>2860</v>
      </c>
      <c r="E539" s="446" t="s">
        <v>1135</v>
      </c>
      <c r="F539" s="446" t="s">
        <v>61</v>
      </c>
      <c r="G539" s="446" t="s">
        <v>1034</v>
      </c>
      <c r="H539" s="446" t="s">
        <v>41</v>
      </c>
      <c r="I539" s="447" t="s">
        <v>696</v>
      </c>
    </row>
    <row r="540" spans="2:9" hidden="1" outlineLevel="1" x14ac:dyDescent="0.25">
      <c r="B540" s="446" t="s">
        <v>986</v>
      </c>
      <c r="C540" s="446" t="s">
        <v>38</v>
      </c>
      <c r="D540" s="446">
        <v>2850</v>
      </c>
      <c r="E540" s="446" t="s">
        <v>1136</v>
      </c>
      <c r="F540" s="446" t="s">
        <v>1137</v>
      </c>
      <c r="G540" s="446" t="s">
        <v>1034</v>
      </c>
      <c r="H540" s="446" t="s">
        <v>41</v>
      </c>
      <c r="I540" s="447" t="s">
        <v>696</v>
      </c>
    </row>
    <row r="541" spans="2:9" hidden="1" outlineLevel="1" x14ac:dyDescent="0.25">
      <c r="B541" s="446" t="s">
        <v>990</v>
      </c>
      <c r="C541" s="446" t="s">
        <v>38</v>
      </c>
      <c r="D541" s="446">
        <v>2868</v>
      </c>
      <c r="E541" s="446" t="s">
        <v>681</v>
      </c>
      <c r="F541" s="446" t="s">
        <v>1086</v>
      </c>
      <c r="G541" s="446" t="s">
        <v>1034</v>
      </c>
      <c r="H541" s="446" t="s">
        <v>41</v>
      </c>
      <c r="I541" s="447" t="s">
        <v>683</v>
      </c>
    </row>
    <row r="542" spans="2:9" hidden="1" outlineLevel="1" x14ac:dyDescent="0.25">
      <c r="B542" s="446" t="s">
        <v>992</v>
      </c>
      <c r="C542" s="446" t="s">
        <v>38</v>
      </c>
      <c r="D542" s="446">
        <v>2875</v>
      </c>
      <c r="E542" s="446" t="s">
        <v>1078</v>
      </c>
      <c r="F542" s="446" t="s">
        <v>61</v>
      </c>
      <c r="G542" s="446" t="s">
        <v>1034</v>
      </c>
      <c r="H542" s="446" t="s">
        <v>41</v>
      </c>
      <c r="I542" s="447">
        <v>32</v>
      </c>
    </row>
    <row r="543" spans="2:9" hidden="1" outlineLevel="1" x14ac:dyDescent="0.25">
      <c r="B543" s="446" t="s">
        <v>706</v>
      </c>
      <c r="C543" s="446" t="s">
        <v>38</v>
      </c>
      <c r="D543" s="446">
        <v>2906</v>
      </c>
      <c r="E543" s="446" t="s">
        <v>43</v>
      </c>
      <c r="F543" s="446" t="s">
        <v>1138</v>
      </c>
      <c r="G543" s="446" t="s">
        <v>1034</v>
      </c>
      <c r="H543" s="446" t="s">
        <v>41</v>
      </c>
      <c r="I543" s="447" t="s">
        <v>1139</v>
      </c>
    </row>
    <row r="544" spans="2:9" hidden="1" outlineLevel="1" x14ac:dyDescent="0.25">
      <c r="B544" s="446" t="s">
        <v>1140</v>
      </c>
      <c r="C544" s="446" t="s">
        <v>38</v>
      </c>
      <c r="D544" s="446">
        <v>2915</v>
      </c>
      <c r="E544" s="446" t="s">
        <v>1141</v>
      </c>
      <c r="F544" s="446" t="s">
        <v>61</v>
      </c>
      <c r="G544" s="446" t="s">
        <v>1034</v>
      </c>
      <c r="H544" s="446" t="s">
        <v>41</v>
      </c>
      <c r="I544" s="447">
        <v>100</v>
      </c>
    </row>
    <row r="545" spans="1:9" hidden="1" outlineLevel="1" x14ac:dyDescent="0.25">
      <c r="B545" s="446" t="s">
        <v>754</v>
      </c>
      <c r="C545" s="446" t="s">
        <v>38</v>
      </c>
      <c r="D545" s="446">
        <v>2967</v>
      </c>
      <c r="E545" s="446" t="s">
        <v>1032</v>
      </c>
      <c r="F545" s="446" t="s">
        <v>1119</v>
      </c>
      <c r="G545" s="446" t="s">
        <v>1034</v>
      </c>
      <c r="H545" s="446" t="s">
        <v>41</v>
      </c>
      <c r="I545" s="447">
        <v>33</v>
      </c>
    </row>
    <row r="546" spans="1:9" ht="23.25" hidden="1" outlineLevel="1" x14ac:dyDescent="0.25">
      <c r="B546" s="446" t="s">
        <v>1019</v>
      </c>
      <c r="C546" s="446" t="s">
        <v>38</v>
      </c>
      <c r="D546" s="446">
        <v>2993</v>
      </c>
      <c r="E546" s="446" t="s">
        <v>1142</v>
      </c>
      <c r="F546" s="446" t="s">
        <v>1143</v>
      </c>
      <c r="G546" s="446" t="s">
        <v>1034</v>
      </c>
      <c r="H546" s="446" t="s">
        <v>41</v>
      </c>
      <c r="I546" s="447" t="s">
        <v>696</v>
      </c>
    </row>
    <row r="547" spans="1:9" collapsed="1" x14ac:dyDescent="0.25">
      <c r="A547" s="442" t="s">
        <v>1144</v>
      </c>
      <c r="I547" s="445" t="s">
        <v>1145</v>
      </c>
    </row>
    <row r="548" spans="1:9" hidden="1" outlineLevel="1" x14ac:dyDescent="0.25">
      <c r="A548" s="442" t="s">
        <v>1146</v>
      </c>
    </row>
    <row r="549" spans="1:9" hidden="1" outlineLevel="1" x14ac:dyDescent="0.25">
      <c r="B549" s="446" t="s">
        <v>1114</v>
      </c>
      <c r="C549" s="446" t="s">
        <v>38</v>
      </c>
      <c r="D549" s="446">
        <v>2722</v>
      </c>
      <c r="E549" s="446" t="s">
        <v>46</v>
      </c>
      <c r="F549" s="446" t="s">
        <v>1147</v>
      </c>
      <c r="G549" s="446" t="s">
        <v>1148</v>
      </c>
      <c r="H549" s="446" t="s">
        <v>41</v>
      </c>
      <c r="I549" s="447">
        <v>100</v>
      </c>
    </row>
    <row r="550" spans="1:9" hidden="1" outlineLevel="1" x14ac:dyDescent="0.25">
      <c r="B550" s="446" t="s">
        <v>702</v>
      </c>
      <c r="C550" s="446" t="s">
        <v>38</v>
      </c>
      <c r="D550" s="446">
        <v>2809</v>
      </c>
      <c r="E550" s="446" t="s">
        <v>65</v>
      </c>
      <c r="F550" s="446" t="s">
        <v>1149</v>
      </c>
      <c r="G550" s="446" t="s">
        <v>1148</v>
      </c>
      <c r="H550" s="446" t="s">
        <v>41</v>
      </c>
      <c r="I550" s="447">
        <v>50</v>
      </c>
    </row>
    <row r="551" spans="1:9" hidden="1" outlineLevel="1" x14ac:dyDescent="0.25">
      <c r="B551" s="446" t="s">
        <v>702</v>
      </c>
      <c r="C551" s="446" t="s">
        <v>38</v>
      </c>
      <c r="D551" s="446">
        <v>2815</v>
      </c>
      <c r="E551" s="446" t="s">
        <v>71</v>
      </c>
      <c r="F551" s="446" t="s">
        <v>1150</v>
      </c>
      <c r="G551" s="446" t="s">
        <v>1148</v>
      </c>
      <c r="H551" s="446" t="s">
        <v>41</v>
      </c>
      <c r="I551" s="447" t="s">
        <v>696</v>
      </c>
    </row>
    <row r="552" spans="1:9" hidden="1" outlineLevel="1" x14ac:dyDescent="0.25">
      <c r="B552" s="446" t="s">
        <v>702</v>
      </c>
      <c r="C552" s="446" t="s">
        <v>38</v>
      </c>
      <c r="D552" s="446">
        <v>2810</v>
      </c>
      <c r="E552" s="446" t="s">
        <v>66</v>
      </c>
      <c r="F552" s="446" t="s">
        <v>1150</v>
      </c>
      <c r="G552" s="446" t="s">
        <v>1148</v>
      </c>
      <c r="H552" s="446" t="s">
        <v>41</v>
      </c>
      <c r="I552" s="447">
        <v>50</v>
      </c>
    </row>
    <row r="553" spans="1:9" collapsed="1" x14ac:dyDescent="0.25">
      <c r="A553" s="442" t="s">
        <v>1151</v>
      </c>
      <c r="I553" s="445" t="s">
        <v>1152</v>
      </c>
    </row>
    <row r="554" spans="1:9" ht="23.25" x14ac:dyDescent="0.25">
      <c r="A554" s="442" t="s">
        <v>1153</v>
      </c>
      <c r="I554" s="445" t="s">
        <v>1154</v>
      </c>
    </row>
    <row r="555" spans="1:9" x14ac:dyDescent="0.25">
      <c r="A555" s="442" t="s">
        <v>1155</v>
      </c>
      <c r="I555" s="445" t="s">
        <v>1154</v>
      </c>
    </row>
    <row r="558" spans="1:9" x14ac:dyDescent="0.25">
      <c r="A558" s="563" t="s">
        <v>1156</v>
      </c>
      <c r="B558" s="541"/>
      <c r="C558" s="541"/>
      <c r="D558" s="541"/>
      <c r="E558" s="541"/>
      <c r="F558" s="541"/>
      <c r="G558" s="541"/>
      <c r="H558" s="541"/>
      <c r="I558" s="541"/>
    </row>
    <row r="561" spans="9:9" x14ac:dyDescent="0.25">
      <c r="I561" s="29">
        <f>I26+I39+I452+I547+I553</f>
        <v>250434</v>
      </c>
    </row>
  </sheetData>
  <mergeCells count="3">
    <mergeCell ref="A1:I1"/>
    <mergeCell ref="A2:I2"/>
    <mergeCell ref="A558:I55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117"/>
  <sheetViews>
    <sheetView zoomScale="160" zoomScaleNormal="160" workbookViewId="0">
      <selection activeCell="G12" sqref="G12"/>
    </sheetView>
  </sheetViews>
  <sheetFormatPr defaultColWidth="8.625" defaultRowHeight="15" x14ac:dyDescent="0.25"/>
  <cols>
    <col min="1" max="1" width="32.5" style="311" customWidth="1"/>
    <col min="2" max="2" width="17" style="311" customWidth="1"/>
    <col min="3" max="16384" width="8.625" style="311"/>
  </cols>
  <sheetData>
    <row r="1" spans="1:2" ht="18" x14ac:dyDescent="0.25">
      <c r="A1" s="561" t="s">
        <v>90</v>
      </c>
      <c r="B1" s="541"/>
    </row>
    <row r="2" spans="1:2" ht="18" x14ac:dyDescent="0.25">
      <c r="A2" s="561" t="s">
        <v>428</v>
      </c>
      <c r="B2" s="541"/>
    </row>
    <row r="3" spans="1:2" x14ac:dyDescent="0.25">
      <c r="A3" s="562" t="s">
        <v>429</v>
      </c>
      <c r="B3" s="541"/>
    </row>
    <row r="5" spans="1:2" x14ac:dyDescent="0.25">
      <c r="A5" s="316"/>
      <c r="B5" s="26" t="s">
        <v>26</v>
      </c>
    </row>
    <row r="6" spans="1:2" x14ac:dyDescent="0.25">
      <c r="A6" s="312" t="s">
        <v>0</v>
      </c>
      <c r="B6" s="317"/>
    </row>
    <row r="7" spans="1:2" x14ac:dyDescent="0.25">
      <c r="A7" s="312" t="s">
        <v>134</v>
      </c>
      <c r="B7" s="318">
        <f>18</f>
        <v>18</v>
      </c>
    </row>
    <row r="8" spans="1:2" x14ac:dyDescent="0.25">
      <c r="A8" s="312" t="s">
        <v>135</v>
      </c>
      <c r="B8" s="318">
        <f>60851.41</f>
        <v>60851.41</v>
      </c>
    </row>
    <row r="9" spans="1:2" x14ac:dyDescent="0.25">
      <c r="A9" s="312" t="s">
        <v>136</v>
      </c>
      <c r="B9" s="318">
        <f>63854.62</f>
        <v>63854.62</v>
      </c>
    </row>
    <row r="10" spans="1:2" x14ac:dyDescent="0.25">
      <c r="A10" s="312" t="s">
        <v>137</v>
      </c>
      <c r="B10" s="318">
        <f>140146.99</f>
        <v>140146.99</v>
      </c>
    </row>
    <row r="11" spans="1:2" x14ac:dyDescent="0.25">
      <c r="A11" s="312" t="s">
        <v>138</v>
      </c>
      <c r="B11" s="318">
        <f>32882.84</f>
        <v>32882.839999999997</v>
      </c>
    </row>
    <row r="12" spans="1:2" x14ac:dyDescent="0.25">
      <c r="A12" s="312" t="s">
        <v>139</v>
      </c>
      <c r="B12" s="318">
        <f>74289</f>
        <v>74289</v>
      </c>
    </row>
    <row r="13" spans="1:2" x14ac:dyDescent="0.25">
      <c r="A13" s="312" t="s">
        <v>140</v>
      </c>
      <c r="B13" s="318">
        <f>6762.5</f>
        <v>6762.5</v>
      </c>
    </row>
    <row r="14" spans="1:2" x14ac:dyDescent="0.25">
      <c r="A14" s="312" t="s">
        <v>141</v>
      </c>
      <c r="B14" s="318">
        <f>36730.54</f>
        <v>36730.54</v>
      </c>
    </row>
    <row r="15" spans="1:2" x14ac:dyDescent="0.25">
      <c r="A15" s="312" t="s">
        <v>142</v>
      </c>
      <c r="B15" s="318">
        <f>3150</f>
        <v>3150</v>
      </c>
    </row>
    <row r="16" spans="1:2" x14ac:dyDescent="0.25">
      <c r="A16" s="312" t="s">
        <v>143</v>
      </c>
      <c r="B16" s="319">
        <f>((((((B9)+(B10))+(B11))+(B12))+(B13))+(B14))+(B15)</f>
        <v>357816.48999999993</v>
      </c>
    </row>
    <row r="17" spans="1:2" x14ac:dyDescent="0.25">
      <c r="A17" s="312" t="s">
        <v>144</v>
      </c>
      <c r="B17" s="318">
        <f>35010</f>
        <v>35010</v>
      </c>
    </row>
    <row r="18" spans="1:2" x14ac:dyDescent="0.25">
      <c r="A18" s="312" t="s">
        <v>145</v>
      </c>
      <c r="B18" s="318">
        <f>26778.63</f>
        <v>26778.63</v>
      </c>
    </row>
    <row r="19" spans="1:2" x14ac:dyDescent="0.25">
      <c r="A19" s="312" t="s">
        <v>146</v>
      </c>
      <c r="B19" s="318">
        <f>2543.29</f>
        <v>2543.29</v>
      </c>
    </row>
    <row r="20" spans="1:2" x14ac:dyDescent="0.25">
      <c r="A20" s="312" t="s">
        <v>430</v>
      </c>
      <c r="B20" s="318">
        <f>13.67</f>
        <v>13.67</v>
      </c>
    </row>
    <row r="21" spans="1:2" x14ac:dyDescent="0.25">
      <c r="A21" s="312" t="s">
        <v>147</v>
      </c>
      <c r="B21" s="318">
        <f>2269</f>
        <v>2269</v>
      </c>
    </row>
    <row r="22" spans="1:2" x14ac:dyDescent="0.25">
      <c r="A22" s="312" t="s">
        <v>148</v>
      </c>
      <c r="B22" s="318">
        <f>4764</f>
        <v>4764</v>
      </c>
    </row>
    <row r="23" spans="1:2" x14ac:dyDescent="0.25">
      <c r="A23" s="312" t="s">
        <v>150</v>
      </c>
      <c r="B23" s="318">
        <f>2465.25</f>
        <v>2465.25</v>
      </c>
    </row>
    <row r="24" spans="1:2" x14ac:dyDescent="0.25">
      <c r="A24" s="312" t="s">
        <v>151</v>
      </c>
      <c r="B24" s="318">
        <f>6487.45</f>
        <v>6487.45</v>
      </c>
    </row>
    <row r="25" spans="1:2" x14ac:dyDescent="0.25">
      <c r="A25" s="312" t="s">
        <v>152</v>
      </c>
      <c r="B25" s="319">
        <f>(((B21)+(B22))+(B23))+(B24)</f>
        <v>15985.7</v>
      </c>
    </row>
    <row r="26" spans="1:2" x14ac:dyDescent="0.25">
      <c r="A26" s="312" t="s">
        <v>153</v>
      </c>
      <c r="B26" s="318">
        <f>382.32</f>
        <v>382.32</v>
      </c>
    </row>
    <row r="27" spans="1:2" x14ac:dyDescent="0.25">
      <c r="A27" s="312" t="s">
        <v>154</v>
      </c>
      <c r="B27" s="318">
        <f>500</f>
        <v>500</v>
      </c>
    </row>
    <row r="28" spans="1:2" x14ac:dyDescent="0.25">
      <c r="A28" s="312" t="s">
        <v>155</v>
      </c>
      <c r="B28" s="318">
        <f>50.11</f>
        <v>50.11</v>
      </c>
    </row>
    <row r="29" spans="1:2" x14ac:dyDescent="0.25">
      <c r="A29" s="312" t="s">
        <v>156</v>
      </c>
      <c r="B29" s="319">
        <f>((((((((((B7)+(B8))+(B16))+(B17))+(B18))+(B19))+(B20))+(B25))+(B26))+(B27))+(B28)</f>
        <v>499949.61999999988</v>
      </c>
    </row>
    <row r="30" spans="1:2" x14ac:dyDescent="0.25">
      <c r="A30" s="312" t="s">
        <v>20</v>
      </c>
      <c r="B30" s="317"/>
    </row>
    <row r="31" spans="1:2" x14ac:dyDescent="0.25">
      <c r="A31" s="312" t="s">
        <v>157</v>
      </c>
      <c r="B31" s="318">
        <f>46024.75</f>
        <v>46024.75</v>
      </c>
    </row>
    <row r="32" spans="1:2" x14ac:dyDescent="0.25">
      <c r="A32" s="312" t="s">
        <v>158</v>
      </c>
      <c r="B32" s="318">
        <f>2640.58</f>
        <v>2640.58</v>
      </c>
    </row>
    <row r="33" spans="1:2" x14ac:dyDescent="0.25">
      <c r="A33" s="312" t="s">
        <v>159</v>
      </c>
      <c r="B33" s="318">
        <f>600.13</f>
        <v>600.13</v>
      </c>
    </row>
    <row r="34" spans="1:2" x14ac:dyDescent="0.25">
      <c r="A34" s="312" t="s">
        <v>431</v>
      </c>
      <c r="B34" s="318">
        <f>246.87</f>
        <v>246.87</v>
      </c>
    </row>
    <row r="35" spans="1:2" x14ac:dyDescent="0.25">
      <c r="A35" s="312" t="s">
        <v>160</v>
      </c>
      <c r="B35" s="318">
        <f>2471.9</f>
        <v>2471.9</v>
      </c>
    </row>
    <row r="36" spans="1:2" x14ac:dyDescent="0.25">
      <c r="A36" s="312" t="s">
        <v>161</v>
      </c>
      <c r="B36" s="318">
        <f>3867.99</f>
        <v>3867.99</v>
      </c>
    </row>
    <row r="37" spans="1:2" x14ac:dyDescent="0.25">
      <c r="A37" s="312" t="s">
        <v>162</v>
      </c>
      <c r="B37" s="318">
        <f>636</f>
        <v>636</v>
      </c>
    </row>
    <row r="38" spans="1:2" x14ac:dyDescent="0.25">
      <c r="A38" s="312" t="s">
        <v>163</v>
      </c>
      <c r="B38" s="318">
        <f>5217.45</f>
        <v>5217.45</v>
      </c>
    </row>
    <row r="39" spans="1:2" x14ac:dyDescent="0.25">
      <c r="A39" s="312" t="s">
        <v>164</v>
      </c>
      <c r="B39" s="318">
        <f>1355.4</f>
        <v>1355.4</v>
      </c>
    </row>
    <row r="40" spans="1:2" x14ac:dyDescent="0.25">
      <c r="A40" s="312" t="s">
        <v>165</v>
      </c>
      <c r="B40" s="318">
        <f>1028.23</f>
        <v>1028.23</v>
      </c>
    </row>
    <row r="41" spans="1:2" x14ac:dyDescent="0.25">
      <c r="A41" s="312" t="s">
        <v>166</v>
      </c>
      <c r="B41" s="318">
        <f>793.34</f>
        <v>793.34</v>
      </c>
    </row>
    <row r="42" spans="1:2" x14ac:dyDescent="0.25">
      <c r="A42" s="312" t="s">
        <v>167</v>
      </c>
      <c r="B42" s="318">
        <f>528.91</f>
        <v>528.91</v>
      </c>
    </row>
    <row r="43" spans="1:2" x14ac:dyDescent="0.25">
      <c r="A43" s="312" t="s">
        <v>168</v>
      </c>
      <c r="B43" s="318">
        <f>7903.84</f>
        <v>7903.84</v>
      </c>
    </row>
    <row r="44" spans="1:2" x14ac:dyDescent="0.25">
      <c r="A44" s="312" t="s">
        <v>169</v>
      </c>
      <c r="B44" s="318">
        <f>5975.02</f>
        <v>5975.02</v>
      </c>
    </row>
    <row r="45" spans="1:2" x14ac:dyDescent="0.25">
      <c r="A45" s="312" t="s">
        <v>170</v>
      </c>
      <c r="B45" s="318">
        <f>25</f>
        <v>25</v>
      </c>
    </row>
    <row r="46" spans="1:2" x14ac:dyDescent="0.25">
      <c r="A46" s="312" t="s">
        <v>171</v>
      </c>
      <c r="B46" s="318">
        <f>1175</f>
        <v>1175</v>
      </c>
    </row>
    <row r="47" spans="1:2" x14ac:dyDescent="0.25">
      <c r="A47" s="312" t="s">
        <v>172</v>
      </c>
      <c r="B47" s="318">
        <f>68.7</f>
        <v>68.7</v>
      </c>
    </row>
    <row r="48" spans="1:2" x14ac:dyDescent="0.25">
      <c r="A48" s="312" t="s">
        <v>432</v>
      </c>
      <c r="B48" s="318">
        <f>396.44</f>
        <v>396.44</v>
      </c>
    </row>
    <row r="49" spans="1:2" x14ac:dyDescent="0.25">
      <c r="A49" s="312" t="s">
        <v>173</v>
      </c>
      <c r="B49" s="319">
        <f>(B47)+(B48)</f>
        <v>465.14</v>
      </c>
    </row>
    <row r="50" spans="1:2" x14ac:dyDescent="0.25">
      <c r="A50" s="312" t="s">
        <v>174</v>
      </c>
      <c r="B50" s="319">
        <f>((((((((((((((((B31)+(B32))+(B33))+(B34))+(B35))+(B36))+(B37))+(B38))+(B39))+(B40))+(B41))+(B42))+(B43))+(B44))+(B45))+(B46))+(B49)</f>
        <v>80955.55</v>
      </c>
    </row>
    <row r="51" spans="1:2" x14ac:dyDescent="0.25">
      <c r="A51" s="312" t="s">
        <v>175</v>
      </c>
      <c r="B51" s="319">
        <f>(B29)-(B50)</f>
        <v>418994.06999999989</v>
      </c>
    </row>
    <row r="52" spans="1:2" x14ac:dyDescent="0.25">
      <c r="A52" s="312" t="s">
        <v>176</v>
      </c>
      <c r="B52" s="317"/>
    </row>
    <row r="53" spans="1:2" x14ac:dyDescent="0.25">
      <c r="A53" s="312" t="s">
        <v>177</v>
      </c>
      <c r="B53" s="318">
        <f>62003.27</f>
        <v>62003.27</v>
      </c>
    </row>
    <row r="54" spans="1:2" x14ac:dyDescent="0.25">
      <c r="A54" s="312" t="s">
        <v>433</v>
      </c>
      <c r="B54" s="318">
        <f>1742.59</f>
        <v>1742.59</v>
      </c>
    </row>
    <row r="55" spans="1:2" x14ac:dyDescent="0.25">
      <c r="A55" s="312" t="s">
        <v>434</v>
      </c>
      <c r="B55" s="319">
        <f>(B53)+(B54)</f>
        <v>63745.859999999993</v>
      </c>
    </row>
    <row r="56" spans="1:2" x14ac:dyDescent="0.25">
      <c r="A56" s="312" t="s">
        <v>178</v>
      </c>
      <c r="B56" s="318">
        <f>332.09</f>
        <v>332.09</v>
      </c>
    </row>
    <row r="57" spans="1:2" x14ac:dyDescent="0.25">
      <c r="A57" s="312" t="s">
        <v>179</v>
      </c>
      <c r="B57" s="318">
        <f>7761.02</f>
        <v>7761.02</v>
      </c>
    </row>
    <row r="58" spans="1:2" x14ac:dyDescent="0.25">
      <c r="A58" s="312" t="s">
        <v>180</v>
      </c>
      <c r="B58" s="318">
        <f>5126.62</f>
        <v>5126.62</v>
      </c>
    </row>
    <row r="59" spans="1:2" x14ac:dyDescent="0.25">
      <c r="A59" s="312" t="s">
        <v>181</v>
      </c>
      <c r="B59" s="318">
        <f>1000</f>
        <v>1000</v>
      </c>
    </row>
    <row r="60" spans="1:2" x14ac:dyDescent="0.25">
      <c r="A60" s="312" t="s">
        <v>182</v>
      </c>
      <c r="B60" s="318">
        <f>341.12</f>
        <v>341.12</v>
      </c>
    </row>
    <row r="61" spans="1:2" x14ac:dyDescent="0.25">
      <c r="A61" s="312" t="s">
        <v>183</v>
      </c>
      <c r="B61" s="318">
        <f>399.67</f>
        <v>399.67</v>
      </c>
    </row>
    <row r="62" spans="1:2" x14ac:dyDescent="0.25">
      <c r="A62" s="312" t="s">
        <v>184</v>
      </c>
      <c r="B62" s="318">
        <f>724.25</f>
        <v>724.25</v>
      </c>
    </row>
    <row r="63" spans="1:2" x14ac:dyDescent="0.25">
      <c r="A63" s="312" t="s">
        <v>435</v>
      </c>
      <c r="B63" s="318">
        <f>115440.12</f>
        <v>115440.12</v>
      </c>
    </row>
    <row r="64" spans="1:2" x14ac:dyDescent="0.25">
      <c r="A64" s="312" t="s">
        <v>433</v>
      </c>
      <c r="B64" s="318">
        <f>1624.25</f>
        <v>1624.25</v>
      </c>
    </row>
    <row r="65" spans="1:2" x14ac:dyDescent="0.25">
      <c r="A65" s="312" t="s">
        <v>436</v>
      </c>
      <c r="B65" s="319">
        <f>(B63)+(B64)</f>
        <v>117064.37</v>
      </c>
    </row>
    <row r="66" spans="1:2" x14ac:dyDescent="0.25">
      <c r="A66" s="312" t="s">
        <v>185</v>
      </c>
      <c r="B66" s="318">
        <f>190.24</f>
        <v>190.24</v>
      </c>
    </row>
    <row r="67" spans="1:2" x14ac:dyDescent="0.25">
      <c r="A67" s="312" t="s">
        <v>186</v>
      </c>
      <c r="B67" s="318">
        <f>73</f>
        <v>73</v>
      </c>
    </row>
    <row r="68" spans="1:2" x14ac:dyDescent="0.25">
      <c r="A68" s="312" t="s">
        <v>187</v>
      </c>
      <c r="B68" s="318">
        <f>119.15</f>
        <v>119.15</v>
      </c>
    </row>
    <row r="69" spans="1:2" x14ac:dyDescent="0.25">
      <c r="A69" s="312" t="s">
        <v>188</v>
      </c>
      <c r="B69" s="318">
        <f>40</f>
        <v>40</v>
      </c>
    </row>
    <row r="70" spans="1:2" x14ac:dyDescent="0.25">
      <c r="A70" s="312" t="s">
        <v>437</v>
      </c>
      <c r="B70" s="318">
        <f>6674.44</f>
        <v>6674.44</v>
      </c>
    </row>
    <row r="71" spans="1:2" x14ac:dyDescent="0.25">
      <c r="A71" s="312" t="s">
        <v>438</v>
      </c>
      <c r="B71" s="318">
        <f>939.99</f>
        <v>939.99</v>
      </c>
    </row>
    <row r="72" spans="1:2" x14ac:dyDescent="0.25">
      <c r="A72" s="312" t="s">
        <v>189</v>
      </c>
      <c r="B72" s="318">
        <f>490.17</f>
        <v>490.17</v>
      </c>
    </row>
    <row r="73" spans="1:2" x14ac:dyDescent="0.25">
      <c r="A73" s="312" t="s">
        <v>190</v>
      </c>
      <c r="B73" s="318">
        <f>225.9</f>
        <v>225.9</v>
      </c>
    </row>
    <row r="74" spans="1:2" x14ac:dyDescent="0.25">
      <c r="A74" s="312" t="s">
        <v>191</v>
      </c>
      <c r="B74" s="318">
        <f>847.16</f>
        <v>847.16</v>
      </c>
    </row>
    <row r="75" spans="1:2" x14ac:dyDescent="0.25">
      <c r="A75" s="312" t="s">
        <v>192</v>
      </c>
      <c r="B75" s="319">
        <f>(((B71)+(B72))+(B73))+(B74)</f>
        <v>2503.2200000000003</v>
      </c>
    </row>
    <row r="76" spans="1:2" x14ac:dyDescent="0.25">
      <c r="A76" s="312" t="s">
        <v>193</v>
      </c>
      <c r="B76" s="318">
        <f>1055.1</f>
        <v>1055.0999999999999</v>
      </c>
    </row>
    <row r="77" spans="1:2" x14ac:dyDescent="0.25">
      <c r="A77" s="312" t="s">
        <v>194</v>
      </c>
      <c r="B77" s="318">
        <f>13082.52</f>
        <v>13082.52</v>
      </c>
    </row>
    <row r="78" spans="1:2" x14ac:dyDescent="0.25">
      <c r="A78" s="312" t="s">
        <v>439</v>
      </c>
      <c r="B78" s="318">
        <f>558</f>
        <v>558</v>
      </c>
    </row>
    <row r="79" spans="1:2" x14ac:dyDescent="0.25">
      <c r="A79" s="312" t="s">
        <v>440</v>
      </c>
      <c r="B79" s="319">
        <f>(B77)+(B78)</f>
        <v>13640.52</v>
      </c>
    </row>
    <row r="80" spans="1:2" x14ac:dyDescent="0.25">
      <c r="A80" s="312" t="s">
        <v>195</v>
      </c>
      <c r="B80" s="318">
        <f>1300</f>
        <v>1300</v>
      </c>
    </row>
    <row r="81" spans="1:2" x14ac:dyDescent="0.25">
      <c r="A81" s="312" t="s">
        <v>196</v>
      </c>
      <c r="B81" s="318">
        <f>981.18</f>
        <v>981.18</v>
      </c>
    </row>
    <row r="82" spans="1:2" x14ac:dyDescent="0.25">
      <c r="A82" s="312" t="s">
        <v>441</v>
      </c>
      <c r="B82" s="318">
        <f>11107.55</f>
        <v>11107.55</v>
      </c>
    </row>
    <row r="83" spans="1:2" x14ac:dyDescent="0.25">
      <c r="A83" s="312" t="s">
        <v>197</v>
      </c>
      <c r="B83" s="318">
        <f>15.65</f>
        <v>15.65</v>
      </c>
    </row>
    <row r="84" spans="1:2" x14ac:dyDescent="0.25">
      <c r="A84" s="312" t="s">
        <v>198</v>
      </c>
      <c r="B84" s="318">
        <f>622.4</f>
        <v>622.4</v>
      </c>
    </row>
    <row r="85" spans="1:2" x14ac:dyDescent="0.25">
      <c r="A85" s="312" t="s">
        <v>199</v>
      </c>
      <c r="B85" s="318">
        <f>19561.84</f>
        <v>19561.84</v>
      </c>
    </row>
    <row r="86" spans="1:2" x14ac:dyDescent="0.25">
      <c r="A86" s="312" t="s">
        <v>200</v>
      </c>
      <c r="B86" s="318">
        <f>708.71</f>
        <v>708.71</v>
      </c>
    </row>
    <row r="87" spans="1:2" x14ac:dyDescent="0.25">
      <c r="A87" s="312" t="s">
        <v>442</v>
      </c>
      <c r="B87" s="318">
        <f>1912.69</f>
        <v>1912.69</v>
      </c>
    </row>
    <row r="88" spans="1:2" x14ac:dyDescent="0.25">
      <c r="A88" s="312" t="s">
        <v>443</v>
      </c>
      <c r="B88" s="318">
        <f>787.5</f>
        <v>787.5</v>
      </c>
    </row>
    <row r="89" spans="1:2" x14ac:dyDescent="0.25">
      <c r="A89" s="312" t="s">
        <v>201</v>
      </c>
      <c r="B89" s="318">
        <f>59.76</f>
        <v>59.76</v>
      </c>
    </row>
    <row r="90" spans="1:2" x14ac:dyDescent="0.25">
      <c r="A90" s="312" t="s">
        <v>202</v>
      </c>
      <c r="B90" s="318">
        <f>12.28</f>
        <v>12.28</v>
      </c>
    </row>
    <row r="91" spans="1:2" x14ac:dyDescent="0.25">
      <c r="A91" s="312" t="s">
        <v>203</v>
      </c>
      <c r="B91" s="318">
        <f>1003</f>
        <v>1003</v>
      </c>
    </row>
    <row r="92" spans="1:2" x14ac:dyDescent="0.25">
      <c r="A92" s="312" t="s">
        <v>444</v>
      </c>
      <c r="B92" s="318">
        <f>195</f>
        <v>195</v>
      </c>
    </row>
    <row r="93" spans="1:2" x14ac:dyDescent="0.25">
      <c r="A93" s="312" t="s">
        <v>204</v>
      </c>
      <c r="B93" s="318">
        <f>571.63</f>
        <v>571.63</v>
      </c>
    </row>
    <row r="94" spans="1:2" x14ac:dyDescent="0.25">
      <c r="A94" s="312" t="s">
        <v>205</v>
      </c>
      <c r="B94" s="318">
        <f>985</f>
        <v>985</v>
      </c>
    </row>
    <row r="95" spans="1:2" x14ac:dyDescent="0.25">
      <c r="A95" s="312" t="s">
        <v>206</v>
      </c>
      <c r="B95" s="318">
        <f>3301.17</f>
        <v>3301.17</v>
      </c>
    </row>
    <row r="96" spans="1:2" x14ac:dyDescent="0.25">
      <c r="A96" s="312" t="s">
        <v>445</v>
      </c>
      <c r="B96" s="318">
        <f>172.24</f>
        <v>172.24</v>
      </c>
    </row>
    <row r="97" spans="1:2" x14ac:dyDescent="0.25">
      <c r="A97" s="312" t="s">
        <v>207</v>
      </c>
      <c r="B97" s="318">
        <f>40.95</f>
        <v>40.950000000000003</v>
      </c>
    </row>
    <row r="98" spans="1:2" x14ac:dyDescent="0.25">
      <c r="A98" s="312" t="s">
        <v>208</v>
      </c>
      <c r="B98" s="318">
        <f>368.82</f>
        <v>368.82</v>
      </c>
    </row>
    <row r="99" spans="1:2" x14ac:dyDescent="0.25">
      <c r="A99" s="312" t="s">
        <v>209</v>
      </c>
      <c r="B99" s="318">
        <f>3.36</f>
        <v>3.36</v>
      </c>
    </row>
    <row r="100" spans="1:2" x14ac:dyDescent="0.25">
      <c r="A100" s="312" t="s">
        <v>210</v>
      </c>
      <c r="B100" s="318">
        <f>34.35</f>
        <v>34.35</v>
      </c>
    </row>
    <row r="101" spans="1:2" x14ac:dyDescent="0.25">
      <c r="A101" s="312" t="s">
        <v>211</v>
      </c>
      <c r="B101" s="318">
        <f>3078.37</f>
        <v>3078.37</v>
      </c>
    </row>
    <row r="102" spans="1:2" x14ac:dyDescent="0.25">
      <c r="A102" s="312" t="s">
        <v>212</v>
      </c>
      <c r="B102" s="318">
        <f>1100</f>
        <v>1100</v>
      </c>
    </row>
    <row r="103" spans="1:2" x14ac:dyDescent="0.25">
      <c r="A103" s="312" t="s">
        <v>213</v>
      </c>
      <c r="B103" s="319">
        <f>(((((((((((((((((((((((((((((((((((((((B55)+(B56))+(B57))+(B58))+(B59))+(B60))+(B61))+(B62))+(B65))+(B66))+(B67))+(B68))+(B69))+(B70))+(B75))+(B76))+(B79))+(B80))+(B81))+(B82))+(B83))+(B84))+(B85))+(B86))+(B87))+(B88))+(B89))+(B90))+(B91))+(B92))+(B93))+(B94))+(B95))+(B96))+(B97))+(B98))+(B99))+(B100))+(B101))+(B102)</f>
        <v>268714.11999999988</v>
      </c>
    </row>
    <row r="104" spans="1:2" x14ac:dyDescent="0.25">
      <c r="A104" s="312" t="s">
        <v>214</v>
      </c>
      <c r="B104" s="319">
        <f>(B51)-(B103)</f>
        <v>150279.95000000001</v>
      </c>
    </row>
    <row r="105" spans="1:2" x14ac:dyDescent="0.25">
      <c r="A105" s="312" t="s">
        <v>215</v>
      </c>
      <c r="B105" s="317"/>
    </row>
    <row r="106" spans="1:2" x14ac:dyDescent="0.25">
      <c r="A106" s="312" t="s">
        <v>216</v>
      </c>
      <c r="B106" s="318">
        <f>11.24</f>
        <v>11.24</v>
      </c>
    </row>
    <row r="107" spans="1:2" x14ac:dyDescent="0.25">
      <c r="A107" s="312" t="s">
        <v>217</v>
      </c>
      <c r="B107" s="319">
        <f>B106</f>
        <v>11.24</v>
      </c>
    </row>
    <row r="108" spans="1:2" x14ac:dyDescent="0.25">
      <c r="A108" s="312" t="s">
        <v>218</v>
      </c>
      <c r="B108" s="317"/>
    </row>
    <row r="109" spans="1:2" x14ac:dyDescent="0.25">
      <c r="A109" s="312" t="s">
        <v>219</v>
      </c>
      <c r="B109" s="318">
        <f>241.85</f>
        <v>241.85</v>
      </c>
    </row>
    <row r="110" spans="1:2" x14ac:dyDescent="0.25">
      <c r="A110" s="312" t="s">
        <v>446</v>
      </c>
      <c r="B110" s="318">
        <f>8916</f>
        <v>8916</v>
      </c>
    </row>
    <row r="111" spans="1:2" x14ac:dyDescent="0.25">
      <c r="A111" s="312" t="s">
        <v>220</v>
      </c>
      <c r="B111" s="319">
        <f>(B109)+(B110)</f>
        <v>9157.85</v>
      </c>
    </row>
    <row r="112" spans="1:2" x14ac:dyDescent="0.25">
      <c r="A112" s="312" t="s">
        <v>221</v>
      </c>
      <c r="B112" s="319">
        <f>(B107)-(B111)</f>
        <v>-9146.61</v>
      </c>
    </row>
    <row r="113" spans="1:2" x14ac:dyDescent="0.25">
      <c r="A113" s="312" t="s">
        <v>222</v>
      </c>
      <c r="B113" s="319">
        <f>(B104)+(B112)</f>
        <v>141133.34000000003</v>
      </c>
    </row>
    <row r="114" spans="1:2" x14ac:dyDescent="0.25">
      <c r="A114" s="312"/>
      <c r="B114" s="317">
        <f>B110</f>
        <v>8916</v>
      </c>
    </row>
    <row r="115" spans="1:2" x14ac:dyDescent="0.25">
      <c r="B115" s="320">
        <f>B113+B114</f>
        <v>150049.34000000003</v>
      </c>
    </row>
    <row r="117" spans="1:2" x14ac:dyDescent="0.25">
      <c r="A117" s="568" t="s">
        <v>447</v>
      </c>
      <c r="B117" s="541"/>
    </row>
  </sheetData>
  <mergeCells count="4">
    <mergeCell ref="A1:B1"/>
    <mergeCell ref="A2:B2"/>
    <mergeCell ref="A3:B3"/>
    <mergeCell ref="A117:B11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35"/>
  <sheetViews>
    <sheetView topLeftCell="A10" workbookViewId="0">
      <selection activeCell="A35" sqref="A35:N35"/>
    </sheetView>
  </sheetViews>
  <sheetFormatPr defaultColWidth="8.625" defaultRowHeight="15" x14ac:dyDescent="0.25"/>
  <cols>
    <col min="1" max="1" width="63.375" style="311" customWidth="1"/>
    <col min="2" max="3" width="7" style="311" customWidth="1"/>
    <col min="4" max="6" width="7.625" style="311" customWidth="1"/>
    <col min="7" max="9" width="7" style="311" customWidth="1"/>
    <col min="10" max="10" width="7.625" style="311" customWidth="1"/>
    <col min="11" max="13" width="7" style="311" customWidth="1"/>
    <col min="14" max="14" width="7.625" style="311" customWidth="1"/>
    <col min="15" max="16384" width="8.625" style="311"/>
  </cols>
  <sheetData>
    <row r="1" spans="1:14" ht="18" x14ac:dyDescent="0.25">
      <c r="A1" s="561" t="s">
        <v>90</v>
      </c>
      <c r="B1" s="541"/>
      <c r="C1" s="541"/>
      <c r="D1" s="541"/>
      <c r="E1" s="541"/>
      <c r="F1" s="541"/>
      <c r="G1" s="541"/>
      <c r="H1" s="541"/>
      <c r="I1" s="541"/>
      <c r="J1" s="541"/>
      <c r="K1" s="541"/>
      <c r="L1" s="541"/>
      <c r="M1" s="541"/>
      <c r="N1" s="541"/>
    </row>
    <row r="2" spans="1:14" ht="18" x14ac:dyDescent="0.25">
      <c r="A2" s="561" t="s">
        <v>452</v>
      </c>
      <c r="B2" s="541"/>
      <c r="C2" s="541"/>
      <c r="D2" s="541"/>
      <c r="E2" s="541"/>
      <c r="F2" s="541"/>
      <c r="G2" s="541"/>
      <c r="H2" s="541"/>
      <c r="I2" s="541"/>
      <c r="J2" s="541"/>
      <c r="K2" s="541"/>
      <c r="L2" s="541"/>
      <c r="M2" s="541"/>
      <c r="N2" s="541"/>
    </row>
    <row r="3" spans="1:14" x14ac:dyDescent="0.25">
      <c r="A3" s="562" t="s">
        <v>429</v>
      </c>
      <c r="B3" s="541"/>
      <c r="C3" s="541"/>
      <c r="D3" s="541"/>
      <c r="E3" s="541"/>
      <c r="F3" s="541"/>
      <c r="G3" s="541"/>
      <c r="H3" s="541"/>
      <c r="I3" s="541"/>
      <c r="J3" s="541"/>
      <c r="K3" s="541"/>
      <c r="L3" s="541"/>
      <c r="M3" s="541"/>
      <c r="N3" s="541"/>
    </row>
    <row r="5" spans="1:14" ht="24.75" x14ac:dyDescent="0.25">
      <c r="A5" s="316"/>
      <c r="B5" s="26" t="s">
        <v>453</v>
      </c>
      <c r="C5" s="26" t="s">
        <v>454</v>
      </c>
      <c r="D5" s="26" t="s">
        <v>125</v>
      </c>
      <c r="E5" s="26" t="s">
        <v>126</v>
      </c>
      <c r="F5" s="26" t="s">
        <v>127</v>
      </c>
      <c r="G5" s="26" t="s">
        <v>128</v>
      </c>
      <c r="H5" s="26" t="s">
        <v>129</v>
      </c>
      <c r="I5" s="26" t="s">
        <v>130</v>
      </c>
      <c r="J5" s="26" t="s">
        <v>131</v>
      </c>
      <c r="K5" s="26" t="s">
        <v>132</v>
      </c>
      <c r="L5" s="26" t="s">
        <v>133</v>
      </c>
      <c r="M5" s="26" t="s">
        <v>455</v>
      </c>
      <c r="N5" s="26" t="s">
        <v>26</v>
      </c>
    </row>
    <row r="6" spans="1:14" x14ac:dyDescent="0.25">
      <c r="A6" s="312" t="s">
        <v>456</v>
      </c>
      <c r="B6" s="40"/>
      <c r="C6" s="40"/>
      <c r="D6" s="40"/>
      <c r="E6" s="40"/>
      <c r="F6" s="40"/>
      <c r="G6" s="40"/>
      <c r="H6" s="40"/>
      <c r="I6" s="40"/>
      <c r="J6" s="40"/>
      <c r="K6" s="40"/>
      <c r="L6" s="40"/>
      <c r="M6" s="40"/>
      <c r="N6" s="40"/>
    </row>
    <row r="7" spans="1:14" x14ac:dyDescent="0.25">
      <c r="A7" s="312" t="s">
        <v>457</v>
      </c>
      <c r="B7" s="321">
        <f>40371.43</f>
        <v>40371.43</v>
      </c>
      <c r="C7" s="321">
        <f>-10145.14</f>
        <v>-10145.14</v>
      </c>
      <c r="D7" s="321">
        <f>-10228.38</f>
        <v>-10228.379999999999</v>
      </c>
      <c r="E7" s="321">
        <f>6565.53</f>
        <v>6565.53</v>
      </c>
      <c r="F7" s="321">
        <f>-25505.46</f>
        <v>-25505.46</v>
      </c>
      <c r="G7" s="321">
        <f>-4077.32</f>
        <v>-4077.32</v>
      </c>
      <c r="H7" s="321">
        <f>11520.53</f>
        <v>11520.53</v>
      </c>
      <c r="I7" s="321">
        <f>9244.33</f>
        <v>9244.33</v>
      </c>
      <c r="J7" s="321">
        <f>-11306.16</f>
        <v>-11306.16</v>
      </c>
      <c r="K7" s="321">
        <f>-8201.89</f>
        <v>-8201.89</v>
      </c>
      <c r="L7" s="321">
        <f>37705.29</f>
        <v>37705.29</v>
      </c>
      <c r="M7" s="321">
        <f>105190.58</f>
        <v>105190.58</v>
      </c>
      <c r="N7" s="321">
        <f t="shared" ref="N7:N21" si="0">(((((((((((B7)+(C7))+(D7))+(E7))+(F7))+(G7))+(H7))+(I7))+(J7))+(K7))+(L7))+(M7)</f>
        <v>141133.34000000003</v>
      </c>
    </row>
    <row r="8" spans="1:14" x14ac:dyDescent="0.25">
      <c r="A8" s="312" t="s">
        <v>458</v>
      </c>
      <c r="B8" s="40"/>
      <c r="C8" s="40"/>
      <c r="D8" s="40"/>
      <c r="E8" s="40"/>
      <c r="F8" s="40"/>
      <c r="G8" s="40"/>
      <c r="H8" s="40"/>
      <c r="I8" s="40"/>
      <c r="J8" s="40"/>
      <c r="K8" s="40"/>
      <c r="L8" s="40"/>
      <c r="M8" s="40"/>
      <c r="N8" s="321">
        <f t="shared" si="0"/>
        <v>0</v>
      </c>
    </row>
    <row r="9" spans="1:14" x14ac:dyDescent="0.25">
      <c r="A9" s="312" t="s">
        <v>459</v>
      </c>
      <c r="B9" s="321">
        <f>3000</f>
        <v>3000</v>
      </c>
      <c r="C9" s="321">
        <f>0</f>
        <v>0</v>
      </c>
      <c r="D9" s="321">
        <f>0</f>
        <v>0</v>
      </c>
      <c r="E9" s="321">
        <f>0</f>
        <v>0</v>
      </c>
      <c r="F9" s="321">
        <f>0</f>
        <v>0</v>
      </c>
      <c r="G9" s="321">
        <f>0</f>
        <v>0</v>
      </c>
      <c r="H9" s="321">
        <f>-18676.38</f>
        <v>-18676.38</v>
      </c>
      <c r="I9" s="321">
        <f>18676.38</f>
        <v>18676.38</v>
      </c>
      <c r="J9" s="321">
        <f>-157.2</f>
        <v>-157.19999999999999</v>
      </c>
      <c r="K9" s="321">
        <f>-89.4</f>
        <v>-89.4</v>
      </c>
      <c r="L9" s="321">
        <f>-20055</f>
        <v>-20055</v>
      </c>
      <c r="M9" s="321">
        <f>-1080.22</f>
        <v>-1080.22</v>
      </c>
      <c r="N9" s="321">
        <f t="shared" si="0"/>
        <v>-18381.82</v>
      </c>
    </row>
    <row r="10" spans="1:14" x14ac:dyDescent="0.25">
      <c r="A10" s="312" t="s">
        <v>460</v>
      </c>
      <c r="B10" s="40"/>
      <c r="C10" s="321">
        <f>2086.88</f>
        <v>2086.88</v>
      </c>
      <c r="D10" s="40"/>
      <c r="E10" s="40"/>
      <c r="F10" s="40"/>
      <c r="G10" s="40"/>
      <c r="H10" s="40"/>
      <c r="I10" s="40"/>
      <c r="J10" s="40"/>
      <c r="K10" s="40"/>
      <c r="L10" s="40"/>
      <c r="M10" s="40"/>
      <c r="N10" s="321">
        <f t="shared" si="0"/>
        <v>2086.88</v>
      </c>
    </row>
    <row r="11" spans="1:14" x14ac:dyDescent="0.25">
      <c r="A11" s="312" t="s">
        <v>461</v>
      </c>
      <c r="B11" s="40"/>
      <c r="C11" s="40"/>
      <c r="D11" s="40"/>
      <c r="E11" s="40"/>
      <c r="F11" s="40"/>
      <c r="G11" s="40"/>
      <c r="H11" s="40"/>
      <c r="I11" s="40"/>
      <c r="J11" s="40"/>
      <c r="K11" s="40"/>
      <c r="L11" s="321">
        <f>-10000</f>
        <v>-10000</v>
      </c>
      <c r="M11" s="40"/>
      <c r="N11" s="321">
        <f t="shared" si="0"/>
        <v>-10000</v>
      </c>
    </row>
    <row r="12" spans="1:14" x14ac:dyDescent="0.25">
      <c r="A12" s="312" t="s">
        <v>462</v>
      </c>
      <c r="B12" s="40"/>
      <c r="C12" s="321">
        <f>8916</f>
        <v>8916</v>
      </c>
      <c r="D12" s="40"/>
      <c r="E12" s="40"/>
      <c r="F12" s="40"/>
      <c r="G12" s="40"/>
      <c r="H12" s="40"/>
      <c r="I12" s="40"/>
      <c r="J12" s="40"/>
      <c r="K12" s="40"/>
      <c r="L12" s="40"/>
      <c r="M12" s="40"/>
      <c r="N12" s="321">
        <f t="shared" si="0"/>
        <v>8916</v>
      </c>
    </row>
    <row r="13" spans="1:14" x14ac:dyDescent="0.25">
      <c r="A13" s="312" t="s">
        <v>463</v>
      </c>
      <c r="B13" s="321">
        <f>210</f>
        <v>210</v>
      </c>
      <c r="C13" s="321">
        <f>0</f>
        <v>0</v>
      </c>
      <c r="D13" s="321">
        <f>-210</f>
        <v>-210</v>
      </c>
      <c r="E13" s="321">
        <f>0</f>
        <v>0</v>
      </c>
      <c r="F13" s="321">
        <f>1004.38</f>
        <v>1004.38</v>
      </c>
      <c r="G13" s="321">
        <f>-665.33</f>
        <v>-665.33</v>
      </c>
      <c r="H13" s="321">
        <f>-173.16</f>
        <v>-173.16</v>
      </c>
      <c r="I13" s="321">
        <f>236.16</f>
        <v>236.16</v>
      </c>
      <c r="J13" s="321">
        <f>-0.48</f>
        <v>-0.48</v>
      </c>
      <c r="K13" s="321">
        <f>729.02</f>
        <v>729.02</v>
      </c>
      <c r="L13" s="321">
        <f>-578.57</f>
        <v>-578.57000000000005</v>
      </c>
      <c r="M13" s="321">
        <f>1988.11</f>
        <v>1988.11</v>
      </c>
      <c r="N13" s="321">
        <f t="shared" si="0"/>
        <v>2540.1299999999997</v>
      </c>
    </row>
    <row r="14" spans="1:14" x14ac:dyDescent="0.25">
      <c r="A14" s="312" t="s">
        <v>464</v>
      </c>
      <c r="B14" s="321">
        <f>-591.85</f>
        <v>-591.85</v>
      </c>
      <c r="C14" s="321">
        <f>-125.47</f>
        <v>-125.47</v>
      </c>
      <c r="D14" s="321">
        <f>2.65</f>
        <v>2.65</v>
      </c>
      <c r="E14" s="321">
        <f>-2.65</f>
        <v>-2.65</v>
      </c>
      <c r="F14" s="321">
        <f>0</f>
        <v>0</v>
      </c>
      <c r="G14" s="321">
        <f>0</f>
        <v>0</v>
      </c>
      <c r="H14" s="321">
        <f>437.59</f>
        <v>437.59</v>
      </c>
      <c r="I14" s="321">
        <f>-437.59</f>
        <v>-437.59</v>
      </c>
      <c r="J14" s="321">
        <f>0</f>
        <v>0</v>
      </c>
      <c r="K14" s="321">
        <f>472.29</f>
        <v>472.29</v>
      </c>
      <c r="L14" s="321">
        <f>-469.14</f>
        <v>-469.14</v>
      </c>
      <c r="M14" s="321">
        <f>0</f>
        <v>0</v>
      </c>
      <c r="N14" s="321">
        <f t="shared" si="0"/>
        <v>-714.17000000000007</v>
      </c>
    </row>
    <row r="15" spans="1:14" x14ac:dyDescent="0.25">
      <c r="A15" s="312" t="s">
        <v>465</v>
      </c>
      <c r="B15" s="321">
        <f>-333.54</f>
        <v>-333.54</v>
      </c>
      <c r="C15" s="321">
        <f>-280.04</f>
        <v>-280.04000000000002</v>
      </c>
      <c r="D15" s="321">
        <f>7.46</f>
        <v>7.46</v>
      </c>
      <c r="E15" s="321">
        <f>-7.46</f>
        <v>-7.46</v>
      </c>
      <c r="F15" s="321">
        <f>0</f>
        <v>0</v>
      </c>
      <c r="G15" s="321">
        <f>0</f>
        <v>0</v>
      </c>
      <c r="H15" s="321">
        <f>309.68</f>
        <v>309.68</v>
      </c>
      <c r="I15" s="321">
        <f>-317.16</f>
        <v>-317.16000000000003</v>
      </c>
      <c r="J15" s="321">
        <f>0</f>
        <v>0</v>
      </c>
      <c r="K15" s="321">
        <f>333.14</f>
        <v>333.14</v>
      </c>
      <c r="L15" s="321">
        <f>-329.96</f>
        <v>-329.96</v>
      </c>
      <c r="M15" s="321">
        <f>0</f>
        <v>0</v>
      </c>
      <c r="N15" s="321">
        <f t="shared" si="0"/>
        <v>-617.88000000000011</v>
      </c>
    </row>
    <row r="16" spans="1:14" x14ac:dyDescent="0.25">
      <c r="A16" s="312" t="s">
        <v>466</v>
      </c>
      <c r="B16" s="40"/>
      <c r="C16" s="321">
        <f>780.28</f>
        <v>780.28</v>
      </c>
      <c r="D16" s="40"/>
      <c r="E16" s="40"/>
      <c r="F16" s="40"/>
      <c r="G16" s="40"/>
      <c r="H16" s="40"/>
      <c r="I16" s="40"/>
      <c r="J16" s="40"/>
      <c r="K16" s="40"/>
      <c r="L16" s="40"/>
      <c r="M16" s="40"/>
      <c r="N16" s="321">
        <f t="shared" si="0"/>
        <v>780.28</v>
      </c>
    </row>
    <row r="17" spans="1:16" x14ac:dyDescent="0.25">
      <c r="A17" s="312" t="s">
        <v>467</v>
      </c>
      <c r="B17" s="321">
        <f>78.84</f>
        <v>78.84</v>
      </c>
      <c r="C17" s="40"/>
      <c r="D17" s="321">
        <f>6.48</f>
        <v>6.48</v>
      </c>
      <c r="E17" s="321">
        <f>2.29</f>
        <v>2.29</v>
      </c>
      <c r="F17" s="40"/>
      <c r="G17" s="321">
        <f>28.95</f>
        <v>28.95</v>
      </c>
      <c r="H17" s="321">
        <f>7.11</f>
        <v>7.11</v>
      </c>
      <c r="I17" s="321">
        <f>13.34</f>
        <v>13.34</v>
      </c>
      <c r="J17" s="321">
        <f>4.89</f>
        <v>4.8899999999999997</v>
      </c>
      <c r="K17" s="40"/>
      <c r="L17" s="40"/>
      <c r="M17" s="321">
        <f>108.03</f>
        <v>108.03</v>
      </c>
      <c r="N17" s="321">
        <f t="shared" si="0"/>
        <v>249.93</v>
      </c>
    </row>
    <row r="18" spans="1:16" x14ac:dyDescent="0.25">
      <c r="A18" s="312" t="s">
        <v>468</v>
      </c>
      <c r="B18" s="321">
        <f>-1426.88</f>
        <v>-1426.88</v>
      </c>
      <c r="C18" s="321">
        <f>-344.85</f>
        <v>-344.85</v>
      </c>
      <c r="D18" s="321">
        <f>31.9</f>
        <v>31.9</v>
      </c>
      <c r="E18" s="321">
        <f>-31.9</f>
        <v>-31.9</v>
      </c>
      <c r="F18" s="321">
        <f>0</f>
        <v>0</v>
      </c>
      <c r="G18" s="321">
        <f>0</f>
        <v>0</v>
      </c>
      <c r="H18" s="321">
        <f>1324.16</f>
        <v>1324.16</v>
      </c>
      <c r="I18" s="321">
        <f>-1314.4</f>
        <v>-1314.4</v>
      </c>
      <c r="J18" s="321">
        <f>0</f>
        <v>0</v>
      </c>
      <c r="K18" s="321">
        <f>1424.44</f>
        <v>1424.44</v>
      </c>
      <c r="L18" s="321">
        <f>-1410.78</f>
        <v>-1410.78</v>
      </c>
      <c r="M18" s="321">
        <f>0</f>
        <v>0</v>
      </c>
      <c r="N18" s="321">
        <f t="shared" si="0"/>
        <v>-1748.31</v>
      </c>
    </row>
    <row r="19" spans="1:16" x14ac:dyDescent="0.25">
      <c r="A19" s="312" t="s">
        <v>469</v>
      </c>
      <c r="B19" s="321">
        <f>-62.37</f>
        <v>-62.37</v>
      </c>
      <c r="C19" s="321">
        <f>540.16</f>
        <v>540.16</v>
      </c>
      <c r="D19" s="321">
        <f>-376.45</f>
        <v>-376.45</v>
      </c>
      <c r="E19" s="321">
        <f>338.53</f>
        <v>338.53</v>
      </c>
      <c r="F19" s="321">
        <f>-34.62</f>
        <v>-34.619999999999997</v>
      </c>
      <c r="G19" s="321">
        <f>-35.51</f>
        <v>-35.51</v>
      </c>
      <c r="H19" s="40"/>
      <c r="I19" s="321">
        <f>-64.19</f>
        <v>-64.19</v>
      </c>
      <c r="J19" s="321">
        <f>0</f>
        <v>0</v>
      </c>
      <c r="K19" s="40"/>
      <c r="L19" s="321">
        <f>0</f>
        <v>0</v>
      </c>
      <c r="M19" s="321">
        <f>172.24</f>
        <v>172.24</v>
      </c>
      <c r="N19" s="321">
        <f t="shared" si="0"/>
        <v>477.78999999999996</v>
      </c>
    </row>
    <row r="20" spans="1:16" x14ac:dyDescent="0.25">
      <c r="A20" s="312" t="s">
        <v>470</v>
      </c>
      <c r="B20" s="36">
        <f t="shared" ref="B20:M20" si="1">(((((((((((B8)+(B9))+(B10))+(B11))+(B12))+(B13))+(B14))+(B15))+(B16))+(B17))+(B18))+(B19)</f>
        <v>874.20000000000016</v>
      </c>
      <c r="C20" s="36">
        <f t="shared" si="1"/>
        <v>11572.960000000001</v>
      </c>
      <c r="D20" s="36">
        <f t="shared" si="1"/>
        <v>-537.96</v>
      </c>
      <c r="E20" s="36">
        <f t="shared" si="1"/>
        <v>298.80999999999995</v>
      </c>
      <c r="F20" s="36">
        <f t="shared" si="1"/>
        <v>969.76</v>
      </c>
      <c r="G20" s="36">
        <f t="shared" si="1"/>
        <v>-671.89</v>
      </c>
      <c r="H20" s="36">
        <f t="shared" si="1"/>
        <v>-16771</v>
      </c>
      <c r="I20" s="36">
        <f t="shared" si="1"/>
        <v>16792.54</v>
      </c>
      <c r="J20" s="36">
        <f t="shared" si="1"/>
        <v>-152.79</v>
      </c>
      <c r="K20" s="36">
        <f t="shared" si="1"/>
        <v>2869.4900000000002</v>
      </c>
      <c r="L20" s="36">
        <f t="shared" si="1"/>
        <v>-32843.449999999997</v>
      </c>
      <c r="M20" s="36">
        <f t="shared" si="1"/>
        <v>1188.1599999999999</v>
      </c>
      <c r="N20" s="36">
        <f t="shared" si="0"/>
        <v>-16411.169999999995</v>
      </c>
    </row>
    <row r="21" spans="1:16" x14ac:dyDescent="0.25">
      <c r="A21" s="312" t="s">
        <v>471</v>
      </c>
      <c r="B21" s="36">
        <f t="shared" ref="B21:M21" si="2">(B7)+(B20)</f>
        <v>41245.629999999997</v>
      </c>
      <c r="C21" s="36">
        <f t="shared" si="2"/>
        <v>1427.8200000000015</v>
      </c>
      <c r="D21" s="36">
        <f t="shared" si="2"/>
        <v>-10766.34</v>
      </c>
      <c r="E21" s="36">
        <f t="shared" si="2"/>
        <v>6864.34</v>
      </c>
      <c r="F21" s="36">
        <f t="shared" si="2"/>
        <v>-24535.7</v>
      </c>
      <c r="G21" s="36">
        <f t="shared" si="2"/>
        <v>-4749.21</v>
      </c>
      <c r="H21" s="36">
        <f t="shared" si="2"/>
        <v>-5250.4699999999993</v>
      </c>
      <c r="I21" s="36">
        <f t="shared" si="2"/>
        <v>26036.870000000003</v>
      </c>
      <c r="J21" s="36">
        <f t="shared" si="2"/>
        <v>-11458.95</v>
      </c>
      <c r="K21" s="36">
        <f t="shared" si="2"/>
        <v>-5332.4</v>
      </c>
      <c r="L21" s="36">
        <f t="shared" si="2"/>
        <v>4861.8400000000038</v>
      </c>
      <c r="M21" s="36">
        <f t="shared" si="2"/>
        <v>106378.74</v>
      </c>
      <c r="N21" s="36">
        <f t="shared" si="0"/>
        <v>124722.17000000001</v>
      </c>
    </row>
    <row r="22" spans="1:16" x14ac:dyDescent="0.25">
      <c r="A22" s="312" t="s">
        <v>472</v>
      </c>
      <c r="B22" s="40"/>
      <c r="C22" s="40"/>
      <c r="D22" s="40"/>
      <c r="E22" s="40"/>
      <c r="F22" s="40"/>
      <c r="G22" s="40"/>
      <c r="H22" s="40"/>
      <c r="I22" s="40"/>
      <c r="J22" s="40"/>
      <c r="K22" s="40"/>
      <c r="L22" s="40"/>
      <c r="M22" s="40"/>
      <c r="N22" s="40"/>
    </row>
    <row r="23" spans="1:16" x14ac:dyDescent="0.25">
      <c r="A23" s="312" t="s">
        <v>473</v>
      </c>
      <c r="B23" s="40"/>
      <c r="C23" s="40"/>
      <c r="D23" s="40"/>
      <c r="E23" s="321">
        <f>-11515.5</f>
        <v>-11515.5</v>
      </c>
      <c r="F23" s="40"/>
      <c r="G23" s="40"/>
      <c r="H23" s="40"/>
      <c r="I23" s="40"/>
      <c r="J23" s="40"/>
      <c r="K23" s="40"/>
      <c r="L23" s="40"/>
      <c r="M23" s="40"/>
      <c r="N23" s="321">
        <f>(((((((((((B23)+(C23))+(D23))+(E23))+(F23))+(G23))+(H23))+(I23))+(J23))+(K23))+(L23))+(M23)</f>
        <v>-11515.5</v>
      </c>
    </row>
    <row r="24" spans="1:16" x14ac:dyDescent="0.25">
      <c r="A24" s="312" t="s">
        <v>474</v>
      </c>
      <c r="B24" s="40"/>
      <c r="C24" s="40"/>
      <c r="D24" s="321">
        <f>-800</f>
        <v>-800</v>
      </c>
      <c r="E24" s="40"/>
      <c r="F24" s="40"/>
      <c r="G24" s="40"/>
      <c r="H24" s="40"/>
      <c r="I24" s="40"/>
      <c r="J24" s="40"/>
      <c r="K24" s="40"/>
      <c r="L24" s="40"/>
      <c r="M24" s="40"/>
      <c r="N24" s="321">
        <f>(((((((((((B24)+(C24))+(D24))+(E24))+(F24))+(G24))+(H24))+(I24))+(J24))+(K24))+(L24))+(M24)</f>
        <v>-800</v>
      </c>
      <c r="P24" s="322">
        <f>SUM(D23:M26)</f>
        <v>-29772.5</v>
      </c>
    </row>
    <row r="25" spans="1:16" x14ac:dyDescent="0.25">
      <c r="A25" s="312" t="s">
        <v>475</v>
      </c>
      <c r="B25" s="40"/>
      <c r="C25" s="40"/>
      <c r="D25" s="40"/>
      <c r="E25" s="40"/>
      <c r="F25" s="40"/>
      <c r="G25" s="40"/>
      <c r="H25" s="40"/>
      <c r="I25" s="321">
        <f>-7457</f>
        <v>-7457</v>
      </c>
      <c r="J25" s="40"/>
      <c r="K25" s="40"/>
      <c r="L25" s="40"/>
      <c r="M25" s="40"/>
      <c r="N25" s="321">
        <f>(((((((((((B25)+(C25))+(D25))+(E25))+(F25))+(G25))+(H25))+(I25))+(J25))+(K25))+(L25))+(M25)</f>
        <v>-7457</v>
      </c>
    </row>
    <row r="26" spans="1:16" x14ac:dyDescent="0.25">
      <c r="A26" s="312" t="s">
        <v>476</v>
      </c>
      <c r="B26" s="40"/>
      <c r="C26" s="40"/>
      <c r="D26" s="321">
        <f>-10000</f>
        <v>-10000</v>
      </c>
      <c r="E26" s="40"/>
      <c r="F26" s="40"/>
      <c r="G26" s="40"/>
      <c r="H26" s="40"/>
      <c r="I26" s="40"/>
      <c r="J26" s="40"/>
      <c r="K26" s="40"/>
      <c r="L26" s="40"/>
      <c r="M26" s="40"/>
      <c r="N26" s="321">
        <f>(((((((((((B26)+(C26))+(D26))+(E26))+(F26))+(G26))+(H26))+(I26))+(J26))+(K26))+(L26))+(M26)</f>
        <v>-10000</v>
      </c>
    </row>
    <row r="27" spans="1:16" x14ac:dyDescent="0.25">
      <c r="A27" s="312" t="s">
        <v>477</v>
      </c>
      <c r="B27" s="36">
        <f t="shared" ref="B27:M27" si="3">(((B23)+(B24))+(B25))+(B26)</f>
        <v>0</v>
      </c>
      <c r="C27" s="36">
        <f t="shared" si="3"/>
        <v>0</v>
      </c>
      <c r="D27" s="36">
        <f t="shared" si="3"/>
        <v>-10800</v>
      </c>
      <c r="E27" s="36">
        <f t="shared" si="3"/>
        <v>-11515.5</v>
      </c>
      <c r="F27" s="36">
        <f t="shared" si="3"/>
        <v>0</v>
      </c>
      <c r="G27" s="36">
        <f t="shared" si="3"/>
        <v>0</v>
      </c>
      <c r="H27" s="36">
        <f t="shared" si="3"/>
        <v>0</v>
      </c>
      <c r="I27" s="36">
        <f t="shared" si="3"/>
        <v>-7457</v>
      </c>
      <c r="J27" s="36">
        <f t="shared" si="3"/>
        <v>0</v>
      </c>
      <c r="K27" s="36">
        <f t="shared" si="3"/>
        <v>0</v>
      </c>
      <c r="L27" s="36">
        <f t="shared" si="3"/>
        <v>0</v>
      </c>
      <c r="M27" s="36">
        <f t="shared" si="3"/>
        <v>0</v>
      </c>
      <c r="N27" s="36">
        <f>(((((((((((B27)+(C27))+(D27))+(E27))+(F27))+(G27))+(H27))+(I27))+(J27))+(K27))+(L27))+(M27)</f>
        <v>-29772.5</v>
      </c>
    </row>
    <row r="28" spans="1:16" x14ac:dyDescent="0.25">
      <c r="A28" s="312" t="s">
        <v>478</v>
      </c>
      <c r="B28" s="40"/>
      <c r="C28" s="40"/>
      <c r="D28" s="40"/>
      <c r="E28" s="40"/>
      <c r="F28" s="40"/>
      <c r="G28" s="40"/>
      <c r="H28" s="40"/>
      <c r="I28" s="40"/>
      <c r="J28" s="40"/>
      <c r="K28" s="40"/>
      <c r="L28" s="40"/>
      <c r="M28" s="40"/>
      <c r="N28" s="40"/>
    </row>
    <row r="29" spans="1:16" x14ac:dyDescent="0.25">
      <c r="A29" s="312" t="s">
        <v>479</v>
      </c>
      <c r="B29" s="40"/>
      <c r="C29" s="321">
        <f>5320.94</f>
        <v>5320.94</v>
      </c>
      <c r="D29" s="40"/>
      <c r="E29" s="40"/>
      <c r="F29" s="40"/>
      <c r="G29" s="40"/>
      <c r="H29" s="40"/>
      <c r="I29" s="40"/>
      <c r="J29" s="40"/>
      <c r="K29" s="40"/>
      <c r="L29" s="40"/>
      <c r="M29" s="40"/>
      <c r="N29" s="321">
        <f>(((((((((((B29)+(C29))+(D29))+(E29))+(F29))+(G29))+(H29))+(I29))+(J29))+(K29))+(L29))+(M29)</f>
        <v>5320.94</v>
      </c>
    </row>
    <row r="30" spans="1:16" x14ac:dyDescent="0.25">
      <c r="A30" s="312" t="s">
        <v>480</v>
      </c>
      <c r="B30" s="36">
        <f t="shared" ref="B30:M30" si="4">B29</f>
        <v>0</v>
      </c>
      <c r="C30" s="36">
        <f t="shared" si="4"/>
        <v>5320.94</v>
      </c>
      <c r="D30" s="36">
        <f t="shared" si="4"/>
        <v>0</v>
      </c>
      <c r="E30" s="36">
        <f t="shared" si="4"/>
        <v>0</v>
      </c>
      <c r="F30" s="36">
        <f t="shared" si="4"/>
        <v>0</v>
      </c>
      <c r="G30" s="36">
        <f t="shared" si="4"/>
        <v>0</v>
      </c>
      <c r="H30" s="36">
        <f t="shared" si="4"/>
        <v>0</v>
      </c>
      <c r="I30" s="36">
        <f t="shared" si="4"/>
        <v>0</v>
      </c>
      <c r="J30" s="36">
        <f t="shared" si="4"/>
        <v>0</v>
      </c>
      <c r="K30" s="36">
        <f t="shared" si="4"/>
        <v>0</v>
      </c>
      <c r="L30" s="36">
        <f t="shared" si="4"/>
        <v>0</v>
      </c>
      <c r="M30" s="36">
        <f t="shared" si="4"/>
        <v>0</v>
      </c>
      <c r="N30" s="36">
        <f>(((((((((((B30)+(C30))+(D30))+(E30))+(F30))+(G30))+(H30))+(I30))+(J30))+(K30))+(L30))+(M30)</f>
        <v>5320.94</v>
      </c>
    </row>
    <row r="31" spans="1:16" x14ac:dyDescent="0.25">
      <c r="A31" s="312" t="s">
        <v>481</v>
      </c>
      <c r="B31" s="36">
        <f t="shared" ref="B31:M31" si="5">((B21)+(B27))+(B30)</f>
        <v>41245.629999999997</v>
      </c>
      <c r="C31" s="36">
        <f t="shared" si="5"/>
        <v>6748.7600000000011</v>
      </c>
      <c r="D31" s="36">
        <f t="shared" si="5"/>
        <v>-21566.34</v>
      </c>
      <c r="E31" s="36">
        <f t="shared" si="5"/>
        <v>-4651.16</v>
      </c>
      <c r="F31" s="36">
        <f t="shared" si="5"/>
        <v>-24535.7</v>
      </c>
      <c r="G31" s="36">
        <f t="shared" si="5"/>
        <v>-4749.21</v>
      </c>
      <c r="H31" s="36">
        <f t="shared" si="5"/>
        <v>-5250.4699999999993</v>
      </c>
      <c r="I31" s="36">
        <f t="shared" si="5"/>
        <v>18579.870000000003</v>
      </c>
      <c r="J31" s="36">
        <f t="shared" si="5"/>
        <v>-11458.95</v>
      </c>
      <c r="K31" s="36">
        <f t="shared" si="5"/>
        <v>-5332.4</v>
      </c>
      <c r="L31" s="36">
        <f t="shared" si="5"/>
        <v>4861.8400000000038</v>
      </c>
      <c r="M31" s="36">
        <f t="shared" si="5"/>
        <v>106378.74</v>
      </c>
      <c r="N31" s="36">
        <f>(((((((((((B31)+(C31))+(D31))+(E31))+(F31))+(G31))+(H31))+(I31))+(J31))+(K31))+(L31))+(M31)</f>
        <v>100270.61000000002</v>
      </c>
    </row>
    <row r="32" spans="1:16" x14ac:dyDescent="0.25">
      <c r="A32" s="312"/>
      <c r="B32" s="40"/>
      <c r="C32" s="40"/>
      <c r="D32" s="40"/>
      <c r="E32" s="40"/>
      <c r="F32" s="40"/>
      <c r="G32" s="40"/>
      <c r="H32" s="40"/>
      <c r="I32" s="40"/>
      <c r="J32" s="40"/>
      <c r="K32" s="40"/>
      <c r="L32" s="40"/>
      <c r="M32" s="40"/>
      <c r="N32" s="40"/>
    </row>
    <row r="35" spans="1:14" x14ac:dyDescent="0.25">
      <c r="A35" s="568" t="s">
        <v>482</v>
      </c>
      <c r="B35" s="541"/>
      <c r="C35" s="541"/>
      <c r="D35" s="541"/>
      <c r="E35" s="541"/>
      <c r="F35" s="541"/>
      <c r="G35" s="541"/>
      <c r="H35" s="541"/>
      <c r="I35" s="541"/>
      <c r="J35" s="541"/>
      <c r="K35" s="541"/>
      <c r="L35" s="541"/>
      <c r="M35" s="541"/>
      <c r="N35" s="541"/>
    </row>
  </sheetData>
  <mergeCells count="4">
    <mergeCell ref="A1:N1"/>
    <mergeCell ref="A2:N2"/>
    <mergeCell ref="A3:N3"/>
    <mergeCell ref="A35:N3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0"/>
  <sheetViews>
    <sheetView zoomScale="115" zoomScaleNormal="115" workbookViewId="0">
      <selection activeCell="E14" sqref="E14"/>
    </sheetView>
  </sheetViews>
  <sheetFormatPr defaultColWidth="8.625" defaultRowHeight="12.75" outlineLevelCol="1" x14ac:dyDescent="0.25"/>
  <cols>
    <col min="1" max="1" width="42.125" style="57" customWidth="1"/>
    <col min="2" max="2" width="27.5" style="57" customWidth="1"/>
    <col min="3" max="3" width="11.125" style="57" customWidth="1"/>
    <col min="4" max="4" width="10.875" style="57" customWidth="1"/>
    <col min="5" max="5" width="15.625" style="57" customWidth="1"/>
    <col min="6" max="6" width="18.625" style="57" hidden="1" customWidth="1" outlineLevel="1"/>
    <col min="7" max="7" width="19.625" style="57" hidden="1" customWidth="1" outlineLevel="1"/>
    <col min="8" max="8" width="21" style="57" hidden="1" customWidth="1" outlineLevel="1"/>
    <col min="9" max="9" width="20.625" style="57" hidden="1" customWidth="1" outlineLevel="1"/>
    <col min="10" max="10" width="18.625" style="57" hidden="1" customWidth="1" outlineLevel="1"/>
    <col min="11" max="11" width="20" style="57" hidden="1" customWidth="1" outlineLevel="1"/>
    <col min="12" max="12" width="18.5" style="57" hidden="1" customWidth="1" outlineLevel="1"/>
    <col min="13" max="13" width="19.625" style="57" hidden="1" customWidth="1" outlineLevel="1"/>
    <col min="14" max="14" width="17.125" style="57" hidden="1" customWidth="1" outlineLevel="1"/>
    <col min="15" max="15" width="19.625" style="57" hidden="1" customWidth="1" outlineLevel="1"/>
    <col min="16" max="16" width="17.5" style="57" hidden="1" customWidth="1" outlineLevel="1"/>
    <col min="17" max="17" width="19.5" style="57" hidden="1" customWidth="1" outlineLevel="1"/>
    <col min="18" max="18" width="16.125" style="57" hidden="1" customWidth="1" outlineLevel="1"/>
    <col min="19" max="19" width="18.5" style="57" hidden="1" customWidth="1" outlineLevel="1"/>
    <col min="20" max="20" width="17.5" style="57" hidden="1" customWidth="1" outlineLevel="1"/>
    <col min="21" max="21" width="19.5" style="57" hidden="1" customWidth="1" outlineLevel="1"/>
    <col min="22" max="22" width="16.625" style="57" hidden="1" customWidth="1" outlineLevel="1"/>
    <col min="23" max="23" width="17.125" style="57" hidden="1" customWidth="1" outlineLevel="1"/>
    <col min="24" max="24" width="19.5" style="57" hidden="1" customWidth="1" outlineLevel="1"/>
    <col min="25" max="25" width="18.125" style="57" hidden="1" customWidth="1" outlineLevel="1"/>
    <col min="26" max="26" width="18" style="57" hidden="1" customWidth="1" outlineLevel="1"/>
    <col min="27" max="27" width="18.125" style="57" hidden="1" customWidth="1" outlineLevel="1"/>
    <col min="28" max="28" width="19.125" style="57" hidden="1" customWidth="1" outlineLevel="1"/>
    <col min="29" max="30" width="17.125" style="57" hidden="1" customWidth="1" outlineLevel="1"/>
    <col min="31" max="31" width="18.125" style="57" hidden="1" customWidth="1" outlineLevel="1"/>
    <col min="32" max="32" width="20.125" style="57" hidden="1" customWidth="1" outlineLevel="1"/>
    <col min="33" max="33" width="16.125" style="57" hidden="1" customWidth="1" outlineLevel="1"/>
    <col min="34" max="34" width="19.125" style="57" hidden="1" customWidth="1" outlineLevel="1"/>
    <col min="35" max="35" width="18.5" style="57" hidden="1" customWidth="1" outlineLevel="1"/>
    <col min="36" max="36" width="16.125" style="57" hidden="1" customWidth="1" outlineLevel="1"/>
    <col min="37" max="37" width="16.625" style="57" hidden="1" customWidth="1" outlineLevel="1"/>
    <col min="38" max="38" width="17.125" style="57" hidden="1" customWidth="1" outlineLevel="1"/>
    <col min="39" max="39" width="16.625" style="57" hidden="1" customWidth="1" outlineLevel="1"/>
    <col min="40" max="40" width="20.5" style="57" hidden="1" customWidth="1" outlineLevel="1"/>
    <col min="41" max="41" width="18.5" style="57" hidden="1" customWidth="1" outlineLevel="1"/>
    <col min="42" max="42" width="18" style="57" hidden="1" customWidth="1" outlineLevel="1"/>
    <col min="43" max="43" width="0" style="57" hidden="1" customWidth="1" outlineLevel="1"/>
    <col min="44" max="44" width="8.625" style="308" collapsed="1"/>
    <col min="45" max="16384" width="8.625" style="57"/>
  </cols>
  <sheetData>
    <row r="1" spans="1:43" ht="15.75" thickBot="1" x14ac:dyDescent="0.3">
      <c r="A1" s="52" t="s">
        <v>246</v>
      </c>
      <c r="B1" s="53"/>
      <c r="C1" s="53"/>
      <c r="D1" s="53"/>
      <c r="E1" s="572" t="s">
        <v>247</v>
      </c>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4" t="s">
        <v>24</v>
      </c>
      <c r="AP1" s="55" t="s">
        <v>248</v>
      </c>
      <c r="AQ1" s="56"/>
    </row>
    <row r="2" spans="1:43" ht="15.75" thickBot="1" x14ac:dyDescent="0.3">
      <c r="A2" s="59" t="s">
        <v>250</v>
      </c>
      <c r="B2" s="60"/>
      <c r="C2" s="61"/>
      <c r="D2" s="61"/>
      <c r="E2" s="306" t="s">
        <v>251</v>
      </c>
      <c r="F2" s="62" t="s">
        <v>252</v>
      </c>
      <c r="G2" s="62" t="s">
        <v>253</v>
      </c>
      <c r="H2" s="62" t="s">
        <v>254</v>
      </c>
      <c r="I2" s="62" t="s">
        <v>255</v>
      </c>
      <c r="J2" s="62" t="s">
        <v>256</v>
      </c>
      <c r="K2" s="62" t="s">
        <v>257</v>
      </c>
      <c r="L2" s="62" t="s">
        <v>258</v>
      </c>
      <c r="M2" s="62" t="s">
        <v>259</v>
      </c>
      <c r="N2" s="62" t="s">
        <v>260</v>
      </c>
      <c r="O2" s="62" t="s">
        <v>261</v>
      </c>
      <c r="P2" s="62" t="s">
        <v>262</v>
      </c>
      <c r="Q2" s="62" t="s">
        <v>263</v>
      </c>
      <c r="R2" s="62" t="s">
        <v>264</v>
      </c>
      <c r="S2" s="62" t="s">
        <v>265</v>
      </c>
      <c r="T2" s="62" t="s">
        <v>266</v>
      </c>
      <c r="U2" s="62" t="s">
        <v>267</v>
      </c>
      <c r="V2" s="62" t="s">
        <v>268</v>
      </c>
      <c r="W2" s="62" t="s">
        <v>269</v>
      </c>
      <c r="X2" s="62" t="s">
        <v>2</v>
      </c>
      <c r="Y2" s="62" t="s">
        <v>270</v>
      </c>
      <c r="Z2" s="62" t="s">
        <v>271</v>
      </c>
      <c r="AA2" s="62" t="s">
        <v>272</v>
      </c>
      <c r="AB2" s="62" t="s">
        <v>273</v>
      </c>
      <c r="AC2" s="62" t="s">
        <v>274</v>
      </c>
      <c r="AD2" s="62" t="s">
        <v>275</v>
      </c>
      <c r="AE2" s="62" t="s">
        <v>276</v>
      </c>
      <c r="AF2" s="62" t="s">
        <v>277</v>
      </c>
      <c r="AG2" s="62" t="s">
        <v>278</v>
      </c>
      <c r="AH2" s="62" t="s">
        <v>279</v>
      </c>
      <c r="AI2" s="62" t="s">
        <v>280</v>
      </c>
      <c r="AJ2" s="62" t="s">
        <v>281</v>
      </c>
      <c r="AK2" s="62" t="s">
        <v>282</v>
      </c>
      <c r="AL2" s="62" t="s">
        <v>283</v>
      </c>
      <c r="AM2" s="62" t="s">
        <v>284</v>
      </c>
      <c r="AN2" s="63" t="s">
        <v>285</v>
      </c>
      <c r="AO2" s="64" t="s">
        <v>24</v>
      </c>
      <c r="AP2" s="65" t="s">
        <v>286</v>
      </c>
      <c r="AQ2" s="66"/>
    </row>
    <row r="3" spans="1:43" ht="15.75" thickBot="1" x14ac:dyDescent="0.3">
      <c r="A3" s="67" t="s">
        <v>287</v>
      </c>
      <c r="B3" s="68"/>
      <c r="C3" s="69"/>
      <c r="D3" s="69"/>
      <c r="E3" s="307">
        <v>6240</v>
      </c>
      <c r="F3" s="70">
        <v>18720</v>
      </c>
      <c r="G3" s="70">
        <v>14040</v>
      </c>
      <c r="H3" s="70">
        <v>9360</v>
      </c>
      <c r="I3" s="70">
        <v>9360</v>
      </c>
      <c r="J3" s="70">
        <v>11700</v>
      </c>
      <c r="K3" s="70">
        <v>1872</v>
      </c>
      <c r="L3" s="70">
        <v>14040</v>
      </c>
      <c r="M3" s="70">
        <v>9360</v>
      </c>
      <c r="N3" s="70">
        <v>4680</v>
      </c>
      <c r="O3" s="70">
        <v>9360</v>
      </c>
      <c r="P3" s="70">
        <v>14040</v>
      </c>
      <c r="Q3" s="70">
        <v>4680</v>
      </c>
      <c r="R3" s="70">
        <v>4680</v>
      </c>
      <c r="S3" s="70">
        <v>7488</v>
      </c>
      <c r="T3" s="70">
        <v>4680</v>
      </c>
      <c r="U3" s="70">
        <v>3120</v>
      </c>
      <c r="V3" s="70">
        <v>4680</v>
      </c>
      <c r="W3" s="70">
        <v>8190</v>
      </c>
      <c r="X3" s="70">
        <v>8112</v>
      </c>
      <c r="Y3" s="70">
        <v>12480</v>
      </c>
      <c r="Z3" s="70">
        <v>5850</v>
      </c>
      <c r="AA3" s="70">
        <v>9360</v>
      </c>
      <c r="AB3" s="70">
        <v>9360</v>
      </c>
      <c r="AC3" s="70">
        <v>13104</v>
      </c>
      <c r="AD3" s="70">
        <v>7060</v>
      </c>
      <c r="AE3" s="70">
        <v>3744</v>
      </c>
      <c r="AF3" s="70">
        <v>7060</v>
      </c>
      <c r="AG3" s="70">
        <v>3510</v>
      </c>
      <c r="AH3" s="70">
        <v>5850</v>
      </c>
      <c r="AI3" s="70">
        <v>9360</v>
      </c>
      <c r="AJ3" s="70">
        <v>35100</v>
      </c>
      <c r="AK3" s="70">
        <v>9360</v>
      </c>
      <c r="AL3" s="70">
        <v>8424</v>
      </c>
      <c r="AM3" s="70">
        <v>5850</v>
      </c>
      <c r="AN3" s="71">
        <v>11700</v>
      </c>
      <c r="AO3" s="72">
        <v>7464</v>
      </c>
      <c r="AP3" s="73">
        <v>19728</v>
      </c>
      <c r="AQ3" s="74"/>
    </row>
    <row r="4" spans="1:43" ht="15.75" x14ac:dyDescent="0.25">
      <c r="A4" s="574" t="s">
        <v>288</v>
      </c>
      <c r="B4" s="296" t="s">
        <v>289</v>
      </c>
      <c r="C4" s="75"/>
      <c r="D4" s="75"/>
      <c r="E4" s="301">
        <f>D66*B50</f>
        <v>7435.0499999999984</v>
      </c>
      <c r="F4" s="76">
        <f>D66*B50</f>
        <v>7435.0499999999984</v>
      </c>
      <c r="G4" s="76">
        <f>D66*B50</f>
        <v>7435.0499999999984</v>
      </c>
      <c r="H4" s="76">
        <f>D66*B50</f>
        <v>7435.0499999999984</v>
      </c>
      <c r="I4" s="76">
        <f>D66*B50</f>
        <v>7435.0499999999984</v>
      </c>
      <c r="J4" s="76">
        <f>D66*B50</f>
        <v>7435.0499999999984</v>
      </c>
      <c r="K4" s="76">
        <f>D66*B50</f>
        <v>7435.0499999999984</v>
      </c>
      <c r="L4" s="76">
        <f>D66*B50</f>
        <v>7435.0499999999984</v>
      </c>
      <c r="M4" s="76">
        <f>D66*B50</f>
        <v>7435.0499999999984</v>
      </c>
      <c r="N4" s="76">
        <f>D66*B50</f>
        <v>7435.0499999999984</v>
      </c>
      <c r="O4" s="76">
        <f>D66*B50</f>
        <v>7435.0499999999984</v>
      </c>
      <c r="P4" s="76">
        <f>D66*B50</f>
        <v>7435.0499999999984</v>
      </c>
      <c r="Q4" s="76">
        <f>D66*B50</f>
        <v>7435.0499999999984</v>
      </c>
      <c r="R4" s="76">
        <f>D66*B50</f>
        <v>7435.0499999999984</v>
      </c>
      <c r="S4" s="76">
        <f>D66*B50</f>
        <v>7435.0499999999984</v>
      </c>
      <c r="T4" s="76">
        <f>D66*B50</f>
        <v>7435.0499999999984</v>
      </c>
      <c r="U4" s="76">
        <f>D66*B50</f>
        <v>7435.0499999999984</v>
      </c>
      <c r="V4" s="76">
        <f>D66*B50</f>
        <v>7435.0499999999984</v>
      </c>
      <c r="W4" s="76">
        <f>D66*B50</f>
        <v>7435.0499999999984</v>
      </c>
      <c r="X4" s="76">
        <f>D66*B50</f>
        <v>7435.0499999999984</v>
      </c>
      <c r="Y4" s="76">
        <f>D66*B50</f>
        <v>7435.0499999999984</v>
      </c>
      <c r="Z4" s="76">
        <v>3188</v>
      </c>
      <c r="AA4" s="76">
        <v>3188</v>
      </c>
      <c r="AB4" s="76">
        <v>3188</v>
      </c>
      <c r="AC4" s="76">
        <v>3188</v>
      </c>
      <c r="AD4" s="76">
        <v>3188</v>
      </c>
      <c r="AE4" s="76">
        <v>3188</v>
      </c>
      <c r="AF4" s="76">
        <v>3188</v>
      </c>
      <c r="AG4" s="76">
        <v>3188</v>
      </c>
      <c r="AH4" s="76">
        <v>3188</v>
      </c>
      <c r="AI4" s="76">
        <v>3188</v>
      </c>
      <c r="AJ4" s="76">
        <v>3188</v>
      </c>
      <c r="AK4" s="76">
        <v>3188</v>
      </c>
      <c r="AL4" s="76">
        <v>3188</v>
      </c>
      <c r="AM4" s="76">
        <v>3188</v>
      </c>
      <c r="AN4" s="77">
        <v>3188</v>
      </c>
      <c r="AO4" s="78">
        <f>D68*B50</f>
        <v>11190.9</v>
      </c>
      <c r="AP4" s="79">
        <v>2503.9000000000005</v>
      </c>
      <c r="AQ4" s="80"/>
    </row>
    <row r="5" spans="1:43" ht="15.75" x14ac:dyDescent="0.25">
      <c r="A5" s="575"/>
      <c r="B5" s="297" t="s">
        <v>290</v>
      </c>
      <c r="C5" s="81"/>
      <c r="D5" s="81"/>
      <c r="E5" s="302">
        <f>E47+E48</f>
        <v>1454.2082813888887</v>
      </c>
      <c r="F5" s="82">
        <f>F47+F48</f>
        <v>1795.7833925</v>
      </c>
      <c r="G5" s="83">
        <f t="shared" ref="G5:AO5" si="0">G47+G48</f>
        <v>1795.7833925</v>
      </c>
      <c r="H5" s="83">
        <f t="shared" si="0"/>
        <v>2121.7851702777775</v>
      </c>
      <c r="I5" s="83">
        <f t="shared" si="0"/>
        <v>2121.7851702777775</v>
      </c>
      <c r="J5" s="83">
        <f t="shared" si="0"/>
        <v>1795.7833925</v>
      </c>
      <c r="K5" s="83">
        <f t="shared" si="0"/>
        <v>1454.2082813888887</v>
      </c>
      <c r="L5" s="83">
        <f t="shared" si="0"/>
        <v>1454.2082813888887</v>
      </c>
      <c r="M5" s="83">
        <f t="shared" si="0"/>
        <v>1454.2082813888887</v>
      </c>
      <c r="N5" s="83">
        <f t="shared" si="0"/>
        <v>2121.7851702777775</v>
      </c>
      <c r="O5" s="83">
        <f t="shared" si="0"/>
        <v>2271.2891702777774</v>
      </c>
      <c r="P5" s="83">
        <f t="shared" si="0"/>
        <v>2121.7851702777775</v>
      </c>
      <c r="Q5" s="83">
        <f t="shared" si="0"/>
        <v>1795.7833925</v>
      </c>
      <c r="R5" s="83">
        <f t="shared" si="0"/>
        <v>1795.7833925</v>
      </c>
      <c r="S5" s="83">
        <f t="shared" si="0"/>
        <v>2121.7851702777775</v>
      </c>
      <c r="T5" s="83">
        <f t="shared" si="0"/>
        <v>2121.7851702777775</v>
      </c>
      <c r="U5" s="83">
        <f t="shared" si="0"/>
        <v>2121.7851702777775</v>
      </c>
      <c r="V5" s="83">
        <f t="shared" si="0"/>
        <v>2121.7851702777775</v>
      </c>
      <c r="W5" s="83">
        <f t="shared" si="0"/>
        <v>2121.7851702777775</v>
      </c>
      <c r="X5" s="83">
        <f t="shared" si="0"/>
        <v>1808.2420591666666</v>
      </c>
      <c r="Y5" s="83">
        <f t="shared" si="0"/>
        <v>2271.2891702777774</v>
      </c>
      <c r="Z5" s="83">
        <f t="shared" si="0"/>
        <v>2121.7851702777775</v>
      </c>
      <c r="AA5" s="83">
        <f t="shared" si="0"/>
        <v>2121.7851702777775</v>
      </c>
      <c r="AB5" s="83">
        <f t="shared" si="0"/>
        <v>2121.7851702777775</v>
      </c>
      <c r="AC5" s="83">
        <f t="shared" si="0"/>
        <v>2121.7851702777775</v>
      </c>
      <c r="AD5" s="83">
        <f t="shared" si="0"/>
        <v>2121.7851702777775</v>
      </c>
      <c r="AE5" s="83">
        <f t="shared" si="0"/>
        <v>2411.4491702777777</v>
      </c>
      <c r="AF5" s="83">
        <f t="shared" si="0"/>
        <v>2121.7851702777775</v>
      </c>
      <c r="AG5" s="83">
        <f t="shared" si="0"/>
        <v>1795.7833925</v>
      </c>
      <c r="AH5" s="83">
        <f t="shared" si="0"/>
        <v>1795.7833925</v>
      </c>
      <c r="AI5" s="83">
        <f t="shared" si="0"/>
        <v>1795.7833925</v>
      </c>
      <c r="AJ5" s="83">
        <f t="shared" si="0"/>
        <v>1795.7833925</v>
      </c>
      <c r="AK5" s="83">
        <f t="shared" si="0"/>
        <v>1795.7833925</v>
      </c>
      <c r="AL5" s="83">
        <f t="shared" si="0"/>
        <v>1795.7833925</v>
      </c>
      <c r="AM5" s="83">
        <f t="shared" si="0"/>
        <v>1795.7833925</v>
      </c>
      <c r="AN5" s="84">
        <f t="shared" si="0"/>
        <v>1795.7833925</v>
      </c>
      <c r="AO5" s="85">
        <f t="shared" si="0"/>
        <v>2495.5548427777776</v>
      </c>
      <c r="AP5" s="86">
        <v>939.55256421428567</v>
      </c>
      <c r="AQ5" s="80"/>
    </row>
    <row r="6" spans="1:43" ht="15.75" x14ac:dyDescent="0.25">
      <c r="A6" s="575"/>
      <c r="B6" s="298" t="s">
        <v>291</v>
      </c>
      <c r="C6" s="81"/>
      <c r="D6" s="87"/>
      <c r="E6" s="302">
        <f>E53*B50</f>
        <v>289.08</v>
      </c>
      <c r="F6" s="83">
        <f>E53*B50</f>
        <v>289.08</v>
      </c>
      <c r="G6" s="83">
        <f>E53*B50</f>
        <v>289.08</v>
      </c>
      <c r="H6" s="83">
        <f>E53*B50</f>
        <v>289.08</v>
      </c>
      <c r="I6" s="83">
        <f>E53*B50</f>
        <v>289.08</v>
      </c>
      <c r="J6" s="83">
        <f>E53*B50</f>
        <v>289.08</v>
      </c>
      <c r="K6" s="83">
        <f>E53*B50</f>
        <v>289.08</v>
      </c>
      <c r="L6" s="83">
        <f>E53*B50</f>
        <v>289.08</v>
      </c>
      <c r="M6" s="83">
        <v>1138.8</v>
      </c>
      <c r="N6" s="83">
        <v>1138.8</v>
      </c>
      <c r="O6" s="83">
        <v>1138.8</v>
      </c>
      <c r="P6" s="83">
        <v>1138.8</v>
      </c>
      <c r="Q6" s="83">
        <v>1138.8</v>
      </c>
      <c r="R6" s="83">
        <v>1138.8</v>
      </c>
      <c r="S6" s="83">
        <v>1138.8</v>
      </c>
      <c r="T6" s="83">
        <v>1138.8</v>
      </c>
      <c r="U6" s="83">
        <v>1138.8</v>
      </c>
      <c r="V6" s="83">
        <v>1138.8</v>
      </c>
      <c r="W6" s="83">
        <v>1138.8</v>
      </c>
      <c r="X6" s="83">
        <v>1138.8</v>
      </c>
      <c r="Y6" s="83">
        <v>1138.8</v>
      </c>
      <c r="Z6" s="83">
        <v>1138.8</v>
      </c>
      <c r="AA6" s="83">
        <v>1138.8</v>
      </c>
      <c r="AB6" s="83">
        <f>E53*B50</f>
        <v>289.08</v>
      </c>
      <c r="AC6" s="83">
        <f>E53*B50</f>
        <v>289.08</v>
      </c>
      <c r="AD6" s="83">
        <f>E53*B50</f>
        <v>289.08</v>
      </c>
      <c r="AE6" s="83">
        <f>E53*B50</f>
        <v>289.08</v>
      </c>
      <c r="AF6" s="83">
        <f>E53*B50</f>
        <v>289.08</v>
      </c>
      <c r="AG6" s="83">
        <f>E53*B50</f>
        <v>289.08</v>
      </c>
      <c r="AH6" s="83">
        <f>E53*B50</f>
        <v>289.08</v>
      </c>
      <c r="AI6" s="83">
        <f>E53*B50</f>
        <v>289.08</v>
      </c>
      <c r="AJ6" s="83">
        <f>E53*B50</f>
        <v>289.08</v>
      </c>
      <c r="AK6" s="83">
        <f>E53*B50</f>
        <v>289.08</v>
      </c>
      <c r="AL6" s="83">
        <f>E53*B50</f>
        <v>289.08</v>
      </c>
      <c r="AM6" s="83">
        <f>E53*B50</f>
        <v>289.08</v>
      </c>
      <c r="AN6" s="84">
        <f>E53*B50</f>
        <v>289.08</v>
      </c>
      <c r="AO6" s="85">
        <f>E53*B50</f>
        <v>289.08</v>
      </c>
      <c r="AP6" s="86">
        <v>192.72000000000003</v>
      </c>
      <c r="AQ6" s="80"/>
    </row>
    <row r="7" spans="1:43" ht="15.75" x14ac:dyDescent="0.25">
      <c r="A7" s="575"/>
      <c r="B7" s="298" t="s">
        <v>292</v>
      </c>
      <c r="C7" s="81"/>
      <c r="D7" s="87"/>
      <c r="E7" s="302">
        <f>E54*B50</f>
        <v>12.045</v>
      </c>
      <c r="F7" s="83">
        <f>E54*B50</f>
        <v>12.045</v>
      </c>
      <c r="G7" s="83">
        <f>E54*B50</f>
        <v>12.045</v>
      </c>
      <c r="H7" s="83">
        <f>E54*B50</f>
        <v>12.045</v>
      </c>
      <c r="I7" s="83">
        <f>E54*B50</f>
        <v>12.045</v>
      </c>
      <c r="J7" s="83">
        <f>E54*B50</f>
        <v>12.045</v>
      </c>
      <c r="K7" s="83">
        <f>E54*B50</f>
        <v>12.045</v>
      </c>
      <c r="L7" s="83">
        <f>E54*B50</f>
        <v>12.045</v>
      </c>
      <c r="M7" s="83">
        <f>E54*B50</f>
        <v>12.045</v>
      </c>
      <c r="N7" s="83">
        <f>E54*B50</f>
        <v>12.045</v>
      </c>
      <c r="O7" s="83">
        <f>E54*B50</f>
        <v>12.045</v>
      </c>
      <c r="P7" s="83">
        <f>E54*B50</f>
        <v>12.045</v>
      </c>
      <c r="Q7" s="83">
        <f>E54*B50</f>
        <v>12.045</v>
      </c>
      <c r="R7" s="83">
        <f>E54*B50</f>
        <v>12.045</v>
      </c>
      <c r="S7" s="83">
        <f>E54*B50</f>
        <v>12.045</v>
      </c>
      <c r="T7" s="83">
        <f>E54*B50</f>
        <v>12.045</v>
      </c>
      <c r="U7" s="83">
        <f>E54*B50</f>
        <v>12.045</v>
      </c>
      <c r="V7" s="83">
        <v>10.439</v>
      </c>
      <c r="W7" s="83">
        <f>E54*B50</f>
        <v>12.045</v>
      </c>
      <c r="X7" s="83">
        <f>E54*B50</f>
        <v>12.045</v>
      </c>
      <c r="Y7" s="83">
        <f>E54*B50</f>
        <v>12.045</v>
      </c>
      <c r="Z7" s="83">
        <f>E54*B50</f>
        <v>12.045</v>
      </c>
      <c r="AA7" s="83">
        <f>E54*B50</f>
        <v>12.045</v>
      </c>
      <c r="AB7" s="83">
        <f>E54*B50</f>
        <v>12.045</v>
      </c>
      <c r="AC7" s="83">
        <f>E54*B50</f>
        <v>12.045</v>
      </c>
      <c r="AD7" s="83">
        <f>E54*B50</f>
        <v>12.045</v>
      </c>
      <c r="AE7" s="83">
        <f>E54*B50</f>
        <v>12.045</v>
      </c>
      <c r="AF7" s="83">
        <f>E54*B50</f>
        <v>12.045</v>
      </c>
      <c r="AG7" s="83">
        <f>E54*B50</f>
        <v>12.045</v>
      </c>
      <c r="AH7" s="83">
        <f>E54*B50</f>
        <v>12.045</v>
      </c>
      <c r="AI7" s="83">
        <f>E54*B50</f>
        <v>12.045</v>
      </c>
      <c r="AJ7" s="83">
        <f>E54*B50</f>
        <v>12.045</v>
      </c>
      <c r="AK7" s="83">
        <f>E54*B50</f>
        <v>12.045</v>
      </c>
      <c r="AL7" s="83">
        <f>E54*B50</f>
        <v>12.045</v>
      </c>
      <c r="AM7" s="83">
        <f>E54*B50</f>
        <v>12.045</v>
      </c>
      <c r="AN7" s="84">
        <f>E54*B50</f>
        <v>12.045</v>
      </c>
      <c r="AO7" s="85">
        <f>E54*B50</f>
        <v>12.045</v>
      </c>
      <c r="AP7" s="86">
        <v>8.0299999999999994</v>
      </c>
      <c r="AQ7" s="80"/>
    </row>
    <row r="8" spans="1:43" ht="15.75" x14ac:dyDescent="0.25">
      <c r="A8" s="575"/>
      <c r="B8" s="297" t="s">
        <v>293</v>
      </c>
      <c r="C8" s="81"/>
      <c r="D8" s="81"/>
      <c r="E8" s="302">
        <f>F71*365</f>
        <v>109.50000000000001</v>
      </c>
      <c r="F8" s="83">
        <f>F71*365</f>
        <v>109.50000000000001</v>
      </c>
      <c r="G8" s="83">
        <f>F71*365</f>
        <v>109.50000000000001</v>
      </c>
      <c r="H8" s="83">
        <f>F71*365</f>
        <v>109.50000000000001</v>
      </c>
      <c r="I8" s="83">
        <f>F71*365</f>
        <v>109.50000000000001</v>
      </c>
      <c r="J8" s="83">
        <f>F71*365</f>
        <v>109.50000000000001</v>
      </c>
      <c r="K8" s="83">
        <f>F71*365</f>
        <v>109.50000000000001</v>
      </c>
      <c r="L8" s="83">
        <f>F71*365</f>
        <v>109.50000000000001</v>
      </c>
      <c r="M8" s="83">
        <f>F71*365</f>
        <v>109.50000000000001</v>
      </c>
      <c r="N8" s="83">
        <f>F71*365</f>
        <v>109.50000000000001</v>
      </c>
      <c r="O8" s="83">
        <f>F71*365</f>
        <v>109.50000000000001</v>
      </c>
      <c r="P8" s="83">
        <f>F71*365</f>
        <v>109.50000000000001</v>
      </c>
      <c r="Q8" s="83">
        <f>F71*365</f>
        <v>109.50000000000001</v>
      </c>
      <c r="R8" s="83">
        <f>F71*365</f>
        <v>109.50000000000001</v>
      </c>
      <c r="S8" s="83">
        <f>F71*365</f>
        <v>109.50000000000001</v>
      </c>
      <c r="T8" s="83">
        <f>F71*365</f>
        <v>109.50000000000001</v>
      </c>
      <c r="U8" s="83">
        <f>F71*365</f>
        <v>109.50000000000001</v>
      </c>
      <c r="V8" s="83">
        <f>F71*365</f>
        <v>109.50000000000001</v>
      </c>
      <c r="W8" s="83">
        <f>F71*365</f>
        <v>109.50000000000001</v>
      </c>
      <c r="X8" s="83">
        <f>F71*365</f>
        <v>109.50000000000001</v>
      </c>
      <c r="Y8" s="83">
        <f>F71*365</f>
        <v>109.50000000000001</v>
      </c>
      <c r="Z8" s="83">
        <f>F71*365</f>
        <v>109.50000000000001</v>
      </c>
      <c r="AA8" s="83">
        <f>F71*365</f>
        <v>109.50000000000001</v>
      </c>
      <c r="AB8" s="83">
        <f>F71*365</f>
        <v>109.50000000000001</v>
      </c>
      <c r="AC8" s="83">
        <f>F71*365</f>
        <v>109.50000000000001</v>
      </c>
      <c r="AD8" s="83">
        <f>F71*365</f>
        <v>109.50000000000001</v>
      </c>
      <c r="AE8" s="83">
        <f>F71*365</f>
        <v>109.50000000000001</v>
      </c>
      <c r="AF8" s="83">
        <f>F71*365</f>
        <v>109.50000000000001</v>
      </c>
      <c r="AG8" s="83">
        <f>F71*365</f>
        <v>109.50000000000001</v>
      </c>
      <c r="AH8" s="83">
        <f>F71*365</f>
        <v>109.50000000000001</v>
      </c>
      <c r="AI8" s="83">
        <f>F71*365</f>
        <v>109.50000000000001</v>
      </c>
      <c r="AJ8" s="83">
        <f>F71*365</f>
        <v>109.50000000000001</v>
      </c>
      <c r="AK8" s="83">
        <f>F71*365</f>
        <v>109.50000000000001</v>
      </c>
      <c r="AL8" s="83">
        <f>F71*365</f>
        <v>109.50000000000001</v>
      </c>
      <c r="AM8" s="83">
        <f>F71*365</f>
        <v>109.50000000000001</v>
      </c>
      <c r="AN8" s="84">
        <f>F71*365</f>
        <v>109.50000000000001</v>
      </c>
      <c r="AO8" s="85">
        <f>F71*365</f>
        <v>109.50000000000001</v>
      </c>
      <c r="AP8" s="86">
        <v>322.36800000000005</v>
      </c>
      <c r="AQ8" s="80"/>
    </row>
    <row r="9" spans="1:43" ht="15.75" x14ac:dyDescent="0.25">
      <c r="A9" s="575"/>
      <c r="B9" s="297" t="s">
        <v>294</v>
      </c>
      <c r="C9" s="81"/>
      <c r="D9" s="81"/>
      <c r="E9" s="302">
        <f>F60</f>
        <v>967.10400000000004</v>
      </c>
      <c r="F9" s="83">
        <f>F60</f>
        <v>967.10400000000004</v>
      </c>
      <c r="G9" s="83">
        <f>F60</f>
        <v>967.10400000000004</v>
      </c>
      <c r="H9" s="83">
        <f>F60</f>
        <v>967.10400000000004</v>
      </c>
      <c r="I9" s="83">
        <f>F60</f>
        <v>967.10400000000004</v>
      </c>
      <c r="J9" s="83">
        <f>F60</f>
        <v>967.10400000000004</v>
      </c>
      <c r="K9" s="83">
        <f>F60</f>
        <v>967.10400000000004</v>
      </c>
      <c r="L9" s="83">
        <f>F60</f>
        <v>967.10400000000004</v>
      </c>
      <c r="M9" s="83">
        <f>F60</f>
        <v>967.10400000000004</v>
      </c>
      <c r="N9" s="83">
        <f>F60</f>
        <v>967.10400000000004</v>
      </c>
      <c r="O9" s="83">
        <f>F60</f>
        <v>967.10400000000004</v>
      </c>
      <c r="P9" s="83">
        <f>F60</f>
        <v>967.10400000000004</v>
      </c>
      <c r="Q9" s="83">
        <f>F60</f>
        <v>967.10400000000004</v>
      </c>
      <c r="R9" s="83">
        <f>F60</f>
        <v>967.10400000000004</v>
      </c>
      <c r="S9" s="83">
        <f>F60</f>
        <v>967.10400000000004</v>
      </c>
      <c r="T9" s="83">
        <f>F60</f>
        <v>967.10400000000004</v>
      </c>
      <c r="U9" s="83">
        <f>F60</f>
        <v>967.10400000000004</v>
      </c>
      <c r="V9" s="83">
        <f>F60</f>
        <v>967.10400000000004</v>
      </c>
      <c r="W9" s="83">
        <f>F60</f>
        <v>967.10400000000004</v>
      </c>
      <c r="X9" s="83">
        <f>F60</f>
        <v>967.10400000000004</v>
      </c>
      <c r="Y9" s="83">
        <f>F60</f>
        <v>967.10400000000004</v>
      </c>
      <c r="Z9" s="83">
        <f>F60</f>
        <v>967.10400000000004</v>
      </c>
      <c r="AA9" s="83">
        <f>F60</f>
        <v>967.10400000000004</v>
      </c>
      <c r="AB9" s="83">
        <f>F60</f>
        <v>967.10400000000004</v>
      </c>
      <c r="AC9" s="83">
        <f>F60</f>
        <v>967.10400000000004</v>
      </c>
      <c r="AD9" s="83">
        <f>F60</f>
        <v>967.10400000000004</v>
      </c>
      <c r="AE9" s="83">
        <f>F60</f>
        <v>967.10400000000004</v>
      </c>
      <c r="AF9" s="83">
        <f>F60</f>
        <v>967.10400000000004</v>
      </c>
      <c r="AG9" s="83">
        <f>F60</f>
        <v>967.10400000000004</v>
      </c>
      <c r="AH9" s="83">
        <f>F60</f>
        <v>967.10400000000004</v>
      </c>
      <c r="AI9" s="83">
        <f>F60</f>
        <v>967.10400000000004</v>
      </c>
      <c r="AJ9" s="83">
        <f>F60</f>
        <v>967.10400000000004</v>
      </c>
      <c r="AK9" s="83">
        <f>F60</f>
        <v>967.10400000000004</v>
      </c>
      <c r="AL9" s="83">
        <f>F60</f>
        <v>967.10400000000004</v>
      </c>
      <c r="AM9" s="83">
        <f>F60</f>
        <v>967.10400000000004</v>
      </c>
      <c r="AN9" s="84">
        <f>F60</f>
        <v>967.10400000000004</v>
      </c>
      <c r="AO9" s="85">
        <f>F60</f>
        <v>967.10400000000004</v>
      </c>
      <c r="AP9" s="86">
        <v>0</v>
      </c>
      <c r="AQ9" s="88"/>
    </row>
    <row r="10" spans="1:43" ht="15.75" x14ac:dyDescent="0.25">
      <c r="A10" s="575"/>
      <c r="B10" s="298" t="s">
        <v>295</v>
      </c>
      <c r="C10" s="81"/>
      <c r="D10" s="81"/>
      <c r="E10" s="302">
        <f>(E41)*2800*(B86)</f>
        <v>1453.2</v>
      </c>
      <c r="F10" s="83">
        <f>(F41)*2800*(B86)</f>
        <v>2184</v>
      </c>
      <c r="G10" s="83">
        <f>(G41)*2800*B86</f>
        <v>1092</v>
      </c>
      <c r="H10" s="83">
        <f>(H41)*2800*B86</f>
        <v>1092</v>
      </c>
      <c r="I10" s="83">
        <f>(I41)*2800*B86</f>
        <v>1092</v>
      </c>
      <c r="J10" s="83">
        <f>(J41)*2800*B86</f>
        <v>1092</v>
      </c>
      <c r="K10" s="83">
        <f>(K41)*2800*B86</f>
        <v>873.6</v>
      </c>
      <c r="L10" s="83">
        <f>(L41)*2800*B86</f>
        <v>1092</v>
      </c>
      <c r="M10" s="83">
        <f>(M41)*2800*B86</f>
        <v>730.79999999999984</v>
      </c>
      <c r="N10" s="83">
        <f>(N41)*2800*B86</f>
        <v>1092</v>
      </c>
      <c r="O10" s="83">
        <f>(O41)*2800*B86</f>
        <v>1092</v>
      </c>
      <c r="P10" s="83">
        <f>(P41)*2800*B86</f>
        <v>1092</v>
      </c>
      <c r="Q10" s="83">
        <f>(Q41)*2800*B86</f>
        <v>1092</v>
      </c>
      <c r="R10" s="83">
        <f>(R41)*2800*B86</f>
        <v>1092</v>
      </c>
      <c r="S10" s="83">
        <f>(S41)*2800*B86</f>
        <v>873.6</v>
      </c>
      <c r="T10" s="83">
        <f>(T41)*2800*B86</f>
        <v>1092</v>
      </c>
      <c r="U10" s="83">
        <f>(U41)*2800*B86</f>
        <v>727.43999999999994</v>
      </c>
      <c r="V10" s="83">
        <f>(V41)*2800*B86</f>
        <v>1092</v>
      </c>
      <c r="W10" s="83">
        <f>(W41)*2800*B86</f>
        <v>1092</v>
      </c>
      <c r="X10" s="83">
        <f>(X41)*2800*B86</f>
        <v>1453.2</v>
      </c>
      <c r="Y10" s="83">
        <f>(Y41)*2800*B86</f>
        <v>1453.2</v>
      </c>
      <c r="Z10" s="83">
        <f>SUM(Z41)*3000*(B86)</f>
        <v>1170</v>
      </c>
      <c r="AA10" s="83">
        <f>SUM(AA41)*3000*(B86)</f>
        <v>1170</v>
      </c>
      <c r="AB10" s="83">
        <f>SUM(AB41)*3000*(B86)</f>
        <v>1170</v>
      </c>
      <c r="AC10" s="83">
        <f>SUM(AC41)*3000*(B86)</f>
        <v>1170</v>
      </c>
      <c r="AD10" s="83">
        <f>SUM(AD41)*3000*(B86)</f>
        <v>1170</v>
      </c>
      <c r="AE10" s="83">
        <f>SUM(AE41)*3000*(B86)</f>
        <v>945</v>
      </c>
      <c r="AF10" s="83">
        <f>SUM(AF41)*3000*(B86)</f>
        <v>2340</v>
      </c>
      <c r="AG10" s="83">
        <f>SUM(AG41)*3000*(B86)</f>
        <v>1170</v>
      </c>
      <c r="AH10" s="83">
        <f>SUM(AH41)*3000*(B86)</f>
        <v>1170</v>
      </c>
      <c r="AI10" s="83">
        <f>SUM(AI41)*3000*(B86)</f>
        <v>1170</v>
      </c>
      <c r="AJ10" s="83">
        <f>SUM(AJ41)*3000*(B86)</f>
        <v>1170</v>
      </c>
      <c r="AK10" s="83">
        <f>SUM(AK41)*3000*(B86)</f>
        <v>1170</v>
      </c>
      <c r="AL10" s="83">
        <f>SUM(AL41)*3000*(B86)</f>
        <v>1170</v>
      </c>
      <c r="AM10" s="83">
        <f>SUM(AM41)*3000*(B86)</f>
        <v>2340</v>
      </c>
      <c r="AN10" s="84">
        <f>SUM(AN41)*3000*(B86)</f>
        <v>1170</v>
      </c>
      <c r="AO10" s="85">
        <v>0</v>
      </c>
      <c r="AP10" s="89">
        <v>26827.5</v>
      </c>
      <c r="AQ10" s="90"/>
    </row>
    <row r="11" spans="1:43" ht="15.75" x14ac:dyDescent="0.25">
      <c r="A11" s="575"/>
      <c r="B11" s="299" t="s">
        <v>296</v>
      </c>
      <c r="C11" s="81"/>
      <c r="D11" s="81"/>
      <c r="E11" s="302">
        <v>0</v>
      </c>
      <c r="F11" s="83">
        <v>0</v>
      </c>
      <c r="G11" s="82">
        <v>0</v>
      </c>
      <c r="H11" s="82">
        <v>0</v>
      </c>
      <c r="I11" s="83">
        <v>0</v>
      </c>
      <c r="J11" s="82">
        <v>0</v>
      </c>
      <c r="K11" s="82">
        <v>0</v>
      </c>
      <c r="L11" s="83">
        <v>0</v>
      </c>
      <c r="M11" s="82">
        <v>0</v>
      </c>
      <c r="N11" s="82">
        <v>0</v>
      </c>
      <c r="O11" s="83">
        <v>0</v>
      </c>
      <c r="P11" s="82">
        <v>0</v>
      </c>
      <c r="Q11" s="82">
        <v>0</v>
      </c>
      <c r="R11" s="83">
        <v>0</v>
      </c>
      <c r="S11" s="82">
        <v>0</v>
      </c>
      <c r="T11" s="82">
        <v>0</v>
      </c>
      <c r="U11" s="83">
        <v>0</v>
      </c>
      <c r="V11" s="82">
        <v>0</v>
      </c>
      <c r="W11" s="82">
        <v>0</v>
      </c>
      <c r="X11" s="83">
        <v>0</v>
      </c>
      <c r="Y11" s="82">
        <v>0</v>
      </c>
      <c r="Z11" s="82">
        <v>0</v>
      </c>
      <c r="AA11" s="83">
        <v>0</v>
      </c>
      <c r="AB11" s="82">
        <v>0</v>
      </c>
      <c r="AC11" s="82">
        <v>0</v>
      </c>
      <c r="AD11" s="83">
        <v>0</v>
      </c>
      <c r="AE11" s="82">
        <v>0</v>
      </c>
      <c r="AF11" s="82">
        <v>0</v>
      </c>
      <c r="AG11" s="83">
        <v>0</v>
      </c>
      <c r="AH11" s="82">
        <v>0</v>
      </c>
      <c r="AI11" s="82">
        <v>0</v>
      </c>
      <c r="AJ11" s="83">
        <v>0</v>
      </c>
      <c r="AK11" s="82">
        <v>0</v>
      </c>
      <c r="AL11" s="82">
        <v>0</v>
      </c>
      <c r="AM11" s="83">
        <v>0</v>
      </c>
      <c r="AN11" s="91">
        <v>0</v>
      </c>
      <c r="AO11" s="85">
        <v>600</v>
      </c>
      <c r="AP11" s="86"/>
      <c r="AQ11" s="92"/>
    </row>
    <row r="12" spans="1:43" ht="15.75" x14ac:dyDescent="0.25">
      <c r="A12" s="575"/>
      <c r="B12" s="298" t="s">
        <v>297</v>
      </c>
      <c r="C12" s="93"/>
      <c r="D12" s="93"/>
      <c r="E12" s="302">
        <f>D75</f>
        <v>900</v>
      </c>
      <c r="F12" s="82">
        <f>D75</f>
        <v>900</v>
      </c>
      <c r="G12" s="83">
        <f>D75</f>
        <v>900</v>
      </c>
      <c r="H12" s="83">
        <f>D75</f>
        <v>900</v>
      </c>
      <c r="I12" s="83">
        <f>D75</f>
        <v>900</v>
      </c>
      <c r="J12" s="83">
        <f>D75</f>
        <v>900</v>
      </c>
      <c r="K12" s="83">
        <f>D75</f>
        <v>900</v>
      </c>
      <c r="L12" s="83">
        <f>D75</f>
        <v>900</v>
      </c>
      <c r="M12" s="83">
        <f>D75</f>
        <v>900</v>
      </c>
      <c r="N12" s="83">
        <f>D75</f>
        <v>900</v>
      </c>
      <c r="O12" s="83">
        <f>D75</f>
        <v>900</v>
      </c>
      <c r="P12" s="83">
        <f>D75</f>
        <v>900</v>
      </c>
      <c r="Q12" s="83">
        <f>D75</f>
        <v>900</v>
      </c>
      <c r="R12" s="83">
        <f>D75</f>
        <v>900</v>
      </c>
      <c r="S12" s="83">
        <f>D75</f>
        <v>900</v>
      </c>
      <c r="T12" s="83">
        <f>D75</f>
        <v>900</v>
      </c>
      <c r="U12" s="83">
        <f>D75</f>
        <v>900</v>
      </c>
      <c r="V12" s="83">
        <f>D75</f>
        <v>900</v>
      </c>
      <c r="W12" s="83">
        <f>D75</f>
        <v>900</v>
      </c>
      <c r="X12" s="83">
        <f>D75</f>
        <v>900</v>
      </c>
      <c r="Y12" s="83">
        <f>D75</f>
        <v>900</v>
      </c>
      <c r="Z12" s="83">
        <f>D75</f>
        <v>900</v>
      </c>
      <c r="AA12" s="83">
        <f>D75</f>
        <v>900</v>
      </c>
      <c r="AB12" s="83">
        <f>D75</f>
        <v>900</v>
      </c>
      <c r="AC12" s="83">
        <f>D75</f>
        <v>900</v>
      </c>
      <c r="AD12" s="83">
        <f>D75</f>
        <v>900</v>
      </c>
      <c r="AE12" s="83">
        <f>D75</f>
        <v>900</v>
      </c>
      <c r="AF12" s="83">
        <f>D75</f>
        <v>900</v>
      </c>
      <c r="AG12" s="83">
        <f>D75</f>
        <v>900</v>
      </c>
      <c r="AH12" s="83">
        <f>D75</f>
        <v>900</v>
      </c>
      <c r="AI12" s="83">
        <f>D75</f>
        <v>900</v>
      </c>
      <c r="AJ12" s="83">
        <f>D75</f>
        <v>900</v>
      </c>
      <c r="AK12" s="83">
        <f>D75</f>
        <v>900</v>
      </c>
      <c r="AL12" s="83">
        <f>D75</f>
        <v>900</v>
      </c>
      <c r="AM12" s="83">
        <f>D75</f>
        <v>900</v>
      </c>
      <c r="AN12" s="84">
        <f>D75</f>
        <v>900</v>
      </c>
      <c r="AO12" s="85">
        <f>D76</f>
        <v>1350</v>
      </c>
      <c r="AP12" s="86">
        <v>0</v>
      </c>
      <c r="AQ12" s="90"/>
    </row>
    <row r="13" spans="1:43" ht="15.75" x14ac:dyDescent="0.25">
      <c r="A13" s="575"/>
      <c r="B13" s="299" t="s">
        <v>298</v>
      </c>
      <c r="C13" s="81"/>
      <c r="D13" s="81"/>
      <c r="E13" s="302">
        <f>C102</f>
        <v>70.2</v>
      </c>
      <c r="F13" s="83">
        <f>C102</f>
        <v>70.2</v>
      </c>
      <c r="G13" s="83">
        <f>C102</f>
        <v>70.2</v>
      </c>
      <c r="H13" s="83">
        <f>C102</f>
        <v>70.2</v>
      </c>
      <c r="I13" s="83">
        <f>C102</f>
        <v>70.2</v>
      </c>
      <c r="J13" s="83">
        <f>C102</f>
        <v>70.2</v>
      </c>
      <c r="K13" s="83">
        <f>C102</f>
        <v>70.2</v>
      </c>
      <c r="L13" s="83">
        <f>C102</f>
        <v>70.2</v>
      </c>
      <c r="M13" s="83">
        <f>C102</f>
        <v>70.2</v>
      </c>
      <c r="N13" s="83">
        <f>C102</f>
        <v>70.2</v>
      </c>
      <c r="O13" s="83">
        <f>C102</f>
        <v>70.2</v>
      </c>
      <c r="P13" s="83">
        <f>C102</f>
        <v>70.2</v>
      </c>
      <c r="Q13" s="83">
        <f>C102</f>
        <v>70.2</v>
      </c>
      <c r="R13" s="83">
        <f>C102</f>
        <v>70.2</v>
      </c>
      <c r="S13" s="83">
        <f>C102</f>
        <v>70.2</v>
      </c>
      <c r="T13" s="83">
        <f>C102</f>
        <v>70.2</v>
      </c>
      <c r="U13" s="83">
        <f>C102</f>
        <v>70.2</v>
      </c>
      <c r="V13" s="83">
        <f>C102</f>
        <v>70.2</v>
      </c>
      <c r="W13" s="83">
        <f>C102</f>
        <v>70.2</v>
      </c>
      <c r="X13" s="83">
        <f>C102</f>
        <v>70.2</v>
      </c>
      <c r="Y13" s="83">
        <f>C102</f>
        <v>70.2</v>
      </c>
      <c r="Z13" s="83">
        <f>C102</f>
        <v>70.2</v>
      </c>
      <c r="AA13" s="83">
        <f>C102</f>
        <v>70.2</v>
      </c>
      <c r="AB13" s="83">
        <f>C102</f>
        <v>70.2</v>
      </c>
      <c r="AC13" s="83">
        <f>C102</f>
        <v>70.2</v>
      </c>
      <c r="AD13" s="83">
        <f>C102</f>
        <v>70.2</v>
      </c>
      <c r="AE13" s="83">
        <f>C102</f>
        <v>70.2</v>
      </c>
      <c r="AF13" s="83">
        <f>C102</f>
        <v>70.2</v>
      </c>
      <c r="AG13" s="83">
        <v>54</v>
      </c>
      <c r="AH13" s="83">
        <v>54</v>
      </c>
      <c r="AI13" s="83">
        <v>54</v>
      </c>
      <c r="AJ13" s="83">
        <v>54</v>
      </c>
      <c r="AK13" s="83">
        <v>54</v>
      </c>
      <c r="AL13" s="83">
        <v>54</v>
      </c>
      <c r="AM13" s="83">
        <v>54</v>
      </c>
      <c r="AN13" s="84">
        <v>54</v>
      </c>
      <c r="AO13" s="85">
        <v>54</v>
      </c>
      <c r="AP13" s="94">
        <v>99.9</v>
      </c>
      <c r="AQ13" s="90"/>
    </row>
    <row r="14" spans="1:43" ht="15.75" x14ac:dyDescent="0.25">
      <c r="A14" s="575"/>
      <c r="B14" s="299" t="s">
        <v>299</v>
      </c>
      <c r="C14" s="81"/>
      <c r="D14" s="81"/>
      <c r="E14" s="302">
        <f>B92*2800*E40</f>
        <v>16.240000000000002</v>
      </c>
      <c r="F14" s="83">
        <f>B92*2800*F40</f>
        <v>5.6000000000000005</v>
      </c>
      <c r="G14" s="83">
        <f>B92*2800*G40</f>
        <v>5.6000000000000005</v>
      </c>
      <c r="H14" s="83">
        <f>B92*2800*H40</f>
        <v>5.6000000000000005</v>
      </c>
      <c r="I14" s="83">
        <f>B92*2800*I40</f>
        <v>5.6000000000000005</v>
      </c>
      <c r="J14" s="83">
        <f>B92*2800*J40</f>
        <v>11.760000000000002</v>
      </c>
      <c r="K14" s="83">
        <f>B92*2800*K40</f>
        <v>5.6000000000000005</v>
      </c>
      <c r="L14" s="83">
        <f>B92*2800*L40</f>
        <v>5.6000000000000005</v>
      </c>
      <c r="M14" s="83">
        <f>B92*2800*M40</f>
        <v>5.6000000000000005</v>
      </c>
      <c r="N14" s="83">
        <f>B92*2800*N40</f>
        <v>24.080000000000002</v>
      </c>
      <c r="O14" s="83">
        <f>B92*2800*O40</f>
        <v>5.6000000000000005</v>
      </c>
      <c r="P14" s="83">
        <f>B92*2800*P40</f>
        <v>5.6000000000000005</v>
      </c>
      <c r="Q14" s="83">
        <f>B92*2800*Q40</f>
        <v>5.6000000000000005</v>
      </c>
      <c r="R14" s="83">
        <f>B92*2800*R40</f>
        <v>72.800000000000011</v>
      </c>
      <c r="S14" s="83">
        <f>B92*2800*S40</f>
        <v>10.080000000000002</v>
      </c>
      <c r="T14" s="83">
        <f>B92*2800*T40</f>
        <v>5.6000000000000005</v>
      </c>
      <c r="U14" s="83">
        <f>B92*2800*U40</f>
        <v>7.84</v>
      </c>
      <c r="V14" s="83">
        <f>B92*2800*V40</f>
        <v>24.080000000000002</v>
      </c>
      <c r="W14" s="83">
        <f>B92*2800*W40</f>
        <v>72.800000000000011</v>
      </c>
      <c r="X14" s="83">
        <f>B92*2800*X40</f>
        <v>96.88000000000001</v>
      </c>
      <c r="Y14" s="83">
        <f>B92*2800*Y40</f>
        <v>96.88000000000001</v>
      </c>
      <c r="Z14" s="83">
        <f>B92*2800*Z40</f>
        <v>14.560000000000002</v>
      </c>
      <c r="AA14" s="83">
        <f>B92*2800*AA40</f>
        <v>72.800000000000011</v>
      </c>
      <c r="AB14" s="83">
        <f>B92*2800*AB40</f>
        <v>72.800000000000011</v>
      </c>
      <c r="AC14" s="83">
        <f>B92*2800*AC40</f>
        <v>72.800000000000011</v>
      </c>
      <c r="AD14" s="83">
        <f>B92*2800*AD40</f>
        <v>72.800000000000011</v>
      </c>
      <c r="AE14" s="83">
        <f>B92*2800*AE40</f>
        <v>58.240000000000009</v>
      </c>
      <c r="AF14" s="83">
        <f>B92*2800*AF40</f>
        <v>72.800000000000011</v>
      </c>
      <c r="AG14" s="83">
        <f>B92*2800*AG40</f>
        <v>11.760000000000002</v>
      </c>
      <c r="AH14" s="83">
        <f>B92*2800*AH40</f>
        <v>11.760000000000002</v>
      </c>
      <c r="AI14" s="83">
        <f>B92*2800*AI40</f>
        <v>11.760000000000002</v>
      </c>
      <c r="AJ14" s="83">
        <f>B92*2800*AJ40</f>
        <v>72.800000000000011</v>
      </c>
      <c r="AK14" s="83">
        <f>B92*2800*AK40</f>
        <v>72.800000000000011</v>
      </c>
      <c r="AL14" s="83">
        <f>B92*2800*AL40</f>
        <v>72.800000000000011</v>
      </c>
      <c r="AM14" s="83">
        <f>B92*2800*AM40</f>
        <v>72.800000000000011</v>
      </c>
      <c r="AN14" s="84">
        <f>B92*2800*AN40</f>
        <v>11.760000000000002</v>
      </c>
      <c r="AO14" s="85">
        <v>0</v>
      </c>
      <c r="AP14" s="86">
        <v>62250.75</v>
      </c>
      <c r="AQ14" s="90"/>
    </row>
    <row r="15" spans="1:43" ht="15.75" x14ac:dyDescent="0.25">
      <c r="A15" s="575"/>
      <c r="B15" s="298" t="s">
        <v>300</v>
      </c>
      <c r="C15" s="81"/>
      <c r="D15" s="81"/>
      <c r="E15" s="302">
        <v>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83">
        <v>0</v>
      </c>
      <c r="W15" s="83">
        <v>0</v>
      </c>
      <c r="X15" s="83">
        <v>0</v>
      </c>
      <c r="Y15" s="83">
        <v>0</v>
      </c>
      <c r="Z15" s="83">
        <v>0</v>
      </c>
      <c r="AA15" s="83">
        <v>0</v>
      </c>
      <c r="AB15" s="83">
        <v>0</v>
      </c>
      <c r="AC15" s="83">
        <v>0</v>
      </c>
      <c r="AD15" s="83">
        <v>0</v>
      </c>
      <c r="AE15" s="83">
        <v>0</v>
      </c>
      <c r="AF15" s="83">
        <v>0</v>
      </c>
      <c r="AG15" s="83">
        <v>0</v>
      </c>
      <c r="AH15" s="83">
        <v>0</v>
      </c>
      <c r="AI15" s="83">
        <v>0</v>
      </c>
      <c r="AJ15" s="83">
        <v>0</v>
      </c>
      <c r="AK15" s="83">
        <v>0</v>
      </c>
      <c r="AL15" s="83">
        <v>0</v>
      </c>
      <c r="AM15" s="83">
        <v>0</v>
      </c>
      <c r="AN15" s="84">
        <v>0</v>
      </c>
      <c r="AO15" s="85">
        <f>B93*2800</f>
        <v>364</v>
      </c>
      <c r="AP15" s="86">
        <v>1380.96</v>
      </c>
      <c r="AQ15" s="92"/>
    </row>
    <row r="16" spans="1:43" ht="42.75" customHeight="1" x14ac:dyDescent="0.25">
      <c r="A16" s="575"/>
      <c r="B16" s="299" t="s">
        <v>301</v>
      </c>
      <c r="C16" s="81"/>
      <c r="D16" s="81"/>
      <c r="E16" s="302">
        <f t="shared" ref="E16:AE16" si="1">SUM(E3)*0.07</f>
        <v>436.80000000000007</v>
      </c>
      <c r="F16" s="83">
        <f t="shared" si="1"/>
        <v>1310.4000000000001</v>
      </c>
      <c r="G16" s="95">
        <f t="shared" si="1"/>
        <v>982.80000000000007</v>
      </c>
      <c r="H16" s="83">
        <f t="shared" si="1"/>
        <v>655.20000000000005</v>
      </c>
      <c r="I16" s="83">
        <f t="shared" si="1"/>
        <v>655.20000000000005</v>
      </c>
      <c r="J16" s="83">
        <f t="shared" si="1"/>
        <v>819.00000000000011</v>
      </c>
      <c r="K16" s="83">
        <f t="shared" si="1"/>
        <v>131.04000000000002</v>
      </c>
      <c r="L16" s="83">
        <f t="shared" si="1"/>
        <v>982.80000000000007</v>
      </c>
      <c r="M16" s="83">
        <f t="shared" si="1"/>
        <v>655.20000000000005</v>
      </c>
      <c r="N16" s="83">
        <f t="shared" si="1"/>
        <v>327.60000000000002</v>
      </c>
      <c r="O16" s="83">
        <f t="shared" si="1"/>
        <v>655.20000000000005</v>
      </c>
      <c r="P16" s="83">
        <f t="shared" si="1"/>
        <v>982.80000000000007</v>
      </c>
      <c r="Q16" s="83">
        <f t="shared" si="1"/>
        <v>327.60000000000002</v>
      </c>
      <c r="R16" s="83">
        <f t="shared" si="1"/>
        <v>327.60000000000002</v>
      </c>
      <c r="S16" s="83">
        <f t="shared" si="1"/>
        <v>524.16000000000008</v>
      </c>
      <c r="T16" s="83">
        <f t="shared" si="1"/>
        <v>327.60000000000002</v>
      </c>
      <c r="U16" s="83">
        <f t="shared" si="1"/>
        <v>218.40000000000003</v>
      </c>
      <c r="V16" s="83">
        <f t="shared" si="1"/>
        <v>327.60000000000002</v>
      </c>
      <c r="W16" s="83">
        <f t="shared" si="1"/>
        <v>573.30000000000007</v>
      </c>
      <c r="X16" s="83">
        <f t="shared" si="1"/>
        <v>567.84</v>
      </c>
      <c r="Y16" s="83">
        <f t="shared" si="1"/>
        <v>873.60000000000014</v>
      </c>
      <c r="Z16" s="83">
        <f t="shared" si="1"/>
        <v>409.50000000000006</v>
      </c>
      <c r="AA16" s="83">
        <f t="shared" si="1"/>
        <v>655.20000000000005</v>
      </c>
      <c r="AB16" s="83">
        <f t="shared" si="1"/>
        <v>655.20000000000005</v>
      </c>
      <c r="AC16" s="83">
        <f t="shared" si="1"/>
        <v>917.28000000000009</v>
      </c>
      <c r="AD16" s="83">
        <f t="shared" si="1"/>
        <v>494.20000000000005</v>
      </c>
      <c r="AE16" s="83">
        <f t="shared" si="1"/>
        <v>262.08000000000004</v>
      </c>
      <c r="AF16" s="83">
        <f>SUM(AF3)*0.07</f>
        <v>494.20000000000005</v>
      </c>
      <c r="AG16" s="83">
        <f t="shared" ref="AG16:AO16" si="2">SUM(AG3)*0.07</f>
        <v>245.70000000000002</v>
      </c>
      <c r="AH16" s="83">
        <f t="shared" si="2"/>
        <v>409.50000000000006</v>
      </c>
      <c r="AI16" s="83">
        <f t="shared" si="2"/>
        <v>655.20000000000005</v>
      </c>
      <c r="AJ16" s="83">
        <f t="shared" si="2"/>
        <v>2457.0000000000005</v>
      </c>
      <c r="AK16" s="83">
        <f t="shared" si="2"/>
        <v>655.20000000000005</v>
      </c>
      <c r="AL16" s="83">
        <f t="shared" si="2"/>
        <v>589.68000000000006</v>
      </c>
      <c r="AM16" s="83">
        <f t="shared" si="2"/>
        <v>409.50000000000006</v>
      </c>
      <c r="AN16" s="84">
        <f t="shared" si="2"/>
        <v>819.00000000000011</v>
      </c>
      <c r="AO16" s="85">
        <f t="shared" si="2"/>
        <v>522.48</v>
      </c>
      <c r="AP16" s="86">
        <v>19983.75</v>
      </c>
      <c r="AQ16" s="92"/>
    </row>
    <row r="17" spans="1:44" ht="47.25" customHeight="1" x14ac:dyDescent="0.25">
      <c r="A17" s="575"/>
      <c r="B17" s="299" t="s">
        <v>302</v>
      </c>
      <c r="C17" s="81"/>
      <c r="D17" s="81"/>
      <c r="E17" s="302">
        <f>E18</f>
        <v>0</v>
      </c>
      <c r="F17" s="83">
        <f>SUM(F40)*(B95)*10</f>
        <v>150</v>
      </c>
      <c r="G17" s="95">
        <f>SUM(G40)*(B95)*10</f>
        <v>150</v>
      </c>
      <c r="H17" s="83">
        <f>SUM(H40)*(B95)*10</f>
        <v>150</v>
      </c>
      <c r="I17" s="83">
        <f>SUM(I40)*(B95)*10</f>
        <v>150</v>
      </c>
      <c r="J17" s="83">
        <f>SUM(J40)*(B95)*10</f>
        <v>315</v>
      </c>
      <c r="K17" s="83">
        <f>SUM(K40)*(B95)*10</f>
        <v>150</v>
      </c>
      <c r="L17" s="83">
        <f>SUM(L40)*(B95)*10</f>
        <v>150</v>
      </c>
      <c r="M17" s="83">
        <f>SUM(M40)*B95*10</f>
        <v>150</v>
      </c>
      <c r="N17" s="83">
        <f>SUM(N40)*(B95)*10</f>
        <v>645</v>
      </c>
      <c r="O17" s="83">
        <f>SUM(O40)*(B95)*10</f>
        <v>150</v>
      </c>
      <c r="P17" s="83">
        <f>SUM(P40)*(B95)*10</f>
        <v>150</v>
      </c>
      <c r="Q17" s="83">
        <f>SUM(Q40)*(B95)*10</f>
        <v>150</v>
      </c>
      <c r="R17" s="83">
        <f>SUM(R40)*(B95)*10</f>
        <v>1950</v>
      </c>
      <c r="S17" s="83">
        <f>SUM(S40)*(B95)*10</f>
        <v>270</v>
      </c>
      <c r="T17" s="83">
        <f>SUM(T40)*(B95)*10</f>
        <v>150</v>
      </c>
      <c r="U17" s="83">
        <f>SUM(U40)*(B95)*10</f>
        <v>210</v>
      </c>
      <c r="V17" s="83">
        <f>SUM(V40)*(B95)*10</f>
        <v>645</v>
      </c>
      <c r="W17" s="83">
        <f>SUM(W40)*(B95)*10</f>
        <v>1950</v>
      </c>
      <c r="X17" s="83">
        <f>SUM(X40)*(B95)*10</f>
        <v>2595</v>
      </c>
      <c r="Y17" s="83">
        <f>SUM(Y40)*(B95)*10</f>
        <v>2595</v>
      </c>
      <c r="Z17" s="83">
        <f>SUM(Z40)*(B95)*10</f>
        <v>390</v>
      </c>
      <c r="AA17" s="83">
        <f>SUM(AA40)*(B95)*10</f>
        <v>1950</v>
      </c>
      <c r="AB17" s="83">
        <f>SUM(AB40)*(B95)*10</f>
        <v>1950</v>
      </c>
      <c r="AC17" s="83">
        <f>SUM(AC40)*(B95)*10</f>
        <v>1950</v>
      </c>
      <c r="AD17" s="83">
        <f>SUM(AD40)*(B95)*10</f>
        <v>1950</v>
      </c>
      <c r="AE17" s="83">
        <f>SUM(AE40)*(B95)*10</f>
        <v>1560</v>
      </c>
      <c r="AF17" s="83">
        <f>SUM(AF40)*(B95)*10</f>
        <v>1950</v>
      </c>
      <c r="AG17" s="83">
        <f>SUM(AG40)*(B95)*10</f>
        <v>315</v>
      </c>
      <c r="AH17" s="83">
        <f>SUM(AH40)*(B95)*10</f>
        <v>315</v>
      </c>
      <c r="AI17" s="83">
        <f>SUM(AI40)*(B95)*10</f>
        <v>315</v>
      </c>
      <c r="AJ17" s="83">
        <f>SUM(AJ40)*(B95)*10</f>
        <v>1950</v>
      </c>
      <c r="AK17" s="83">
        <f>SUM(AK40)*(B95)*10</f>
        <v>1950</v>
      </c>
      <c r="AL17" s="83">
        <f>SUM(AL40)*(B95)*10</f>
        <v>1950</v>
      </c>
      <c r="AM17" s="83">
        <f>SUM(AM40)*(B95)*10</f>
        <v>1950</v>
      </c>
      <c r="AN17" s="84">
        <f>SUM(AN40)*(B95)*10</f>
        <v>315</v>
      </c>
      <c r="AO17" s="85">
        <f>SUM(AO40)*(B95)*10</f>
        <v>300</v>
      </c>
      <c r="AP17" s="94">
        <v>19983.75</v>
      </c>
      <c r="AQ17" s="90"/>
    </row>
    <row r="18" spans="1:44" ht="45.75" customHeight="1" x14ac:dyDescent="0.25">
      <c r="A18" s="575"/>
      <c r="B18" s="298" t="s">
        <v>407</v>
      </c>
      <c r="C18" s="81"/>
      <c r="D18" s="81"/>
      <c r="E18" s="302">
        <f>Wages!F25/2</f>
        <v>0</v>
      </c>
      <c r="F18" s="83">
        <f>SUM(F41)*(B95)*11</f>
        <v>4290</v>
      </c>
      <c r="G18" s="95">
        <f>SUM(G41)*(B95)*11</f>
        <v>2145</v>
      </c>
      <c r="H18" s="83">
        <f>SUM(H41)*(B95)*11</f>
        <v>2145</v>
      </c>
      <c r="I18" s="83">
        <f>SUM(I41)*(B95)*11</f>
        <v>2145</v>
      </c>
      <c r="J18" s="83">
        <f>SUM(J41)*(B95)*11</f>
        <v>2145</v>
      </c>
      <c r="K18" s="83">
        <f>SUM(K41)*(B95)*11</f>
        <v>1716</v>
      </c>
      <c r="L18" s="83">
        <f>SUM(L41)*(B95)*11</f>
        <v>2145</v>
      </c>
      <c r="M18" s="83">
        <f>SUM(M41)*(B95)*11</f>
        <v>1435.5</v>
      </c>
      <c r="N18" s="83">
        <f>SUM(N41)*(B95)*11</f>
        <v>2145</v>
      </c>
      <c r="O18" s="83">
        <f>SUM(O41)*(B95)*11</f>
        <v>2145</v>
      </c>
      <c r="P18" s="83">
        <f>SUM(P41)*(B95)*11</f>
        <v>2145</v>
      </c>
      <c r="Q18" s="83">
        <f>SUM(Q41)*(B95)*11</f>
        <v>2145</v>
      </c>
      <c r="R18" s="83">
        <f>SUM(R41)*(B95)*11</f>
        <v>2145</v>
      </c>
      <c r="S18" s="83">
        <f>SUM(S41)*(B95)*11</f>
        <v>1716</v>
      </c>
      <c r="T18" s="83">
        <f>SUM(T41)*(B95)*11</f>
        <v>2145</v>
      </c>
      <c r="U18" s="83">
        <f>SUM(U41)*(B95)*11</f>
        <v>1428.9</v>
      </c>
      <c r="V18" s="83">
        <f>SUM(V41)*(B95)*11</f>
        <v>2145</v>
      </c>
      <c r="W18" s="83">
        <f>SUM(W41)*(B95)*11</f>
        <v>2145</v>
      </c>
      <c r="X18" s="83">
        <f>SUM(X41)*(B95)*11</f>
        <v>2854.5</v>
      </c>
      <c r="Y18" s="83">
        <f>SUM(Y41)*(B95)*11</f>
        <v>2854.5</v>
      </c>
      <c r="Z18" s="83">
        <f>SUM(Z41)*(B95)*11</f>
        <v>2145</v>
      </c>
      <c r="AA18" s="83">
        <f>SUM(AA41)*(B95)*11</f>
        <v>2145</v>
      </c>
      <c r="AB18" s="83">
        <f>SUM(AB41)*(B95)*11</f>
        <v>2145</v>
      </c>
      <c r="AC18" s="83">
        <f>SUM(AC41)*(B95)*11</f>
        <v>2145</v>
      </c>
      <c r="AD18" s="83">
        <f>SUM(AD41)*(B95)*11</f>
        <v>2145</v>
      </c>
      <c r="AE18" s="83">
        <f>SUM(AE41)*(B95)*11</f>
        <v>1732.5</v>
      </c>
      <c r="AF18" s="83">
        <f>SUM(AF41)*(B95)*11</f>
        <v>4290</v>
      </c>
      <c r="AG18" s="83">
        <f>SUM(AG41)*(B95)*11</f>
        <v>2145</v>
      </c>
      <c r="AH18" s="83">
        <f>SUM(AH41)*(B95)*11</f>
        <v>2145</v>
      </c>
      <c r="AI18" s="83">
        <f>SUM(AI41)*(B95)*11</f>
        <v>2145</v>
      </c>
      <c r="AJ18" s="83">
        <f>SUM(AJ41)*(B95)*11</f>
        <v>2145</v>
      </c>
      <c r="AK18" s="83">
        <f>SUM(AK41)*(B95)*11</f>
        <v>2145</v>
      </c>
      <c r="AL18" s="83">
        <f>SUM(AL41)*(B95)*11</f>
        <v>2145</v>
      </c>
      <c r="AM18" s="83">
        <f>SUM(AM41)*(B95)*11</f>
        <v>4290</v>
      </c>
      <c r="AN18" s="84">
        <f>SUM(AN41)*(B95)*11</f>
        <v>2145</v>
      </c>
      <c r="AO18" s="85">
        <f>SUM(AO41)*(B95)*11</f>
        <v>4290</v>
      </c>
      <c r="AP18" s="94">
        <v>1000</v>
      </c>
      <c r="AQ18" s="90"/>
    </row>
    <row r="19" spans="1:44" ht="18" customHeight="1" thickBot="1" x14ac:dyDescent="0.3">
      <c r="A19" s="576"/>
      <c r="B19" s="310" t="s">
        <v>408</v>
      </c>
      <c r="C19" s="96"/>
      <c r="D19" s="96"/>
      <c r="E19" s="303">
        <f t="shared" ref="E19:AE19" si="3">SUM(E3)*0.0675</f>
        <v>421.20000000000005</v>
      </c>
      <c r="F19" s="97">
        <f t="shared" si="3"/>
        <v>1263.6000000000001</v>
      </c>
      <c r="G19" s="97">
        <f t="shared" si="3"/>
        <v>947.7</v>
      </c>
      <c r="H19" s="97">
        <f t="shared" si="3"/>
        <v>631.80000000000007</v>
      </c>
      <c r="I19" s="97">
        <f t="shared" si="3"/>
        <v>631.80000000000007</v>
      </c>
      <c r="J19" s="97">
        <f t="shared" si="3"/>
        <v>789.75</v>
      </c>
      <c r="K19" s="97">
        <f t="shared" si="3"/>
        <v>126.36000000000001</v>
      </c>
      <c r="L19" s="97">
        <f t="shared" si="3"/>
        <v>947.7</v>
      </c>
      <c r="M19" s="97">
        <f t="shared" si="3"/>
        <v>631.80000000000007</v>
      </c>
      <c r="N19" s="97">
        <f t="shared" si="3"/>
        <v>315.90000000000003</v>
      </c>
      <c r="O19" s="97">
        <f t="shared" si="3"/>
        <v>631.80000000000007</v>
      </c>
      <c r="P19" s="97">
        <f t="shared" si="3"/>
        <v>947.7</v>
      </c>
      <c r="Q19" s="97">
        <f t="shared" si="3"/>
        <v>315.90000000000003</v>
      </c>
      <c r="R19" s="97">
        <f t="shared" si="3"/>
        <v>315.90000000000003</v>
      </c>
      <c r="S19" s="97">
        <f t="shared" si="3"/>
        <v>505.44000000000005</v>
      </c>
      <c r="T19" s="97">
        <f t="shared" si="3"/>
        <v>315.90000000000003</v>
      </c>
      <c r="U19" s="97">
        <f t="shared" si="3"/>
        <v>210.60000000000002</v>
      </c>
      <c r="V19" s="97">
        <f t="shared" si="3"/>
        <v>315.90000000000003</v>
      </c>
      <c r="W19" s="97">
        <f t="shared" si="3"/>
        <v>552.82500000000005</v>
      </c>
      <c r="X19" s="97">
        <f t="shared" si="3"/>
        <v>547.56000000000006</v>
      </c>
      <c r="Y19" s="97">
        <f t="shared" si="3"/>
        <v>842.40000000000009</v>
      </c>
      <c r="Z19" s="97">
        <f t="shared" si="3"/>
        <v>394.875</v>
      </c>
      <c r="AA19" s="97">
        <f t="shared" si="3"/>
        <v>631.80000000000007</v>
      </c>
      <c r="AB19" s="97">
        <f t="shared" si="3"/>
        <v>631.80000000000007</v>
      </c>
      <c r="AC19" s="97">
        <f t="shared" si="3"/>
        <v>884.5200000000001</v>
      </c>
      <c r="AD19" s="97">
        <f t="shared" si="3"/>
        <v>476.55</v>
      </c>
      <c r="AE19" s="97">
        <f t="shared" si="3"/>
        <v>252.72000000000003</v>
      </c>
      <c r="AF19" s="97">
        <f>SUM(AF3)*0.0675</f>
        <v>476.55</v>
      </c>
      <c r="AG19" s="97">
        <f t="shared" ref="AG19:AL19" si="4">SUM(AG3)*0.0675</f>
        <v>236.92500000000001</v>
      </c>
      <c r="AH19" s="97">
        <f t="shared" si="4"/>
        <v>394.875</v>
      </c>
      <c r="AI19" s="97">
        <f t="shared" si="4"/>
        <v>631.80000000000007</v>
      </c>
      <c r="AJ19" s="97">
        <f t="shared" si="4"/>
        <v>2369.25</v>
      </c>
      <c r="AK19" s="97">
        <f t="shared" si="4"/>
        <v>631.80000000000007</v>
      </c>
      <c r="AL19" s="97">
        <f t="shared" si="4"/>
        <v>568.62</v>
      </c>
      <c r="AM19" s="97">
        <f>SUM(AM3)*0.0675</f>
        <v>394.875</v>
      </c>
      <c r="AN19" s="98">
        <f>SUM(AN3)*0.0675</f>
        <v>789.75</v>
      </c>
      <c r="AO19" s="99">
        <f>SUM(AO3)*0.018</f>
        <v>134.352</v>
      </c>
      <c r="AP19" s="86">
        <v>12000</v>
      </c>
      <c r="AQ19" s="90"/>
    </row>
    <row r="20" spans="1:44" ht="16.5" thickBot="1" x14ac:dyDescent="0.3">
      <c r="A20" s="100"/>
      <c r="B20" s="101" t="s">
        <v>303</v>
      </c>
      <c r="C20" s="102"/>
      <c r="D20" s="102"/>
      <c r="E20" s="304">
        <f>F50*12</f>
        <v>0</v>
      </c>
      <c r="F20" s="103">
        <f>F50*12</f>
        <v>0</v>
      </c>
      <c r="G20" s="103">
        <f>F50*12</f>
        <v>0</v>
      </c>
      <c r="H20" s="103">
        <f>F50*12</f>
        <v>0</v>
      </c>
      <c r="I20" s="103">
        <f>F50*12</f>
        <v>0</v>
      </c>
      <c r="J20" s="103">
        <f>F50*12</f>
        <v>0</v>
      </c>
      <c r="K20" s="103">
        <f>F50*12</f>
        <v>0</v>
      </c>
      <c r="L20" s="103">
        <f>F50*12</f>
        <v>0</v>
      </c>
      <c r="M20" s="103">
        <f>F50*12</f>
        <v>0</v>
      </c>
      <c r="N20" s="104">
        <f>F50*12</f>
        <v>0</v>
      </c>
      <c r="O20" s="104">
        <f>F50*12</f>
        <v>0</v>
      </c>
      <c r="P20" s="104">
        <f>F50*12</f>
        <v>0</v>
      </c>
      <c r="Q20" s="104">
        <f>F50*12</f>
        <v>0</v>
      </c>
      <c r="R20" s="104">
        <f>F50*12</f>
        <v>0</v>
      </c>
      <c r="S20" s="104">
        <f>F50*12</f>
        <v>0</v>
      </c>
      <c r="T20" s="104">
        <f>F50*12</f>
        <v>0</v>
      </c>
      <c r="U20" s="104">
        <f>F50*12</f>
        <v>0</v>
      </c>
      <c r="V20" s="104">
        <f>F50*12</f>
        <v>0</v>
      </c>
      <c r="W20" s="104">
        <f>F50*12</f>
        <v>0</v>
      </c>
      <c r="X20" s="104">
        <f>F50*12</f>
        <v>0</v>
      </c>
      <c r="Y20" s="104">
        <f>F50*12</f>
        <v>0</v>
      </c>
      <c r="Z20" s="104">
        <f>F50*12</f>
        <v>0</v>
      </c>
      <c r="AA20" s="104">
        <f>F50*12</f>
        <v>0</v>
      </c>
      <c r="AB20" s="104">
        <f>F50*12</f>
        <v>0</v>
      </c>
      <c r="AC20" s="104">
        <f>F50*12</f>
        <v>0</v>
      </c>
      <c r="AD20" s="104">
        <f>F50*12</f>
        <v>0</v>
      </c>
      <c r="AE20" s="104">
        <f>F50*12</f>
        <v>0</v>
      </c>
      <c r="AF20" s="104">
        <f>F50*12</f>
        <v>0</v>
      </c>
      <c r="AG20" s="104">
        <f>F50*12</f>
        <v>0</v>
      </c>
      <c r="AH20" s="104">
        <f>F50*12</f>
        <v>0</v>
      </c>
      <c r="AI20" s="104">
        <f>F50*12</f>
        <v>0</v>
      </c>
      <c r="AJ20" s="104">
        <f>F50*12</f>
        <v>0</v>
      </c>
      <c r="AK20" s="104">
        <f>F50*12</f>
        <v>0</v>
      </c>
      <c r="AL20" s="104">
        <f>F50*12</f>
        <v>0</v>
      </c>
      <c r="AM20" s="104">
        <f>F50*12</f>
        <v>0</v>
      </c>
      <c r="AN20" s="104">
        <f>F50*12</f>
        <v>0</v>
      </c>
      <c r="AO20" s="105">
        <f>F50*12</f>
        <v>0</v>
      </c>
      <c r="AP20" s="86">
        <v>0</v>
      </c>
      <c r="AQ20" s="90"/>
    </row>
    <row r="21" spans="1:44" ht="16.5" thickBot="1" x14ac:dyDescent="0.3">
      <c r="A21" s="106" t="s">
        <v>304</v>
      </c>
      <c r="B21" s="107"/>
      <c r="C21" s="107"/>
      <c r="D21" s="107"/>
      <c r="E21" s="305">
        <f>SUM(E4:E20)</f>
        <v>13564.627281388888</v>
      </c>
      <c r="F21" s="108">
        <f t="shared" ref="F21:AP21" si="5">SUM(F4:F20)</f>
        <v>20782.362392499999</v>
      </c>
      <c r="G21" s="108">
        <f t="shared" si="5"/>
        <v>16901.862392499999</v>
      </c>
      <c r="H21" s="108">
        <f t="shared" si="5"/>
        <v>16584.364170277779</v>
      </c>
      <c r="I21" s="108">
        <f t="shared" si="5"/>
        <v>16584.364170277779</v>
      </c>
      <c r="J21" s="108">
        <f t="shared" si="5"/>
        <v>16751.272392499999</v>
      </c>
      <c r="K21" s="108">
        <f t="shared" si="5"/>
        <v>14239.78728138889</v>
      </c>
      <c r="L21" s="108">
        <f t="shared" si="5"/>
        <v>16560.287281388886</v>
      </c>
      <c r="M21" s="108">
        <f t="shared" si="5"/>
        <v>15695.807281388887</v>
      </c>
      <c r="N21" s="108">
        <f t="shared" si="5"/>
        <v>17304.064170277779</v>
      </c>
      <c r="O21" s="108">
        <f t="shared" si="5"/>
        <v>17583.588170277773</v>
      </c>
      <c r="P21" s="108">
        <f t="shared" si="5"/>
        <v>18077.584170277776</v>
      </c>
      <c r="Q21" s="108">
        <f t="shared" si="5"/>
        <v>16464.5823925</v>
      </c>
      <c r="R21" s="108">
        <f t="shared" si="5"/>
        <v>18331.782392499998</v>
      </c>
      <c r="S21" s="108">
        <f t="shared" si="5"/>
        <v>16653.764170277776</v>
      </c>
      <c r="T21" s="108">
        <f t="shared" si="5"/>
        <v>16790.584170277776</v>
      </c>
      <c r="U21" s="108">
        <f t="shared" si="5"/>
        <v>15557.664170277776</v>
      </c>
      <c r="V21" s="108">
        <f t="shared" si="5"/>
        <v>17302.45817027778</v>
      </c>
      <c r="W21" s="108">
        <f t="shared" si="5"/>
        <v>19140.409170277777</v>
      </c>
      <c r="X21" s="108">
        <f t="shared" si="5"/>
        <v>20555.921059166667</v>
      </c>
      <c r="Y21" s="108">
        <f t="shared" si="5"/>
        <v>21619.568170277777</v>
      </c>
      <c r="Z21" s="108">
        <f t="shared" si="5"/>
        <v>13031.369170277778</v>
      </c>
      <c r="AA21" s="108">
        <f t="shared" si="5"/>
        <v>15132.234170277778</v>
      </c>
      <c r="AB21" s="108">
        <f t="shared" si="5"/>
        <v>14282.514170277776</v>
      </c>
      <c r="AC21" s="108">
        <f t="shared" si="5"/>
        <v>14797.314170277778</v>
      </c>
      <c r="AD21" s="108">
        <f t="shared" si="5"/>
        <v>13966.264170277776</v>
      </c>
      <c r="AE21" s="108">
        <f t="shared" si="5"/>
        <v>12757.918170277777</v>
      </c>
      <c r="AF21" s="108">
        <f t="shared" si="5"/>
        <v>17281.264170277776</v>
      </c>
      <c r="AG21" s="108">
        <f t="shared" si="5"/>
        <v>11439.897392500001</v>
      </c>
      <c r="AH21" s="108">
        <f t="shared" si="5"/>
        <v>11761.647392500001</v>
      </c>
      <c r="AI21" s="108">
        <f t="shared" si="5"/>
        <v>12244.272392500001</v>
      </c>
      <c r="AJ21" s="108">
        <f t="shared" si="5"/>
        <v>17479.5623925</v>
      </c>
      <c r="AK21" s="108">
        <f t="shared" si="5"/>
        <v>13940.3123925</v>
      </c>
      <c r="AL21" s="108">
        <f t="shared" si="5"/>
        <v>13811.612392500001</v>
      </c>
      <c r="AM21" s="108">
        <f t="shared" si="5"/>
        <v>16772.6873925</v>
      </c>
      <c r="AN21" s="108">
        <f t="shared" si="5"/>
        <v>12566.022392500001</v>
      </c>
      <c r="AO21" s="109">
        <f t="shared" si="5"/>
        <v>22679.015842777775</v>
      </c>
      <c r="AP21" s="110">
        <f t="shared" si="5"/>
        <v>147493.1805642143</v>
      </c>
      <c r="AQ21" s="111"/>
    </row>
    <row r="22" spans="1:44" ht="16.5" thickBot="1" x14ac:dyDescent="0.3">
      <c r="A22" s="112" t="s">
        <v>305</v>
      </c>
      <c r="B22" s="113"/>
      <c r="C22" s="113"/>
      <c r="D22" s="113"/>
      <c r="E22" s="114">
        <f t="shared" ref="E22:AP22" si="6">SUM(E21)/(E3)</f>
        <v>2.1738184745815525</v>
      </c>
      <c r="F22" s="114">
        <f t="shared" si="6"/>
        <v>1.1101689312232905</v>
      </c>
      <c r="G22" s="114">
        <f t="shared" si="6"/>
        <v>1.2038363527421652</v>
      </c>
      <c r="H22" s="114">
        <f t="shared" si="6"/>
        <v>1.7718337788758312</v>
      </c>
      <c r="I22" s="114">
        <f t="shared" si="6"/>
        <v>1.7718337788758312</v>
      </c>
      <c r="J22" s="114">
        <f t="shared" si="6"/>
        <v>1.431732683119658</v>
      </c>
      <c r="K22" s="114">
        <f t="shared" si="6"/>
        <v>7.6067239751009028</v>
      </c>
      <c r="L22" s="114">
        <f t="shared" si="6"/>
        <v>1.1795076411245646</v>
      </c>
      <c r="M22" s="114">
        <f t="shared" si="6"/>
        <v>1.6769024873278724</v>
      </c>
      <c r="N22" s="114">
        <f t="shared" si="6"/>
        <v>3.6974496090337134</v>
      </c>
      <c r="O22" s="114">
        <f t="shared" si="6"/>
        <v>1.8785884797305314</v>
      </c>
      <c r="P22" s="114">
        <f t="shared" si="6"/>
        <v>1.2875772201052547</v>
      </c>
      <c r="Q22" s="114">
        <f t="shared" si="6"/>
        <v>3.5180731607905984</v>
      </c>
      <c r="R22" s="114">
        <f t="shared" si="6"/>
        <v>3.9170475197649566</v>
      </c>
      <c r="S22" s="114">
        <f t="shared" si="6"/>
        <v>2.2240603859879511</v>
      </c>
      <c r="T22" s="114">
        <f t="shared" si="6"/>
        <v>3.5877316603157641</v>
      </c>
      <c r="U22" s="114">
        <f t="shared" si="6"/>
        <v>4.9864308238069794</v>
      </c>
      <c r="V22" s="114">
        <f t="shared" si="6"/>
        <v>3.697106446640551</v>
      </c>
      <c r="W22" s="114">
        <f t="shared" si="6"/>
        <v>2.3370462967372134</v>
      </c>
      <c r="X22" s="114">
        <f t="shared" si="6"/>
        <v>2.5340139372739974</v>
      </c>
      <c r="Y22" s="114">
        <f t="shared" si="6"/>
        <v>1.7323371931312321</v>
      </c>
      <c r="Z22" s="114">
        <f t="shared" si="6"/>
        <v>2.2275844735517567</v>
      </c>
      <c r="AA22" s="114">
        <f t="shared" si="6"/>
        <v>1.6166916848587369</v>
      </c>
      <c r="AB22" s="114">
        <f t="shared" si="6"/>
        <v>1.5259096335766855</v>
      </c>
      <c r="AC22" s="114">
        <f t="shared" si="6"/>
        <v>1.1292211668404897</v>
      </c>
      <c r="AD22" s="114">
        <f t="shared" si="6"/>
        <v>1.9782243867248974</v>
      </c>
      <c r="AE22" s="114">
        <f t="shared" si="6"/>
        <v>3.4075636138562437</v>
      </c>
      <c r="AF22" s="114">
        <f t="shared" si="6"/>
        <v>2.4477711289345292</v>
      </c>
      <c r="AG22" s="114">
        <f t="shared" si="6"/>
        <v>3.2592300263532765</v>
      </c>
      <c r="AH22" s="114">
        <f t="shared" si="6"/>
        <v>2.0105380158119659</v>
      </c>
      <c r="AI22" s="114">
        <f t="shared" si="6"/>
        <v>1.3081487598824788</v>
      </c>
      <c r="AJ22" s="114">
        <f t="shared" si="6"/>
        <v>0.49799323055555555</v>
      </c>
      <c r="AK22" s="114">
        <f t="shared" si="6"/>
        <v>1.4893496145833334</v>
      </c>
      <c r="AL22" s="114">
        <f t="shared" si="6"/>
        <v>1.639555127314815</v>
      </c>
      <c r="AM22" s="114">
        <f t="shared" si="6"/>
        <v>2.86712605</v>
      </c>
      <c r="AN22" s="115">
        <f t="shared" si="6"/>
        <v>1.074019007905983</v>
      </c>
      <c r="AO22" s="116">
        <f t="shared" si="6"/>
        <v>3.038453355141717</v>
      </c>
      <c r="AP22" s="117">
        <f t="shared" si="6"/>
        <v>7.4763372143255422</v>
      </c>
      <c r="AQ22" s="111"/>
    </row>
    <row r="23" spans="1:44" ht="16.5" thickBot="1" x14ac:dyDescent="0.3">
      <c r="A23" s="118"/>
      <c r="B23" s="119"/>
      <c r="C23" s="119"/>
      <c r="D23" s="119"/>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1"/>
      <c r="AP23" s="122"/>
      <c r="AQ23" s="111"/>
    </row>
    <row r="24" spans="1:44" ht="30" x14ac:dyDescent="0.25">
      <c r="A24" s="123" t="s">
        <v>306</v>
      </c>
      <c r="B24" s="124"/>
      <c r="C24" s="124"/>
      <c r="D24" s="124"/>
      <c r="E24" s="125">
        <v>7.21</v>
      </c>
      <c r="F24" s="125">
        <v>4.125</v>
      </c>
      <c r="G24" s="125">
        <v>13.65</v>
      </c>
      <c r="H24" s="125">
        <v>15.55</v>
      </c>
      <c r="I24" s="125">
        <v>12</v>
      </c>
      <c r="J24" s="125">
        <v>12</v>
      </c>
      <c r="K24" s="125">
        <v>14.75</v>
      </c>
      <c r="L24" s="125">
        <v>16.75</v>
      </c>
      <c r="M24" s="125">
        <v>13.85</v>
      </c>
      <c r="N24" s="125">
        <v>14.05</v>
      </c>
      <c r="O24" s="125">
        <v>16</v>
      </c>
      <c r="P24" s="125">
        <v>16</v>
      </c>
      <c r="Q24" s="125">
        <v>15</v>
      </c>
      <c r="R24" s="125">
        <v>15</v>
      </c>
      <c r="S24" s="125">
        <v>15</v>
      </c>
      <c r="T24" s="125">
        <v>37.25</v>
      </c>
      <c r="U24" s="125">
        <v>16.350000000000001</v>
      </c>
      <c r="V24" s="125">
        <v>4</v>
      </c>
      <c r="W24" s="125">
        <v>7</v>
      </c>
      <c r="X24" s="125">
        <v>8</v>
      </c>
      <c r="Y24" s="125">
        <v>7</v>
      </c>
      <c r="Z24" s="125">
        <v>4</v>
      </c>
      <c r="AA24" s="125">
        <v>2.44</v>
      </c>
      <c r="AB24" s="125">
        <v>5.14</v>
      </c>
      <c r="AC24" s="125">
        <v>5.14</v>
      </c>
      <c r="AD24" s="125">
        <v>5.14</v>
      </c>
      <c r="AE24" s="125">
        <v>7</v>
      </c>
      <c r="AF24" s="125">
        <v>7</v>
      </c>
      <c r="AG24" s="125">
        <v>6.33</v>
      </c>
      <c r="AH24" s="125">
        <v>6.33</v>
      </c>
      <c r="AI24" s="125">
        <v>6.33</v>
      </c>
      <c r="AJ24" s="125">
        <v>2.5</v>
      </c>
      <c r="AK24" s="125">
        <v>2.5</v>
      </c>
      <c r="AL24" s="125">
        <v>6.33</v>
      </c>
      <c r="AM24" s="125">
        <v>7</v>
      </c>
      <c r="AN24" s="125">
        <v>6.33</v>
      </c>
      <c r="AO24" s="125">
        <v>4.5</v>
      </c>
      <c r="AP24" s="126">
        <v>18</v>
      </c>
      <c r="AQ24" s="111"/>
      <c r="AR24" s="308" t="s">
        <v>403</v>
      </c>
    </row>
    <row r="25" spans="1:44" ht="15.75" x14ac:dyDescent="0.25">
      <c r="A25" s="123" t="s">
        <v>499</v>
      </c>
      <c r="B25" s="124"/>
      <c r="C25" s="124"/>
      <c r="D25" s="124"/>
      <c r="E25" s="346">
        <v>0.9</v>
      </c>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6"/>
      <c r="AQ25" s="111"/>
      <c r="AR25" s="308" t="s">
        <v>500</v>
      </c>
    </row>
    <row r="26" spans="1:44" ht="15.75" x14ac:dyDescent="0.25">
      <c r="A26" s="127" t="s">
        <v>307</v>
      </c>
      <c r="B26" s="124"/>
      <c r="C26" s="124"/>
      <c r="D26" s="124"/>
      <c r="E26" s="300">
        <f>E24*E3*E25</f>
        <v>40491.360000000001</v>
      </c>
      <c r="F26" s="125">
        <f t="shared" ref="F26:AP26" si="7">F24*F3</f>
        <v>77220</v>
      </c>
      <c r="G26" s="125">
        <f t="shared" si="7"/>
        <v>191646</v>
      </c>
      <c r="H26" s="125">
        <f t="shared" si="7"/>
        <v>145548</v>
      </c>
      <c r="I26" s="125">
        <f t="shared" si="7"/>
        <v>112320</v>
      </c>
      <c r="J26" s="125">
        <f t="shared" si="7"/>
        <v>140400</v>
      </c>
      <c r="K26" s="125">
        <f t="shared" si="7"/>
        <v>27612</v>
      </c>
      <c r="L26" s="125">
        <f t="shared" si="7"/>
        <v>235170</v>
      </c>
      <c r="M26" s="125">
        <f t="shared" si="7"/>
        <v>129636</v>
      </c>
      <c r="N26" s="125">
        <f t="shared" si="7"/>
        <v>65754</v>
      </c>
      <c r="O26" s="125">
        <f t="shared" si="7"/>
        <v>149760</v>
      </c>
      <c r="P26" s="125">
        <f t="shared" si="7"/>
        <v>224640</v>
      </c>
      <c r="Q26" s="125">
        <f t="shared" si="7"/>
        <v>70200</v>
      </c>
      <c r="R26" s="125">
        <f t="shared" si="7"/>
        <v>70200</v>
      </c>
      <c r="S26" s="125">
        <f t="shared" si="7"/>
        <v>112320</v>
      </c>
      <c r="T26" s="125">
        <f t="shared" si="7"/>
        <v>174330</v>
      </c>
      <c r="U26" s="125">
        <f t="shared" si="7"/>
        <v>51012.000000000007</v>
      </c>
      <c r="V26" s="125">
        <f t="shared" si="7"/>
        <v>18720</v>
      </c>
      <c r="W26" s="125">
        <f t="shared" si="7"/>
        <v>57330</v>
      </c>
      <c r="X26" s="125">
        <f t="shared" si="7"/>
        <v>64896</v>
      </c>
      <c r="Y26" s="125">
        <f t="shared" si="7"/>
        <v>87360</v>
      </c>
      <c r="Z26" s="125">
        <f t="shared" si="7"/>
        <v>23400</v>
      </c>
      <c r="AA26" s="125">
        <f t="shared" si="7"/>
        <v>22838.399999999998</v>
      </c>
      <c r="AB26" s="125">
        <f t="shared" si="7"/>
        <v>48110.399999999994</v>
      </c>
      <c r="AC26" s="125">
        <f t="shared" si="7"/>
        <v>67354.559999999998</v>
      </c>
      <c r="AD26" s="125">
        <f t="shared" si="7"/>
        <v>36288.399999999994</v>
      </c>
      <c r="AE26" s="125">
        <f t="shared" si="7"/>
        <v>26208</v>
      </c>
      <c r="AF26" s="125">
        <f t="shared" si="7"/>
        <v>49420</v>
      </c>
      <c r="AG26" s="125">
        <f t="shared" si="7"/>
        <v>22218.3</v>
      </c>
      <c r="AH26" s="125">
        <f t="shared" si="7"/>
        <v>37030.5</v>
      </c>
      <c r="AI26" s="125">
        <f t="shared" si="7"/>
        <v>59248.800000000003</v>
      </c>
      <c r="AJ26" s="125">
        <f t="shared" si="7"/>
        <v>87750</v>
      </c>
      <c r="AK26" s="125">
        <f t="shared" si="7"/>
        <v>23400</v>
      </c>
      <c r="AL26" s="125">
        <f t="shared" si="7"/>
        <v>53323.92</v>
      </c>
      <c r="AM26" s="125">
        <f t="shared" si="7"/>
        <v>40950</v>
      </c>
      <c r="AN26" s="125">
        <f t="shared" si="7"/>
        <v>74061</v>
      </c>
      <c r="AO26" s="125">
        <f t="shared" si="7"/>
        <v>33588</v>
      </c>
      <c r="AP26" s="125">
        <f t="shared" si="7"/>
        <v>355104</v>
      </c>
      <c r="AQ26" s="120"/>
    </row>
    <row r="27" spans="1:44" ht="15.75" x14ac:dyDescent="0.25">
      <c r="A27" s="127" t="s">
        <v>105</v>
      </c>
      <c r="B27" s="124"/>
      <c r="C27" s="124"/>
      <c r="D27" s="124"/>
      <c r="E27" s="300">
        <f t="shared" ref="E27:AP27" si="8">E26-(E22*E3)</f>
        <v>26926.732718611114</v>
      </c>
      <c r="F27" s="125">
        <f t="shared" si="8"/>
        <v>56437.637607500001</v>
      </c>
      <c r="G27" s="125">
        <f t="shared" si="8"/>
        <v>174744.13760750002</v>
      </c>
      <c r="H27" s="125">
        <f t="shared" si="8"/>
        <v>128963.63582972222</v>
      </c>
      <c r="I27" s="125">
        <f t="shared" si="8"/>
        <v>95735.635829722218</v>
      </c>
      <c r="J27" s="125">
        <f t="shared" si="8"/>
        <v>123648.7276075</v>
      </c>
      <c r="K27" s="125">
        <f t="shared" si="8"/>
        <v>13372.21271861111</v>
      </c>
      <c r="L27" s="125">
        <f t="shared" si="8"/>
        <v>218609.71271861112</v>
      </c>
      <c r="M27" s="125">
        <f t="shared" si="8"/>
        <v>113940.19271861111</v>
      </c>
      <c r="N27" s="125">
        <f t="shared" si="8"/>
        <v>48449.935829722221</v>
      </c>
      <c r="O27" s="125">
        <f t="shared" si="8"/>
        <v>132176.41182972223</v>
      </c>
      <c r="P27" s="125">
        <f t="shared" si="8"/>
        <v>206562.41582972222</v>
      </c>
      <c r="Q27" s="125">
        <f t="shared" si="8"/>
        <v>53735.4176075</v>
      </c>
      <c r="R27" s="125">
        <f t="shared" si="8"/>
        <v>51868.217607500002</v>
      </c>
      <c r="S27" s="125">
        <f t="shared" si="8"/>
        <v>95666.235829722224</v>
      </c>
      <c r="T27" s="125">
        <f t="shared" si="8"/>
        <v>157539.41582972222</v>
      </c>
      <c r="U27" s="125">
        <f t="shared" si="8"/>
        <v>35454.335829722229</v>
      </c>
      <c r="V27" s="125">
        <f t="shared" si="8"/>
        <v>1417.5418297222204</v>
      </c>
      <c r="W27" s="125">
        <f t="shared" si="8"/>
        <v>38189.590829722219</v>
      </c>
      <c r="X27" s="125">
        <f t="shared" si="8"/>
        <v>44340.078940833337</v>
      </c>
      <c r="Y27" s="125">
        <f t="shared" si="8"/>
        <v>65740.43182972222</v>
      </c>
      <c r="Z27" s="125">
        <f t="shared" si="8"/>
        <v>10368.630829722224</v>
      </c>
      <c r="AA27" s="125">
        <f t="shared" si="8"/>
        <v>7706.1658297222202</v>
      </c>
      <c r="AB27" s="125">
        <f t="shared" si="8"/>
        <v>33827.885829722218</v>
      </c>
      <c r="AC27" s="125">
        <f t="shared" si="8"/>
        <v>52557.245829722218</v>
      </c>
      <c r="AD27" s="125">
        <f t="shared" si="8"/>
        <v>22322.135829722218</v>
      </c>
      <c r="AE27" s="125">
        <f t="shared" si="8"/>
        <v>13450.081829722223</v>
      </c>
      <c r="AF27" s="125">
        <f t="shared" si="8"/>
        <v>32138.735829722224</v>
      </c>
      <c r="AG27" s="125">
        <f t="shared" si="8"/>
        <v>10778.402607499998</v>
      </c>
      <c r="AH27" s="125">
        <f t="shared" si="8"/>
        <v>25268.852607499997</v>
      </c>
      <c r="AI27" s="125">
        <f t="shared" si="8"/>
        <v>47004.5276075</v>
      </c>
      <c r="AJ27" s="125">
        <f t="shared" si="8"/>
        <v>70270.437607500004</v>
      </c>
      <c r="AK27" s="125">
        <f t="shared" si="8"/>
        <v>9459.6876075</v>
      </c>
      <c r="AL27" s="125">
        <f t="shared" si="8"/>
        <v>39512.307607499999</v>
      </c>
      <c r="AM27" s="125">
        <f t="shared" si="8"/>
        <v>24177.3126075</v>
      </c>
      <c r="AN27" s="125">
        <f t="shared" si="8"/>
        <v>61494.977607499997</v>
      </c>
      <c r="AO27" s="125">
        <f t="shared" si="8"/>
        <v>10908.984157222225</v>
      </c>
      <c r="AP27" s="125">
        <f t="shared" si="8"/>
        <v>207610.8194357857</v>
      </c>
      <c r="AQ27" s="120"/>
    </row>
    <row r="28" spans="1:44" ht="15.75" x14ac:dyDescent="0.25">
      <c r="A28" s="127" t="s">
        <v>308</v>
      </c>
      <c r="B28" s="124"/>
      <c r="C28" s="124"/>
      <c r="D28" s="124"/>
      <c r="E28" s="128">
        <f t="shared" ref="E28:AP28" si="9">E27/E26</f>
        <v>0.66499946454283365</v>
      </c>
      <c r="F28" s="128">
        <f t="shared" si="9"/>
        <v>0.73086813788526295</v>
      </c>
      <c r="G28" s="128">
        <f t="shared" si="9"/>
        <v>0.91180686060496963</v>
      </c>
      <c r="H28" s="128">
        <f t="shared" si="9"/>
        <v>0.88605570553853175</v>
      </c>
      <c r="I28" s="128">
        <f t="shared" si="9"/>
        <v>0.85234718509368068</v>
      </c>
      <c r="J28" s="128">
        <f t="shared" si="9"/>
        <v>0.88068894307336176</v>
      </c>
      <c r="K28" s="128">
        <f t="shared" si="9"/>
        <v>0.48428989999315913</v>
      </c>
      <c r="L28" s="128">
        <f t="shared" si="9"/>
        <v>0.92958163336569766</v>
      </c>
      <c r="M28" s="128">
        <f t="shared" si="9"/>
        <v>0.87892400813517169</v>
      </c>
      <c r="N28" s="128">
        <f t="shared" si="9"/>
        <v>0.73683632675916633</v>
      </c>
      <c r="O28" s="128">
        <f t="shared" si="9"/>
        <v>0.88258822001684178</v>
      </c>
      <c r="P28" s="128">
        <f t="shared" si="9"/>
        <v>0.91952642374342153</v>
      </c>
      <c r="Q28" s="128">
        <f t="shared" si="9"/>
        <v>0.7654617892806268</v>
      </c>
      <c r="R28" s="128">
        <f t="shared" si="9"/>
        <v>0.73886349868233625</v>
      </c>
      <c r="S28" s="128">
        <f t="shared" si="9"/>
        <v>0.85172930760080323</v>
      </c>
      <c r="T28" s="128">
        <f t="shared" si="9"/>
        <v>0.90368505609890559</v>
      </c>
      <c r="U28" s="128">
        <f t="shared" si="9"/>
        <v>0.69501952147969548</v>
      </c>
      <c r="V28" s="128">
        <f t="shared" si="9"/>
        <v>7.5723388339862197E-2</v>
      </c>
      <c r="W28" s="128">
        <f t="shared" si="9"/>
        <v>0.66613624332325516</v>
      </c>
      <c r="X28" s="128">
        <f t="shared" si="9"/>
        <v>0.68324825784075038</v>
      </c>
      <c r="Y28" s="128">
        <f t="shared" si="9"/>
        <v>0.7525232581241097</v>
      </c>
      <c r="Z28" s="128">
        <f t="shared" si="9"/>
        <v>0.44310388161206088</v>
      </c>
      <c r="AA28" s="128">
        <f t="shared" si="9"/>
        <v>0.33742144063166513</v>
      </c>
      <c r="AB28" s="128">
        <f t="shared" si="9"/>
        <v>0.70313042148313509</v>
      </c>
      <c r="AC28" s="128">
        <f t="shared" si="9"/>
        <v>0.78030716598434047</v>
      </c>
      <c r="AD28" s="128">
        <f t="shared" si="9"/>
        <v>0.61513144227142069</v>
      </c>
      <c r="AE28" s="128">
        <f t="shared" si="9"/>
        <v>0.51320519802053655</v>
      </c>
      <c r="AF28" s="128">
        <f t="shared" si="9"/>
        <v>0.65031841015221015</v>
      </c>
      <c r="AG28" s="128">
        <f t="shared" si="9"/>
        <v>0.48511373991259449</v>
      </c>
      <c r="AH28" s="128">
        <f t="shared" si="9"/>
        <v>0.6823794603772565</v>
      </c>
      <c r="AI28" s="128">
        <f t="shared" si="9"/>
        <v>0.79334142813862896</v>
      </c>
      <c r="AJ28" s="128">
        <f t="shared" si="9"/>
        <v>0.80080270777777784</v>
      </c>
      <c r="AK28" s="128">
        <f t="shared" si="9"/>
        <v>0.40426015416666666</v>
      </c>
      <c r="AL28" s="128">
        <f t="shared" si="9"/>
        <v>0.74098655176701189</v>
      </c>
      <c r="AM28" s="128">
        <f t="shared" si="9"/>
        <v>0.59041056428571426</v>
      </c>
      <c r="AN28" s="128">
        <f t="shared" si="9"/>
        <v>0.83032875072575307</v>
      </c>
      <c r="AO28" s="128">
        <f t="shared" si="9"/>
        <v>0.32478814330184069</v>
      </c>
      <c r="AP28" s="128">
        <f t="shared" si="9"/>
        <v>0.58464793253746983</v>
      </c>
      <c r="AQ28" s="129"/>
    </row>
    <row r="29" spans="1:44" ht="15.75" x14ac:dyDescent="0.25">
      <c r="A29" s="118"/>
      <c r="B29" s="119"/>
      <c r="C29" s="119"/>
      <c r="D29" s="119"/>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row>
    <row r="30" spans="1:44" ht="15.75" x14ac:dyDescent="0.25">
      <c r="A30" s="127" t="s">
        <v>309</v>
      </c>
      <c r="B30" s="124"/>
      <c r="C30" s="124"/>
      <c r="D30" s="124"/>
      <c r="E30" s="125">
        <v>7.21</v>
      </c>
      <c r="F30" s="125">
        <v>0.83</v>
      </c>
      <c r="G30" s="125">
        <v>13.65</v>
      </c>
      <c r="H30" s="125">
        <v>15.55</v>
      </c>
      <c r="I30" s="125">
        <v>12</v>
      </c>
      <c r="J30" s="125">
        <v>12</v>
      </c>
      <c r="K30" s="125">
        <v>14.75</v>
      </c>
      <c r="L30" s="125">
        <v>16.75</v>
      </c>
      <c r="M30" s="125">
        <v>13.85</v>
      </c>
      <c r="N30" s="125">
        <v>14.05</v>
      </c>
      <c r="O30" s="125">
        <v>16</v>
      </c>
      <c r="P30" s="125">
        <v>16</v>
      </c>
      <c r="Q30" s="125">
        <v>15</v>
      </c>
      <c r="R30" s="125">
        <v>15</v>
      </c>
      <c r="S30" s="125">
        <v>15</v>
      </c>
      <c r="T30" s="125">
        <v>37.25</v>
      </c>
      <c r="U30" s="125">
        <v>16.350000000000001</v>
      </c>
      <c r="V30" s="125">
        <v>2.77</v>
      </c>
      <c r="W30" s="125">
        <v>4.76</v>
      </c>
      <c r="X30" s="125">
        <v>5</v>
      </c>
      <c r="Y30" s="125">
        <v>2.66</v>
      </c>
      <c r="Z30" s="125">
        <v>2.9</v>
      </c>
      <c r="AA30" s="125">
        <v>2.6</v>
      </c>
      <c r="AB30" s="125">
        <v>3</v>
      </c>
      <c r="AC30" s="125">
        <v>2.57</v>
      </c>
      <c r="AD30" s="125">
        <v>2.57</v>
      </c>
      <c r="AE30" s="125">
        <v>5.25</v>
      </c>
      <c r="AF30" s="125">
        <v>5.25</v>
      </c>
      <c r="AG30" s="125">
        <v>2.9</v>
      </c>
      <c r="AH30" s="125">
        <v>2.9</v>
      </c>
      <c r="AI30" s="125">
        <v>2.9</v>
      </c>
      <c r="AJ30" s="125">
        <v>2.5</v>
      </c>
      <c r="AK30" s="125">
        <v>2.5</v>
      </c>
      <c r="AL30" s="125">
        <v>2.95</v>
      </c>
      <c r="AM30" s="125">
        <v>3.61</v>
      </c>
      <c r="AN30" s="125">
        <v>2.9</v>
      </c>
      <c r="AO30" s="125">
        <v>1.34</v>
      </c>
      <c r="AP30" s="130">
        <v>12</v>
      </c>
      <c r="AQ30" s="120"/>
    </row>
    <row r="31" spans="1:44" ht="15.75" x14ac:dyDescent="0.25">
      <c r="A31" s="127" t="s">
        <v>310</v>
      </c>
      <c r="B31" s="124"/>
      <c r="C31" s="124"/>
      <c r="D31" s="124"/>
      <c r="E31" s="300">
        <f>E30*E3*E25</f>
        <v>40491.360000000001</v>
      </c>
      <c r="F31" s="125">
        <f t="shared" ref="F31:AP31" si="10">F30*F3</f>
        <v>15537.599999999999</v>
      </c>
      <c r="G31" s="125">
        <f t="shared" si="10"/>
        <v>191646</v>
      </c>
      <c r="H31" s="125">
        <f t="shared" si="10"/>
        <v>145548</v>
      </c>
      <c r="I31" s="125">
        <f t="shared" si="10"/>
        <v>112320</v>
      </c>
      <c r="J31" s="125">
        <f t="shared" si="10"/>
        <v>140400</v>
      </c>
      <c r="K31" s="125">
        <f t="shared" si="10"/>
        <v>27612</v>
      </c>
      <c r="L31" s="125">
        <f t="shared" si="10"/>
        <v>235170</v>
      </c>
      <c r="M31" s="125">
        <f t="shared" si="10"/>
        <v>129636</v>
      </c>
      <c r="N31" s="125">
        <f t="shared" si="10"/>
        <v>65754</v>
      </c>
      <c r="O31" s="125">
        <f t="shared" si="10"/>
        <v>149760</v>
      </c>
      <c r="P31" s="125">
        <f t="shared" si="10"/>
        <v>224640</v>
      </c>
      <c r="Q31" s="125">
        <f t="shared" si="10"/>
        <v>70200</v>
      </c>
      <c r="R31" s="125">
        <f t="shared" si="10"/>
        <v>70200</v>
      </c>
      <c r="S31" s="125">
        <f t="shared" si="10"/>
        <v>112320</v>
      </c>
      <c r="T31" s="125">
        <f t="shared" si="10"/>
        <v>174330</v>
      </c>
      <c r="U31" s="125">
        <f t="shared" si="10"/>
        <v>51012.000000000007</v>
      </c>
      <c r="V31" s="125">
        <f t="shared" si="10"/>
        <v>12963.6</v>
      </c>
      <c r="W31" s="125">
        <f t="shared" si="10"/>
        <v>38984.400000000001</v>
      </c>
      <c r="X31" s="125">
        <f t="shared" si="10"/>
        <v>40560</v>
      </c>
      <c r="Y31" s="125">
        <f t="shared" si="10"/>
        <v>33196.800000000003</v>
      </c>
      <c r="Z31" s="125">
        <f t="shared" si="10"/>
        <v>16965</v>
      </c>
      <c r="AA31" s="125">
        <f t="shared" si="10"/>
        <v>24336</v>
      </c>
      <c r="AB31" s="125">
        <f t="shared" si="10"/>
        <v>28080</v>
      </c>
      <c r="AC31" s="125">
        <f t="shared" si="10"/>
        <v>33677.279999999999</v>
      </c>
      <c r="AD31" s="125">
        <f t="shared" si="10"/>
        <v>18144.199999999997</v>
      </c>
      <c r="AE31" s="125">
        <f t="shared" si="10"/>
        <v>19656</v>
      </c>
      <c r="AF31" s="125">
        <f t="shared" si="10"/>
        <v>37065</v>
      </c>
      <c r="AG31" s="125">
        <f t="shared" si="10"/>
        <v>10179</v>
      </c>
      <c r="AH31" s="125">
        <f t="shared" si="10"/>
        <v>16965</v>
      </c>
      <c r="AI31" s="125">
        <f t="shared" si="10"/>
        <v>27144</v>
      </c>
      <c r="AJ31" s="125">
        <f t="shared" si="10"/>
        <v>87750</v>
      </c>
      <c r="AK31" s="125">
        <f t="shared" si="10"/>
        <v>23400</v>
      </c>
      <c r="AL31" s="125">
        <f t="shared" si="10"/>
        <v>24850.800000000003</v>
      </c>
      <c r="AM31" s="125">
        <f t="shared" si="10"/>
        <v>21118.5</v>
      </c>
      <c r="AN31" s="125">
        <f t="shared" si="10"/>
        <v>33930</v>
      </c>
      <c r="AO31" s="125">
        <f t="shared" si="10"/>
        <v>10001.76</v>
      </c>
      <c r="AP31" s="125">
        <f t="shared" si="10"/>
        <v>236736</v>
      </c>
      <c r="AQ31" s="120"/>
    </row>
    <row r="32" spans="1:44" ht="15.75" x14ac:dyDescent="0.25">
      <c r="A32" s="127" t="s">
        <v>105</v>
      </c>
      <c r="B32" s="124"/>
      <c r="C32" s="124"/>
      <c r="D32" s="124"/>
      <c r="E32" s="300">
        <f t="shared" ref="E32:AP32" si="11">E31-(E22*E3)</f>
        <v>26926.732718611114</v>
      </c>
      <c r="F32" s="125">
        <f t="shared" si="11"/>
        <v>-5244.7623925000007</v>
      </c>
      <c r="G32" s="125">
        <f t="shared" si="11"/>
        <v>174744.13760750002</v>
      </c>
      <c r="H32" s="125">
        <f t="shared" si="11"/>
        <v>128963.63582972222</v>
      </c>
      <c r="I32" s="125">
        <f t="shared" si="11"/>
        <v>95735.635829722218</v>
      </c>
      <c r="J32" s="125">
        <f t="shared" si="11"/>
        <v>123648.7276075</v>
      </c>
      <c r="K32" s="125">
        <f t="shared" si="11"/>
        <v>13372.21271861111</v>
      </c>
      <c r="L32" s="125">
        <f t="shared" si="11"/>
        <v>218609.71271861112</v>
      </c>
      <c r="M32" s="125">
        <f t="shared" si="11"/>
        <v>113940.19271861111</v>
      </c>
      <c r="N32" s="125">
        <f t="shared" si="11"/>
        <v>48449.935829722221</v>
      </c>
      <c r="O32" s="125">
        <f t="shared" si="11"/>
        <v>132176.41182972223</v>
      </c>
      <c r="P32" s="125">
        <f t="shared" si="11"/>
        <v>206562.41582972222</v>
      </c>
      <c r="Q32" s="125">
        <f t="shared" si="11"/>
        <v>53735.4176075</v>
      </c>
      <c r="R32" s="125">
        <f t="shared" si="11"/>
        <v>51868.217607500002</v>
      </c>
      <c r="S32" s="125">
        <f t="shared" si="11"/>
        <v>95666.235829722224</v>
      </c>
      <c r="T32" s="125">
        <f t="shared" si="11"/>
        <v>157539.41582972222</v>
      </c>
      <c r="U32" s="125">
        <f t="shared" si="11"/>
        <v>35454.335829722229</v>
      </c>
      <c r="V32" s="125">
        <f t="shared" si="11"/>
        <v>-4338.8581702777792</v>
      </c>
      <c r="W32" s="125">
        <f t="shared" si="11"/>
        <v>19843.990829722225</v>
      </c>
      <c r="X32" s="125">
        <f t="shared" si="11"/>
        <v>20004.078940833333</v>
      </c>
      <c r="Y32" s="125">
        <f t="shared" si="11"/>
        <v>11577.231829722226</v>
      </c>
      <c r="Z32" s="125">
        <f t="shared" si="11"/>
        <v>3933.630829722224</v>
      </c>
      <c r="AA32" s="125">
        <f t="shared" si="11"/>
        <v>9203.7658297222224</v>
      </c>
      <c r="AB32" s="125">
        <f t="shared" si="11"/>
        <v>13797.485829722224</v>
      </c>
      <c r="AC32" s="125">
        <f t="shared" si="11"/>
        <v>18879.965829722219</v>
      </c>
      <c r="AD32" s="125">
        <f t="shared" si="11"/>
        <v>4177.9358297222207</v>
      </c>
      <c r="AE32" s="125">
        <f t="shared" si="11"/>
        <v>6898.0818297222231</v>
      </c>
      <c r="AF32" s="125">
        <f t="shared" si="11"/>
        <v>19783.735829722224</v>
      </c>
      <c r="AG32" s="125">
        <f t="shared" si="11"/>
        <v>-1260.8973925000009</v>
      </c>
      <c r="AH32" s="125">
        <f t="shared" si="11"/>
        <v>5203.3526074999991</v>
      </c>
      <c r="AI32" s="125">
        <f t="shared" si="11"/>
        <v>14899.727607499999</v>
      </c>
      <c r="AJ32" s="125">
        <f t="shared" si="11"/>
        <v>70270.437607500004</v>
      </c>
      <c r="AK32" s="125">
        <f t="shared" si="11"/>
        <v>9459.6876075</v>
      </c>
      <c r="AL32" s="125">
        <f t="shared" si="11"/>
        <v>11039.187607500002</v>
      </c>
      <c r="AM32" s="125">
        <f t="shared" si="11"/>
        <v>4345.8126075</v>
      </c>
      <c r="AN32" s="125">
        <f t="shared" si="11"/>
        <v>21363.977607499997</v>
      </c>
      <c r="AO32" s="125">
        <f t="shared" si="11"/>
        <v>-12677.255842777775</v>
      </c>
      <c r="AP32" s="125">
        <f t="shared" si="11"/>
        <v>89242.819435785699</v>
      </c>
      <c r="AQ32" s="120"/>
    </row>
    <row r="33" spans="1:43" ht="15.75" x14ac:dyDescent="0.25">
      <c r="A33" s="127" t="s">
        <v>308</v>
      </c>
      <c r="B33" s="124"/>
      <c r="C33" s="124"/>
      <c r="D33" s="124"/>
      <c r="E33" s="128">
        <f t="shared" ref="E33:AP33" si="12">E32/E31</f>
        <v>0.66499946454283365</v>
      </c>
      <c r="F33" s="128">
        <f t="shared" si="12"/>
        <v>-0.33755292918468754</v>
      </c>
      <c r="G33" s="128">
        <f t="shared" si="12"/>
        <v>0.91180686060496963</v>
      </c>
      <c r="H33" s="128">
        <f t="shared" si="12"/>
        <v>0.88605570553853175</v>
      </c>
      <c r="I33" s="128">
        <f t="shared" si="12"/>
        <v>0.85234718509368068</v>
      </c>
      <c r="J33" s="128">
        <f t="shared" si="12"/>
        <v>0.88068894307336176</v>
      </c>
      <c r="K33" s="128">
        <f t="shared" si="12"/>
        <v>0.48428989999315913</v>
      </c>
      <c r="L33" s="128">
        <f t="shared" si="12"/>
        <v>0.92958163336569766</v>
      </c>
      <c r="M33" s="128">
        <f t="shared" si="12"/>
        <v>0.87892400813517169</v>
      </c>
      <c r="N33" s="128">
        <f t="shared" si="12"/>
        <v>0.73683632675916633</v>
      </c>
      <c r="O33" s="128">
        <f t="shared" si="12"/>
        <v>0.88258822001684178</v>
      </c>
      <c r="P33" s="128">
        <f t="shared" si="12"/>
        <v>0.91952642374342153</v>
      </c>
      <c r="Q33" s="128">
        <f t="shared" si="12"/>
        <v>0.7654617892806268</v>
      </c>
      <c r="R33" s="128">
        <f t="shared" si="12"/>
        <v>0.73886349868233625</v>
      </c>
      <c r="S33" s="128">
        <f t="shared" si="12"/>
        <v>0.85172930760080323</v>
      </c>
      <c r="T33" s="128">
        <f t="shared" si="12"/>
        <v>0.90368505609890559</v>
      </c>
      <c r="U33" s="128">
        <f t="shared" si="12"/>
        <v>0.69501952147969548</v>
      </c>
      <c r="V33" s="128">
        <f t="shared" si="12"/>
        <v>-0.33469546810128198</v>
      </c>
      <c r="W33" s="128">
        <f t="shared" si="12"/>
        <v>0.5090238872400813</v>
      </c>
      <c r="X33" s="128">
        <f t="shared" si="12"/>
        <v>0.49319721254520049</v>
      </c>
      <c r="Y33" s="128">
        <f t="shared" si="12"/>
        <v>0.34874541611607823</v>
      </c>
      <c r="Z33" s="128">
        <f t="shared" si="12"/>
        <v>0.23186742291318738</v>
      </c>
      <c r="AA33" s="128">
        <f t="shared" si="12"/>
        <v>0.37819550582356271</v>
      </c>
      <c r="AB33" s="128">
        <f t="shared" si="12"/>
        <v>0.49136345547443816</v>
      </c>
      <c r="AC33" s="128">
        <f t="shared" si="12"/>
        <v>0.56061433196868093</v>
      </c>
      <c r="AD33" s="128">
        <f t="shared" si="12"/>
        <v>0.2302628845428413</v>
      </c>
      <c r="AE33" s="128">
        <f t="shared" si="12"/>
        <v>0.35094026402738215</v>
      </c>
      <c r="AF33" s="128">
        <f t="shared" si="12"/>
        <v>0.53375788020294679</v>
      </c>
      <c r="AG33" s="128">
        <f t="shared" si="12"/>
        <v>-0.12387242288044022</v>
      </c>
      <c r="AH33" s="128">
        <f t="shared" si="12"/>
        <v>0.30671102903035657</v>
      </c>
      <c r="AI33" s="128">
        <f t="shared" si="12"/>
        <v>0.5489142207301797</v>
      </c>
      <c r="AJ33" s="128">
        <f t="shared" si="12"/>
        <v>0.80080270777777784</v>
      </c>
      <c r="AK33" s="128">
        <f t="shared" si="12"/>
        <v>0.40426015416666666</v>
      </c>
      <c r="AL33" s="128">
        <f t="shared" si="12"/>
        <v>0.4442186009102323</v>
      </c>
      <c r="AM33" s="128">
        <f t="shared" si="12"/>
        <v>0.20578225761772853</v>
      </c>
      <c r="AN33" s="128">
        <f t="shared" si="12"/>
        <v>0.62964861796345406</v>
      </c>
      <c r="AO33" s="128">
        <f t="shared" si="12"/>
        <v>-1.2675025038371022</v>
      </c>
      <c r="AP33" s="128">
        <f t="shared" si="12"/>
        <v>0.3769718988062048</v>
      </c>
      <c r="AQ33" s="129"/>
    </row>
    <row r="34" spans="1:43" ht="15.75" x14ac:dyDescent="0.25">
      <c r="A34" s="118"/>
      <c r="B34" s="119"/>
      <c r="C34" s="119"/>
      <c r="D34" s="119"/>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row>
    <row r="35" spans="1:43" ht="13.5" thickBot="1" x14ac:dyDescent="0.25">
      <c r="A35" s="131"/>
      <c r="B35" s="131"/>
      <c r="C35" s="131"/>
      <c r="D35" s="131"/>
      <c r="E35" s="132"/>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3"/>
      <c r="AP35" s="80"/>
      <c r="AQ35" s="119"/>
    </row>
    <row r="36" spans="1:43" ht="15" x14ac:dyDescent="0.25">
      <c r="A36" s="134" t="s">
        <v>311</v>
      </c>
      <c r="B36" s="135"/>
      <c r="C36" s="135"/>
      <c r="D36" s="136"/>
      <c r="E36" s="137"/>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8"/>
      <c r="AP36" s="136"/>
      <c r="AQ36" s="119"/>
    </row>
    <row r="37" spans="1:43" ht="15" x14ac:dyDescent="0.25">
      <c r="A37" s="577" t="s">
        <v>312</v>
      </c>
      <c r="B37" s="578"/>
      <c r="C37" s="579"/>
      <c r="D37" s="139"/>
      <c r="E37" s="139">
        <v>4</v>
      </c>
      <c r="F37" s="139">
        <v>3</v>
      </c>
      <c r="G37" s="139">
        <v>1</v>
      </c>
      <c r="H37" s="139">
        <v>1</v>
      </c>
      <c r="I37" s="139">
        <v>1</v>
      </c>
      <c r="J37" s="139">
        <v>3</v>
      </c>
      <c r="K37" s="139">
        <v>4</v>
      </c>
      <c r="L37" s="139">
        <v>3</v>
      </c>
      <c r="M37" s="139">
        <v>1</v>
      </c>
      <c r="N37" s="139">
        <v>4</v>
      </c>
      <c r="O37" s="139">
        <v>3</v>
      </c>
      <c r="P37" s="139">
        <v>3</v>
      </c>
      <c r="Q37" s="139">
        <v>2</v>
      </c>
      <c r="R37" s="139">
        <v>2</v>
      </c>
      <c r="S37" s="139">
        <v>4</v>
      </c>
      <c r="T37" s="139">
        <v>3</v>
      </c>
      <c r="U37" s="139">
        <v>3</v>
      </c>
      <c r="V37" s="139">
        <v>4</v>
      </c>
      <c r="W37" s="139">
        <v>2</v>
      </c>
      <c r="X37" s="139">
        <v>3.5</v>
      </c>
      <c r="Y37" s="139">
        <v>3.5</v>
      </c>
      <c r="Z37" s="139">
        <v>2</v>
      </c>
      <c r="AA37" s="139">
        <v>2</v>
      </c>
      <c r="AB37" s="139">
        <v>2</v>
      </c>
      <c r="AC37" s="139">
        <v>2</v>
      </c>
      <c r="AD37" s="139">
        <v>2</v>
      </c>
      <c r="AE37" s="139">
        <v>5</v>
      </c>
      <c r="AF37" s="139">
        <v>2</v>
      </c>
      <c r="AG37" s="139">
        <v>2</v>
      </c>
      <c r="AH37" s="139">
        <v>2</v>
      </c>
      <c r="AI37" s="139">
        <v>2</v>
      </c>
      <c r="AJ37" s="139">
        <v>2</v>
      </c>
      <c r="AK37" s="139">
        <v>2</v>
      </c>
      <c r="AL37" s="139">
        <v>2</v>
      </c>
      <c r="AM37" s="139">
        <v>2</v>
      </c>
      <c r="AN37" s="140">
        <v>2</v>
      </c>
      <c r="AO37" s="141">
        <v>12</v>
      </c>
      <c r="AP37" s="140">
        <v>2</v>
      </c>
      <c r="AQ37" s="142"/>
    </row>
    <row r="38" spans="1:43" ht="15" x14ac:dyDescent="0.25">
      <c r="A38" s="569" t="s">
        <v>313</v>
      </c>
      <c r="B38" s="570"/>
      <c r="C38" s="571"/>
      <c r="D38" s="143"/>
      <c r="E38" s="143">
        <v>3</v>
      </c>
      <c r="F38" s="143">
        <v>2</v>
      </c>
      <c r="G38" s="143">
        <v>4</v>
      </c>
      <c r="H38" s="143">
        <v>4</v>
      </c>
      <c r="I38" s="143">
        <v>4</v>
      </c>
      <c r="J38" s="143">
        <v>4</v>
      </c>
      <c r="K38" s="143">
        <v>5</v>
      </c>
      <c r="L38" s="143">
        <v>4</v>
      </c>
      <c r="M38" s="143">
        <v>6</v>
      </c>
      <c r="N38" s="143">
        <v>4</v>
      </c>
      <c r="O38" s="143">
        <v>4</v>
      </c>
      <c r="P38" s="143">
        <v>4</v>
      </c>
      <c r="Q38" s="143">
        <v>4</v>
      </c>
      <c r="R38" s="143">
        <v>4</v>
      </c>
      <c r="S38" s="143">
        <v>5</v>
      </c>
      <c r="T38" s="143">
        <v>4</v>
      </c>
      <c r="U38" s="143">
        <v>6</v>
      </c>
      <c r="V38" s="143">
        <v>4</v>
      </c>
      <c r="W38" s="143">
        <v>4</v>
      </c>
      <c r="X38" s="143">
        <v>3</v>
      </c>
      <c r="Y38" s="143">
        <v>3</v>
      </c>
      <c r="Z38" s="143">
        <v>4</v>
      </c>
      <c r="AA38" s="143">
        <v>4</v>
      </c>
      <c r="AB38" s="143">
        <v>4</v>
      </c>
      <c r="AC38" s="143">
        <v>4</v>
      </c>
      <c r="AD38" s="143">
        <v>4</v>
      </c>
      <c r="AE38" s="143">
        <v>5</v>
      </c>
      <c r="AF38" s="143">
        <v>2</v>
      </c>
      <c r="AG38" s="143">
        <v>4</v>
      </c>
      <c r="AH38" s="143">
        <v>4</v>
      </c>
      <c r="AI38" s="143">
        <v>4</v>
      </c>
      <c r="AJ38" s="143">
        <v>4</v>
      </c>
      <c r="AK38" s="143">
        <v>4</v>
      </c>
      <c r="AL38" s="143">
        <v>4</v>
      </c>
      <c r="AM38" s="143">
        <v>2</v>
      </c>
      <c r="AN38" s="144">
        <v>4</v>
      </c>
      <c r="AO38" s="145">
        <v>26</v>
      </c>
      <c r="AP38" s="144">
        <v>0</v>
      </c>
      <c r="AQ38" s="142"/>
    </row>
    <row r="39" spans="1:43" ht="15" x14ac:dyDescent="0.25">
      <c r="A39" s="577" t="s">
        <v>314</v>
      </c>
      <c r="B39" s="578"/>
      <c r="C39" s="579"/>
      <c r="D39" s="139"/>
      <c r="E39" s="139">
        <v>6</v>
      </c>
      <c r="F39" s="139" t="s">
        <v>315</v>
      </c>
      <c r="G39" s="139">
        <v>12</v>
      </c>
      <c r="H39" s="139" t="s">
        <v>315</v>
      </c>
      <c r="I39" s="139">
        <v>6</v>
      </c>
      <c r="J39" s="139">
        <v>6</v>
      </c>
      <c r="K39" s="139" t="s">
        <v>315</v>
      </c>
      <c r="L39" s="139" t="s">
        <v>315</v>
      </c>
      <c r="M39" s="139" t="s">
        <v>315</v>
      </c>
      <c r="N39" s="139">
        <v>3</v>
      </c>
      <c r="O39" s="139" t="s">
        <v>315</v>
      </c>
      <c r="P39" s="139" t="s">
        <v>315</v>
      </c>
      <c r="Q39" s="139">
        <v>12</v>
      </c>
      <c r="R39" s="139">
        <v>1</v>
      </c>
      <c r="S39" s="139">
        <v>6</v>
      </c>
      <c r="T39" s="139" t="s">
        <v>316</v>
      </c>
      <c r="U39" s="139">
        <v>6</v>
      </c>
      <c r="V39" s="139">
        <v>3</v>
      </c>
      <c r="W39" s="139">
        <v>1</v>
      </c>
      <c r="X39" s="139">
        <v>1</v>
      </c>
      <c r="Y39" s="139">
        <v>1</v>
      </c>
      <c r="Z39" s="139">
        <v>5</v>
      </c>
      <c r="AA39" s="139">
        <v>1</v>
      </c>
      <c r="AB39" s="139">
        <v>1</v>
      </c>
      <c r="AC39" s="139">
        <v>1</v>
      </c>
      <c r="AD39" s="139">
        <v>1</v>
      </c>
      <c r="AE39" s="139">
        <v>1</v>
      </c>
      <c r="AF39" s="139">
        <v>4</v>
      </c>
      <c r="AG39" s="139">
        <v>6</v>
      </c>
      <c r="AH39" s="139">
        <v>6</v>
      </c>
      <c r="AI39" s="139">
        <v>6</v>
      </c>
      <c r="AJ39" s="139">
        <v>1</v>
      </c>
      <c r="AK39" s="139">
        <v>1</v>
      </c>
      <c r="AL39" s="139">
        <v>1</v>
      </c>
      <c r="AM39" s="139">
        <v>4</v>
      </c>
      <c r="AN39" s="140">
        <v>6</v>
      </c>
      <c r="AO39" s="141">
        <v>26</v>
      </c>
      <c r="AP39" s="140">
        <v>1</v>
      </c>
      <c r="AQ39" s="142"/>
    </row>
    <row r="40" spans="1:43" ht="15" x14ac:dyDescent="0.25">
      <c r="A40" s="569" t="s">
        <v>317</v>
      </c>
      <c r="B40" s="570"/>
      <c r="C40" s="571"/>
      <c r="D40" s="143"/>
      <c r="E40" s="143">
        <v>2.9</v>
      </c>
      <c r="F40" s="143">
        <v>1</v>
      </c>
      <c r="G40" s="143">
        <v>1</v>
      </c>
      <c r="H40" s="143">
        <v>1</v>
      </c>
      <c r="I40" s="143">
        <v>1</v>
      </c>
      <c r="J40" s="143">
        <v>2.1</v>
      </c>
      <c r="K40" s="143">
        <v>1</v>
      </c>
      <c r="L40" s="143">
        <v>1</v>
      </c>
      <c r="M40" s="143">
        <v>1</v>
      </c>
      <c r="N40" s="143">
        <v>4.3</v>
      </c>
      <c r="O40" s="143">
        <v>1</v>
      </c>
      <c r="P40" s="143">
        <v>1</v>
      </c>
      <c r="Q40" s="143">
        <v>1</v>
      </c>
      <c r="R40" s="143">
        <v>13</v>
      </c>
      <c r="S40" s="143">
        <v>1.8</v>
      </c>
      <c r="T40" s="143">
        <v>1</v>
      </c>
      <c r="U40" s="143">
        <v>1.4</v>
      </c>
      <c r="V40" s="143">
        <v>4.3</v>
      </c>
      <c r="W40" s="143">
        <v>13</v>
      </c>
      <c r="X40" s="143">
        <v>17.3</v>
      </c>
      <c r="Y40" s="143">
        <v>17.3</v>
      </c>
      <c r="Z40" s="143">
        <v>2.6</v>
      </c>
      <c r="AA40" s="143">
        <v>13</v>
      </c>
      <c r="AB40" s="143">
        <v>13</v>
      </c>
      <c r="AC40" s="143">
        <v>13</v>
      </c>
      <c r="AD40" s="143">
        <v>13</v>
      </c>
      <c r="AE40" s="143">
        <v>10.4</v>
      </c>
      <c r="AF40" s="143">
        <v>13</v>
      </c>
      <c r="AG40" s="143">
        <v>2.1</v>
      </c>
      <c r="AH40" s="143">
        <v>2.1</v>
      </c>
      <c r="AI40" s="143">
        <v>2.1</v>
      </c>
      <c r="AJ40" s="143">
        <v>13</v>
      </c>
      <c r="AK40" s="143">
        <v>13</v>
      </c>
      <c r="AL40" s="143">
        <v>13</v>
      </c>
      <c r="AM40" s="143">
        <v>13</v>
      </c>
      <c r="AN40" s="144">
        <v>2.1</v>
      </c>
      <c r="AO40" s="145">
        <v>2</v>
      </c>
      <c r="AP40" s="144">
        <v>26</v>
      </c>
      <c r="AQ40" s="142"/>
    </row>
    <row r="41" spans="1:43" ht="15" x14ac:dyDescent="0.25">
      <c r="A41" s="577" t="s">
        <v>318</v>
      </c>
      <c r="B41" s="578"/>
      <c r="C41" s="579"/>
      <c r="D41" s="139"/>
      <c r="E41" s="139">
        <v>17.3</v>
      </c>
      <c r="F41" s="139">
        <v>26</v>
      </c>
      <c r="G41" s="139">
        <v>13</v>
      </c>
      <c r="H41" s="139">
        <v>13</v>
      </c>
      <c r="I41" s="139">
        <v>13</v>
      </c>
      <c r="J41" s="139">
        <v>13</v>
      </c>
      <c r="K41" s="139">
        <v>10.4</v>
      </c>
      <c r="L41" s="139">
        <v>13</v>
      </c>
      <c r="M41" s="139">
        <v>8.6999999999999993</v>
      </c>
      <c r="N41" s="139">
        <v>13</v>
      </c>
      <c r="O41" s="139">
        <v>13</v>
      </c>
      <c r="P41" s="139">
        <v>13</v>
      </c>
      <c r="Q41" s="139">
        <v>13</v>
      </c>
      <c r="R41" s="139">
        <v>13</v>
      </c>
      <c r="S41" s="139">
        <v>10.4</v>
      </c>
      <c r="T41" s="139">
        <v>13</v>
      </c>
      <c r="U41" s="139">
        <v>8.66</v>
      </c>
      <c r="V41" s="139">
        <v>13</v>
      </c>
      <c r="W41" s="139">
        <v>13</v>
      </c>
      <c r="X41" s="139">
        <v>17.3</v>
      </c>
      <c r="Y41" s="139">
        <v>17.3</v>
      </c>
      <c r="Z41" s="139">
        <v>13</v>
      </c>
      <c r="AA41" s="139">
        <v>13</v>
      </c>
      <c r="AB41" s="139">
        <v>13</v>
      </c>
      <c r="AC41" s="139">
        <v>13</v>
      </c>
      <c r="AD41" s="139">
        <v>13</v>
      </c>
      <c r="AE41" s="139">
        <v>10.5</v>
      </c>
      <c r="AF41" s="139">
        <v>26</v>
      </c>
      <c r="AG41" s="139">
        <v>13</v>
      </c>
      <c r="AH41" s="139">
        <v>13</v>
      </c>
      <c r="AI41" s="139">
        <v>13</v>
      </c>
      <c r="AJ41" s="139">
        <v>13</v>
      </c>
      <c r="AK41" s="139">
        <v>13</v>
      </c>
      <c r="AL41" s="139">
        <v>13</v>
      </c>
      <c r="AM41" s="139">
        <v>26</v>
      </c>
      <c r="AN41" s="140">
        <v>13</v>
      </c>
      <c r="AO41" s="141">
        <v>26</v>
      </c>
      <c r="AP41" s="140">
        <v>26</v>
      </c>
      <c r="AQ41" s="142"/>
    </row>
    <row r="42" spans="1:43" ht="15" x14ac:dyDescent="0.25">
      <c r="A42" s="584" t="s">
        <v>319</v>
      </c>
      <c r="B42" s="585"/>
      <c r="C42" s="586"/>
      <c r="D42" s="146"/>
      <c r="E42" s="146">
        <v>2.5</v>
      </c>
      <c r="F42" s="146">
        <v>2</v>
      </c>
      <c r="G42" s="146">
        <v>3</v>
      </c>
      <c r="H42" s="146">
        <v>2</v>
      </c>
      <c r="I42" s="146">
        <v>2</v>
      </c>
      <c r="J42" s="146">
        <v>2.5</v>
      </c>
      <c r="K42" s="146">
        <v>0.5</v>
      </c>
      <c r="L42" s="146">
        <v>3</v>
      </c>
      <c r="M42" s="146">
        <v>1.75</v>
      </c>
      <c r="N42" s="146">
        <v>1</v>
      </c>
      <c r="O42" s="146">
        <v>2</v>
      </c>
      <c r="P42" s="146">
        <v>3</v>
      </c>
      <c r="Q42" s="146">
        <v>1</v>
      </c>
      <c r="R42" s="146">
        <v>1</v>
      </c>
      <c r="S42" s="146">
        <v>2</v>
      </c>
      <c r="T42" s="146">
        <v>1</v>
      </c>
      <c r="U42" s="146">
        <v>1</v>
      </c>
      <c r="V42" s="146">
        <v>1</v>
      </c>
      <c r="W42" s="146">
        <v>1.75</v>
      </c>
      <c r="X42" s="146">
        <v>1.3</v>
      </c>
      <c r="Y42" s="146">
        <v>2</v>
      </c>
      <c r="Z42" s="146">
        <v>1.25</v>
      </c>
      <c r="AA42" s="146">
        <v>2</v>
      </c>
      <c r="AB42" s="146">
        <v>2</v>
      </c>
      <c r="AC42" s="146">
        <v>2.8</v>
      </c>
      <c r="AD42" s="146">
        <v>1.5</v>
      </c>
      <c r="AE42" s="146">
        <v>1</v>
      </c>
      <c r="AF42" s="146">
        <v>0.75</v>
      </c>
      <c r="AG42" s="146">
        <v>0.75</v>
      </c>
      <c r="AH42" s="146">
        <v>1.25</v>
      </c>
      <c r="AI42" s="146">
        <v>2</v>
      </c>
      <c r="AJ42" s="146">
        <v>7.5</v>
      </c>
      <c r="AK42" s="146">
        <v>2</v>
      </c>
      <c r="AL42" s="146">
        <v>1.8</v>
      </c>
      <c r="AM42" s="146">
        <v>0.75</v>
      </c>
      <c r="AN42" s="147">
        <v>2.5</v>
      </c>
      <c r="AO42" s="148">
        <v>0.8</v>
      </c>
      <c r="AP42" s="147">
        <v>1.125</v>
      </c>
      <c r="AQ42" s="142"/>
    </row>
    <row r="43" spans="1:43" ht="15" x14ac:dyDescent="0.25">
      <c r="A43" s="587"/>
      <c r="B43" s="588"/>
      <c r="C43" s="58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40"/>
      <c r="AQ43" s="142"/>
    </row>
    <row r="44" spans="1:43" ht="15" x14ac:dyDescent="0.25">
      <c r="A44" s="590" t="s">
        <v>320</v>
      </c>
      <c r="B44" s="591"/>
      <c r="C44" s="592"/>
      <c r="D44" s="149"/>
      <c r="E44" s="150">
        <v>85</v>
      </c>
      <c r="F44" s="150">
        <v>80</v>
      </c>
      <c r="G44" s="150">
        <v>80</v>
      </c>
      <c r="H44" s="150">
        <v>75</v>
      </c>
      <c r="I44" s="150">
        <v>75</v>
      </c>
      <c r="J44" s="150">
        <v>80</v>
      </c>
      <c r="K44" s="150">
        <v>85</v>
      </c>
      <c r="L44" s="150">
        <v>85</v>
      </c>
      <c r="M44" s="150">
        <v>85</v>
      </c>
      <c r="N44" s="150">
        <v>74</v>
      </c>
      <c r="O44" s="150">
        <v>70</v>
      </c>
      <c r="P44" s="150">
        <v>75</v>
      </c>
      <c r="Q44" s="150">
        <v>80</v>
      </c>
      <c r="R44" s="150">
        <v>80</v>
      </c>
      <c r="S44" s="150">
        <v>75</v>
      </c>
      <c r="T44" s="150">
        <v>75</v>
      </c>
      <c r="U44" s="150">
        <v>75</v>
      </c>
      <c r="V44" s="150">
        <v>75</v>
      </c>
      <c r="W44" s="150">
        <v>75</v>
      </c>
      <c r="X44" s="150">
        <v>80</v>
      </c>
      <c r="Y44" s="150">
        <v>70</v>
      </c>
      <c r="Z44" s="150">
        <v>75</v>
      </c>
      <c r="AA44" s="150">
        <v>75</v>
      </c>
      <c r="AB44" s="150">
        <v>75</v>
      </c>
      <c r="AC44" s="150">
        <v>75</v>
      </c>
      <c r="AD44" s="150">
        <v>75</v>
      </c>
      <c r="AE44" s="150">
        <v>65</v>
      </c>
      <c r="AF44" s="150">
        <v>75</v>
      </c>
      <c r="AG44" s="150">
        <v>80</v>
      </c>
      <c r="AH44" s="150">
        <v>80</v>
      </c>
      <c r="AI44" s="150">
        <v>80</v>
      </c>
      <c r="AJ44" s="150">
        <v>80</v>
      </c>
      <c r="AK44" s="150">
        <v>80</v>
      </c>
      <c r="AL44" s="150">
        <v>80</v>
      </c>
      <c r="AM44" s="150">
        <v>80</v>
      </c>
      <c r="AN44" s="150">
        <v>80</v>
      </c>
      <c r="AO44" s="150">
        <v>75</v>
      </c>
      <c r="AP44" s="151">
        <v>80</v>
      </c>
      <c r="AQ44" s="142"/>
    </row>
    <row r="45" spans="1:43" ht="15" x14ac:dyDescent="0.25">
      <c r="A45" s="580" t="s">
        <v>321</v>
      </c>
      <c r="B45" s="578"/>
      <c r="C45" s="579"/>
      <c r="D45" s="152"/>
      <c r="E45" s="153">
        <f>SUMIF(B106:M106,"&gt;"&amp;E44)-COUNT(B106:M106,"&gt;"&amp;E44)+SUMIF(B105:M105,"&gt;"&amp;E44)-COUNT(B105:M105,"&gt;"&amp;E44)</f>
        <v>688</v>
      </c>
      <c r="F45" s="139">
        <f>SUMIF(B106:M106,"&gt;"&amp;F44)-COUNT(B106:M106,"&gt;"&amp;F44)+SUMIF(B105:M105,"&gt;"&amp;F44)-COUNT(B105:M105,"&gt;"&amp;F44)</f>
        <v>1017</v>
      </c>
      <c r="G45" s="139">
        <f>SUMIF(B106:M106,"&gt;"&amp;G44)-COUNT(B106:M106,"&gt;"&amp;G44)+SUMIF(B105:M105,"&gt;"&amp;G44)-COUNT(B105:M105,"&gt;"&amp;G44)</f>
        <v>1017</v>
      </c>
      <c r="H45" s="139">
        <f>SUMIF(B106:M106,"&gt;"&amp;H44)-COUNT(B106:M106,"&gt;"&amp;H44)+SUMIF(B105:M105,"&gt;"&amp;H44)-COUNT(B105:M105,"&gt;"&amp;H44)</f>
        <v>1331</v>
      </c>
      <c r="I45" s="139">
        <f>SUMIF(B106:M106,"&gt;"&amp;I44)-COUNT(B106:M106,"&gt;"&amp;I44)+SUMIF(B105:M105,"&gt;"&amp;I44)-COUNT(B105:M105,"&gt;"&amp;I44)</f>
        <v>1331</v>
      </c>
      <c r="J45" s="139">
        <f>SUMIF(B106:M106,"&gt;"&amp;J44)-COUNT(B106:M106,"&gt;"&amp;J44)+SUMIF(B105:M105,"&gt;"&amp;J44)-COUNT(B105:M105,"&gt;"&amp;J44)</f>
        <v>1017</v>
      </c>
      <c r="K45" s="139">
        <f>SUMIF(B106:M106,"&gt;"&amp;K44)-COUNT(B106:M106,"&gt;"&amp;K44)+SUMIF(B105:M105,"&gt;"&amp;K44)-COUNT(B105:M105,"&gt;"&amp;K44)</f>
        <v>688</v>
      </c>
      <c r="L45" s="139">
        <f>SUMIF(B106:M106,"&gt;"&amp;L44)-COUNT(B106:M106,"&gt;"&amp;L44)+SUMIF(B105:M105,"&gt;"&amp;L44)-COUNT(B105:M105,"&gt;"&amp;L44)</f>
        <v>688</v>
      </c>
      <c r="M45" s="139">
        <f>SUMIF(B106:M106,"&gt;"&amp;M44)-COUNT(B106:M106,"&gt;"&amp;M44)+SUMIF(B105:M105,"&gt;"&amp;M44)-COUNT(B105:M105,"&gt;"&amp;M44)</f>
        <v>688</v>
      </c>
      <c r="N45" s="139">
        <f>SUMIF(B106:M106,"&gt;"&amp;N44)-COUNT(B106:M106,"&gt;"&amp;N44)+SUMIF(B105:M105,"&gt;"&amp;N44)-COUNT(B105:M105,"&gt;"&amp;N44)</f>
        <v>1331</v>
      </c>
      <c r="O45" s="139">
        <f>SUMIF(B106:M106,"&gt;"&amp;O44)-COUNT(B106:M106,"&gt;"&amp;O44)+SUMIF(B105:M105,"&gt;"&amp;O44)-COUNT(B105:M105,"&gt;"&amp;O44)</f>
        <v>1475</v>
      </c>
      <c r="P45" s="139">
        <f>SUMIF(B106:M106,"&gt;"&amp;P44)-COUNT(B106:M106,"&gt;"&amp;P44)+SUMIF(B105:M105,"&gt;"&amp;P44)-COUNT(B105:M105,"&gt;"&amp;P44)</f>
        <v>1331</v>
      </c>
      <c r="Q45" s="139">
        <f>SUMIF(B106:M106,"&gt;"&amp;Q44)-COUNT(B106:M106,"&gt;"&amp;Q44)+SUMIF(B105:M105,"&gt;"&amp;Q44)-COUNT(B105:M105,"&gt;"&amp;Q44)</f>
        <v>1017</v>
      </c>
      <c r="R45" s="139">
        <f>SUMIF(B106:M106,"&gt;"&amp;R44)-COUNT(B106:M106,"&gt;"&amp;R44)+SUMIF(B105:M105,"&gt;"&amp;R44)-COUNT(B105:M105,"&gt;"&amp;R44)</f>
        <v>1017</v>
      </c>
      <c r="S45" s="139">
        <f>SUMIF(B106:M106,"&gt;"&amp;S44)-COUNT(B106:M106,"&gt;"&amp;S44)+SUMIF(B105:M105,"&gt;"&amp;S44)-COUNT(B105:M105,"&gt;"&amp;S44)</f>
        <v>1331</v>
      </c>
      <c r="T45" s="139">
        <f>SUMIF(B106:M106,"&gt;"&amp;T44)-COUNT(B106:M106,"&gt;"&amp;T44)+SUMIF(B105:M105,"&gt;"&amp;T44)-COUNT(B105:M105,"&gt;"&amp;T44)</f>
        <v>1331</v>
      </c>
      <c r="U45" s="139">
        <f>SUMIF(B106:M106,"&gt;"&amp;U44)-COUNT(B106:M106,"&gt;"&amp;U44)+SUMIF(B105:M105,"&gt;"&amp;U44)-COUNT(B105:M105,"&gt;"&amp;U44)</f>
        <v>1331</v>
      </c>
      <c r="V45" s="139">
        <f>SUMIF(B106:M106,"&gt;"&amp;V44)-COUNT(B106:M106,"&gt;"&amp;V44)+SUMIF(B105:M105,"&gt;"&amp;V44)-COUNT(B105:M105,"&gt;"&amp;V44)</f>
        <v>1331</v>
      </c>
      <c r="W45" s="139">
        <f>SUMIF(B106:M106,"&gt;"&amp;W44)-COUNT(B106:M106,"&gt;"&amp;W44)+SUMIF(B105:M105,"&gt;"&amp;W44)-COUNT(B105:M105,"&gt;"&amp;W44)</f>
        <v>1331</v>
      </c>
      <c r="X45" s="139">
        <f>SUMIF(B105:M106,"&gt;"&amp;X44)-COUNT(B105:M105,"&gt;"&amp;X44)</f>
        <v>1029</v>
      </c>
      <c r="Y45" s="139">
        <f>SUMIF(B106:M106,"&gt;"&amp;Y44)-COUNT(B106:M106,"&gt;"&amp;Y44)+SUMIF(B105:M105,"&gt;"&amp;Y44)-COUNT(B105:M105,"&gt;"&amp;Y44)</f>
        <v>1475</v>
      </c>
      <c r="Z45" s="139">
        <f>SUMIF(B106:M106,"&gt;"&amp;Z44)-COUNT(B106:M106,"&gt;"&amp;Z44)+SUMIF(B105:M105,"&gt;"&amp;Z44)-COUNT(B105:M105,"&gt;"&amp;Z44)</f>
        <v>1331</v>
      </c>
      <c r="AA45" s="139">
        <f>SUMIF(B106:M106,"&gt;"&amp;AA44)-COUNT(B106:M106,"&gt;"&amp;AA44)+SUMIF(B105:M105,"&gt;"&amp;AA44)-COUNT(B105:M105,"&gt;"&amp;AA44)</f>
        <v>1331</v>
      </c>
      <c r="AB45" s="139">
        <f>SUMIF(B106:M106,"&gt;"&amp;AB44)-COUNT(B106:M106,"&gt;"&amp;AB44)+SUMIF(B105:M105,"&gt;"&amp;AB44)-COUNT(B105:M105,"&gt;"&amp;AB44)</f>
        <v>1331</v>
      </c>
      <c r="AC45" s="139">
        <f>SUMIF(B106:M106,"&gt;"&amp;AC44)-COUNT(B106:M106,"&gt;"&amp;AC44)+SUMIF(B105:M105,"&gt;"&amp;AC44)-COUNT(B105:M105,"&gt;"&amp;AC44)</f>
        <v>1331</v>
      </c>
      <c r="AD45" s="139">
        <f>SUMIF(B106:M106,"&gt;"&amp;AD44)-COUNT(B106:M106,"&gt;"&amp;AD44)+SUMIF(B105:M105,"&gt;"&amp;AD44)-COUNT(B105:M105,"&gt;"&amp;AD44)</f>
        <v>1331</v>
      </c>
      <c r="AE45" s="139">
        <f>SUMIF(B106:M106,"&gt;"&amp;AE44)-COUNT(B106:M106,"&gt;"&amp;AE44)+SUMIF(B105:M105,"&gt;"&amp;AE44)-COUNT(B105:M105,"&gt;"&amp;AE44)</f>
        <v>1610</v>
      </c>
      <c r="AF45" s="139">
        <f>SUMIF(B106:M106,"&gt;"&amp;AF44)-COUNT(B106:M106,"&gt;"&amp;AF44)+SUMIF(B105:M105,"&gt;"&amp;AF44)-COUNT(B105:M105,"&gt;"&amp;AF44)</f>
        <v>1331</v>
      </c>
      <c r="AG45" s="139">
        <f>SUMIF(B106:M106,"&gt;"&amp;AG44)-COUNT(B106:M106,"&gt;"&amp;AG44)+SUMIF(B105:M105,"&gt;"&amp;AG44)-COUNT(B105:M105,"&gt;"&amp;AG44)</f>
        <v>1017</v>
      </c>
      <c r="AH45" s="139">
        <f>SUMIF(B106:M106,"&gt;"&amp;AH44)-COUNT(B106:M106,"&gt;"&amp;AH44)+SUMIF(B105:M105,"&gt;"&amp;AH44)-COUNT(B105:M105,"&gt;"&amp;AH44)</f>
        <v>1017</v>
      </c>
      <c r="AI45" s="139">
        <f>SUMIF(B106:M106,"&gt;"&amp;AI44)-COUNT(B106:M106,"&gt;"&amp;AI44)+SUMIF(B105:M105,"&gt;"&amp;AI44)-COUNT(B105:M105,"&gt;"&amp;AI44)</f>
        <v>1017</v>
      </c>
      <c r="AJ45" s="139">
        <f>SUMIF(B106:M106,"&gt;"&amp;AJ44)-COUNT(B106:M106,"&gt;"&amp;AJ44)+SUMIF(B105:M105,"&gt;"&amp;AJ44)-COUNT(B105:M105,"&gt;"&amp;AJ44)</f>
        <v>1017</v>
      </c>
      <c r="AK45" s="139">
        <f>SUMIF(B106:M106,"&gt;"&amp;AK44)-COUNT(B106:M106,"&gt;"&amp;AK44)+SUMIF(B105:M105,"&gt;"&amp;AK44)-COUNT(B105:M105,"&gt;"&amp;AK44)</f>
        <v>1017</v>
      </c>
      <c r="AL45" s="139">
        <f>SUMIF(B106:M106,"&gt;"&amp;AL44)-COUNT(B106:M106,"&gt;"&amp;AL44)+SUMIF(B105:M105,"&gt;"&amp;AL44)-COUNT(B105:M105,"&gt;"&amp;AL44)</f>
        <v>1017</v>
      </c>
      <c r="AM45" s="139">
        <f>SUMIF(B106:M106,"&gt;"&amp;AM44)-COUNT(B106:M106,"&gt;"&amp;AM44)+SUMIF(B105:M105,"&gt;"&amp;AM44)-COUNT(B105:M105,"&gt;"&amp;AM44)</f>
        <v>1017</v>
      </c>
      <c r="AN45" s="139">
        <f>SUMIF(B106:M106,"&gt;"&amp;AN44)-COUNT(B106:M106,"&gt;"&amp;AN44)+SUMIF(B105:M105,"&gt;"&amp;AN44)-COUNT(B105:M105,"&gt;"&amp;AN44)</f>
        <v>1017</v>
      </c>
      <c r="AO45" s="139">
        <f>SUMIF(B106:M106,"&gt;"&amp;AO44)-COUNT(B106:M106,"&gt;"&amp;AO44)+SUMIF(B105:M105,"&gt;"&amp;AO44)-COUNT(B105:M105,"&gt;"&amp;AO44)</f>
        <v>1331</v>
      </c>
      <c r="AP45" s="140">
        <f>SUMIF(B106:M106,"&gt;"&amp;AP44)-COUNT(B106:M106,"&gt;"&amp;AP44)+SUMIF(B105:M105,"&gt;"&amp;AP44)-COUNT(B105:M105,"&gt;"&amp;AP44)</f>
        <v>1017</v>
      </c>
      <c r="AQ45" s="142"/>
    </row>
    <row r="46" spans="1:43" ht="15" x14ac:dyDescent="0.25">
      <c r="A46" s="581" t="s">
        <v>322</v>
      </c>
      <c r="B46" s="570"/>
      <c r="C46" s="571"/>
      <c r="D46" s="154"/>
      <c r="E46" s="155">
        <f>E45*B110*12*365</f>
        <v>171431253.33333331</v>
      </c>
      <c r="F46" s="143">
        <f>F45*B110*12*365</f>
        <v>253409280</v>
      </c>
      <c r="G46" s="143">
        <f>G45*B110*12*365</f>
        <v>253409280</v>
      </c>
      <c r="H46" s="143">
        <f>H45*B110*12*365</f>
        <v>331649706.66666663</v>
      </c>
      <c r="I46" s="143">
        <f>I45*B110*12*365</f>
        <v>331649706.66666663</v>
      </c>
      <c r="J46" s="143">
        <f>J45*B110*12*365</f>
        <v>253409280</v>
      </c>
      <c r="K46" s="143">
        <f>K45*B110*12*365</f>
        <v>171431253.33333331</v>
      </c>
      <c r="L46" s="143">
        <f>L45*B110*12*365</f>
        <v>171431253.33333331</v>
      </c>
      <c r="M46" s="143">
        <f>M45*B110*12*365</f>
        <v>171431253.33333331</v>
      </c>
      <c r="N46" s="143">
        <f>N45*B110*12*365</f>
        <v>331649706.66666663</v>
      </c>
      <c r="O46" s="143">
        <f>O45*B110*12*365</f>
        <v>367530666.66666663</v>
      </c>
      <c r="P46" s="143">
        <f>P45*B110*12*365</f>
        <v>331649706.66666663</v>
      </c>
      <c r="Q46" s="143">
        <f>Q45*B110*12*365</f>
        <v>253409280</v>
      </c>
      <c r="R46" s="143">
        <f>R45*B110*12*365</f>
        <v>253409280</v>
      </c>
      <c r="S46" s="143">
        <f>S45*B110*12*365</f>
        <v>331649706.66666663</v>
      </c>
      <c r="T46" s="143">
        <f>T45*B110*12*365</f>
        <v>331649706.66666663</v>
      </c>
      <c r="U46" s="143">
        <f>U45*B110*12*365</f>
        <v>331649706.66666663</v>
      </c>
      <c r="V46" s="143">
        <f>V45*B110*12*365</f>
        <v>331649706.66666663</v>
      </c>
      <c r="W46" s="143">
        <f>W45*B110*12*365</f>
        <v>331649706.66666663</v>
      </c>
      <c r="X46" s="143">
        <f>X45*B110*12*365</f>
        <v>256399360</v>
      </c>
      <c r="Y46" s="143">
        <f>Y45*B110*12*365</f>
        <v>367530666.66666663</v>
      </c>
      <c r="Z46" s="143">
        <f>Z45*B110*12*365</f>
        <v>331649706.66666663</v>
      </c>
      <c r="AA46" s="143">
        <f>AA45*B110*12*365</f>
        <v>331649706.66666663</v>
      </c>
      <c r="AB46" s="143">
        <f>AB45*B110*12*365</f>
        <v>331649706.66666663</v>
      </c>
      <c r="AC46" s="143">
        <f>AC45*B110*12*365</f>
        <v>331649706.66666663</v>
      </c>
      <c r="AD46" s="143">
        <f>AD45*B110*12*365</f>
        <v>331649706.66666663</v>
      </c>
      <c r="AE46" s="143">
        <f>AE45*B110*12*365</f>
        <v>401169066.66666663</v>
      </c>
      <c r="AF46" s="143">
        <f>AF45*B110*12*365</f>
        <v>331649706.66666663</v>
      </c>
      <c r="AG46" s="143">
        <f>AG45*B110*12*365</f>
        <v>253409280</v>
      </c>
      <c r="AH46" s="143">
        <f>AH45*B110*12*365</f>
        <v>253409280</v>
      </c>
      <c r="AI46" s="156">
        <f>AI45*B110*12*365</f>
        <v>253409280</v>
      </c>
      <c r="AJ46" s="143">
        <f>AJ45*B110*12*365</f>
        <v>253409280</v>
      </c>
      <c r="AK46" s="143">
        <f>AK45*B110*12*365</f>
        <v>253409280</v>
      </c>
      <c r="AL46" s="143">
        <f>AL45*B110*12*365</f>
        <v>253409280</v>
      </c>
      <c r="AM46" s="143">
        <f>AM45*B110*12*365</f>
        <v>253409280</v>
      </c>
      <c r="AN46" s="143">
        <f>AN45*B110*12*365</f>
        <v>253409280</v>
      </c>
      <c r="AO46" s="143">
        <f>AO45*B110*12*365</f>
        <v>331649706.66666663</v>
      </c>
      <c r="AP46" s="144">
        <f>AP45*B110*12*365</f>
        <v>253409280</v>
      </c>
      <c r="AQ46" s="142"/>
    </row>
    <row r="47" spans="1:43" ht="15.75" x14ac:dyDescent="0.25">
      <c r="A47" s="580" t="s">
        <v>323</v>
      </c>
      <c r="B47" s="578"/>
      <c r="C47" s="579"/>
      <c r="D47" s="152"/>
      <c r="E47" s="157">
        <f>B50*E46/D57</f>
        <v>714.29688888888882</v>
      </c>
      <c r="F47" s="157">
        <f>B50*F46/D57</f>
        <v>1055.8720000000001</v>
      </c>
      <c r="G47" s="158">
        <f>B50*G46/D57</f>
        <v>1055.8720000000001</v>
      </c>
      <c r="H47" s="158">
        <f>B50*H46/D57</f>
        <v>1381.8737777777776</v>
      </c>
      <c r="I47" s="158">
        <f>B50*I46/D57</f>
        <v>1381.8737777777776</v>
      </c>
      <c r="J47" s="158">
        <f>B50*J46/D57</f>
        <v>1055.8720000000001</v>
      </c>
      <c r="K47" s="158">
        <f>B50*K46/D57</f>
        <v>714.29688888888882</v>
      </c>
      <c r="L47" s="158">
        <f>B50*L46/D57</f>
        <v>714.29688888888882</v>
      </c>
      <c r="M47" s="158">
        <f>B50*M46/D57</f>
        <v>714.29688888888882</v>
      </c>
      <c r="N47" s="158">
        <f>B50*N46/D57</f>
        <v>1381.8737777777776</v>
      </c>
      <c r="O47" s="158">
        <f>B50*O46/D57</f>
        <v>1531.3777777777775</v>
      </c>
      <c r="P47" s="158">
        <f>B50*P46/D57</f>
        <v>1381.8737777777776</v>
      </c>
      <c r="Q47" s="158">
        <f>B50*Q46/D57</f>
        <v>1055.8720000000001</v>
      </c>
      <c r="R47" s="158">
        <f>B50*R46/D57</f>
        <v>1055.8720000000001</v>
      </c>
      <c r="S47" s="158">
        <f>B50*S46/D57</f>
        <v>1381.8737777777776</v>
      </c>
      <c r="T47" s="158">
        <f>B50*T46/D57</f>
        <v>1381.8737777777776</v>
      </c>
      <c r="U47" s="158">
        <f>B50*U46/D57</f>
        <v>1381.8737777777776</v>
      </c>
      <c r="V47" s="158">
        <f>B50*V46/D57</f>
        <v>1381.8737777777776</v>
      </c>
      <c r="W47" s="158">
        <f>B50*W46/D57</f>
        <v>1381.8737777777776</v>
      </c>
      <c r="X47" s="158">
        <f>B50*X46/D57</f>
        <v>1068.3306666666667</v>
      </c>
      <c r="Y47" s="158">
        <f>B50*Y46/D57</f>
        <v>1531.3777777777775</v>
      </c>
      <c r="Z47" s="158">
        <f>B50*Z46/D57</f>
        <v>1381.8737777777776</v>
      </c>
      <c r="AA47" s="158">
        <f>B50*AA46/D57</f>
        <v>1381.8737777777776</v>
      </c>
      <c r="AB47" s="158">
        <f>B50*AB46/D57</f>
        <v>1381.8737777777776</v>
      </c>
      <c r="AC47" s="158">
        <f>B50*AC46/D57</f>
        <v>1381.8737777777776</v>
      </c>
      <c r="AD47" s="158">
        <f>B50*AD46/D57</f>
        <v>1381.8737777777776</v>
      </c>
      <c r="AE47" s="158">
        <f>B50*AE46/D57</f>
        <v>1671.5377777777776</v>
      </c>
      <c r="AF47" s="158">
        <f>B50*AF46/D57</f>
        <v>1381.8737777777776</v>
      </c>
      <c r="AG47" s="158">
        <f>B50*AG46/D57</f>
        <v>1055.8720000000001</v>
      </c>
      <c r="AH47" s="158">
        <f>B50*AH46/D57</f>
        <v>1055.8720000000001</v>
      </c>
      <c r="AI47" s="158">
        <f>B50*AI46/D57</f>
        <v>1055.8720000000001</v>
      </c>
      <c r="AJ47" s="158">
        <f>B50*AJ46/D57</f>
        <v>1055.8720000000001</v>
      </c>
      <c r="AK47" s="158">
        <f>B50*AK46/D57</f>
        <v>1055.8720000000001</v>
      </c>
      <c r="AL47" s="158">
        <f>B50*AL46/D57</f>
        <v>1055.8720000000001</v>
      </c>
      <c r="AM47" s="158">
        <f>B50*AM46/D57</f>
        <v>1055.8720000000001</v>
      </c>
      <c r="AN47" s="158">
        <f>B50*AN46/D57</f>
        <v>1055.8720000000001</v>
      </c>
      <c r="AO47" s="158">
        <f>B50*AO46/D57</f>
        <v>1381.8737777777776</v>
      </c>
      <c r="AP47" s="159">
        <f>B50*AP46/D57</f>
        <v>1055.8720000000001</v>
      </c>
      <c r="AQ47" s="160"/>
    </row>
    <row r="48" spans="1:43" ht="15.75" x14ac:dyDescent="0.25">
      <c r="A48" s="581" t="s">
        <v>324</v>
      </c>
      <c r="B48" s="570"/>
      <c r="C48" s="570"/>
      <c r="D48" s="571"/>
      <c r="E48" s="161">
        <f>(H66/D57)*C57*B50</f>
        <v>739.91139249999992</v>
      </c>
      <c r="F48" s="162">
        <f>(H66/D57)*C57*B50</f>
        <v>739.91139249999992</v>
      </c>
      <c r="G48" s="162">
        <f>(H66/D57)*C57*B50</f>
        <v>739.91139249999992</v>
      </c>
      <c r="H48" s="162">
        <f>(H66/D57)*C57*B50</f>
        <v>739.91139249999992</v>
      </c>
      <c r="I48" s="162">
        <f>(H66/D57)*C57*B50</f>
        <v>739.91139249999992</v>
      </c>
      <c r="J48" s="162">
        <f>(H66/D57)*C57*B50</f>
        <v>739.91139249999992</v>
      </c>
      <c r="K48" s="162">
        <f>(H66/D57)*C57*B50</f>
        <v>739.91139249999992</v>
      </c>
      <c r="L48" s="162">
        <f>(H66/D57)*C57*B50</f>
        <v>739.91139249999992</v>
      </c>
      <c r="M48" s="162">
        <f>(H66/D57)*C57*B50</f>
        <v>739.91139249999992</v>
      </c>
      <c r="N48" s="162">
        <f>(H66/D57)*C57*B50</f>
        <v>739.91139249999992</v>
      </c>
      <c r="O48" s="162">
        <f>(H66/D57)*C57*B50</f>
        <v>739.91139249999992</v>
      </c>
      <c r="P48" s="162">
        <f>(H66/D57)*C57*B50</f>
        <v>739.91139249999992</v>
      </c>
      <c r="Q48" s="162">
        <f>(H66/D57)*C57*B50</f>
        <v>739.91139249999992</v>
      </c>
      <c r="R48" s="162">
        <f>(H66/D57)*C57*B50</f>
        <v>739.91139249999992</v>
      </c>
      <c r="S48" s="162">
        <f>(H66/D57)*C57*B50</f>
        <v>739.91139249999992</v>
      </c>
      <c r="T48" s="162">
        <f>(H66/D57)*C57*B50</f>
        <v>739.91139249999992</v>
      </c>
      <c r="U48" s="162">
        <f>(H66/D57)*C57*B50</f>
        <v>739.91139249999992</v>
      </c>
      <c r="V48" s="162">
        <f>(H66/D57)*C57*B50</f>
        <v>739.91139249999992</v>
      </c>
      <c r="W48" s="162">
        <f>(H66/D57)*C57*B50</f>
        <v>739.91139249999992</v>
      </c>
      <c r="X48" s="162">
        <f>(H66/D57)*C57*B50</f>
        <v>739.91139249999992</v>
      </c>
      <c r="Y48" s="162">
        <f>(H66/D57)*C57*B50</f>
        <v>739.91139249999992</v>
      </c>
      <c r="Z48" s="162">
        <f>(H66/D57)*C57*B50</f>
        <v>739.91139249999992</v>
      </c>
      <c r="AA48" s="162">
        <f>(H66/D57)*C57*B50</f>
        <v>739.91139249999992</v>
      </c>
      <c r="AB48" s="162">
        <f>(H66/D57)*C57*B50</f>
        <v>739.91139249999992</v>
      </c>
      <c r="AC48" s="162">
        <f>(H66/D57)*C57*B50</f>
        <v>739.91139249999992</v>
      </c>
      <c r="AD48" s="162">
        <f>(H66/D57)*C57*B50</f>
        <v>739.91139249999992</v>
      </c>
      <c r="AE48" s="162">
        <f>(H66/D57)*C57*B50</f>
        <v>739.91139249999992</v>
      </c>
      <c r="AF48" s="162">
        <f>(H66/D57)*C57*B50</f>
        <v>739.91139249999992</v>
      </c>
      <c r="AG48" s="162">
        <f>(H66/D57)*C57*B50</f>
        <v>739.91139249999992</v>
      </c>
      <c r="AH48" s="162">
        <f>(H66/D57)*C57*B50</f>
        <v>739.91139249999992</v>
      </c>
      <c r="AI48" s="162">
        <f>(H66/D57)*C57*B50</f>
        <v>739.91139249999992</v>
      </c>
      <c r="AJ48" s="162">
        <f>(H66/D57)*C57*B50</f>
        <v>739.91139249999992</v>
      </c>
      <c r="AK48" s="162">
        <f>(H66/D57)*C57*B50</f>
        <v>739.91139249999992</v>
      </c>
      <c r="AL48" s="162">
        <f>(H66/D57)*C57*B50</f>
        <v>739.91139249999992</v>
      </c>
      <c r="AM48" s="162">
        <f>(H66/D57)*C57*B50</f>
        <v>739.91139249999992</v>
      </c>
      <c r="AN48" s="162">
        <f>(H66/D57)*C57*B50</f>
        <v>739.91139249999992</v>
      </c>
      <c r="AO48" s="162">
        <f>(H68/D57)*C57*B50</f>
        <v>1113.681065</v>
      </c>
      <c r="AP48" s="163">
        <f>(H64/D57)*C57*B50</f>
        <v>373.76967250000007</v>
      </c>
      <c r="AQ48" s="160"/>
    </row>
    <row r="49" spans="1:43" ht="15.75" thickBot="1" x14ac:dyDescent="0.3">
      <c r="A49" s="164"/>
      <c r="B49" s="164"/>
      <c r="C49" s="164"/>
      <c r="D49" s="164"/>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119"/>
    </row>
    <row r="50" spans="1:43" ht="15.75" thickBot="1" x14ac:dyDescent="0.3">
      <c r="A50" s="165" t="s">
        <v>325</v>
      </c>
      <c r="B50" s="166">
        <v>0.15</v>
      </c>
      <c r="C50" s="164"/>
      <c r="D50" s="167"/>
      <c r="E50" s="168" t="s">
        <v>326</v>
      </c>
      <c r="F50" s="169">
        <v>0</v>
      </c>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119"/>
    </row>
    <row r="51" spans="1:43" ht="15.75" thickBot="1" x14ac:dyDescent="0.3">
      <c r="A51" s="170"/>
      <c r="B51" s="164"/>
      <c r="C51" s="164"/>
      <c r="D51" s="164"/>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119"/>
    </row>
    <row r="52" spans="1:43" ht="15.75" thickBot="1" x14ac:dyDescent="0.3">
      <c r="A52" s="171" t="s">
        <v>327</v>
      </c>
      <c r="B52" s="172" t="s">
        <v>328</v>
      </c>
      <c r="C52" s="173" t="s">
        <v>329</v>
      </c>
      <c r="D52" s="174" t="s">
        <v>330</v>
      </c>
      <c r="E52" s="175" t="s">
        <v>331</v>
      </c>
      <c r="F52" s="176" t="s">
        <v>332</v>
      </c>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119"/>
    </row>
    <row r="53" spans="1:43" ht="15.75" x14ac:dyDescent="0.25">
      <c r="A53" s="177" t="s">
        <v>333</v>
      </c>
      <c r="B53" s="178">
        <v>2</v>
      </c>
      <c r="C53" s="179">
        <v>110</v>
      </c>
      <c r="D53" s="180">
        <v>24</v>
      </c>
      <c r="E53" s="181">
        <f>B53*C53*D53/1000*365</f>
        <v>1927.2</v>
      </c>
      <c r="F53" s="157">
        <f>E53*B50</f>
        <v>289.08</v>
      </c>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119"/>
    </row>
    <row r="54" spans="1:43" ht="16.5" thickBot="1" x14ac:dyDescent="0.3">
      <c r="A54" s="182" t="s">
        <v>334</v>
      </c>
      <c r="B54" s="183">
        <v>1</v>
      </c>
      <c r="C54" s="139">
        <v>110</v>
      </c>
      <c r="D54" s="153">
        <v>2</v>
      </c>
      <c r="E54" s="140">
        <f>B54*C54*2/1000*365</f>
        <v>80.3</v>
      </c>
      <c r="F54" s="157">
        <f>E54*B50</f>
        <v>12.045</v>
      </c>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row>
    <row r="55" spans="1:43" ht="15.75" thickBot="1" x14ac:dyDescent="0.3">
      <c r="A55" s="184"/>
      <c r="B55" s="164"/>
      <c r="C55" s="164"/>
      <c r="D55" s="164"/>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row>
    <row r="56" spans="1:43" ht="15.75" thickBot="1" x14ac:dyDescent="0.3">
      <c r="A56" s="185" t="s">
        <v>335</v>
      </c>
      <c r="B56" s="186" t="s">
        <v>336</v>
      </c>
      <c r="C56" s="187" t="s">
        <v>337</v>
      </c>
      <c r="D56" s="188" t="s">
        <v>338</v>
      </c>
      <c r="E56" s="167"/>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row>
    <row r="57" spans="1:43" ht="15.75" thickBot="1" x14ac:dyDescent="0.3">
      <c r="A57" s="190" t="s">
        <v>339</v>
      </c>
      <c r="B57" s="191">
        <v>1</v>
      </c>
      <c r="C57" s="192">
        <v>10.5</v>
      </c>
      <c r="D57" s="193">
        <v>36000</v>
      </c>
      <c r="E57" s="119"/>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row>
    <row r="58" spans="1:43" ht="15.75" thickBot="1" x14ac:dyDescent="0.3">
      <c r="A58" s="170"/>
      <c r="B58" s="164"/>
      <c r="C58" s="164"/>
      <c r="D58" s="164"/>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row>
    <row r="59" spans="1:43" ht="15.75" thickBot="1" x14ac:dyDescent="0.3">
      <c r="A59" s="171" t="s">
        <v>340</v>
      </c>
      <c r="B59" s="172" t="s">
        <v>341</v>
      </c>
      <c r="C59" s="194" t="s">
        <v>342</v>
      </c>
      <c r="D59" s="173" t="s">
        <v>402</v>
      </c>
      <c r="E59" s="175" t="s">
        <v>343</v>
      </c>
      <c r="F59" s="195" t="s">
        <v>344</v>
      </c>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row>
    <row r="60" spans="1:43" ht="16.5" thickBot="1" x14ac:dyDescent="0.3">
      <c r="A60" s="190" t="s">
        <v>340</v>
      </c>
      <c r="B60" s="191">
        <v>4</v>
      </c>
      <c r="C60" s="196">
        <v>184</v>
      </c>
      <c r="D60" s="192">
        <v>24</v>
      </c>
      <c r="E60" s="197">
        <f>(D60)*(C60)/1000*365*(B60)</f>
        <v>6447.3600000000006</v>
      </c>
      <c r="F60" s="198">
        <f>E60*B50</f>
        <v>967.10400000000004</v>
      </c>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row>
    <row r="61" spans="1:43" ht="15.75" thickBot="1" x14ac:dyDescent="0.3">
      <c r="A61" s="170"/>
      <c r="B61" s="164"/>
      <c r="C61" s="80"/>
      <c r="D61" s="164"/>
      <c r="E61" s="164"/>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row>
    <row r="62" spans="1:43" ht="45.75" thickBot="1" x14ac:dyDescent="0.3">
      <c r="A62" s="199" t="s">
        <v>345</v>
      </c>
      <c r="B62" s="200" t="s">
        <v>346</v>
      </c>
      <c r="C62" s="201" t="s">
        <v>347</v>
      </c>
      <c r="D62" s="202" t="s">
        <v>348</v>
      </c>
      <c r="E62" s="203" t="s">
        <v>349</v>
      </c>
      <c r="F62" s="203" t="s">
        <v>350</v>
      </c>
      <c r="G62" s="203" t="s">
        <v>351</v>
      </c>
      <c r="H62" s="204" t="s">
        <v>352</v>
      </c>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row>
    <row r="63" spans="1:43" ht="15" x14ac:dyDescent="0.2">
      <c r="A63" s="177" t="s">
        <v>353</v>
      </c>
      <c r="B63" s="205">
        <v>1</v>
      </c>
      <c r="C63" s="180">
        <v>14</v>
      </c>
      <c r="D63" s="206">
        <f t="shared" ref="D63:D68" si="13">SUM(B63*C63)*365</f>
        <v>5110</v>
      </c>
      <c r="E63" s="207">
        <v>0.13650000000000001</v>
      </c>
      <c r="F63" s="208">
        <f>E63*B63*1000</f>
        <v>136.5</v>
      </c>
      <c r="G63" s="209">
        <f>F63*C63</f>
        <v>1911</v>
      </c>
      <c r="H63" s="210">
        <f t="shared" ref="H63:H68" si="14">G63*365</f>
        <v>697515</v>
      </c>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row>
    <row r="64" spans="1:43" ht="15" x14ac:dyDescent="0.2">
      <c r="A64" s="211" t="s">
        <v>354</v>
      </c>
      <c r="B64" s="212">
        <v>4.9000000000000004</v>
      </c>
      <c r="C64" s="155">
        <v>14</v>
      </c>
      <c r="D64" s="213">
        <f t="shared" si="13"/>
        <v>25039.000000000004</v>
      </c>
      <c r="E64" s="214">
        <v>0.3412</v>
      </c>
      <c r="F64" s="215">
        <f>B64*E64*1000</f>
        <v>1671.88</v>
      </c>
      <c r="G64" s="216">
        <f>F64*C64</f>
        <v>23406.32</v>
      </c>
      <c r="H64" s="217">
        <f t="shared" si="14"/>
        <v>8543306.8000000007</v>
      </c>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row>
    <row r="65" spans="1:43" ht="15" x14ac:dyDescent="0.2">
      <c r="A65" s="218" t="s">
        <v>355</v>
      </c>
      <c r="B65" s="219">
        <v>3.9</v>
      </c>
      <c r="C65" s="153">
        <v>14</v>
      </c>
      <c r="D65" s="220">
        <f t="shared" si="13"/>
        <v>19929</v>
      </c>
      <c r="E65" s="221">
        <v>0.13650000000000001</v>
      </c>
      <c r="F65" s="222">
        <f>B65*E65*1000</f>
        <v>532.35</v>
      </c>
      <c r="G65" s="223">
        <f>C65*F65</f>
        <v>7452.9000000000005</v>
      </c>
      <c r="H65" s="224">
        <f t="shared" si="14"/>
        <v>2720308.5</v>
      </c>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row>
    <row r="66" spans="1:43" ht="15" x14ac:dyDescent="0.2">
      <c r="A66" s="211" t="s">
        <v>356</v>
      </c>
      <c r="B66" s="212">
        <v>9.6999999999999993</v>
      </c>
      <c r="C66" s="155">
        <v>14</v>
      </c>
      <c r="D66" s="213">
        <f t="shared" si="13"/>
        <v>49566.999999999993</v>
      </c>
      <c r="E66" s="214">
        <v>0.3412</v>
      </c>
      <c r="F66" s="215">
        <f>B66*E66*1000</f>
        <v>3309.64</v>
      </c>
      <c r="G66" s="216">
        <f>F66*C66</f>
        <v>46334.96</v>
      </c>
      <c r="H66" s="217">
        <f t="shared" si="14"/>
        <v>16912260.399999999</v>
      </c>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row>
    <row r="67" spans="1:43" ht="15" x14ac:dyDescent="0.2">
      <c r="A67" s="218" t="s">
        <v>357</v>
      </c>
      <c r="B67" s="219">
        <v>5.8</v>
      </c>
      <c r="C67" s="153">
        <v>14</v>
      </c>
      <c r="D67" s="220">
        <f t="shared" si="13"/>
        <v>29638</v>
      </c>
      <c r="E67" s="221">
        <v>0.13650000000000001</v>
      </c>
      <c r="F67" s="222">
        <f>B67*E67*1000</f>
        <v>791.7</v>
      </c>
      <c r="G67" s="223">
        <f>F67*C67</f>
        <v>11083.800000000001</v>
      </c>
      <c r="H67" s="224">
        <f t="shared" si="14"/>
        <v>4045587.0000000005</v>
      </c>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row>
    <row r="68" spans="1:43" ht="15.75" thickBot="1" x14ac:dyDescent="0.25">
      <c r="A68" s="225" t="s">
        <v>358</v>
      </c>
      <c r="B68" s="226">
        <v>14.6</v>
      </c>
      <c r="C68" s="227">
        <v>14</v>
      </c>
      <c r="D68" s="228">
        <f t="shared" si="13"/>
        <v>74606</v>
      </c>
      <c r="E68" s="229">
        <v>0.3412</v>
      </c>
      <c r="F68" s="230">
        <f>B68*E68*1000</f>
        <v>4981.5199999999995</v>
      </c>
      <c r="G68" s="231">
        <f>F68*C68</f>
        <v>69741.279999999999</v>
      </c>
      <c r="H68" s="232">
        <f t="shared" si="14"/>
        <v>25455567.199999999</v>
      </c>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row>
    <row r="69" spans="1:43" ht="15.75" thickBot="1" x14ac:dyDescent="0.25">
      <c r="A69" s="233"/>
      <c r="B69" s="119"/>
      <c r="C69" s="119"/>
      <c r="D69" s="119"/>
      <c r="E69" s="234"/>
      <c r="F69" s="235"/>
      <c r="G69" s="236"/>
      <c r="H69" s="235"/>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row>
    <row r="70" spans="1:43" ht="45.75" thickBot="1" x14ac:dyDescent="0.25">
      <c r="A70" s="238" t="s">
        <v>359</v>
      </c>
      <c r="B70" s="239" t="s">
        <v>360</v>
      </c>
      <c r="C70" s="239" t="s">
        <v>361</v>
      </c>
      <c r="D70" s="240" t="s">
        <v>362</v>
      </c>
      <c r="E70" s="240" t="s">
        <v>363</v>
      </c>
      <c r="F70" s="240" t="s">
        <v>364</v>
      </c>
      <c r="G70" s="241" t="s">
        <v>365</v>
      </c>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3"/>
      <c r="AP70" s="242"/>
      <c r="AQ70" s="80"/>
    </row>
    <row r="71" spans="1:43" ht="16.5" thickBot="1" x14ac:dyDescent="0.25">
      <c r="A71" s="243">
        <v>3</v>
      </c>
      <c r="B71" s="196">
        <v>1500</v>
      </c>
      <c r="C71" s="196">
        <v>0.1</v>
      </c>
      <c r="D71" s="196">
        <v>6500</v>
      </c>
      <c r="E71" s="244">
        <f>D71/D57*C57*B50</f>
        <v>0.28437499999999999</v>
      </c>
      <c r="F71" s="245">
        <f>A71*C71</f>
        <v>0.30000000000000004</v>
      </c>
      <c r="G71" s="246">
        <v>1.25</v>
      </c>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3"/>
      <c r="AP71" s="242"/>
      <c r="AQ71" s="80"/>
    </row>
    <row r="72" spans="1:43" ht="15.75" thickBot="1" x14ac:dyDescent="0.3">
      <c r="A72" s="170"/>
      <c r="B72" s="164"/>
      <c r="C72" s="164"/>
      <c r="D72" s="164"/>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row>
    <row r="73" spans="1:43" ht="45.75" thickBot="1" x14ac:dyDescent="0.25">
      <c r="A73" s="171" t="s">
        <v>366</v>
      </c>
      <c r="B73" s="247" t="s">
        <v>367</v>
      </c>
      <c r="C73" s="248" t="s">
        <v>368</v>
      </c>
      <c r="D73" s="249" t="s">
        <v>369</v>
      </c>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row>
    <row r="74" spans="1:43" ht="15" x14ac:dyDescent="0.25">
      <c r="A74" s="177" t="s">
        <v>370</v>
      </c>
      <c r="B74" s="178">
        <v>25</v>
      </c>
      <c r="C74" s="181">
        <v>9</v>
      </c>
      <c r="D74" s="250">
        <f>B74*C74</f>
        <v>225</v>
      </c>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row>
    <row r="75" spans="1:43" ht="15" x14ac:dyDescent="0.25">
      <c r="A75" s="211" t="s">
        <v>371</v>
      </c>
      <c r="B75" s="251">
        <v>25</v>
      </c>
      <c r="C75" s="144">
        <v>36</v>
      </c>
      <c r="D75" s="252">
        <f>B75*C75</f>
        <v>900</v>
      </c>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row>
    <row r="76" spans="1:43" ht="15.75" thickBot="1" x14ac:dyDescent="0.3">
      <c r="A76" s="182" t="s">
        <v>372</v>
      </c>
      <c r="B76" s="253">
        <v>25</v>
      </c>
      <c r="C76" s="254">
        <v>54</v>
      </c>
      <c r="D76" s="255">
        <f>B76*C76</f>
        <v>1350</v>
      </c>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row>
    <row r="77" spans="1:43" ht="15.75" thickBot="1" x14ac:dyDescent="0.3">
      <c r="A77" s="170"/>
      <c r="B77" s="164"/>
      <c r="C77" s="164"/>
      <c r="D77" s="164"/>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row>
    <row r="78" spans="1:43" ht="15.75" thickBot="1" x14ac:dyDescent="0.3">
      <c r="A78" s="256" t="s">
        <v>373</v>
      </c>
      <c r="B78" s="257" t="s">
        <v>374</v>
      </c>
      <c r="C78" s="164"/>
      <c r="D78" s="164"/>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row>
    <row r="79" spans="1:43" ht="15" x14ac:dyDescent="0.25">
      <c r="A79" s="258" t="s">
        <v>375</v>
      </c>
      <c r="B79" s="259">
        <v>1.2</v>
      </c>
      <c r="C79" s="164"/>
      <c r="D79" s="164"/>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row>
    <row r="80" spans="1:43" ht="15" x14ac:dyDescent="0.2">
      <c r="A80" s="260" t="s">
        <v>376</v>
      </c>
      <c r="B80" s="261">
        <v>7.0000000000000007E-2</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row>
    <row r="81" spans="1:43" ht="15.75" thickBot="1" x14ac:dyDescent="0.25">
      <c r="A81" s="262" t="s">
        <v>377</v>
      </c>
      <c r="B81" s="263">
        <v>0.02</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row>
    <row r="82" spans="1:43" ht="15.75" thickBot="1" x14ac:dyDescent="0.25">
      <c r="A82" s="264"/>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row>
    <row r="83" spans="1:43" ht="15.75" thickBot="1" x14ac:dyDescent="0.3">
      <c r="A83" s="171" t="s">
        <v>295</v>
      </c>
      <c r="B83" s="265" t="s">
        <v>378</v>
      </c>
      <c r="C83" s="266" t="s">
        <v>379</v>
      </c>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row>
    <row r="84" spans="1:43" ht="15.75" x14ac:dyDescent="0.25">
      <c r="A84" s="177" t="s">
        <v>380</v>
      </c>
      <c r="B84" s="267">
        <v>0</v>
      </c>
      <c r="C84" s="268" t="s">
        <v>381</v>
      </c>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row>
    <row r="85" spans="1:43" ht="15.75" x14ac:dyDescent="0.25">
      <c r="A85" s="211" t="s">
        <v>382</v>
      </c>
      <c r="B85" s="212" t="s">
        <v>381</v>
      </c>
      <c r="C85" s="269">
        <v>0.7</v>
      </c>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row>
    <row r="86" spans="1:43" ht="15.75" x14ac:dyDescent="0.25">
      <c r="A86" s="218" t="s">
        <v>383</v>
      </c>
      <c r="B86" s="270">
        <v>0.03</v>
      </c>
      <c r="C86" s="271" t="s">
        <v>381</v>
      </c>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row>
    <row r="87" spans="1:43" ht="16.5" thickBot="1" x14ac:dyDescent="0.3">
      <c r="A87" s="225" t="s">
        <v>24</v>
      </c>
      <c r="B87" s="272">
        <v>0</v>
      </c>
      <c r="C87" s="273" t="s">
        <v>381</v>
      </c>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row>
    <row r="88" spans="1:43" ht="15.75" thickBot="1" x14ac:dyDescent="0.25">
      <c r="A88" s="264"/>
      <c r="B88" s="132"/>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row>
    <row r="89" spans="1:43" ht="15.75" thickBot="1" x14ac:dyDescent="0.3">
      <c r="A89" s="171" t="s">
        <v>384</v>
      </c>
      <c r="B89" s="274" t="s">
        <v>385</v>
      </c>
      <c r="C89" s="266" t="s">
        <v>386</v>
      </c>
      <c r="D89" s="131"/>
      <c r="E89" s="131"/>
      <c r="F89" s="131"/>
      <c r="G89" s="275"/>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row>
    <row r="90" spans="1:43" ht="15" x14ac:dyDescent="0.2">
      <c r="A90" s="177" t="s">
        <v>380</v>
      </c>
      <c r="B90" s="276" t="s">
        <v>381</v>
      </c>
      <c r="C90" s="277">
        <v>0.09</v>
      </c>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row>
    <row r="91" spans="1:43" ht="15" x14ac:dyDescent="0.2">
      <c r="A91" s="211" t="s">
        <v>387</v>
      </c>
      <c r="B91" s="278" t="s">
        <v>381</v>
      </c>
      <c r="C91" s="279">
        <v>12.82</v>
      </c>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row>
    <row r="92" spans="1:43" ht="15" x14ac:dyDescent="0.2">
      <c r="A92" s="218" t="s">
        <v>388</v>
      </c>
      <c r="B92" s="280">
        <v>2E-3</v>
      </c>
      <c r="C92" s="281" t="s">
        <v>381</v>
      </c>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row>
    <row r="93" spans="1:43" ht="15.75" thickBot="1" x14ac:dyDescent="0.25">
      <c r="A93" s="225" t="s">
        <v>24</v>
      </c>
      <c r="B93" s="282">
        <v>0.13</v>
      </c>
      <c r="C93" s="283" t="s">
        <v>381</v>
      </c>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row>
    <row r="94" spans="1:43" ht="15.75" thickBot="1" x14ac:dyDescent="0.25">
      <c r="A94" s="264"/>
      <c r="B94" s="284"/>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row>
    <row r="95" spans="1:43" ht="15.75" thickBot="1" x14ac:dyDescent="0.25">
      <c r="A95" s="171" t="s">
        <v>389</v>
      </c>
      <c r="B95" s="285">
        <v>15</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row>
    <row r="96" spans="1:43" ht="15.75" thickBot="1" x14ac:dyDescent="0.25">
      <c r="A96" s="264"/>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row>
    <row r="97" spans="1:43" ht="15.75" thickBot="1" x14ac:dyDescent="0.25">
      <c r="A97" s="171" t="s">
        <v>390</v>
      </c>
      <c r="B97" s="60">
        <v>1800</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row>
    <row r="98" spans="1:43" ht="13.5" thickBot="1" x14ac:dyDescent="0.25">
      <c r="A98" s="286"/>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row>
    <row r="99" spans="1:43" ht="15.75" thickBot="1" x14ac:dyDescent="0.25">
      <c r="A99" s="171" t="s">
        <v>391</v>
      </c>
      <c r="B99" s="60">
        <v>3200</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row>
    <row r="100" spans="1:43" ht="13.5" thickBot="1" x14ac:dyDescent="0.25">
      <c r="A100" s="286"/>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row>
    <row r="101" spans="1:43" ht="15.75" thickBot="1" x14ac:dyDescent="0.3">
      <c r="A101" s="287" t="s">
        <v>392</v>
      </c>
      <c r="B101" s="173" t="s">
        <v>393</v>
      </c>
      <c r="C101" s="195" t="s">
        <v>394</v>
      </c>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row>
    <row r="102" spans="1:43" ht="16.5" thickBot="1" x14ac:dyDescent="0.3">
      <c r="A102" s="288">
        <v>2.5999999999999999E-3</v>
      </c>
      <c r="B102" s="196">
        <v>27000</v>
      </c>
      <c r="C102" s="198">
        <f>A102*B102</f>
        <v>70.2</v>
      </c>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row>
    <row r="103" spans="1:43" ht="13.5" thickBot="1" x14ac:dyDescent="0.25">
      <c r="A103" s="286"/>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row>
    <row r="104" spans="1:43" ht="15.75" thickBot="1" x14ac:dyDescent="0.3">
      <c r="A104" s="171" t="s">
        <v>395</v>
      </c>
      <c r="B104" s="172" t="s">
        <v>103</v>
      </c>
      <c r="C104" s="173" t="s">
        <v>104</v>
      </c>
      <c r="D104" s="173" t="s">
        <v>80</v>
      </c>
      <c r="E104" s="173" t="s">
        <v>81</v>
      </c>
      <c r="F104" s="173" t="s">
        <v>82</v>
      </c>
      <c r="G104" s="173" t="s">
        <v>83</v>
      </c>
      <c r="H104" s="173" t="s">
        <v>84</v>
      </c>
      <c r="I104" s="173" t="s">
        <v>85</v>
      </c>
      <c r="J104" s="173" t="s">
        <v>86</v>
      </c>
      <c r="K104" s="173" t="s">
        <v>87</v>
      </c>
      <c r="L104" s="173" t="s">
        <v>88</v>
      </c>
      <c r="M104" s="195" t="s">
        <v>89</v>
      </c>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row>
    <row r="105" spans="1:43" ht="15" x14ac:dyDescent="0.2">
      <c r="A105" s="177" t="s">
        <v>396</v>
      </c>
      <c r="B105" s="205">
        <v>52</v>
      </c>
      <c r="C105" s="180">
        <v>59</v>
      </c>
      <c r="D105" s="180">
        <v>78</v>
      </c>
      <c r="E105" s="180">
        <v>78</v>
      </c>
      <c r="F105" s="180">
        <v>83</v>
      </c>
      <c r="G105" s="180">
        <v>84</v>
      </c>
      <c r="H105" s="180">
        <v>81</v>
      </c>
      <c r="I105" s="180">
        <v>78</v>
      </c>
      <c r="J105" s="180">
        <v>68</v>
      </c>
      <c r="K105" s="180">
        <v>60</v>
      </c>
      <c r="L105" s="180">
        <v>52</v>
      </c>
      <c r="M105" s="180">
        <v>48</v>
      </c>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row>
    <row r="106" spans="1:43" ht="15.75" thickBot="1" x14ac:dyDescent="0.25">
      <c r="A106" s="182" t="s">
        <v>397</v>
      </c>
      <c r="B106" s="219">
        <v>67</v>
      </c>
      <c r="C106" s="153">
        <v>73</v>
      </c>
      <c r="D106" s="153">
        <v>80</v>
      </c>
      <c r="E106" s="153">
        <v>90</v>
      </c>
      <c r="F106" s="153">
        <v>101</v>
      </c>
      <c r="G106" s="153">
        <v>106</v>
      </c>
      <c r="H106" s="153">
        <v>109</v>
      </c>
      <c r="I106" s="153">
        <v>108</v>
      </c>
      <c r="J106" s="153">
        <v>104</v>
      </c>
      <c r="K106" s="153">
        <v>94</v>
      </c>
      <c r="L106" s="153">
        <v>81</v>
      </c>
      <c r="M106" s="153">
        <v>71</v>
      </c>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row>
    <row r="107" spans="1:43" ht="13.5" thickBot="1" x14ac:dyDescent="0.25">
      <c r="A107" s="286"/>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row>
    <row r="108" spans="1:43" ht="15" x14ac:dyDescent="0.2">
      <c r="A108" s="290" t="s">
        <v>398</v>
      </c>
      <c r="B108" s="291">
        <v>18</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row>
    <row r="109" spans="1:43" ht="15" x14ac:dyDescent="0.2">
      <c r="A109" s="292" t="s">
        <v>399</v>
      </c>
      <c r="B109" s="293">
        <v>1024</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row>
    <row r="110" spans="1:43" ht="15.75" thickBot="1" x14ac:dyDescent="0.25">
      <c r="A110" s="294" t="s">
        <v>400</v>
      </c>
      <c r="B110" s="295">
        <f>B109/B108</f>
        <v>56.888888888888886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row>
    <row r="111" spans="1:43" x14ac:dyDescent="0.2">
      <c r="A111" s="286" t="s">
        <v>401</v>
      </c>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row>
    <row r="112" spans="1:43" ht="13.5" thickBot="1" x14ac:dyDescent="0.25">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row>
    <row r="113" spans="1:43" ht="18.600000000000001" customHeight="1" thickBot="1" x14ac:dyDescent="0.3">
      <c r="A113" s="582" t="s">
        <v>249</v>
      </c>
      <c r="B113" s="582"/>
      <c r="C113" s="582"/>
      <c r="D113" s="582"/>
      <c r="E113" s="582"/>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4"/>
      <c r="AP113" s="55"/>
      <c r="AQ113" s="56"/>
    </row>
    <row r="114" spans="1:43" x14ac:dyDescent="0.2">
      <c r="A114" s="583"/>
      <c r="B114" s="583"/>
      <c r="C114" s="583"/>
      <c r="D114" s="583"/>
      <c r="E114" s="583"/>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row>
    <row r="115" spans="1:43" x14ac:dyDescent="0.2">
      <c r="A115" s="583"/>
      <c r="B115" s="583"/>
      <c r="C115" s="583"/>
      <c r="D115" s="583"/>
      <c r="E115" s="583"/>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row>
    <row r="116" spans="1:43" x14ac:dyDescent="0.2">
      <c r="A116" s="583"/>
      <c r="B116" s="583"/>
      <c r="C116" s="583"/>
      <c r="D116" s="583"/>
      <c r="E116" s="583"/>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row>
    <row r="117" spans="1:43" x14ac:dyDescent="0.25">
      <c r="A117" s="583"/>
      <c r="B117" s="583"/>
      <c r="C117" s="583"/>
      <c r="D117" s="583"/>
      <c r="E117" s="583"/>
    </row>
    <row r="118" spans="1:43" x14ac:dyDescent="0.25">
      <c r="A118" s="583"/>
      <c r="B118" s="583"/>
      <c r="C118" s="583"/>
      <c r="D118" s="583"/>
      <c r="E118" s="583"/>
    </row>
    <row r="119" spans="1:43" x14ac:dyDescent="0.25">
      <c r="A119" s="583"/>
      <c r="B119" s="583"/>
      <c r="C119" s="583"/>
      <c r="D119" s="583"/>
      <c r="E119" s="583"/>
    </row>
    <row r="120" spans="1:43" x14ac:dyDescent="0.25">
      <c r="A120" s="583"/>
      <c r="B120" s="583"/>
      <c r="C120" s="583"/>
      <c r="D120" s="583"/>
      <c r="E120" s="583"/>
    </row>
  </sheetData>
  <mergeCells count="15">
    <mergeCell ref="A47:C47"/>
    <mergeCell ref="A48:D48"/>
    <mergeCell ref="A113:E120"/>
    <mergeCell ref="A41:C41"/>
    <mergeCell ref="A42:C42"/>
    <mergeCell ref="A43:C43"/>
    <mergeCell ref="A44:C44"/>
    <mergeCell ref="A45:C45"/>
    <mergeCell ref="A46:C46"/>
    <mergeCell ref="A40:C40"/>
    <mergeCell ref="E1:AN1"/>
    <mergeCell ref="A4:A19"/>
    <mergeCell ref="A37:C37"/>
    <mergeCell ref="A38:C38"/>
    <mergeCell ref="A39:C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zoomScale="90" zoomScaleNormal="90" workbookViewId="0">
      <selection activeCell="H14" sqref="H14"/>
    </sheetView>
  </sheetViews>
  <sheetFormatPr defaultColWidth="31" defaultRowHeight="21" outlineLevelRow="2" outlineLevelCol="1" x14ac:dyDescent="0.35"/>
  <cols>
    <col min="1" max="1" width="2.125" style="13" customWidth="1"/>
    <col min="2" max="2" width="38.875" style="13" customWidth="1"/>
    <col min="3" max="3" width="2.625" style="13" customWidth="1"/>
    <col min="4" max="4" width="15.25" style="13" customWidth="1"/>
    <col min="5" max="5" width="14.875" style="13" customWidth="1"/>
    <col min="6" max="6" width="17.125" style="13" customWidth="1"/>
    <col min="7" max="7" width="11.875" style="13" customWidth="1"/>
    <col min="8" max="8" width="14.875" style="13" customWidth="1" outlineLevel="1"/>
    <col min="9" max="9" width="14.875" style="13" customWidth="1"/>
    <col min="10" max="16384" width="31" style="13"/>
  </cols>
  <sheetData>
    <row r="1" spans="1:9" ht="58.35" customHeight="1" x14ac:dyDescent="0.35">
      <c r="A1" s="14"/>
      <c r="B1" s="14"/>
      <c r="C1" s="14"/>
      <c r="D1" s="14"/>
      <c r="F1" s="14"/>
    </row>
    <row r="2" spans="1:9" x14ac:dyDescent="0.35">
      <c r="A2" s="539" t="s">
        <v>1202</v>
      </c>
      <c r="B2" s="539"/>
      <c r="C2" s="539"/>
      <c r="D2" s="539"/>
      <c r="E2" s="539"/>
      <c r="F2" s="539"/>
    </row>
    <row r="3" spans="1:9" ht="45.75" customHeight="1" x14ac:dyDescent="0.5">
      <c r="A3" s="14"/>
      <c r="B3" s="15"/>
      <c r="C3" s="16"/>
      <c r="D3" s="484" t="s">
        <v>1203</v>
      </c>
      <c r="E3" s="483" t="s">
        <v>1204</v>
      </c>
      <c r="F3" s="483" t="s">
        <v>1180</v>
      </c>
      <c r="G3" s="323"/>
      <c r="H3" s="323"/>
      <c r="I3" s="323"/>
    </row>
    <row r="4" spans="1:9" x14ac:dyDescent="0.35">
      <c r="A4" s="14"/>
      <c r="B4" s="15" t="s">
        <v>9</v>
      </c>
      <c r="C4" s="17"/>
      <c r="D4" s="17">
        <f>HistoricalView!Y23</f>
        <v>6822.6</v>
      </c>
      <c r="E4" s="17">
        <f>HistoricalView!Z23</f>
        <v>12866.75</v>
      </c>
      <c r="F4" s="17">
        <f>HistoricalView!AA23</f>
        <v>19819.53</v>
      </c>
      <c r="G4" s="39"/>
      <c r="H4" s="39" t="s">
        <v>1281</v>
      </c>
      <c r="I4" s="39"/>
    </row>
    <row r="5" spans="1:9" x14ac:dyDescent="0.35">
      <c r="A5" s="14"/>
      <c r="B5" s="15" t="s">
        <v>424</v>
      </c>
      <c r="C5" s="17"/>
      <c r="D5" s="17">
        <f>SUM(HistoricalView!Y7+HistoricalView!Y12+HistoricalView!Y13+HistoricalView!Y14+HistoricalView!Y17)</f>
        <v>262692.5</v>
      </c>
      <c r="E5" s="17">
        <f>SUM(HistoricalView!Z7+HistoricalView!Z12+HistoricalView!Z13+HistoricalView!Z14+HistoricalView!Z17)</f>
        <v>232590.49999999997</v>
      </c>
      <c r="F5" s="17">
        <f>SUM(HistoricalView!AA7+HistoricalView!AA12+HistoricalView!AA13+HistoricalView!AA14+HistoricalView!AA17)</f>
        <v>206000</v>
      </c>
      <c r="G5" s="39"/>
      <c r="H5" s="39" t="s">
        <v>1287</v>
      </c>
      <c r="I5" s="39"/>
    </row>
    <row r="6" spans="1:9" x14ac:dyDescent="0.35">
      <c r="A6" s="14"/>
      <c r="B6" s="15" t="s">
        <v>107</v>
      </c>
      <c r="C6" s="17"/>
      <c r="D6" s="17">
        <f>HistoricalView!Y11+HistoricalView!Y8</f>
        <v>203732.92</v>
      </c>
      <c r="E6" s="17">
        <f>HistoricalView!Z9+HistoricalView!Z8</f>
        <v>172309.06000000003</v>
      </c>
      <c r="F6" s="17">
        <f>HistoricalView!AA11+HistoricalView!AA8</f>
        <v>150000</v>
      </c>
      <c r="G6" s="39"/>
      <c r="H6" s="39"/>
      <c r="I6" s="39"/>
    </row>
    <row r="7" spans="1:9" x14ac:dyDescent="0.35">
      <c r="A7" s="14"/>
      <c r="B7" s="15" t="s">
        <v>1199</v>
      </c>
      <c r="C7" s="17"/>
      <c r="D7" s="17">
        <f>HistoricalView!Y16</f>
        <v>43404.26</v>
      </c>
      <c r="E7" s="17">
        <f>HistoricalView!Z16</f>
        <v>87359.06</v>
      </c>
      <c r="F7" s="17">
        <f>HistoricalView!AA16</f>
        <v>100250</v>
      </c>
      <c r="G7" s="39"/>
      <c r="H7" s="39"/>
      <c r="I7" s="39"/>
    </row>
    <row r="8" spans="1:9" x14ac:dyDescent="0.35">
      <c r="A8" s="14"/>
      <c r="B8" s="15" t="s">
        <v>1261</v>
      </c>
      <c r="C8" s="17"/>
      <c r="D8" s="17"/>
      <c r="E8" s="17"/>
      <c r="F8" s="17">
        <f>HistoricalView!AA26</f>
        <v>50000</v>
      </c>
      <c r="G8" s="39"/>
      <c r="H8" s="39"/>
      <c r="I8" s="39"/>
    </row>
    <row r="9" spans="1:9" x14ac:dyDescent="0.35">
      <c r="A9" s="14"/>
      <c r="B9" s="15" t="s">
        <v>425</v>
      </c>
      <c r="C9" s="17"/>
      <c r="D9" s="17">
        <f>HistoricalView!Y18+HistoricalView!Y24</f>
        <v>3355.2400000000002</v>
      </c>
      <c r="E9" s="17">
        <f>HistoricalView!Z18+HistoricalView!Z24+HistoricalView!Z25</f>
        <v>5383.41</v>
      </c>
      <c r="F9" s="17">
        <f>HistoricalView!AA18+HistoricalView!AA24+HistoricalView!AA25</f>
        <v>1000</v>
      </c>
      <c r="G9" s="39"/>
      <c r="H9" s="39"/>
      <c r="I9" s="39"/>
    </row>
    <row r="10" spans="1:9" x14ac:dyDescent="0.35">
      <c r="A10" s="14"/>
      <c r="B10" s="315" t="s">
        <v>449</v>
      </c>
      <c r="C10" s="18"/>
      <c r="D10" s="18">
        <f>SUM(D4:D9)</f>
        <v>520007.52</v>
      </c>
      <c r="E10" s="18">
        <f>SUM(E4:E9)</f>
        <v>510508.77999999997</v>
      </c>
      <c r="F10" s="18">
        <f>SUM(F4:F9)</f>
        <v>527069.53</v>
      </c>
      <c r="G10" s="39"/>
      <c r="H10" s="39"/>
      <c r="I10" s="39"/>
    </row>
    <row r="11" spans="1:9" ht="13.5" customHeight="1" x14ac:dyDescent="0.35">
      <c r="A11" s="14"/>
      <c r="B11" s="15"/>
      <c r="C11" s="17"/>
      <c r="D11" s="17"/>
      <c r="E11" s="17"/>
      <c r="F11" s="17"/>
      <c r="G11" s="39"/>
      <c r="H11" s="39"/>
      <c r="I11" s="39"/>
    </row>
    <row r="12" spans="1:9" x14ac:dyDescent="0.35">
      <c r="A12" s="14" t="s">
        <v>37</v>
      </c>
      <c r="B12" s="15"/>
      <c r="C12" s="17"/>
      <c r="D12" s="17"/>
      <c r="E12" s="17"/>
      <c r="F12" s="17"/>
      <c r="G12" s="39"/>
      <c r="H12" s="39"/>
      <c r="I12" s="39"/>
    </row>
    <row r="13" spans="1:9" x14ac:dyDescent="0.35">
      <c r="A13" s="14"/>
      <c r="B13" s="15" t="s">
        <v>20</v>
      </c>
      <c r="C13" s="17"/>
      <c r="D13" s="17">
        <f>HistoricalView!Y61</f>
        <v>145741.42000000001</v>
      </c>
      <c r="E13" s="17">
        <f>HistoricalView!Z61</f>
        <v>144287.68999999997</v>
      </c>
      <c r="F13" s="17">
        <f>HistoricalView!AA61</f>
        <v>169233</v>
      </c>
      <c r="G13" s="39"/>
      <c r="H13" s="39" t="s">
        <v>1321</v>
      </c>
      <c r="I13" s="39"/>
    </row>
    <row r="14" spans="1:9" x14ac:dyDescent="0.35">
      <c r="A14" s="14"/>
      <c r="B14" s="15" t="s">
        <v>1262</v>
      </c>
      <c r="C14" s="17"/>
      <c r="D14" s="17">
        <f>HistoricalView!Y120-HistoricalView!Y130-D15</f>
        <v>281077.12</v>
      </c>
      <c r="E14" s="17">
        <f>HistoricalView!Z120-HistoricalView!Z130-E15</f>
        <v>283978.44</v>
      </c>
      <c r="F14" s="17">
        <f>HistoricalView!AA120-HistoricalView!AA130-F15</f>
        <v>299163.07170104003</v>
      </c>
      <c r="G14" s="39"/>
      <c r="H14" s="39" t="s">
        <v>1285</v>
      </c>
      <c r="I14" s="39"/>
    </row>
    <row r="15" spans="1:9" outlineLevel="1" x14ac:dyDescent="0.35">
      <c r="A15" s="14"/>
      <c r="B15" s="15" t="s">
        <v>448</v>
      </c>
      <c r="C15" s="17"/>
      <c r="D15" s="17">
        <f>HistoricalView!Y127</f>
        <v>0</v>
      </c>
      <c r="E15" s="17">
        <f>HistoricalView!Z127</f>
        <v>42817</v>
      </c>
      <c r="F15" s="17">
        <f>HistoricalView!AA127</f>
        <v>9646.2000000000007</v>
      </c>
      <c r="G15" s="39"/>
      <c r="H15" s="39"/>
      <c r="I15" s="39"/>
    </row>
    <row r="16" spans="1:9" outlineLevel="2" x14ac:dyDescent="0.35">
      <c r="A16" s="14"/>
      <c r="B16" s="15" t="s">
        <v>427</v>
      </c>
      <c r="C16" s="17"/>
      <c r="D16" s="17"/>
      <c r="E16" s="17"/>
      <c r="F16" s="17"/>
      <c r="G16" s="39"/>
      <c r="H16" s="39"/>
      <c r="I16" s="39"/>
    </row>
    <row r="17" spans="1:9" x14ac:dyDescent="0.35">
      <c r="A17" s="14"/>
      <c r="B17" s="315" t="s">
        <v>450</v>
      </c>
      <c r="C17" s="18"/>
      <c r="D17" s="18">
        <f>SUM(D13:D16)</f>
        <v>426818.54000000004</v>
      </c>
      <c r="E17" s="18">
        <f t="shared" ref="E17:F17" si="0">SUM(E13:E16)</f>
        <v>471083.13</v>
      </c>
      <c r="F17" s="18">
        <f t="shared" si="0"/>
        <v>478042.27170104004</v>
      </c>
      <c r="G17" s="39"/>
      <c r="H17" s="39"/>
    </row>
    <row r="18" spans="1:9" x14ac:dyDescent="0.35">
      <c r="A18" s="14"/>
      <c r="B18" s="315" t="s">
        <v>503</v>
      </c>
      <c r="C18" s="18"/>
      <c r="D18" s="18">
        <f>D10-D17</f>
        <v>93188.979999999981</v>
      </c>
      <c r="E18" s="469">
        <f>E10-E17</f>
        <v>39425.649999999965</v>
      </c>
      <c r="F18" s="18">
        <f>F10-F17</f>
        <v>49027.25829895999</v>
      </c>
      <c r="G18" s="39"/>
      <c r="H18" s="39"/>
      <c r="I18" s="39"/>
    </row>
    <row r="19" spans="1:9" x14ac:dyDescent="0.35">
      <c r="A19" s="14"/>
      <c r="B19" s="15"/>
      <c r="C19" s="17"/>
      <c r="D19" s="17"/>
      <c r="E19" s="17"/>
      <c r="F19" s="17"/>
      <c r="G19" s="39"/>
      <c r="H19" s="39"/>
      <c r="I19" s="39"/>
    </row>
    <row r="20" spans="1:9" x14ac:dyDescent="0.35">
      <c r="A20" s="14"/>
      <c r="B20" s="15" t="s">
        <v>426</v>
      </c>
      <c r="C20" s="17"/>
      <c r="D20" s="17">
        <v>18738</v>
      </c>
      <c r="E20" s="17">
        <v>15278</v>
      </c>
      <c r="F20" s="17">
        <f>CapEx!F34</f>
        <v>12450</v>
      </c>
      <c r="G20" s="39"/>
      <c r="H20" s="39"/>
      <c r="I20" s="39"/>
    </row>
    <row r="21" spans="1:9" x14ac:dyDescent="0.35">
      <c r="A21" s="14"/>
      <c r="B21" s="15" t="s">
        <v>484</v>
      </c>
      <c r="C21" s="17"/>
      <c r="D21" s="17"/>
      <c r="E21" s="17">
        <v>67650</v>
      </c>
      <c r="F21" s="17">
        <f>CapEx!E34</f>
        <v>5750</v>
      </c>
      <c r="G21" s="39"/>
      <c r="H21" s="39"/>
      <c r="I21" s="39"/>
    </row>
    <row r="22" spans="1:9" x14ac:dyDescent="0.35">
      <c r="A22" s="14"/>
      <c r="B22" s="315" t="s">
        <v>451</v>
      </c>
      <c r="C22" s="18"/>
      <c r="D22" s="18">
        <f>SUM(D20:D21)</f>
        <v>18738</v>
      </c>
      <c r="E22" s="469">
        <v>82928</v>
      </c>
      <c r="F22" s="18">
        <f>SUM(F20:F21)</f>
        <v>18200</v>
      </c>
      <c r="G22" s="39"/>
      <c r="H22" s="39"/>
      <c r="I22" s="39"/>
    </row>
    <row r="23" spans="1:9" x14ac:dyDescent="0.35">
      <c r="A23" s="14"/>
      <c r="B23" s="15"/>
      <c r="C23" s="17"/>
      <c r="D23" s="17"/>
      <c r="E23" s="17"/>
      <c r="F23" s="17"/>
      <c r="G23" s="39"/>
      <c r="H23" s="39"/>
      <c r="I23" s="39"/>
    </row>
    <row r="24" spans="1:9" x14ac:dyDescent="0.35">
      <c r="A24" s="523"/>
      <c r="B24" s="456" t="s">
        <v>1314</v>
      </c>
      <c r="C24" s="457"/>
      <c r="D24" s="457">
        <f>D10-D17-D22</f>
        <v>74450.979999999981</v>
      </c>
      <c r="E24" s="524">
        <v>-20507.286800000002</v>
      </c>
      <c r="F24" s="457">
        <f>F10-F17-F22</f>
        <v>30827.25829895999</v>
      </c>
      <c r="G24" s="314"/>
      <c r="H24" s="314"/>
      <c r="I24" s="39"/>
    </row>
    <row r="25" spans="1:9" ht="21.75" customHeight="1" x14ac:dyDescent="0.35">
      <c r="A25" s="14"/>
      <c r="B25" s="315"/>
      <c r="C25" s="18"/>
      <c r="D25" s="18"/>
      <c r="E25" s="470"/>
      <c r="F25" s="18"/>
      <c r="G25" s="33"/>
      <c r="H25" s="33"/>
      <c r="I25" s="33"/>
    </row>
    <row r="26" spans="1:9" x14ac:dyDescent="0.35">
      <c r="A26" s="14"/>
      <c r="B26" s="315" t="s">
        <v>1315</v>
      </c>
      <c r="C26" s="18"/>
      <c r="D26" s="18">
        <f>D24+D15-D8</f>
        <v>74450.979999999981</v>
      </c>
      <c r="E26" s="18">
        <f>E24+E15-E8</f>
        <v>22309.713199999998</v>
      </c>
      <c r="F26" s="18">
        <f>F24+F15-F8</f>
        <v>-9526.5417010400124</v>
      </c>
      <c r="G26" s="33"/>
      <c r="H26" s="33"/>
      <c r="I26" s="33"/>
    </row>
    <row r="27" spans="1:9" ht="15" customHeight="1" x14ac:dyDescent="0.35">
      <c r="A27" s="14"/>
      <c r="B27" s="315" t="s">
        <v>1316</v>
      </c>
      <c r="C27" s="18"/>
      <c r="D27" s="18"/>
      <c r="E27" s="470"/>
      <c r="F27" s="18"/>
      <c r="G27" s="33"/>
      <c r="H27" s="33"/>
      <c r="I27" s="33"/>
    </row>
    <row r="28" spans="1:9" x14ac:dyDescent="0.35">
      <c r="A28" s="14"/>
      <c r="B28" s="315"/>
      <c r="C28" s="18"/>
      <c r="D28" s="18"/>
      <c r="E28" s="470"/>
      <c r="F28" s="18"/>
      <c r="G28" s="33"/>
      <c r="H28" s="33"/>
      <c r="I28" s="33"/>
    </row>
    <row r="29" spans="1:9" x14ac:dyDescent="0.35">
      <c r="B29" s="315"/>
      <c r="C29" s="18"/>
      <c r="D29" s="18"/>
      <c r="E29" s="470"/>
      <c r="F29" s="18"/>
      <c r="G29" s="33"/>
      <c r="H29" s="33"/>
      <c r="I29" s="33"/>
    </row>
    <row r="30" spans="1:9" x14ac:dyDescent="0.35">
      <c r="B30" s="19"/>
      <c r="C30" s="19"/>
      <c r="D30" s="19"/>
    </row>
    <row r="31" spans="1:9" x14ac:dyDescent="0.35">
      <c r="B31" s="19"/>
      <c r="C31" s="19"/>
      <c r="D31" s="19"/>
    </row>
    <row r="34" spans="5:8" x14ac:dyDescent="0.35">
      <c r="E34" s="20"/>
      <c r="F34" s="20"/>
      <c r="G34" s="20"/>
      <c r="H34" s="20"/>
    </row>
    <row r="37" spans="5:8" x14ac:dyDescent="0.35">
      <c r="E37" s="20"/>
      <c r="F37" s="20"/>
      <c r="G37" s="20"/>
      <c r="H37" s="20"/>
    </row>
    <row r="39" spans="5:8" x14ac:dyDescent="0.35">
      <c r="E39" s="20"/>
      <c r="F39" s="20"/>
      <c r="G39" s="20"/>
      <c r="H39" s="20"/>
    </row>
    <row r="41" spans="5:8" x14ac:dyDescent="0.35">
      <c r="E41" s="20"/>
      <c r="F41" s="20"/>
      <c r="G41" s="20"/>
      <c r="H41" s="20"/>
    </row>
    <row r="42" spans="5:8" x14ac:dyDescent="0.35">
      <c r="E42" s="20"/>
      <c r="F42" s="20"/>
      <c r="G42" s="20"/>
      <c r="H42" s="20"/>
    </row>
    <row r="43" spans="5:8" x14ac:dyDescent="0.35">
      <c r="E43" s="20"/>
      <c r="F43" s="20"/>
      <c r="G43" s="20"/>
      <c r="H43" s="20"/>
    </row>
    <row r="44" spans="5:8" x14ac:dyDescent="0.35">
      <c r="E44" s="20"/>
      <c r="F44" s="20"/>
      <c r="G44" s="20"/>
      <c r="H44" s="20"/>
    </row>
    <row r="45" spans="5:8" x14ac:dyDescent="0.35">
      <c r="E45" s="20"/>
      <c r="F45" s="20"/>
      <c r="G45" s="20"/>
      <c r="H45" s="20"/>
    </row>
  </sheetData>
  <mergeCells count="1">
    <mergeCell ref="A2:F2"/>
  </mergeCells>
  <printOptions horizontalCentered="1"/>
  <pageMargins left="0.5" right="0.5" top="1" bottom="0.5" header="0.5" footer="0.5"/>
  <pageSetup scale="96" orientation="portrait" r:id="rId1"/>
  <ignoredErrors>
    <ignoredError sqref="D3" numberStoredAsText="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35"/>
  <sheetViews>
    <sheetView zoomScale="175" zoomScaleNormal="175" workbookViewId="0">
      <pane xSplit="1" ySplit="5" topLeftCell="Y48" activePane="bottomRight" state="frozen"/>
      <selection pane="topRight" activeCell="B1" sqref="B1"/>
      <selection pane="bottomLeft" activeCell="A6" sqref="A6"/>
      <selection pane="bottomRight" activeCell="AE54" sqref="AE54:AF54"/>
    </sheetView>
  </sheetViews>
  <sheetFormatPr defaultColWidth="8.625" defaultRowHeight="15" x14ac:dyDescent="0.25"/>
  <cols>
    <col min="1" max="1" width="29.125" style="471" customWidth="1"/>
    <col min="2" max="5" width="10.25" style="471" customWidth="1"/>
    <col min="6" max="6" width="8.625" style="471" customWidth="1"/>
    <col min="7" max="8" width="10.25" style="471" customWidth="1"/>
    <col min="9" max="11" width="9.375" style="471" customWidth="1"/>
    <col min="12" max="12" width="10.25" style="471" customWidth="1"/>
    <col min="13" max="14" width="9.375" style="471" customWidth="1"/>
    <col min="15" max="19" width="10.25" style="471" customWidth="1"/>
    <col min="20" max="20" width="8.625" style="471" customWidth="1"/>
    <col min="21" max="21" width="9.375" style="471" customWidth="1"/>
    <col min="22" max="22" width="8.625" style="471" customWidth="1"/>
    <col min="23" max="26" width="10.25" style="471" customWidth="1"/>
    <col min="27" max="27" width="9.25" style="471" customWidth="1"/>
    <col min="28" max="28" width="8.625" style="37"/>
    <col min="29" max="40" width="10.25" style="473" customWidth="1"/>
    <col min="41" max="42" width="8.625" style="471"/>
    <col min="43" max="43" width="17.875" style="471" bestFit="1" customWidth="1"/>
    <col min="44" max="16384" width="8.625" style="471"/>
  </cols>
  <sheetData>
    <row r="1" spans="1:40" ht="18" x14ac:dyDescent="0.25">
      <c r="A1" s="540" t="s">
        <v>90</v>
      </c>
      <c r="B1" s="541"/>
      <c r="C1" s="541"/>
      <c r="D1" s="541"/>
      <c r="E1" s="541"/>
      <c r="F1" s="541"/>
      <c r="G1" s="541"/>
      <c r="H1" s="541"/>
      <c r="I1" s="541"/>
      <c r="J1" s="541"/>
      <c r="K1" s="541"/>
      <c r="L1" s="541"/>
      <c r="M1" s="541"/>
      <c r="N1" s="541"/>
      <c r="O1" s="541"/>
      <c r="P1" s="541"/>
      <c r="Q1" s="541"/>
      <c r="R1" s="541"/>
      <c r="S1" s="541"/>
      <c r="T1" s="541"/>
      <c r="U1" s="541"/>
      <c r="V1" s="541"/>
      <c r="W1" s="541"/>
    </row>
    <row r="2" spans="1:40" ht="18" x14ac:dyDescent="0.25">
      <c r="A2" s="540" t="s">
        <v>428</v>
      </c>
      <c r="B2" s="541"/>
      <c r="C2" s="541"/>
      <c r="D2" s="541"/>
      <c r="E2" s="541"/>
      <c r="F2" s="541"/>
      <c r="G2" s="541"/>
      <c r="H2" s="541"/>
      <c r="I2" s="541"/>
      <c r="J2" s="541"/>
      <c r="K2" s="541"/>
      <c r="L2" s="541"/>
      <c r="M2" s="541"/>
      <c r="N2" s="541"/>
      <c r="O2" s="541"/>
      <c r="P2" s="541"/>
      <c r="Q2" s="541"/>
      <c r="R2" s="541"/>
      <c r="S2" s="541"/>
      <c r="T2" s="541"/>
      <c r="U2" s="541"/>
      <c r="V2" s="541"/>
      <c r="W2" s="541"/>
    </row>
    <row r="3" spans="1:40" x14ac:dyDescent="0.25">
      <c r="A3" s="542" t="s">
        <v>1166</v>
      </c>
      <c r="B3" s="541"/>
      <c r="C3" s="541"/>
      <c r="D3" s="541"/>
      <c r="E3" s="541"/>
      <c r="F3" s="541"/>
      <c r="G3" s="541"/>
      <c r="H3" s="541"/>
      <c r="I3" s="541"/>
      <c r="J3" s="541"/>
      <c r="K3" s="541"/>
      <c r="L3" s="541"/>
      <c r="M3" s="541"/>
      <c r="N3" s="541"/>
      <c r="O3" s="541"/>
      <c r="P3" s="541"/>
      <c r="Q3" s="541"/>
      <c r="R3" s="541"/>
      <c r="S3" s="541"/>
      <c r="T3" s="541"/>
      <c r="U3" s="541"/>
      <c r="V3" s="541"/>
      <c r="W3" s="541"/>
      <c r="Z3" s="322"/>
      <c r="AC3" s="322"/>
      <c r="AD3" s="322"/>
      <c r="AE3" s="322"/>
      <c r="AF3" s="322"/>
      <c r="AG3" s="322"/>
      <c r="AH3" s="322"/>
      <c r="AI3" s="322"/>
      <c r="AJ3" s="322"/>
      <c r="AK3" s="322"/>
      <c r="AL3" s="322"/>
      <c r="AM3" s="322"/>
      <c r="AN3" s="322"/>
    </row>
    <row r="4" spans="1:40" x14ac:dyDescent="0.25">
      <c r="B4" s="471" t="str">
        <f>LEFT(B5,3)</f>
        <v>Jan</v>
      </c>
      <c r="C4" s="471" t="str">
        <f t="shared" ref="C4:V4" si="0">LEFT(C5,3)</f>
        <v>Feb</v>
      </c>
      <c r="D4" s="471" t="str">
        <f t="shared" si="0"/>
        <v>Mar</v>
      </c>
      <c r="E4" s="471" t="str">
        <f t="shared" si="0"/>
        <v>Apr</v>
      </c>
      <c r="F4" s="471" t="str">
        <f t="shared" si="0"/>
        <v>May</v>
      </c>
      <c r="G4" s="471" t="str">
        <f t="shared" si="0"/>
        <v>Jun</v>
      </c>
      <c r="H4" s="471" t="str">
        <f t="shared" si="0"/>
        <v>Jul</v>
      </c>
      <c r="I4" s="471" t="str">
        <f t="shared" si="0"/>
        <v>Aug</v>
      </c>
      <c r="J4" s="471" t="str">
        <f t="shared" si="0"/>
        <v>Sep</v>
      </c>
      <c r="K4" s="471" t="str">
        <f t="shared" si="0"/>
        <v>Oct</v>
      </c>
      <c r="L4" s="471" t="str">
        <f t="shared" si="0"/>
        <v>Nov</v>
      </c>
      <c r="M4" s="471" t="str">
        <f t="shared" si="0"/>
        <v>Dec</v>
      </c>
      <c r="N4" s="471" t="str">
        <f t="shared" si="0"/>
        <v>Jan</v>
      </c>
      <c r="O4" s="471" t="str">
        <f t="shared" si="0"/>
        <v>Feb</v>
      </c>
      <c r="P4" s="471" t="str">
        <f t="shared" si="0"/>
        <v>Mar</v>
      </c>
      <c r="Q4" s="471" t="str">
        <f t="shared" si="0"/>
        <v>Apr</v>
      </c>
      <c r="R4" s="471" t="str">
        <f t="shared" si="0"/>
        <v>May</v>
      </c>
      <c r="S4" s="471" t="str">
        <f t="shared" si="0"/>
        <v>Jun</v>
      </c>
      <c r="T4" s="471" t="str">
        <f t="shared" si="0"/>
        <v>Jul</v>
      </c>
      <c r="U4" s="471" t="str">
        <f t="shared" si="0"/>
        <v>Aug</v>
      </c>
      <c r="V4" s="471" t="str">
        <f t="shared" si="0"/>
        <v>Sep</v>
      </c>
    </row>
    <row r="5" spans="1:40" ht="24.75" x14ac:dyDescent="0.25">
      <c r="A5" s="472"/>
      <c r="B5" s="475" t="s">
        <v>596</v>
      </c>
      <c r="C5" s="475" t="s">
        <v>597</v>
      </c>
      <c r="D5" s="475" t="s">
        <v>598</v>
      </c>
      <c r="E5" s="475" t="s">
        <v>599</v>
      </c>
      <c r="F5" s="475" t="s">
        <v>600</v>
      </c>
      <c r="G5" s="475" t="s">
        <v>601</v>
      </c>
      <c r="H5" s="475" t="s">
        <v>602</v>
      </c>
      <c r="I5" s="475" t="s">
        <v>603</v>
      </c>
      <c r="J5" s="475" t="s">
        <v>604</v>
      </c>
      <c r="K5" s="475" t="s">
        <v>672</v>
      </c>
      <c r="L5" s="475" t="s">
        <v>1167</v>
      </c>
      <c r="M5" s="475" t="s">
        <v>1168</v>
      </c>
      <c r="N5" s="475" t="s">
        <v>1169</v>
      </c>
      <c r="O5" s="475" t="s">
        <v>1170</v>
      </c>
      <c r="P5" s="475" t="s">
        <v>1171</v>
      </c>
      <c r="Q5" s="475" t="s">
        <v>1172</v>
      </c>
      <c r="R5" s="475" t="s">
        <v>1173</v>
      </c>
      <c r="S5" s="475" t="s">
        <v>1174</v>
      </c>
      <c r="T5" s="475" t="s">
        <v>1175</v>
      </c>
      <c r="U5" s="475" t="s">
        <v>1176</v>
      </c>
      <c r="V5" s="475" t="s">
        <v>1177</v>
      </c>
      <c r="W5" s="475" t="s">
        <v>26</v>
      </c>
      <c r="X5" s="475" t="s">
        <v>1178</v>
      </c>
      <c r="Y5" s="475">
        <v>2019</v>
      </c>
      <c r="Z5" s="475" t="s">
        <v>1179</v>
      </c>
      <c r="AA5" s="475" t="s">
        <v>1180</v>
      </c>
      <c r="AC5" s="475" t="s">
        <v>103</v>
      </c>
      <c r="AD5" s="475" t="s">
        <v>104</v>
      </c>
      <c r="AE5" s="475" t="s">
        <v>231</v>
      </c>
      <c r="AF5" s="475" t="s">
        <v>232</v>
      </c>
      <c r="AG5" s="475" t="s">
        <v>82</v>
      </c>
      <c r="AH5" s="475" t="s">
        <v>233</v>
      </c>
      <c r="AI5" s="475" t="s">
        <v>234</v>
      </c>
      <c r="AJ5" s="475" t="s">
        <v>235</v>
      </c>
      <c r="AK5" s="475" t="s">
        <v>236</v>
      </c>
      <c r="AL5" s="475" t="s">
        <v>237</v>
      </c>
      <c r="AM5" s="475" t="s">
        <v>238</v>
      </c>
      <c r="AN5" s="475" t="s">
        <v>239</v>
      </c>
    </row>
    <row r="6" spans="1:40" x14ac:dyDescent="0.25">
      <c r="A6" s="476" t="s">
        <v>0</v>
      </c>
      <c r="B6" s="477"/>
      <c r="C6" s="477"/>
      <c r="D6" s="477"/>
      <c r="E6" s="477"/>
      <c r="F6" s="477"/>
      <c r="G6" s="477"/>
      <c r="H6" s="477"/>
      <c r="I6" s="477"/>
      <c r="J6" s="477"/>
      <c r="K6" s="477"/>
      <c r="L6" s="477"/>
      <c r="M6" s="477"/>
      <c r="N6" s="477"/>
      <c r="O6" s="477"/>
      <c r="P6" s="477"/>
      <c r="Q6" s="477"/>
      <c r="R6" s="477"/>
      <c r="S6" s="477"/>
      <c r="T6" s="477"/>
      <c r="U6" s="477"/>
      <c r="V6" s="477"/>
      <c r="W6" s="477"/>
    </row>
    <row r="7" spans="1:40" x14ac:dyDescent="0.25">
      <c r="A7" s="476" t="s">
        <v>136</v>
      </c>
      <c r="B7" s="478">
        <f>50</f>
        <v>50</v>
      </c>
      <c r="C7" s="478">
        <f>50</f>
        <v>50</v>
      </c>
      <c r="D7" s="478">
        <f>50</f>
        <v>50</v>
      </c>
      <c r="E7" s="478">
        <f>50</f>
        <v>50</v>
      </c>
      <c r="F7" s="478">
        <f>50</f>
        <v>50</v>
      </c>
      <c r="G7" s="478">
        <f>150</f>
        <v>150</v>
      </c>
      <c r="H7" s="478">
        <f>0</f>
        <v>0</v>
      </c>
      <c r="I7" s="478">
        <f>50</f>
        <v>50</v>
      </c>
      <c r="J7" s="478">
        <f>50</f>
        <v>50</v>
      </c>
      <c r="K7" s="478">
        <f>50</f>
        <v>50</v>
      </c>
      <c r="L7" s="478">
        <f>50</f>
        <v>50</v>
      </c>
      <c r="M7" s="478">
        <f>-19950</f>
        <v>-19950</v>
      </c>
      <c r="N7" s="478">
        <f>50</f>
        <v>50</v>
      </c>
      <c r="O7" s="478">
        <f>50</f>
        <v>50</v>
      </c>
      <c r="P7" s="478">
        <f>50</f>
        <v>50</v>
      </c>
      <c r="Q7" s="478">
        <f>50</f>
        <v>50</v>
      </c>
      <c r="R7" s="478">
        <f>50</f>
        <v>50</v>
      </c>
      <c r="S7" s="478">
        <f>50</f>
        <v>50</v>
      </c>
      <c r="T7" s="478">
        <f>50</f>
        <v>50</v>
      </c>
      <c r="U7" s="478">
        <f>50</f>
        <v>50</v>
      </c>
      <c r="V7" s="478">
        <f>50</f>
        <v>50</v>
      </c>
      <c r="W7" s="478">
        <f t="shared" ref="W7:W27" si="1">((((((((((((((((((((B7)+(C7))+(D7))+(E7))+(F7))+(G7))+(H7))+(I7))+(J7))+(K7))+(L7))+(M7))+(N7))+(O7))+(P7))+(Q7))+(R7))+(S7))+(T7))+(U7))+(V7)</f>
        <v>-18900</v>
      </c>
      <c r="X7" s="478">
        <f>W7/21*12</f>
        <v>-10800</v>
      </c>
      <c r="Y7" s="478">
        <f>SUM(B7:M7)</f>
        <v>-19350</v>
      </c>
      <c r="Z7" s="478">
        <f>SUM(K7:M7,N7:V7)</f>
        <v>-19400</v>
      </c>
      <c r="AA7" s="478"/>
      <c r="AC7" s="478"/>
      <c r="AD7" s="478"/>
      <c r="AE7" s="478"/>
      <c r="AF7" s="478"/>
      <c r="AG7" s="478"/>
      <c r="AH7" s="478"/>
      <c r="AI7" s="478"/>
      <c r="AJ7" s="478"/>
      <c r="AK7" s="478"/>
      <c r="AL7" s="478"/>
      <c r="AM7" s="478"/>
      <c r="AN7" s="478"/>
    </row>
    <row r="8" spans="1:40" x14ac:dyDescent="0.25">
      <c r="A8" s="476" t="s">
        <v>137</v>
      </c>
      <c r="B8" s="478">
        <f>500</f>
        <v>500</v>
      </c>
      <c r="C8" s="479"/>
      <c r="D8" s="479"/>
      <c r="E8" s="479"/>
      <c r="F8" s="478">
        <f>10413.48</f>
        <v>10413.48</v>
      </c>
      <c r="G8" s="479"/>
      <c r="H8" s="479"/>
      <c r="I8" s="479"/>
      <c r="J8" s="479"/>
      <c r="K8" s="479"/>
      <c r="L8" s="479"/>
      <c r="M8" s="479"/>
      <c r="N8" s="479"/>
      <c r="O8" s="479"/>
      <c r="P8" s="479"/>
      <c r="Q8" s="479"/>
      <c r="R8" s="479"/>
      <c r="S8" s="479"/>
      <c r="T8" s="479"/>
      <c r="U8" s="479"/>
      <c r="V8" s="479"/>
      <c r="W8" s="478">
        <f t="shared" si="1"/>
        <v>10913.48</v>
      </c>
      <c r="X8" s="478">
        <f t="shared" ref="X8:X72" si="2">W8/21*12</f>
        <v>6236.2742857142848</v>
      </c>
      <c r="Y8" s="478">
        <f t="shared" ref="Y8:Y72" si="3">SUM(B8:M8)</f>
        <v>10913.48</v>
      </c>
      <c r="Z8" s="478">
        <f t="shared" ref="Z8:Z10" si="4">SUM(K8:M8,N8:V8)</f>
        <v>0</v>
      </c>
      <c r="AA8" s="478"/>
      <c r="AB8" s="37" t="str">
        <f t="shared" ref="AB8:AB46" si="5">IF(ABS(AA8-SUM(AC8:AN8))&lt;1,"","ERROR")</f>
        <v/>
      </c>
      <c r="AC8" s="478"/>
      <c r="AD8" s="478"/>
      <c r="AE8" s="478"/>
      <c r="AF8" s="478"/>
      <c r="AG8" s="478"/>
      <c r="AH8" s="478"/>
      <c r="AI8" s="478"/>
      <c r="AJ8" s="478"/>
      <c r="AK8" s="478"/>
      <c r="AL8" s="478"/>
      <c r="AM8" s="478"/>
      <c r="AN8" s="478"/>
    </row>
    <row r="9" spans="1:40" x14ac:dyDescent="0.25">
      <c r="A9" s="476" t="s">
        <v>138</v>
      </c>
      <c r="B9" s="479"/>
      <c r="C9" s="479"/>
      <c r="D9" s="479"/>
      <c r="E9" s="479"/>
      <c r="F9" s="479"/>
      <c r="G9" s="479"/>
      <c r="H9" s="479"/>
      <c r="I9" s="479"/>
      <c r="J9" s="478">
        <f>24000</f>
        <v>24000</v>
      </c>
      <c r="K9" s="478">
        <f>146309.67</f>
        <v>146309.67000000001</v>
      </c>
      <c r="L9" s="478">
        <f>9000</f>
        <v>9000</v>
      </c>
      <c r="M9" s="478">
        <f>13500</f>
        <v>13500</v>
      </c>
      <c r="N9" s="478">
        <f>2000</f>
        <v>2000</v>
      </c>
      <c r="O9" s="479"/>
      <c r="P9" s="478">
        <f>1299.39</f>
        <v>1299.3900000000001</v>
      </c>
      <c r="Q9" s="479"/>
      <c r="R9" s="479"/>
      <c r="S9" s="479"/>
      <c r="T9" s="479"/>
      <c r="U9" s="479"/>
      <c r="V9" s="478">
        <f>200</f>
        <v>200</v>
      </c>
      <c r="W9" s="478">
        <f t="shared" si="1"/>
        <v>196309.06000000003</v>
      </c>
      <c r="X9" s="478">
        <f t="shared" si="2"/>
        <v>112176.60571428573</v>
      </c>
      <c r="Y9" s="478">
        <f t="shared" si="3"/>
        <v>192809.67</v>
      </c>
      <c r="Z9" s="478">
        <f t="shared" si="4"/>
        <v>172309.06000000003</v>
      </c>
      <c r="AA9" s="478">
        <v>150000</v>
      </c>
      <c r="AB9" s="37" t="str">
        <f t="shared" si="5"/>
        <v/>
      </c>
      <c r="AC9" s="478"/>
      <c r="AD9" s="478"/>
      <c r="AE9" s="478"/>
      <c r="AF9" s="478"/>
      <c r="AG9" s="478"/>
      <c r="AH9" s="478"/>
      <c r="AI9" s="478"/>
      <c r="AJ9" s="478"/>
      <c r="AK9" s="478">
        <v>10000</v>
      </c>
      <c r="AL9" s="478">
        <f>AA9-AK9-AM9-AN9</f>
        <v>127000</v>
      </c>
      <c r="AM9" s="478">
        <v>8000</v>
      </c>
      <c r="AN9" s="478">
        <v>5000</v>
      </c>
    </row>
    <row r="10" spans="1:40" x14ac:dyDescent="0.25">
      <c r="A10" s="476" t="s">
        <v>607</v>
      </c>
      <c r="B10" s="479"/>
      <c r="C10" s="479"/>
      <c r="D10" s="479"/>
      <c r="E10" s="479"/>
      <c r="F10" s="479"/>
      <c r="G10" s="479"/>
      <c r="H10" s="478">
        <f>9.77</f>
        <v>9.77</v>
      </c>
      <c r="I10" s="479"/>
      <c r="J10" s="479"/>
      <c r="K10" s="479"/>
      <c r="L10" s="479"/>
      <c r="M10" s="479"/>
      <c r="N10" s="479"/>
      <c r="O10" s="479"/>
      <c r="P10" s="479"/>
      <c r="Q10" s="479"/>
      <c r="R10" s="479"/>
      <c r="S10" s="479"/>
      <c r="T10" s="479"/>
      <c r="U10" s="479"/>
      <c r="V10" s="479"/>
      <c r="W10" s="478">
        <f t="shared" si="1"/>
        <v>9.77</v>
      </c>
      <c r="X10" s="478">
        <f t="shared" si="2"/>
        <v>5.5828571428571427</v>
      </c>
      <c r="Y10" s="478">
        <f t="shared" si="3"/>
        <v>9.77</v>
      </c>
      <c r="Z10" s="478">
        <f t="shared" si="4"/>
        <v>0</v>
      </c>
      <c r="AA10" s="478"/>
      <c r="AB10" s="37" t="str">
        <f t="shared" si="5"/>
        <v/>
      </c>
      <c r="AC10" s="478"/>
      <c r="AD10" s="478"/>
      <c r="AE10" s="478"/>
      <c r="AF10" s="478"/>
      <c r="AG10" s="478"/>
      <c r="AH10" s="478"/>
      <c r="AI10" s="478"/>
      <c r="AJ10" s="478"/>
      <c r="AK10" s="478"/>
      <c r="AL10" s="478"/>
      <c r="AM10" s="478"/>
      <c r="AN10" s="478"/>
    </row>
    <row r="11" spans="1:40" x14ac:dyDescent="0.25">
      <c r="A11" s="476" t="s">
        <v>608</v>
      </c>
      <c r="B11" s="480">
        <f t="shared" ref="B11:V11" si="6">(B9)+(B10)</f>
        <v>0</v>
      </c>
      <c r="C11" s="480">
        <f t="shared" si="6"/>
        <v>0</v>
      </c>
      <c r="D11" s="480">
        <f t="shared" si="6"/>
        <v>0</v>
      </c>
      <c r="E11" s="480">
        <f t="shared" si="6"/>
        <v>0</v>
      </c>
      <c r="F11" s="480">
        <f t="shared" si="6"/>
        <v>0</v>
      </c>
      <c r="G11" s="480">
        <f t="shared" si="6"/>
        <v>0</v>
      </c>
      <c r="H11" s="480">
        <f t="shared" si="6"/>
        <v>9.77</v>
      </c>
      <c r="I11" s="480">
        <f t="shared" si="6"/>
        <v>0</v>
      </c>
      <c r="J11" s="480">
        <f t="shared" si="6"/>
        <v>24000</v>
      </c>
      <c r="K11" s="480">
        <f t="shared" si="6"/>
        <v>146309.67000000001</v>
      </c>
      <c r="L11" s="480">
        <f t="shared" si="6"/>
        <v>9000</v>
      </c>
      <c r="M11" s="480">
        <f t="shared" si="6"/>
        <v>13500</v>
      </c>
      <c r="N11" s="480">
        <f t="shared" si="6"/>
        <v>2000</v>
      </c>
      <c r="O11" s="480">
        <f t="shared" si="6"/>
        <v>0</v>
      </c>
      <c r="P11" s="480">
        <f t="shared" si="6"/>
        <v>1299.3900000000001</v>
      </c>
      <c r="Q11" s="480">
        <f t="shared" si="6"/>
        <v>0</v>
      </c>
      <c r="R11" s="480">
        <f t="shared" si="6"/>
        <v>0</v>
      </c>
      <c r="S11" s="480">
        <f t="shared" si="6"/>
        <v>0</v>
      </c>
      <c r="T11" s="480">
        <f t="shared" si="6"/>
        <v>0</v>
      </c>
      <c r="U11" s="480">
        <f t="shared" si="6"/>
        <v>0</v>
      </c>
      <c r="V11" s="480">
        <f t="shared" si="6"/>
        <v>200</v>
      </c>
      <c r="W11" s="480">
        <f t="shared" si="1"/>
        <v>196318.83000000002</v>
      </c>
      <c r="X11" s="480">
        <f t="shared" si="2"/>
        <v>112182.18857142859</v>
      </c>
      <c r="Y11" s="480">
        <f t="shared" si="3"/>
        <v>192819.44</v>
      </c>
      <c r="Z11" s="480">
        <f>SUM(K11:M11,N11:V11)</f>
        <v>172309.06000000003</v>
      </c>
      <c r="AA11" s="480">
        <f>SUM(AA7:AA10)</f>
        <v>150000</v>
      </c>
      <c r="AB11" s="37" t="str">
        <f t="shared" si="5"/>
        <v/>
      </c>
      <c r="AC11" s="480">
        <f t="shared" ref="AC11:AN11" si="7">SUM(AC7:AC10)</f>
        <v>0</v>
      </c>
      <c r="AD11" s="480">
        <f t="shared" si="7"/>
        <v>0</v>
      </c>
      <c r="AE11" s="480">
        <f t="shared" si="7"/>
        <v>0</v>
      </c>
      <c r="AF11" s="480">
        <f t="shared" si="7"/>
        <v>0</v>
      </c>
      <c r="AG11" s="480">
        <f t="shared" si="7"/>
        <v>0</v>
      </c>
      <c r="AH11" s="480">
        <f t="shared" si="7"/>
        <v>0</v>
      </c>
      <c r="AI11" s="480">
        <f t="shared" si="7"/>
        <v>0</v>
      </c>
      <c r="AJ11" s="480">
        <f t="shared" si="7"/>
        <v>0</v>
      </c>
      <c r="AK11" s="480">
        <f t="shared" si="7"/>
        <v>10000</v>
      </c>
      <c r="AL11" s="480">
        <f t="shared" si="7"/>
        <v>127000</v>
      </c>
      <c r="AM11" s="480">
        <f t="shared" si="7"/>
        <v>8000</v>
      </c>
      <c r="AN11" s="480">
        <f t="shared" si="7"/>
        <v>5000</v>
      </c>
    </row>
    <row r="12" spans="1:40" x14ac:dyDescent="0.25">
      <c r="A12" s="476" t="s">
        <v>141</v>
      </c>
      <c r="B12" s="478">
        <f>11697</f>
        <v>11697</v>
      </c>
      <c r="C12" s="478">
        <f>1087.79</f>
        <v>1087.79</v>
      </c>
      <c r="D12" s="478">
        <f>20630</f>
        <v>20630</v>
      </c>
      <c r="E12" s="478">
        <f>350</f>
        <v>350</v>
      </c>
      <c r="F12" s="478">
        <f>16247.11</f>
        <v>16247.11</v>
      </c>
      <c r="G12" s="478">
        <f>620</f>
        <v>620</v>
      </c>
      <c r="H12" s="478">
        <f>3620</f>
        <v>3620</v>
      </c>
      <c r="I12" s="478">
        <f>8231.81</f>
        <v>8231.81</v>
      </c>
      <c r="J12" s="478">
        <f>100</f>
        <v>100</v>
      </c>
      <c r="K12" s="478">
        <f>1033.22</f>
        <v>1033.22</v>
      </c>
      <c r="L12" s="478">
        <f>1437.96</f>
        <v>1437.96</v>
      </c>
      <c r="M12" s="478">
        <f>123887.09</f>
        <v>123887.09</v>
      </c>
      <c r="N12" s="478">
        <f>7197.74</f>
        <v>7197.74</v>
      </c>
      <c r="O12" s="478">
        <f>2042.47</f>
        <v>2042.47</v>
      </c>
      <c r="P12" s="478">
        <f>520.06</f>
        <v>520.05999999999995</v>
      </c>
      <c r="Q12" s="478">
        <f>415</f>
        <v>415</v>
      </c>
      <c r="R12" s="478">
        <f>571.02</f>
        <v>571.02</v>
      </c>
      <c r="S12" s="478">
        <f>7025.95</f>
        <v>7025.95</v>
      </c>
      <c r="T12" s="478">
        <f>2650</f>
        <v>2650</v>
      </c>
      <c r="U12" s="478">
        <f>8111.74</f>
        <v>8111.74</v>
      </c>
      <c r="V12" s="478">
        <f>11976.38</f>
        <v>11976.38</v>
      </c>
      <c r="W12" s="478">
        <f t="shared" si="1"/>
        <v>229452.33999999997</v>
      </c>
      <c r="X12" s="478">
        <f t="shared" si="2"/>
        <v>131115.62285714285</v>
      </c>
      <c r="Y12" s="478">
        <f t="shared" si="3"/>
        <v>188941.97999999998</v>
      </c>
      <c r="Z12" s="478">
        <f t="shared" ref="Z12:Z14" si="8">SUM(K12:M12,N12:V12)</f>
        <v>166868.62999999998</v>
      </c>
      <c r="AA12" s="488">
        <v>130000</v>
      </c>
      <c r="AB12" s="37" t="str">
        <f t="shared" si="5"/>
        <v/>
      </c>
      <c r="AC12" s="478">
        <v>0</v>
      </c>
      <c r="AD12" s="478">
        <v>0</v>
      </c>
      <c r="AE12" s="478">
        <v>0</v>
      </c>
      <c r="AF12" s="478">
        <v>10000</v>
      </c>
      <c r="AG12" s="478">
        <v>20000</v>
      </c>
      <c r="AH12" s="478">
        <v>20000</v>
      </c>
      <c r="AI12" s="478">
        <v>20000</v>
      </c>
      <c r="AJ12" s="478">
        <v>20000</v>
      </c>
      <c r="AK12" s="478">
        <v>10000</v>
      </c>
      <c r="AL12" s="478">
        <v>10000</v>
      </c>
      <c r="AM12" s="478">
        <v>10000</v>
      </c>
      <c r="AN12" s="478">
        <v>10000</v>
      </c>
    </row>
    <row r="13" spans="1:40" x14ac:dyDescent="0.25">
      <c r="A13" s="476" t="s">
        <v>1181</v>
      </c>
      <c r="B13" s="478">
        <f>7360</f>
        <v>7360</v>
      </c>
      <c r="C13" s="478">
        <f>6935</f>
        <v>6935</v>
      </c>
      <c r="D13" s="478">
        <f>8360</f>
        <v>8360</v>
      </c>
      <c r="E13" s="478">
        <f>9160</f>
        <v>9160</v>
      </c>
      <c r="F13" s="478">
        <f>7910</f>
        <v>7910</v>
      </c>
      <c r="G13" s="478">
        <f>6725</f>
        <v>6725</v>
      </c>
      <c r="H13" s="478">
        <f>7025</f>
        <v>7025</v>
      </c>
      <c r="I13" s="478">
        <f>6575</f>
        <v>6575</v>
      </c>
      <c r="J13" s="478">
        <f>6675</f>
        <v>6675</v>
      </c>
      <c r="K13" s="478">
        <f>6850</f>
        <v>6850</v>
      </c>
      <c r="L13" s="478">
        <f>6700</f>
        <v>6700</v>
      </c>
      <c r="M13" s="478">
        <f>6700</f>
        <v>6700</v>
      </c>
      <c r="N13" s="478">
        <f>6950</f>
        <v>6950</v>
      </c>
      <c r="O13" s="478">
        <f>6050</f>
        <v>6050</v>
      </c>
      <c r="P13" s="478">
        <f>7450</f>
        <v>7450</v>
      </c>
      <c r="Q13" s="478">
        <f>7150</f>
        <v>7150</v>
      </c>
      <c r="R13" s="478">
        <f>10475</f>
        <v>10475</v>
      </c>
      <c r="S13" s="478">
        <f>6660</f>
        <v>6660</v>
      </c>
      <c r="T13" s="478">
        <f>6695</f>
        <v>6695</v>
      </c>
      <c r="U13" s="478">
        <f>6450</f>
        <v>6450</v>
      </c>
      <c r="V13" s="478">
        <f>5515</f>
        <v>5515</v>
      </c>
      <c r="W13" s="478">
        <f t="shared" si="1"/>
        <v>150370</v>
      </c>
      <c r="X13" s="478">
        <f t="shared" si="2"/>
        <v>85925.71428571429</v>
      </c>
      <c r="Y13" s="478">
        <f t="shared" si="3"/>
        <v>86975</v>
      </c>
      <c r="Z13" s="478">
        <f t="shared" si="8"/>
        <v>83645</v>
      </c>
      <c r="AA13" s="478">
        <f>6250*12</f>
        <v>75000</v>
      </c>
      <c r="AB13" s="37" t="str">
        <f t="shared" si="5"/>
        <v/>
      </c>
      <c r="AC13" s="478">
        <v>6250</v>
      </c>
      <c r="AD13" s="478">
        <v>6250</v>
      </c>
      <c r="AE13" s="478">
        <v>6250</v>
      </c>
      <c r="AF13" s="478">
        <v>6250</v>
      </c>
      <c r="AG13" s="478">
        <v>6250</v>
      </c>
      <c r="AH13" s="478">
        <v>6250</v>
      </c>
      <c r="AI13" s="478">
        <v>6250</v>
      </c>
      <c r="AJ13" s="478">
        <v>6250</v>
      </c>
      <c r="AK13" s="478">
        <v>6250</v>
      </c>
      <c r="AL13" s="478">
        <v>6250</v>
      </c>
      <c r="AM13" s="478">
        <v>6250</v>
      </c>
      <c r="AN13" s="478">
        <v>6250</v>
      </c>
    </row>
    <row r="14" spans="1:40" x14ac:dyDescent="0.25">
      <c r="A14" s="476" t="s">
        <v>142</v>
      </c>
      <c r="B14" s="479"/>
      <c r="C14" s="479"/>
      <c r="D14" s="479"/>
      <c r="E14" s="479"/>
      <c r="F14" s="478">
        <f>100</f>
        <v>100</v>
      </c>
      <c r="G14" s="478">
        <f>1100</f>
        <v>1100</v>
      </c>
      <c r="H14" s="479"/>
      <c r="I14" s="479"/>
      <c r="J14" s="479"/>
      <c r="K14" s="479"/>
      <c r="L14" s="479"/>
      <c r="M14" s="479"/>
      <c r="N14" s="479"/>
      <c r="O14" s="479"/>
      <c r="P14" s="479"/>
      <c r="Q14" s="479"/>
      <c r="R14" s="479"/>
      <c r="S14" s="478">
        <f>718.75</f>
        <v>718.75</v>
      </c>
      <c r="T14" s="479"/>
      <c r="U14" s="479"/>
      <c r="V14" s="479"/>
      <c r="W14" s="478">
        <f t="shared" si="1"/>
        <v>1918.75</v>
      </c>
      <c r="X14" s="478">
        <f t="shared" si="2"/>
        <v>1096.4285714285716</v>
      </c>
      <c r="Y14" s="478">
        <f t="shared" si="3"/>
        <v>1200</v>
      </c>
      <c r="Z14" s="478">
        <f t="shared" si="8"/>
        <v>718.75</v>
      </c>
      <c r="AA14" s="478">
        <v>1000</v>
      </c>
      <c r="AB14" s="37" t="str">
        <f t="shared" si="5"/>
        <v/>
      </c>
      <c r="AC14" s="478"/>
      <c r="AD14" s="478"/>
      <c r="AE14" s="478"/>
      <c r="AF14" s="478"/>
      <c r="AG14" s="478">
        <v>1000</v>
      </c>
      <c r="AH14" s="478"/>
      <c r="AI14" s="478"/>
      <c r="AJ14" s="478"/>
      <c r="AK14" s="478"/>
      <c r="AL14" s="478"/>
      <c r="AM14" s="478"/>
      <c r="AN14" s="478"/>
    </row>
    <row r="15" spans="1:40" x14ac:dyDescent="0.25">
      <c r="A15" s="476" t="s">
        <v>143</v>
      </c>
      <c r="B15" s="480">
        <f t="shared" ref="B15:V15" si="9">(((((B7)+(B8))+(B11))+(B12))+(B13))+(B14)</f>
        <v>19607</v>
      </c>
      <c r="C15" s="480">
        <f t="shared" si="9"/>
        <v>8072.79</v>
      </c>
      <c r="D15" s="480">
        <f t="shared" si="9"/>
        <v>29040</v>
      </c>
      <c r="E15" s="480">
        <f t="shared" si="9"/>
        <v>9560</v>
      </c>
      <c r="F15" s="480">
        <f t="shared" si="9"/>
        <v>34720.589999999997</v>
      </c>
      <c r="G15" s="480">
        <f t="shared" si="9"/>
        <v>8595</v>
      </c>
      <c r="H15" s="480">
        <f t="shared" si="9"/>
        <v>10654.77</v>
      </c>
      <c r="I15" s="480">
        <f t="shared" si="9"/>
        <v>14856.81</v>
      </c>
      <c r="J15" s="480">
        <f t="shared" si="9"/>
        <v>30825</v>
      </c>
      <c r="K15" s="480">
        <f t="shared" si="9"/>
        <v>154242.89000000001</v>
      </c>
      <c r="L15" s="480">
        <f t="shared" si="9"/>
        <v>17187.96</v>
      </c>
      <c r="M15" s="480">
        <f t="shared" si="9"/>
        <v>124137.09</v>
      </c>
      <c r="N15" s="480">
        <f t="shared" si="9"/>
        <v>16197.74</v>
      </c>
      <c r="O15" s="480">
        <f t="shared" si="9"/>
        <v>8142.47</v>
      </c>
      <c r="P15" s="480">
        <f t="shared" si="9"/>
        <v>9319.4500000000007</v>
      </c>
      <c r="Q15" s="480">
        <f t="shared" si="9"/>
        <v>7615</v>
      </c>
      <c r="R15" s="480">
        <f t="shared" si="9"/>
        <v>11096.02</v>
      </c>
      <c r="S15" s="480">
        <f t="shared" si="9"/>
        <v>14454.7</v>
      </c>
      <c r="T15" s="480">
        <f t="shared" si="9"/>
        <v>9395</v>
      </c>
      <c r="U15" s="480">
        <f t="shared" si="9"/>
        <v>14611.74</v>
      </c>
      <c r="V15" s="480">
        <f t="shared" si="9"/>
        <v>17741.379999999997</v>
      </c>
      <c r="W15" s="480">
        <f t="shared" si="1"/>
        <v>570073.4</v>
      </c>
      <c r="X15" s="480">
        <f t="shared" si="2"/>
        <v>325756.22857142857</v>
      </c>
      <c r="Y15" s="480">
        <f t="shared" si="3"/>
        <v>461499.9</v>
      </c>
      <c r="Z15" s="480">
        <f t="shared" ref="Z15" si="10">SUM(K15:L15,N15:V15)</f>
        <v>280004.35000000003</v>
      </c>
      <c r="AA15" s="480">
        <f>SUM(AA12:AA14)</f>
        <v>206000</v>
      </c>
      <c r="AB15" s="37" t="str">
        <f t="shared" si="5"/>
        <v/>
      </c>
      <c r="AC15" s="480">
        <f t="shared" ref="AC15:AN15" si="11">SUM(AC12:AC14)</f>
        <v>6250</v>
      </c>
      <c r="AD15" s="480">
        <f t="shared" si="11"/>
        <v>6250</v>
      </c>
      <c r="AE15" s="480">
        <f t="shared" si="11"/>
        <v>6250</v>
      </c>
      <c r="AF15" s="480">
        <f t="shared" si="11"/>
        <v>16250</v>
      </c>
      <c r="AG15" s="480">
        <f t="shared" si="11"/>
        <v>27250</v>
      </c>
      <c r="AH15" s="480">
        <f t="shared" si="11"/>
        <v>26250</v>
      </c>
      <c r="AI15" s="480">
        <f t="shared" si="11"/>
        <v>26250</v>
      </c>
      <c r="AJ15" s="480">
        <f t="shared" si="11"/>
        <v>26250</v>
      </c>
      <c r="AK15" s="480">
        <f t="shared" si="11"/>
        <v>16250</v>
      </c>
      <c r="AL15" s="480">
        <f t="shared" si="11"/>
        <v>16250</v>
      </c>
      <c r="AM15" s="480">
        <f t="shared" si="11"/>
        <v>16250</v>
      </c>
      <c r="AN15" s="480">
        <f t="shared" si="11"/>
        <v>16250</v>
      </c>
    </row>
    <row r="16" spans="1:40" x14ac:dyDescent="0.25">
      <c r="A16" s="476" t="s">
        <v>144</v>
      </c>
      <c r="B16" s="479"/>
      <c r="C16" s="478">
        <f>10566.41</f>
        <v>10566.41</v>
      </c>
      <c r="D16" s="479"/>
      <c r="E16" s="479"/>
      <c r="F16" s="478">
        <f>12837.85</f>
        <v>12837.85</v>
      </c>
      <c r="G16" s="479"/>
      <c r="H16" s="479"/>
      <c r="I16" s="478">
        <f>10000</f>
        <v>10000</v>
      </c>
      <c r="J16" s="479"/>
      <c r="K16" s="479"/>
      <c r="L16" s="479"/>
      <c r="M16" s="478">
        <f>10000</f>
        <v>10000</v>
      </c>
      <c r="N16" s="478">
        <f>10000</f>
        <v>10000</v>
      </c>
      <c r="O16" s="478">
        <f>6784</f>
        <v>6784</v>
      </c>
      <c r="P16" s="479"/>
      <c r="Q16" s="478">
        <f>10000</f>
        <v>10000</v>
      </c>
      <c r="R16" s="478">
        <f>6250</f>
        <v>6250</v>
      </c>
      <c r="S16" s="479"/>
      <c r="T16" s="478">
        <f>23075.06</f>
        <v>23075.06</v>
      </c>
      <c r="U16" s="478">
        <f>6250</f>
        <v>6250</v>
      </c>
      <c r="V16" s="478">
        <f>15000</f>
        <v>15000</v>
      </c>
      <c r="W16" s="478">
        <f t="shared" si="1"/>
        <v>120763.32</v>
      </c>
      <c r="X16" s="478">
        <f t="shared" si="2"/>
        <v>69007.611428571428</v>
      </c>
      <c r="Y16" s="478">
        <f t="shared" si="3"/>
        <v>43404.26</v>
      </c>
      <c r="Z16" s="478">
        <f t="shared" ref="Z16:Z22" si="12">SUM(K16:M16,N16:V16)</f>
        <v>87359.06</v>
      </c>
      <c r="AA16" s="478">
        <f>Revenue!E70</f>
        <v>100250</v>
      </c>
      <c r="AB16" s="37" t="str">
        <f t="shared" si="5"/>
        <v/>
      </c>
      <c r="AC16" s="478">
        <f>10000+1200</f>
        <v>11200</v>
      </c>
      <c r="AD16" s="478"/>
      <c r="AE16" s="478">
        <f>SUM(Wages!J19:J21)</f>
        <v>1800</v>
      </c>
      <c r="AF16" s="478">
        <f>SUM(Wages!K19:K21)</f>
        <v>3600</v>
      </c>
      <c r="AG16" s="478">
        <f>SUM(Wages!L19:L21)+5000</f>
        <v>8600</v>
      </c>
      <c r="AH16" s="478">
        <f>SUM(Wages!M19:M21)+4000</f>
        <v>8500</v>
      </c>
      <c r="AI16" s="478">
        <f>SUM(Wages!N19:N21)+5000</f>
        <v>12200</v>
      </c>
      <c r="AJ16" s="478">
        <f>5000+4350</f>
        <v>9350</v>
      </c>
      <c r="AK16" s="478">
        <v>20000</v>
      </c>
      <c r="AL16" s="478">
        <v>10000</v>
      </c>
      <c r="AM16" s="478">
        <v>5000</v>
      </c>
      <c r="AN16" s="478">
        <v>10000</v>
      </c>
    </row>
    <row r="17" spans="1:43" x14ac:dyDescent="0.25">
      <c r="A17" s="476" t="s">
        <v>145</v>
      </c>
      <c r="B17" s="479"/>
      <c r="C17" s="479"/>
      <c r="D17" s="479"/>
      <c r="E17" s="479"/>
      <c r="F17" s="478">
        <f>4000</f>
        <v>4000</v>
      </c>
      <c r="G17" s="479"/>
      <c r="H17" s="478">
        <f>167.4</f>
        <v>167.4</v>
      </c>
      <c r="I17" s="479"/>
      <c r="J17" s="479"/>
      <c r="K17" s="478">
        <f>188.05</f>
        <v>188.05</v>
      </c>
      <c r="L17" s="478">
        <f>570.07</f>
        <v>570.07000000000005</v>
      </c>
      <c r="M17" s="479"/>
      <c r="N17" s="479"/>
      <c r="O17" s="479"/>
      <c r="P17" s="479"/>
      <c r="Q17" s="479"/>
      <c r="R17" s="479"/>
      <c r="S17" s="479"/>
      <c r="T17" s="479"/>
      <c r="U17" s="479"/>
      <c r="V17" s="479"/>
      <c r="W17" s="478">
        <f t="shared" si="1"/>
        <v>4925.5199999999995</v>
      </c>
      <c r="X17" s="478">
        <f t="shared" si="2"/>
        <v>2814.5828571428565</v>
      </c>
      <c r="Y17" s="478">
        <f t="shared" si="3"/>
        <v>4925.5199999999995</v>
      </c>
      <c r="Z17" s="478">
        <f t="shared" si="12"/>
        <v>758.12000000000012</v>
      </c>
      <c r="AA17" s="478"/>
      <c r="AB17" s="37" t="str">
        <f t="shared" si="5"/>
        <v/>
      </c>
      <c r="AC17" s="478"/>
      <c r="AD17" s="478"/>
      <c r="AE17" s="478"/>
      <c r="AF17" s="478"/>
      <c r="AG17" s="478"/>
      <c r="AH17" s="478"/>
      <c r="AI17" s="478"/>
      <c r="AJ17" s="478"/>
      <c r="AK17" s="478"/>
      <c r="AL17" s="478"/>
      <c r="AM17" s="478"/>
      <c r="AN17" s="478"/>
    </row>
    <row r="18" spans="1:43" x14ac:dyDescent="0.25">
      <c r="A18" s="476" t="s">
        <v>146</v>
      </c>
      <c r="B18" s="478">
        <f>54.92</f>
        <v>54.92</v>
      </c>
      <c r="C18" s="478">
        <f>318.91</f>
        <v>318.91000000000003</v>
      </c>
      <c r="D18" s="479"/>
      <c r="E18" s="478">
        <f>250.57</f>
        <v>250.57</v>
      </c>
      <c r="F18" s="478">
        <f>80</f>
        <v>80</v>
      </c>
      <c r="G18" s="479"/>
      <c r="H18" s="478">
        <f>100.23</f>
        <v>100.23</v>
      </c>
      <c r="I18" s="478">
        <f>52.33</f>
        <v>52.33</v>
      </c>
      <c r="J18" s="479"/>
      <c r="K18" s="478">
        <f>1735.65</f>
        <v>1735.65</v>
      </c>
      <c r="L18" s="479"/>
      <c r="M18" s="478">
        <f>664.74</f>
        <v>664.74</v>
      </c>
      <c r="N18" s="479"/>
      <c r="O18" s="478">
        <f>40</f>
        <v>40</v>
      </c>
      <c r="P18" s="479"/>
      <c r="Q18" s="479"/>
      <c r="R18" s="479"/>
      <c r="S18" s="479"/>
      <c r="T18" s="479"/>
      <c r="U18" s="479"/>
      <c r="V18" s="479"/>
      <c r="W18" s="478">
        <f t="shared" si="1"/>
        <v>3297.3500000000004</v>
      </c>
      <c r="X18" s="478">
        <f t="shared" si="2"/>
        <v>1884.2000000000003</v>
      </c>
      <c r="Y18" s="478">
        <f t="shared" si="3"/>
        <v>3257.3500000000004</v>
      </c>
      <c r="Z18" s="478">
        <f t="shared" si="12"/>
        <v>2440.3900000000003</v>
      </c>
      <c r="AA18" s="478">
        <v>1000</v>
      </c>
      <c r="AB18" s="37" t="str">
        <f t="shared" si="5"/>
        <v/>
      </c>
      <c r="AC18" s="478"/>
      <c r="AD18" s="478"/>
      <c r="AE18" s="478"/>
      <c r="AF18" s="478">
        <v>200</v>
      </c>
      <c r="AG18" s="478"/>
      <c r="AH18" s="478"/>
      <c r="AI18" s="478">
        <v>400</v>
      </c>
      <c r="AJ18" s="478"/>
      <c r="AK18" s="478"/>
      <c r="AL18" s="478"/>
      <c r="AM18" s="478"/>
      <c r="AN18" s="478">
        <v>400</v>
      </c>
    </row>
    <row r="19" spans="1:43" x14ac:dyDescent="0.25">
      <c r="A19" s="476" t="s">
        <v>147</v>
      </c>
      <c r="B19" s="478">
        <f>269.7</f>
        <v>269.7</v>
      </c>
      <c r="C19" s="479"/>
      <c r="D19" s="479"/>
      <c r="E19" s="479"/>
      <c r="F19" s="479"/>
      <c r="G19" s="479"/>
      <c r="H19" s="479"/>
      <c r="I19" s="479"/>
      <c r="J19" s="479"/>
      <c r="K19" s="478">
        <f>5</f>
        <v>5</v>
      </c>
      <c r="L19" s="479"/>
      <c r="M19" s="479"/>
      <c r="N19" s="479"/>
      <c r="O19" s="479"/>
      <c r="P19" s="479"/>
      <c r="Q19" s="479"/>
      <c r="R19" s="479"/>
      <c r="S19" s="479"/>
      <c r="T19" s="479"/>
      <c r="U19" s="479"/>
      <c r="V19" s="479"/>
      <c r="W19" s="478">
        <f t="shared" si="1"/>
        <v>274.7</v>
      </c>
      <c r="X19" s="478">
        <f t="shared" si="2"/>
        <v>156.97142857142856</v>
      </c>
      <c r="Y19" s="478">
        <f t="shared" si="3"/>
        <v>274.7</v>
      </c>
      <c r="Z19" s="478">
        <f t="shared" si="12"/>
        <v>5</v>
      </c>
      <c r="AA19" s="478"/>
      <c r="AB19" s="37" t="str">
        <f t="shared" si="5"/>
        <v/>
      </c>
      <c r="AC19" s="478"/>
      <c r="AD19" s="478"/>
      <c r="AE19" s="478"/>
      <c r="AF19" s="478"/>
      <c r="AG19" s="478"/>
      <c r="AH19" s="478"/>
      <c r="AI19" s="478"/>
      <c r="AJ19" s="478"/>
      <c r="AK19" s="478"/>
      <c r="AL19" s="478"/>
      <c r="AM19" s="478"/>
      <c r="AN19" s="478"/>
    </row>
    <row r="20" spans="1:43" x14ac:dyDescent="0.25">
      <c r="A20" s="476" t="s">
        <v>1182</v>
      </c>
      <c r="B20" s="479"/>
      <c r="C20" s="479"/>
      <c r="D20" s="479"/>
      <c r="E20" s="479"/>
      <c r="F20" s="479"/>
      <c r="G20" s="479"/>
      <c r="H20" s="479"/>
      <c r="I20" s="479"/>
      <c r="J20" s="479"/>
      <c r="K20" s="479"/>
      <c r="L20" s="479"/>
      <c r="M20" s="479"/>
      <c r="N20" s="479"/>
      <c r="O20" s="479"/>
      <c r="P20" s="479"/>
      <c r="Q20" s="479"/>
      <c r="R20" s="479"/>
      <c r="S20" s="478">
        <f>25.25</f>
        <v>25.25</v>
      </c>
      <c r="T20" s="478">
        <f>151.5</f>
        <v>151.5</v>
      </c>
      <c r="U20" s="478">
        <f>35.5</f>
        <v>35.5</v>
      </c>
      <c r="V20" s="478">
        <f>23</f>
        <v>23</v>
      </c>
      <c r="W20" s="478">
        <f t="shared" si="1"/>
        <v>235.25</v>
      </c>
      <c r="X20" s="478">
        <f t="shared" si="2"/>
        <v>134.42857142857144</v>
      </c>
      <c r="Y20" s="478">
        <f t="shared" si="3"/>
        <v>0</v>
      </c>
      <c r="Z20" s="478">
        <f t="shared" si="12"/>
        <v>235.25</v>
      </c>
      <c r="AA20" s="478"/>
      <c r="AB20" s="37" t="str">
        <f t="shared" si="5"/>
        <v/>
      </c>
      <c r="AC20" s="478"/>
      <c r="AD20" s="478"/>
      <c r="AE20" s="478"/>
      <c r="AF20" s="478"/>
      <c r="AG20" s="478"/>
      <c r="AH20" s="478"/>
      <c r="AI20" s="478"/>
      <c r="AJ20" s="478"/>
      <c r="AK20" s="478"/>
      <c r="AL20" s="478"/>
      <c r="AM20" s="478"/>
      <c r="AN20" s="478"/>
    </row>
    <row r="21" spans="1:43" x14ac:dyDescent="0.25">
      <c r="A21" s="476" t="s">
        <v>150</v>
      </c>
      <c r="B21" s="479"/>
      <c r="C21" s="479"/>
      <c r="D21" s="479"/>
      <c r="E21" s="479"/>
      <c r="F21" s="478">
        <f>51</f>
        <v>51</v>
      </c>
      <c r="G21" s="478">
        <f>571.3</f>
        <v>571.29999999999995</v>
      </c>
      <c r="H21" s="478">
        <f>827</f>
        <v>827</v>
      </c>
      <c r="I21" s="478">
        <f>230</f>
        <v>230</v>
      </c>
      <c r="J21" s="478">
        <f>10.5</f>
        <v>10.5</v>
      </c>
      <c r="K21" s="478">
        <f>32</f>
        <v>32</v>
      </c>
      <c r="L21" s="479"/>
      <c r="M21" s="479"/>
      <c r="N21" s="479"/>
      <c r="O21" s="479"/>
      <c r="P21" s="479"/>
      <c r="Q21" s="479"/>
      <c r="R21" s="479"/>
      <c r="S21" s="478">
        <f>555</f>
        <v>555</v>
      </c>
      <c r="T21" s="478">
        <f>709.5</f>
        <v>709.5</v>
      </c>
      <c r="U21" s="478">
        <f>445</f>
        <v>445</v>
      </c>
      <c r="V21" s="478">
        <f>596</f>
        <v>596</v>
      </c>
      <c r="W21" s="478">
        <f t="shared" si="1"/>
        <v>4027.3</v>
      </c>
      <c r="X21" s="478">
        <f t="shared" si="2"/>
        <v>2301.3142857142857</v>
      </c>
      <c r="Y21" s="478">
        <f t="shared" si="3"/>
        <v>1721.8</v>
      </c>
      <c r="Z21" s="478">
        <f t="shared" si="12"/>
        <v>2337.5</v>
      </c>
      <c r="AA21" s="478">
        <f>Revenue!E46</f>
        <v>3963.9059999999999</v>
      </c>
      <c r="AB21" s="37" t="str">
        <f t="shared" si="5"/>
        <v/>
      </c>
      <c r="AC21" s="478"/>
      <c r="AD21" s="478"/>
      <c r="AE21" s="478"/>
      <c r="AF21" s="478"/>
      <c r="AG21" s="478"/>
      <c r="AH21" s="478">
        <f>0.2*$AA21</f>
        <v>792.78120000000001</v>
      </c>
      <c r="AI21" s="478">
        <f>0.4*$AA21</f>
        <v>1585.5624</v>
      </c>
      <c r="AJ21" s="478">
        <f>0.4*$AA21</f>
        <v>1585.5624</v>
      </c>
      <c r="AK21" s="478"/>
      <c r="AL21" s="478"/>
      <c r="AM21" s="478"/>
      <c r="AN21" s="478"/>
    </row>
    <row r="22" spans="1:43" x14ac:dyDescent="0.25">
      <c r="A22" s="476" t="s">
        <v>151</v>
      </c>
      <c r="B22" s="478">
        <f>80</f>
        <v>80</v>
      </c>
      <c r="C22" s="479"/>
      <c r="D22" s="479"/>
      <c r="E22" s="479"/>
      <c r="F22" s="478">
        <f>440.4</f>
        <v>440.4</v>
      </c>
      <c r="G22" s="478">
        <f>189.8</f>
        <v>189.8</v>
      </c>
      <c r="H22" s="478">
        <f>1583.8</f>
        <v>1583.8</v>
      </c>
      <c r="I22" s="478">
        <f>2492.1</f>
        <v>2492.1</v>
      </c>
      <c r="J22" s="479"/>
      <c r="K22" s="479"/>
      <c r="L22" s="479"/>
      <c r="M22" s="478">
        <f>40</f>
        <v>40</v>
      </c>
      <c r="N22" s="479"/>
      <c r="O22" s="479"/>
      <c r="P22" s="479"/>
      <c r="Q22" s="479"/>
      <c r="R22" s="479"/>
      <c r="S22" s="479"/>
      <c r="T22" s="478">
        <f>4569</f>
        <v>4569</v>
      </c>
      <c r="U22" s="478">
        <f>3900</f>
        <v>3900</v>
      </c>
      <c r="V22" s="478">
        <f>1780</f>
        <v>1780</v>
      </c>
      <c r="W22" s="478">
        <f t="shared" si="1"/>
        <v>15075.1</v>
      </c>
      <c r="X22" s="478">
        <f t="shared" si="2"/>
        <v>8614.3428571428558</v>
      </c>
      <c r="Y22" s="478">
        <f t="shared" si="3"/>
        <v>4826.1000000000004</v>
      </c>
      <c r="Z22" s="478">
        <f t="shared" si="12"/>
        <v>10289</v>
      </c>
      <c r="AA22" s="478">
        <f>Revenue!E47</f>
        <v>15855.624</v>
      </c>
      <c r="AB22" s="37" t="str">
        <f t="shared" si="5"/>
        <v/>
      </c>
      <c r="AC22" s="478"/>
      <c r="AD22" s="478"/>
      <c r="AE22" s="478"/>
      <c r="AF22" s="478"/>
      <c r="AG22" s="478"/>
      <c r="AH22" s="478">
        <f>0.05*$AA22</f>
        <v>792.78120000000001</v>
      </c>
      <c r="AI22" s="478">
        <f>0.15*$AA22</f>
        <v>2378.3435999999997</v>
      </c>
      <c r="AJ22" s="478">
        <f>0.2*$AA22</f>
        <v>3171.1248000000001</v>
      </c>
      <c r="AK22" s="478">
        <f>0.3*$AA22</f>
        <v>4756.6871999999994</v>
      </c>
      <c r="AL22" s="478">
        <f>0.2*$AA22</f>
        <v>3171.1248000000001</v>
      </c>
      <c r="AM22" s="478">
        <f t="shared" ref="AM22" si="13">0.1*$AA22</f>
        <v>1585.5624</v>
      </c>
      <c r="AN22" s="478"/>
    </row>
    <row r="23" spans="1:43" x14ac:dyDescent="0.25">
      <c r="A23" s="476" t="s">
        <v>152</v>
      </c>
      <c r="B23" s="480">
        <f t="shared" ref="B23:V23" si="14">(((B19)+(B20))+(B21))+(B22)</f>
        <v>349.7</v>
      </c>
      <c r="C23" s="480">
        <f t="shared" si="14"/>
        <v>0</v>
      </c>
      <c r="D23" s="480">
        <f t="shared" si="14"/>
        <v>0</v>
      </c>
      <c r="E23" s="480">
        <f t="shared" si="14"/>
        <v>0</v>
      </c>
      <c r="F23" s="480">
        <f t="shared" si="14"/>
        <v>491.4</v>
      </c>
      <c r="G23" s="480">
        <f t="shared" si="14"/>
        <v>761.09999999999991</v>
      </c>
      <c r="H23" s="480">
        <f t="shared" si="14"/>
        <v>2410.8000000000002</v>
      </c>
      <c r="I23" s="480">
        <f t="shared" si="14"/>
        <v>2722.1</v>
      </c>
      <c r="J23" s="480">
        <f t="shared" si="14"/>
        <v>10.5</v>
      </c>
      <c r="K23" s="480">
        <f t="shared" si="14"/>
        <v>37</v>
      </c>
      <c r="L23" s="480">
        <f t="shared" si="14"/>
        <v>0</v>
      </c>
      <c r="M23" s="480">
        <f t="shared" si="14"/>
        <v>40</v>
      </c>
      <c r="N23" s="480">
        <f t="shared" si="14"/>
        <v>0</v>
      </c>
      <c r="O23" s="480">
        <f t="shared" si="14"/>
        <v>0</v>
      </c>
      <c r="P23" s="480">
        <f t="shared" si="14"/>
        <v>0</v>
      </c>
      <c r="Q23" s="480">
        <f t="shared" si="14"/>
        <v>0</v>
      </c>
      <c r="R23" s="480">
        <f t="shared" si="14"/>
        <v>0</v>
      </c>
      <c r="S23" s="480">
        <f t="shared" si="14"/>
        <v>580.25</v>
      </c>
      <c r="T23" s="480">
        <f t="shared" si="14"/>
        <v>5430</v>
      </c>
      <c r="U23" s="480">
        <f t="shared" si="14"/>
        <v>4380.5</v>
      </c>
      <c r="V23" s="480">
        <f t="shared" si="14"/>
        <v>2399</v>
      </c>
      <c r="W23" s="480">
        <f t="shared" si="1"/>
        <v>19612.349999999999</v>
      </c>
      <c r="X23" s="480">
        <f t="shared" si="2"/>
        <v>11207.057142857142</v>
      </c>
      <c r="Y23" s="480">
        <f t="shared" si="3"/>
        <v>6822.6</v>
      </c>
      <c r="Z23" s="480">
        <f>SUM(K23:M23,N23:V23)</f>
        <v>12866.75</v>
      </c>
      <c r="AA23" s="480">
        <f>SUM(AA20:AA22)</f>
        <v>19819.53</v>
      </c>
      <c r="AB23" s="37" t="str">
        <f t="shared" si="5"/>
        <v/>
      </c>
      <c r="AC23" s="486">
        <f>SUM(AC20:AC22)</f>
        <v>0</v>
      </c>
      <c r="AD23" s="486">
        <f t="shared" ref="AD23:AN23" si="15">SUM(AD20:AD22)</f>
        <v>0</v>
      </c>
      <c r="AE23" s="486">
        <f t="shared" si="15"/>
        <v>0</v>
      </c>
      <c r="AF23" s="486">
        <f t="shared" si="15"/>
        <v>0</v>
      </c>
      <c r="AG23" s="486">
        <f t="shared" si="15"/>
        <v>0</v>
      </c>
      <c r="AH23" s="486">
        <f t="shared" si="15"/>
        <v>1585.5624</v>
      </c>
      <c r="AI23" s="486">
        <f t="shared" si="15"/>
        <v>3963.9059999999999</v>
      </c>
      <c r="AJ23" s="486">
        <f t="shared" si="15"/>
        <v>4756.6872000000003</v>
      </c>
      <c r="AK23" s="486">
        <f t="shared" si="15"/>
        <v>4756.6871999999994</v>
      </c>
      <c r="AL23" s="486">
        <f t="shared" si="15"/>
        <v>3171.1248000000001</v>
      </c>
      <c r="AM23" s="486">
        <f t="shared" si="15"/>
        <v>1585.5624</v>
      </c>
      <c r="AN23" s="486">
        <f t="shared" si="15"/>
        <v>0</v>
      </c>
    </row>
    <row r="24" spans="1:43" x14ac:dyDescent="0.25">
      <c r="A24" s="476" t="s">
        <v>153</v>
      </c>
      <c r="B24" s="479"/>
      <c r="C24" s="479"/>
      <c r="D24" s="479"/>
      <c r="E24" s="479"/>
      <c r="F24" s="479"/>
      <c r="G24" s="479"/>
      <c r="H24" s="478">
        <f>97.89</f>
        <v>97.89</v>
      </c>
      <c r="I24" s="479"/>
      <c r="J24" s="479"/>
      <c r="K24" s="479"/>
      <c r="L24" s="479"/>
      <c r="M24" s="479"/>
      <c r="N24" s="479"/>
      <c r="O24" s="479"/>
      <c r="P24" s="479"/>
      <c r="Q24" s="479"/>
      <c r="R24" s="479"/>
      <c r="S24" s="478">
        <f>172</f>
        <v>172</v>
      </c>
      <c r="T24" s="479"/>
      <c r="U24" s="479"/>
      <c r="V24" s="479"/>
      <c r="W24" s="478">
        <f t="shared" si="1"/>
        <v>269.89</v>
      </c>
      <c r="X24" s="478">
        <f t="shared" si="2"/>
        <v>154.22285714285712</v>
      </c>
      <c r="Y24" s="478">
        <f t="shared" si="3"/>
        <v>97.89</v>
      </c>
      <c r="Z24" s="478">
        <f t="shared" ref="Z24:Z26" si="16">SUM(K24:M24,N24:V24)</f>
        <v>172</v>
      </c>
      <c r="AA24" s="478"/>
      <c r="AB24" s="37" t="str">
        <f t="shared" si="5"/>
        <v/>
      </c>
      <c r="AC24" s="478"/>
      <c r="AD24" s="478"/>
      <c r="AE24" s="478"/>
      <c r="AF24" s="478"/>
      <c r="AG24" s="478"/>
      <c r="AH24" s="478"/>
      <c r="AI24" s="478"/>
      <c r="AJ24" s="478"/>
      <c r="AK24" s="478"/>
      <c r="AL24" s="478"/>
      <c r="AM24" s="478"/>
      <c r="AN24" s="478"/>
    </row>
    <row r="25" spans="1:43" x14ac:dyDescent="0.25">
      <c r="A25" s="476" t="s">
        <v>154</v>
      </c>
      <c r="B25" s="479"/>
      <c r="C25" s="479"/>
      <c r="D25" s="479"/>
      <c r="E25" s="479"/>
      <c r="F25" s="479"/>
      <c r="G25" s="479"/>
      <c r="H25" s="479"/>
      <c r="I25" s="479"/>
      <c r="J25" s="479"/>
      <c r="K25" s="479"/>
      <c r="L25" s="479"/>
      <c r="M25" s="479"/>
      <c r="N25" s="479"/>
      <c r="O25" s="479"/>
      <c r="P25" s="479"/>
      <c r="Q25" s="479"/>
      <c r="R25" s="479"/>
      <c r="S25" s="479"/>
      <c r="T25" s="479"/>
      <c r="U25" s="478">
        <f>2771.02</f>
        <v>2771.02</v>
      </c>
      <c r="V25" s="479"/>
      <c r="W25" s="478">
        <f t="shared" si="1"/>
        <v>2771.02</v>
      </c>
      <c r="X25" s="478">
        <f t="shared" si="2"/>
        <v>1583.4399999999998</v>
      </c>
      <c r="Y25" s="478">
        <f t="shared" si="3"/>
        <v>0</v>
      </c>
      <c r="Z25" s="478">
        <f t="shared" si="16"/>
        <v>2771.02</v>
      </c>
      <c r="AA25" s="478"/>
      <c r="AB25" s="37" t="str">
        <f t="shared" si="5"/>
        <v/>
      </c>
      <c r="AC25" s="478"/>
      <c r="AD25" s="478"/>
      <c r="AE25" s="478"/>
      <c r="AF25" s="478"/>
      <c r="AG25" s="478"/>
      <c r="AH25" s="478"/>
      <c r="AI25" s="478"/>
      <c r="AJ25" s="478"/>
      <c r="AK25" s="478"/>
      <c r="AL25" s="478"/>
      <c r="AM25" s="478"/>
      <c r="AN25" s="478"/>
    </row>
    <row r="26" spans="1:43" x14ac:dyDescent="0.25">
      <c r="A26" s="476" t="s">
        <v>155</v>
      </c>
      <c r="B26" s="479"/>
      <c r="C26" s="478">
        <f>0.14</f>
        <v>0.14000000000000001</v>
      </c>
      <c r="D26" s="479"/>
      <c r="E26" s="479"/>
      <c r="F26" s="479"/>
      <c r="G26" s="479"/>
      <c r="H26" s="479"/>
      <c r="I26" s="479"/>
      <c r="J26" s="479"/>
      <c r="K26" s="479"/>
      <c r="L26" s="479"/>
      <c r="M26" s="479"/>
      <c r="N26" s="479"/>
      <c r="O26" s="479"/>
      <c r="P26" s="479"/>
      <c r="Q26" s="479"/>
      <c r="R26" s="479"/>
      <c r="S26" s="479"/>
      <c r="T26" s="479"/>
      <c r="U26" s="479"/>
      <c r="V26" s="479"/>
      <c r="W26" s="478">
        <f t="shared" si="1"/>
        <v>0.14000000000000001</v>
      </c>
      <c r="X26" s="478">
        <f t="shared" si="2"/>
        <v>0.08</v>
      </c>
      <c r="Y26" s="478">
        <f t="shared" si="3"/>
        <v>0.14000000000000001</v>
      </c>
      <c r="Z26" s="478">
        <f t="shared" si="16"/>
        <v>0</v>
      </c>
      <c r="AA26" s="478">
        <v>50000</v>
      </c>
      <c r="AB26" s="37" t="str">
        <f t="shared" si="5"/>
        <v/>
      </c>
      <c r="AC26" s="478"/>
      <c r="AD26" s="478">
        <v>50000</v>
      </c>
      <c r="AE26" s="478"/>
      <c r="AF26" s="478"/>
      <c r="AG26" s="478"/>
      <c r="AH26" s="478"/>
      <c r="AI26" s="478"/>
      <c r="AJ26" s="478"/>
      <c r="AK26" s="478"/>
      <c r="AL26" s="478"/>
      <c r="AM26" s="478"/>
      <c r="AN26" s="478"/>
    </row>
    <row r="27" spans="1:43" x14ac:dyDescent="0.25">
      <c r="A27" s="476" t="s">
        <v>156</v>
      </c>
      <c r="B27" s="480">
        <f t="shared" ref="B27:V27" si="17">(((((((B15)+(B16))+(B17))+(B18))+(B23))+(B24))+(B25))+(B26)</f>
        <v>20011.62</v>
      </c>
      <c r="C27" s="480">
        <f t="shared" si="17"/>
        <v>18958.25</v>
      </c>
      <c r="D27" s="480">
        <f t="shared" si="17"/>
        <v>29040</v>
      </c>
      <c r="E27" s="480">
        <f t="shared" si="17"/>
        <v>9810.57</v>
      </c>
      <c r="F27" s="480">
        <f t="shared" si="17"/>
        <v>52129.84</v>
      </c>
      <c r="G27" s="480">
        <f t="shared" si="17"/>
        <v>9356.1</v>
      </c>
      <c r="H27" s="480">
        <f t="shared" si="17"/>
        <v>13431.09</v>
      </c>
      <c r="I27" s="480">
        <f t="shared" si="17"/>
        <v>27631.239999999998</v>
      </c>
      <c r="J27" s="480">
        <f t="shared" si="17"/>
        <v>30835.5</v>
      </c>
      <c r="K27" s="480">
        <f t="shared" si="17"/>
        <v>156203.59</v>
      </c>
      <c r="L27" s="480">
        <f t="shared" si="17"/>
        <v>17758.03</v>
      </c>
      <c r="M27" s="480">
        <f t="shared" si="17"/>
        <v>134841.82999999999</v>
      </c>
      <c r="N27" s="480">
        <f t="shared" si="17"/>
        <v>26197.739999999998</v>
      </c>
      <c r="O27" s="480">
        <f t="shared" si="17"/>
        <v>14966.470000000001</v>
      </c>
      <c r="P27" s="480">
        <f t="shared" si="17"/>
        <v>9319.4500000000007</v>
      </c>
      <c r="Q27" s="480">
        <f t="shared" si="17"/>
        <v>17615</v>
      </c>
      <c r="R27" s="480">
        <f t="shared" si="17"/>
        <v>17346.02</v>
      </c>
      <c r="S27" s="480">
        <f t="shared" si="17"/>
        <v>15206.95</v>
      </c>
      <c r="T27" s="480">
        <f t="shared" si="17"/>
        <v>37900.06</v>
      </c>
      <c r="U27" s="480">
        <f t="shared" si="17"/>
        <v>28013.26</v>
      </c>
      <c r="V27" s="480">
        <f t="shared" si="17"/>
        <v>35140.379999999997</v>
      </c>
      <c r="W27" s="480">
        <f t="shared" si="1"/>
        <v>721712.98999999987</v>
      </c>
      <c r="X27" s="480">
        <f t="shared" si="2"/>
        <v>412407.42285714275</v>
      </c>
      <c r="Y27" s="480">
        <f t="shared" si="3"/>
        <v>520007.65999999992</v>
      </c>
      <c r="Z27" s="480">
        <f>SUM(K27:M27,N27:V27)</f>
        <v>510508.77999999997</v>
      </c>
      <c r="AA27" s="480">
        <f>AA11+AA15+AA16+AA17+AA18+AA19+AA23+AA24+AA25+AA26</f>
        <v>527069.53</v>
      </c>
      <c r="AB27" s="37" t="str">
        <f t="shared" si="5"/>
        <v/>
      </c>
      <c r="AC27" s="480">
        <f>SUM(AC24:AC26,AC16:AC22,AC12:AC14,AC7:AC10)</f>
        <v>17450</v>
      </c>
      <c r="AD27" s="480">
        <f t="shared" ref="AD27:AN27" si="18">SUM(AD24:AD26,AD16:AD22,AD12:AD14,AD7:AD10)</f>
        <v>56250</v>
      </c>
      <c r="AE27" s="480">
        <f t="shared" si="18"/>
        <v>8050</v>
      </c>
      <c r="AF27" s="480">
        <f t="shared" si="18"/>
        <v>20050</v>
      </c>
      <c r="AG27" s="480">
        <f t="shared" si="18"/>
        <v>35850</v>
      </c>
      <c r="AH27" s="480">
        <f t="shared" si="18"/>
        <v>36335.562399999995</v>
      </c>
      <c r="AI27" s="480">
        <f t="shared" si="18"/>
        <v>42813.906000000003</v>
      </c>
      <c r="AJ27" s="480">
        <f t="shared" si="18"/>
        <v>40356.6872</v>
      </c>
      <c r="AK27" s="480">
        <f t="shared" si="18"/>
        <v>51006.6872</v>
      </c>
      <c r="AL27" s="480">
        <f t="shared" si="18"/>
        <v>156421.12479999999</v>
      </c>
      <c r="AM27" s="480">
        <f t="shared" si="18"/>
        <v>30835.562399999999</v>
      </c>
      <c r="AN27" s="480">
        <f t="shared" si="18"/>
        <v>31650</v>
      </c>
      <c r="AO27" s="322"/>
      <c r="AP27" s="322"/>
      <c r="AQ27" s="487"/>
    </row>
    <row r="28" spans="1:43" x14ac:dyDescent="0.25">
      <c r="A28" s="476" t="s">
        <v>20</v>
      </c>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37" t="str">
        <f t="shared" si="5"/>
        <v/>
      </c>
      <c r="AC28" s="479"/>
      <c r="AD28" s="479"/>
      <c r="AE28" s="479"/>
      <c r="AF28" s="479"/>
      <c r="AG28" s="479"/>
      <c r="AH28" s="479"/>
      <c r="AI28" s="479"/>
      <c r="AJ28" s="479"/>
      <c r="AK28" s="479"/>
      <c r="AL28" s="479"/>
      <c r="AM28" s="479"/>
      <c r="AN28" s="479"/>
    </row>
    <row r="29" spans="1:43" x14ac:dyDescent="0.25">
      <c r="A29" s="476" t="s">
        <v>617</v>
      </c>
      <c r="B29" s="479"/>
      <c r="C29" s="479"/>
      <c r="D29" s="479"/>
      <c r="E29" s="479"/>
      <c r="F29" s="479"/>
      <c r="G29" s="479"/>
      <c r="H29" s="479"/>
      <c r="I29" s="479"/>
      <c r="J29" s="479"/>
      <c r="K29" s="479"/>
      <c r="L29" s="479"/>
      <c r="M29" s="479"/>
      <c r="N29" s="478">
        <f>103.22</f>
        <v>103.22</v>
      </c>
      <c r="O29" s="479"/>
      <c r="P29" s="479"/>
      <c r="Q29" s="479"/>
      <c r="R29" s="479"/>
      <c r="S29" s="479"/>
      <c r="T29" s="479"/>
      <c r="U29" s="479"/>
      <c r="V29" s="479"/>
      <c r="W29" s="478">
        <f t="shared" ref="W29:W62" si="19">((((((((((((((((((((B29)+(C29))+(D29))+(E29))+(F29))+(G29))+(H29))+(I29))+(J29))+(K29))+(L29))+(M29))+(N29))+(O29))+(P29))+(Q29))+(R29))+(S29))+(T29))+(U29))+(V29)</f>
        <v>103.22</v>
      </c>
      <c r="X29" s="478">
        <f t="shared" si="2"/>
        <v>58.982857142857142</v>
      </c>
      <c r="Y29" s="478">
        <f t="shared" si="3"/>
        <v>0</v>
      </c>
      <c r="Z29" s="478">
        <f t="shared" ref="Z29:Z31" si="20">SUM(K29:M29,N29:V29)</f>
        <v>103.22</v>
      </c>
      <c r="AA29" s="478"/>
      <c r="AB29" s="37" t="str">
        <f t="shared" si="5"/>
        <v/>
      </c>
      <c r="AC29" s="478"/>
      <c r="AD29" s="478"/>
      <c r="AE29" s="478"/>
      <c r="AF29" s="478"/>
      <c r="AG29" s="478"/>
      <c r="AH29" s="478"/>
      <c r="AI29" s="478"/>
      <c r="AJ29" s="478"/>
      <c r="AK29" s="478"/>
      <c r="AL29" s="478"/>
      <c r="AM29" s="478"/>
      <c r="AN29" s="478"/>
    </row>
    <row r="30" spans="1:43" x14ac:dyDescent="0.25">
      <c r="A30" s="476" t="s">
        <v>1183</v>
      </c>
      <c r="B30" s="479"/>
      <c r="C30" s="479"/>
      <c r="D30" s="479"/>
      <c r="E30" s="479"/>
      <c r="F30" s="479"/>
      <c r="G30" s="479"/>
      <c r="H30" s="479"/>
      <c r="I30" s="479"/>
      <c r="J30" s="479"/>
      <c r="K30" s="479"/>
      <c r="L30" s="479"/>
      <c r="M30" s="479"/>
      <c r="N30" s="479"/>
      <c r="O30" s="479"/>
      <c r="P30" s="479"/>
      <c r="Q30" s="479"/>
      <c r="R30" s="479"/>
      <c r="S30" s="479"/>
      <c r="T30" s="479"/>
      <c r="U30" s="479"/>
      <c r="V30" s="479"/>
      <c r="W30" s="478">
        <f t="shared" si="19"/>
        <v>0</v>
      </c>
      <c r="X30" s="478">
        <f t="shared" si="2"/>
        <v>0</v>
      </c>
      <c r="Y30" s="478">
        <f t="shared" si="3"/>
        <v>0</v>
      </c>
      <c r="Z30" s="478">
        <f t="shared" si="20"/>
        <v>0</v>
      </c>
      <c r="AA30" s="478"/>
      <c r="AB30" s="37" t="str">
        <f t="shared" si="5"/>
        <v/>
      </c>
      <c r="AC30" s="478"/>
      <c r="AD30" s="478"/>
      <c r="AE30" s="478"/>
      <c r="AF30" s="478"/>
      <c r="AG30" s="478"/>
      <c r="AH30" s="478"/>
      <c r="AI30" s="478"/>
      <c r="AJ30" s="478"/>
      <c r="AK30" s="478"/>
      <c r="AL30" s="478"/>
      <c r="AM30" s="478"/>
      <c r="AN30" s="478"/>
    </row>
    <row r="31" spans="1:43" x14ac:dyDescent="0.25">
      <c r="A31" s="476" t="s">
        <v>1184</v>
      </c>
      <c r="B31" s="479"/>
      <c r="C31" s="479"/>
      <c r="D31" s="479"/>
      <c r="E31" s="479"/>
      <c r="F31" s="479"/>
      <c r="G31" s="479"/>
      <c r="H31" s="479"/>
      <c r="I31" s="479"/>
      <c r="J31" s="479"/>
      <c r="K31" s="479"/>
      <c r="L31" s="479"/>
      <c r="M31" s="479"/>
      <c r="N31" s="479"/>
      <c r="O31" s="479"/>
      <c r="P31" s="479"/>
      <c r="Q31" s="479"/>
      <c r="R31" s="479"/>
      <c r="S31" s="479"/>
      <c r="T31" s="478">
        <f>359.37</f>
        <v>359.37</v>
      </c>
      <c r="U31" s="478">
        <f>17.5</f>
        <v>17.5</v>
      </c>
      <c r="V31" s="479"/>
      <c r="W31" s="478">
        <f t="shared" si="19"/>
        <v>376.87</v>
      </c>
      <c r="X31" s="478">
        <f t="shared" si="2"/>
        <v>215.35428571428571</v>
      </c>
      <c r="Y31" s="478">
        <f t="shared" si="3"/>
        <v>0</v>
      </c>
      <c r="Z31" s="478">
        <f t="shared" si="20"/>
        <v>376.87</v>
      </c>
      <c r="AA31" s="478"/>
      <c r="AB31" s="37" t="str">
        <f t="shared" si="5"/>
        <v/>
      </c>
      <c r="AC31" s="478"/>
      <c r="AD31" s="478"/>
      <c r="AE31" s="478"/>
      <c r="AF31" s="478"/>
      <c r="AG31" s="478"/>
      <c r="AH31" s="478"/>
      <c r="AI31" s="478"/>
      <c r="AJ31" s="478"/>
      <c r="AK31" s="478"/>
      <c r="AL31" s="478"/>
      <c r="AM31" s="478"/>
      <c r="AN31" s="478"/>
    </row>
    <row r="32" spans="1:43" x14ac:dyDescent="0.25">
      <c r="A32" s="476" t="s">
        <v>1185</v>
      </c>
      <c r="B32" s="480">
        <f t="shared" ref="B32:V32" si="21">(B30)+(B31)</f>
        <v>0</v>
      </c>
      <c r="C32" s="480">
        <f t="shared" si="21"/>
        <v>0</v>
      </c>
      <c r="D32" s="480">
        <f t="shared" si="21"/>
        <v>0</v>
      </c>
      <c r="E32" s="480">
        <f t="shared" si="21"/>
        <v>0</v>
      </c>
      <c r="F32" s="480">
        <f t="shared" si="21"/>
        <v>0</v>
      </c>
      <c r="G32" s="480">
        <f t="shared" si="21"/>
        <v>0</v>
      </c>
      <c r="H32" s="480">
        <f t="shared" si="21"/>
        <v>0</v>
      </c>
      <c r="I32" s="480">
        <f t="shared" si="21"/>
        <v>0</v>
      </c>
      <c r="J32" s="480">
        <f t="shared" si="21"/>
        <v>0</v>
      </c>
      <c r="K32" s="480">
        <f t="shared" si="21"/>
        <v>0</v>
      </c>
      <c r="L32" s="480">
        <f t="shared" si="21"/>
        <v>0</v>
      </c>
      <c r="M32" s="480">
        <f t="shared" si="21"/>
        <v>0</v>
      </c>
      <c r="N32" s="480">
        <f t="shared" si="21"/>
        <v>0</v>
      </c>
      <c r="O32" s="480">
        <f t="shared" si="21"/>
        <v>0</v>
      </c>
      <c r="P32" s="480">
        <f t="shared" si="21"/>
        <v>0</v>
      </c>
      <c r="Q32" s="480">
        <f t="shared" si="21"/>
        <v>0</v>
      </c>
      <c r="R32" s="480">
        <f t="shared" si="21"/>
        <v>0</v>
      </c>
      <c r="S32" s="480">
        <f t="shared" si="21"/>
        <v>0</v>
      </c>
      <c r="T32" s="480">
        <f t="shared" si="21"/>
        <v>359.37</v>
      </c>
      <c r="U32" s="480">
        <f t="shared" si="21"/>
        <v>17.5</v>
      </c>
      <c r="V32" s="480">
        <f t="shared" si="21"/>
        <v>0</v>
      </c>
      <c r="W32" s="480">
        <f t="shared" si="19"/>
        <v>376.87</v>
      </c>
      <c r="X32" s="480">
        <f t="shared" si="2"/>
        <v>215.35428571428571</v>
      </c>
      <c r="Y32" s="480">
        <f t="shared" si="3"/>
        <v>0</v>
      </c>
      <c r="Z32" s="480">
        <f>SUM(K32:M32,N32:V32)</f>
        <v>376.87</v>
      </c>
      <c r="AA32" s="478"/>
      <c r="AB32" s="37" t="str">
        <f t="shared" si="5"/>
        <v/>
      </c>
      <c r="AC32" s="480"/>
      <c r="AD32" s="480"/>
      <c r="AE32" s="480"/>
      <c r="AF32" s="480"/>
      <c r="AG32" s="480"/>
      <c r="AH32" s="480"/>
      <c r="AI32" s="480"/>
      <c r="AJ32" s="480"/>
      <c r="AK32" s="480"/>
      <c r="AL32" s="480"/>
      <c r="AM32" s="480"/>
      <c r="AN32" s="480"/>
    </row>
    <row r="33" spans="1:40" x14ac:dyDescent="0.25">
      <c r="A33" s="476" t="s">
        <v>157</v>
      </c>
      <c r="B33" s="478">
        <f>1008</f>
        <v>1008</v>
      </c>
      <c r="C33" s="478">
        <f>1755</f>
        <v>1755</v>
      </c>
      <c r="D33" s="478">
        <f>5340</f>
        <v>5340</v>
      </c>
      <c r="E33" s="478">
        <f>5148</f>
        <v>5148</v>
      </c>
      <c r="F33" s="478">
        <f>8649</f>
        <v>8649</v>
      </c>
      <c r="G33" s="478">
        <f>9380.2</f>
        <v>9380.2000000000007</v>
      </c>
      <c r="H33" s="478">
        <f>10886.4</f>
        <v>10886.4</v>
      </c>
      <c r="I33" s="478">
        <f>9213</f>
        <v>9213</v>
      </c>
      <c r="J33" s="478">
        <f>7872</f>
        <v>7872</v>
      </c>
      <c r="K33" s="478">
        <f>8220</f>
        <v>8220</v>
      </c>
      <c r="L33" s="478">
        <f>9720</f>
        <v>9720</v>
      </c>
      <c r="M33" s="478">
        <f>2742</f>
        <v>2742</v>
      </c>
      <c r="N33" s="478">
        <f>3507</f>
        <v>3507</v>
      </c>
      <c r="O33" s="478">
        <f>3638.07</f>
        <v>3638.07</v>
      </c>
      <c r="P33" s="478">
        <f>8191.14</f>
        <v>8191.14</v>
      </c>
      <c r="Q33" s="478">
        <f>8702.26</f>
        <v>8702.26</v>
      </c>
      <c r="R33" s="478">
        <f>10642.7</f>
        <v>10642.7</v>
      </c>
      <c r="S33" s="478">
        <f>9136.13</f>
        <v>9136.1299999999992</v>
      </c>
      <c r="T33" s="478">
        <f>11409.95</f>
        <v>11409.95</v>
      </c>
      <c r="U33" s="478">
        <f>7787.19</f>
        <v>7787.19</v>
      </c>
      <c r="V33" s="478">
        <f>6096.13</f>
        <v>6096.13</v>
      </c>
      <c r="W33" s="478">
        <f t="shared" si="19"/>
        <v>149044.17000000001</v>
      </c>
      <c r="X33" s="478">
        <f t="shared" si="2"/>
        <v>85168.09714285715</v>
      </c>
      <c r="Y33" s="478">
        <f t="shared" si="3"/>
        <v>79933.600000000006</v>
      </c>
      <c r="Z33" s="478">
        <f>SUM(K33:M33,N33:V33)</f>
        <v>89792.57</v>
      </c>
      <c r="AA33" s="478">
        <f>Wages!F29</f>
        <v>89856</v>
      </c>
      <c r="AB33" s="37" t="str">
        <f t="shared" si="5"/>
        <v/>
      </c>
      <c r="AC33" s="478">
        <f>Wages!I29</f>
        <v>0</v>
      </c>
      <c r="AD33" s="478">
        <f>Wages!J29</f>
        <v>3600</v>
      </c>
      <c r="AE33" s="478">
        <f>Wages!K29</f>
        <v>7200</v>
      </c>
      <c r="AF33" s="478">
        <f>Wages!L29</f>
        <v>7200</v>
      </c>
      <c r="AG33" s="478">
        <f>Wages!M29</f>
        <v>9000</v>
      </c>
      <c r="AH33" s="478">
        <f>Wages!N29</f>
        <v>14976</v>
      </c>
      <c r="AI33" s="478">
        <f>Wages!O29</f>
        <v>20304</v>
      </c>
      <c r="AJ33" s="478">
        <f>Wages!P29</f>
        <v>7776</v>
      </c>
      <c r="AK33" s="478">
        <f>Wages!Q29</f>
        <v>7200</v>
      </c>
      <c r="AL33" s="478">
        <f>Wages!R29</f>
        <v>9000</v>
      </c>
      <c r="AM33" s="478">
        <f>Wages!S29</f>
        <v>3600</v>
      </c>
      <c r="AN33" s="478">
        <f>Wages!T29</f>
        <v>0</v>
      </c>
    </row>
    <row r="34" spans="1:40" x14ac:dyDescent="0.25">
      <c r="A34" s="476" t="s">
        <v>158</v>
      </c>
      <c r="B34" s="479"/>
      <c r="C34" s="479"/>
      <c r="D34" s="479"/>
      <c r="E34" s="479"/>
      <c r="F34" s="479"/>
      <c r="G34" s="479"/>
      <c r="H34" s="479"/>
      <c r="I34" s="479"/>
      <c r="J34" s="479"/>
      <c r="K34" s="479"/>
      <c r="L34" s="479"/>
      <c r="M34" s="479"/>
      <c r="N34" s="479"/>
      <c r="O34" s="479"/>
      <c r="P34" s="479"/>
      <c r="Q34" s="479"/>
      <c r="R34" s="479"/>
      <c r="S34" s="479"/>
      <c r="T34" s="479"/>
      <c r="U34" s="479"/>
      <c r="V34" s="479"/>
      <c r="W34" s="478">
        <f t="shared" si="19"/>
        <v>0</v>
      </c>
      <c r="X34" s="478">
        <f t="shared" si="2"/>
        <v>0</v>
      </c>
      <c r="Y34" s="478">
        <f t="shared" si="3"/>
        <v>0</v>
      </c>
      <c r="Z34" s="478">
        <f t="shared" ref="Z34:Z35" si="22">SUM(K34:M34,N34:V34)</f>
        <v>0</v>
      </c>
      <c r="AA34" s="478"/>
      <c r="AB34" s="37" t="str">
        <f t="shared" si="5"/>
        <v/>
      </c>
      <c r="AC34" s="478"/>
      <c r="AD34" s="478"/>
      <c r="AE34" s="478"/>
      <c r="AF34" s="478"/>
      <c r="AG34" s="478"/>
      <c r="AH34" s="478"/>
      <c r="AI34" s="478"/>
      <c r="AJ34" s="478"/>
      <c r="AK34" s="478"/>
      <c r="AL34" s="478"/>
      <c r="AM34" s="478"/>
      <c r="AN34" s="478"/>
    </row>
    <row r="35" spans="1:40" x14ac:dyDescent="0.25">
      <c r="A35" s="476" t="s">
        <v>618</v>
      </c>
      <c r="B35" s="478">
        <f>130.64</f>
        <v>130.63999999999999</v>
      </c>
      <c r="C35" s="478">
        <f>186.98</f>
        <v>186.98</v>
      </c>
      <c r="D35" s="478">
        <f>187.34</f>
        <v>187.34</v>
      </c>
      <c r="E35" s="478">
        <f>203.9</f>
        <v>203.9</v>
      </c>
      <c r="F35" s="478">
        <f>871.94</f>
        <v>871.94</v>
      </c>
      <c r="G35" s="479"/>
      <c r="H35" s="478">
        <f>641.26</f>
        <v>641.26</v>
      </c>
      <c r="I35" s="478">
        <f>945.92</f>
        <v>945.92</v>
      </c>
      <c r="J35" s="478">
        <f>752.31</f>
        <v>752.31</v>
      </c>
      <c r="K35" s="478">
        <f>731.81</f>
        <v>731.81</v>
      </c>
      <c r="L35" s="478">
        <f>636.26</f>
        <v>636.26</v>
      </c>
      <c r="M35" s="479"/>
      <c r="N35" s="478">
        <f>1507.89</f>
        <v>1507.89</v>
      </c>
      <c r="O35" s="478">
        <f>879.13</f>
        <v>879.13</v>
      </c>
      <c r="P35" s="478">
        <f>850.95</f>
        <v>850.95</v>
      </c>
      <c r="Q35" s="478">
        <f>977.89</f>
        <v>977.89</v>
      </c>
      <c r="R35" s="478">
        <f>786.79</f>
        <v>786.79</v>
      </c>
      <c r="S35" s="478">
        <f>647.34</f>
        <v>647.34</v>
      </c>
      <c r="T35" s="478">
        <f>976.58</f>
        <v>976.58</v>
      </c>
      <c r="U35" s="479"/>
      <c r="V35" s="478">
        <f>2270.44</f>
        <v>2270.44</v>
      </c>
      <c r="W35" s="478">
        <f t="shared" si="19"/>
        <v>14185.370000000003</v>
      </c>
      <c r="X35" s="478">
        <f t="shared" si="2"/>
        <v>8105.9257142857159</v>
      </c>
      <c r="Y35" s="478">
        <f t="shared" si="3"/>
        <v>5288.3600000000006</v>
      </c>
      <c r="Z35" s="478">
        <f t="shared" si="22"/>
        <v>10265.08</v>
      </c>
      <c r="AA35" s="478">
        <v>8500</v>
      </c>
      <c r="AB35" s="37" t="str">
        <f t="shared" si="5"/>
        <v/>
      </c>
      <c r="AC35" s="478">
        <f>N35/$Z35*$AA35</f>
        <v>1248.6083888289229</v>
      </c>
      <c r="AD35" s="478">
        <f t="shared" ref="AD35:AI35" si="23">O35/$Z35*$AA35</f>
        <v>727.96363983524725</v>
      </c>
      <c r="AE35" s="478">
        <f t="shared" si="23"/>
        <v>704.62918944616126</v>
      </c>
      <c r="AF35" s="478">
        <f t="shared" si="23"/>
        <v>809.74186270345672</v>
      </c>
      <c r="AG35" s="478">
        <f t="shared" si="23"/>
        <v>651.50149828350095</v>
      </c>
      <c r="AH35" s="478">
        <f t="shared" si="23"/>
        <v>536.02991890954581</v>
      </c>
      <c r="AI35" s="478">
        <f t="shared" si="23"/>
        <v>808.65711713888254</v>
      </c>
      <c r="AJ35" s="488">
        <f>1880/2</f>
        <v>940</v>
      </c>
      <c r="AK35" s="478">
        <f>V35/$Z35*$AA35-AJ35</f>
        <v>940.03795391755352</v>
      </c>
      <c r="AL35" s="478">
        <f>K35/$Z35*$AA35</f>
        <v>605.97530657335346</v>
      </c>
      <c r="AM35" s="478">
        <f t="shared" ref="AM35:AN35" si="24">L35/$Z35*$AA35</f>
        <v>526.85512436337558</v>
      </c>
      <c r="AN35" s="478">
        <f t="shared" si="24"/>
        <v>0</v>
      </c>
    </row>
    <row r="36" spans="1:40" x14ac:dyDescent="0.25">
      <c r="A36" s="476" t="s">
        <v>620</v>
      </c>
      <c r="B36" s="480">
        <f t="shared" ref="B36:V36" si="25">(B34)+(B35)</f>
        <v>130.63999999999999</v>
      </c>
      <c r="C36" s="480">
        <f t="shared" si="25"/>
        <v>186.98</v>
      </c>
      <c r="D36" s="480">
        <f t="shared" si="25"/>
        <v>187.34</v>
      </c>
      <c r="E36" s="480">
        <f t="shared" si="25"/>
        <v>203.9</v>
      </c>
      <c r="F36" s="480">
        <f t="shared" si="25"/>
        <v>871.94</v>
      </c>
      <c r="G36" s="480">
        <f t="shared" si="25"/>
        <v>0</v>
      </c>
      <c r="H36" s="480">
        <f t="shared" si="25"/>
        <v>641.26</v>
      </c>
      <c r="I36" s="480">
        <f t="shared" si="25"/>
        <v>945.92</v>
      </c>
      <c r="J36" s="480">
        <f t="shared" si="25"/>
        <v>752.31</v>
      </c>
      <c r="K36" s="480">
        <f t="shared" si="25"/>
        <v>731.81</v>
      </c>
      <c r="L36" s="480">
        <f t="shared" si="25"/>
        <v>636.26</v>
      </c>
      <c r="M36" s="480">
        <f t="shared" si="25"/>
        <v>0</v>
      </c>
      <c r="N36" s="480">
        <f t="shared" si="25"/>
        <v>1507.89</v>
      </c>
      <c r="O36" s="480">
        <f t="shared" si="25"/>
        <v>879.13</v>
      </c>
      <c r="P36" s="480">
        <f t="shared" si="25"/>
        <v>850.95</v>
      </c>
      <c r="Q36" s="480">
        <f t="shared" si="25"/>
        <v>977.89</v>
      </c>
      <c r="R36" s="480">
        <f t="shared" si="25"/>
        <v>786.79</v>
      </c>
      <c r="S36" s="480">
        <f t="shared" si="25"/>
        <v>647.34</v>
      </c>
      <c r="T36" s="480">
        <f t="shared" si="25"/>
        <v>976.58</v>
      </c>
      <c r="U36" s="480">
        <f t="shared" si="25"/>
        <v>0</v>
      </c>
      <c r="V36" s="480">
        <f t="shared" si="25"/>
        <v>2270.44</v>
      </c>
      <c r="W36" s="480">
        <f t="shared" si="19"/>
        <v>14185.370000000003</v>
      </c>
      <c r="X36" s="480">
        <f t="shared" si="2"/>
        <v>8105.9257142857159</v>
      </c>
      <c r="Y36" s="480">
        <f t="shared" si="3"/>
        <v>5288.3600000000006</v>
      </c>
      <c r="Z36" s="480">
        <f>SUM(K36:M36,N36:V36)</f>
        <v>10265.08</v>
      </c>
      <c r="AA36" s="480">
        <f t="shared" ref="AA36:AN36" si="26">(AA34)+(AA35)</f>
        <v>8500</v>
      </c>
      <c r="AB36" s="37" t="str">
        <f t="shared" si="5"/>
        <v/>
      </c>
      <c r="AC36" s="480">
        <f t="shared" si="26"/>
        <v>1248.6083888289229</v>
      </c>
      <c r="AD36" s="480">
        <f t="shared" si="26"/>
        <v>727.96363983524725</v>
      </c>
      <c r="AE36" s="480">
        <f t="shared" si="26"/>
        <v>704.62918944616126</v>
      </c>
      <c r="AF36" s="480">
        <f t="shared" si="26"/>
        <v>809.74186270345672</v>
      </c>
      <c r="AG36" s="480">
        <f t="shared" si="26"/>
        <v>651.50149828350095</v>
      </c>
      <c r="AH36" s="480">
        <f t="shared" si="26"/>
        <v>536.02991890954581</v>
      </c>
      <c r="AI36" s="480">
        <f t="shared" si="26"/>
        <v>808.65711713888254</v>
      </c>
      <c r="AJ36" s="480">
        <f t="shared" si="26"/>
        <v>940</v>
      </c>
      <c r="AK36" s="480">
        <f t="shared" si="26"/>
        <v>940.03795391755352</v>
      </c>
      <c r="AL36" s="480">
        <f t="shared" si="26"/>
        <v>605.97530657335346</v>
      </c>
      <c r="AM36" s="480">
        <f t="shared" si="26"/>
        <v>526.85512436337558</v>
      </c>
      <c r="AN36" s="480">
        <f t="shared" si="26"/>
        <v>0</v>
      </c>
    </row>
    <row r="37" spans="1:40" s="493" customFormat="1" x14ac:dyDescent="0.25">
      <c r="A37" s="494" t="s">
        <v>1278</v>
      </c>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478">
        <f>600+500+600+700+250+350+350+350</f>
        <v>3700</v>
      </c>
      <c r="AB37" s="37" t="str">
        <f t="shared" si="5"/>
        <v/>
      </c>
      <c r="AC37" s="478">
        <v>1100</v>
      </c>
      <c r="AD37" s="478">
        <v>1300</v>
      </c>
      <c r="AE37" s="478">
        <v>350</v>
      </c>
      <c r="AF37" s="478">
        <v>350</v>
      </c>
      <c r="AG37" s="478">
        <v>350</v>
      </c>
      <c r="AH37" s="478">
        <v>250</v>
      </c>
      <c r="AI37" s="478"/>
      <c r="AJ37" s="478"/>
      <c r="AK37" s="478"/>
      <c r="AL37" s="478"/>
      <c r="AM37" s="478"/>
      <c r="AN37" s="478"/>
    </row>
    <row r="38" spans="1:40" x14ac:dyDescent="0.25">
      <c r="A38" s="476" t="s">
        <v>431</v>
      </c>
      <c r="B38" s="478">
        <f>655.22</f>
        <v>655.22</v>
      </c>
      <c r="C38" s="478">
        <f>18.03</f>
        <v>18.03</v>
      </c>
      <c r="D38" s="479"/>
      <c r="E38" s="479"/>
      <c r="F38" s="479"/>
      <c r="G38" s="479"/>
      <c r="H38" s="479"/>
      <c r="I38" s="479"/>
      <c r="J38" s="479"/>
      <c r="K38" s="479"/>
      <c r="L38" s="479"/>
      <c r="M38" s="479"/>
      <c r="N38" s="479"/>
      <c r="O38" s="479"/>
      <c r="P38" s="479"/>
      <c r="Q38" s="479"/>
      <c r="R38" s="479"/>
      <c r="S38" s="479"/>
      <c r="T38" s="479"/>
      <c r="U38" s="479"/>
      <c r="V38" s="479"/>
      <c r="W38" s="478">
        <f t="shared" si="19"/>
        <v>673.25</v>
      </c>
      <c r="X38" s="478">
        <f t="shared" si="2"/>
        <v>384.71428571428572</v>
      </c>
      <c r="Y38" s="478">
        <f t="shared" si="3"/>
        <v>673.25</v>
      </c>
      <c r="Z38" s="478">
        <f t="shared" ref="Z38:Z45" si="27">SUM(K38:M38,N38:V38)</f>
        <v>0</v>
      </c>
      <c r="AA38" s="478">
        <v>1000</v>
      </c>
      <c r="AB38" s="37" t="str">
        <f t="shared" si="5"/>
        <v/>
      </c>
      <c r="AC38" s="478"/>
      <c r="AD38" s="478"/>
      <c r="AE38" s="478">
        <v>500</v>
      </c>
      <c r="AF38" s="478"/>
      <c r="AG38" s="478">
        <v>500</v>
      </c>
      <c r="AH38" s="478"/>
      <c r="AI38" s="478"/>
      <c r="AJ38" s="488"/>
      <c r="AK38" s="478"/>
      <c r="AL38" s="478"/>
      <c r="AM38" s="478"/>
      <c r="AN38" s="478"/>
    </row>
    <row r="39" spans="1:40" x14ac:dyDescent="0.25">
      <c r="A39" s="476" t="s">
        <v>160</v>
      </c>
      <c r="B39" s="478">
        <f>27.27</f>
        <v>27.27</v>
      </c>
      <c r="C39" s="478">
        <f>29.61</f>
        <v>29.61</v>
      </c>
      <c r="D39" s="478">
        <f>380.47</f>
        <v>380.47</v>
      </c>
      <c r="E39" s="478">
        <f>150</f>
        <v>150</v>
      </c>
      <c r="F39" s="478">
        <f>774.34</f>
        <v>774.34</v>
      </c>
      <c r="G39" s="478">
        <f>173.54</f>
        <v>173.54</v>
      </c>
      <c r="H39" s="478">
        <f>74.45</f>
        <v>74.45</v>
      </c>
      <c r="I39" s="478">
        <f>295.19</f>
        <v>295.19</v>
      </c>
      <c r="J39" s="479"/>
      <c r="K39" s="479"/>
      <c r="L39" s="479"/>
      <c r="M39" s="479"/>
      <c r="N39" s="478">
        <f>119.07</f>
        <v>119.07</v>
      </c>
      <c r="O39" s="479"/>
      <c r="P39" s="478">
        <f>131.97</f>
        <v>131.97</v>
      </c>
      <c r="Q39" s="478">
        <f>212.54</f>
        <v>212.54</v>
      </c>
      <c r="R39" s="478">
        <f>716.23</f>
        <v>716.23</v>
      </c>
      <c r="S39" s="478">
        <f>92.86</f>
        <v>92.86</v>
      </c>
      <c r="T39" s="478">
        <f>47.89</f>
        <v>47.89</v>
      </c>
      <c r="U39" s="479"/>
      <c r="V39" s="478">
        <f>25</f>
        <v>25</v>
      </c>
      <c r="W39" s="478">
        <f t="shared" si="19"/>
        <v>3250.43</v>
      </c>
      <c r="X39" s="478">
        <f t="shared" si="2"/>
        <v>1857.3885714285714</v>
      </c>
      <c r="Y39" s="478">
        <f t="shared" si="3"/>
        <v>1904.8700000000001</v>
      </c>
      <c r="Z39" s="478">
        <f t="shared" si="27"/>
        <v>1345.56</v>
      </c>
      <c r="AA39" s="478">
        <v>2000</v>
      </c>
      <c r="AB39" s="37" t="str">
        <f t="shared" si="5"/>
        <v/>
      </c>
      <c r="AC39" s="478">
        <f>N39/$Z39*$AA39</f>
        <v>176.98207437795415</v>
      </c>
      <c r="AD39" s="478">
        <f t="shared" ref="AD39" si="28">O39/$Z39*$AA39</f>
        <v>0</v>
      </c>
      <c r="AE39" s="478">
        <f t="shared" ref="AE39" si="29">P39/$Z39*$AA39</f>
        <v>196.15624721305628</v>
      </c>
      <c r="AF39" s="478">
        <f t="shared" ref="AF39" si="30">Q39/$Z39*$AA39</f>
        <v>315.91307708314753</v>
      </c>
      <c r="AG39" s="478">
        <f t="shared" ref="AG39" si="31">R39/$Z39*$AA39</f>
        <v>1064.5827759445883</v>
      </c>
      <c r="AH39" s="478">
        <f t="shared" ref="AH39" si="32">S39/$Z39*$AA39</f>
        <v>138.02431701299088</v>
      </c>
      <c r="AI39" s="478">
        <f t="shared" ref="AI39" si="33">T39/$Z39*$AA39</f>
        <v>71.182258687832586</v>
      </c>
      <c r="AJ39" s="488">
        <f t="shared" ref="AJ39" si="34">U39/$Z39*$AA39</f>
        <v>0</v>
      </c>
      <c r="AK39" s="478">
        <f t="shared" ref="AK39" si="35">V39/$Z39*$AA39</f>
        <v>37.159249680430456</v>
      </c>
      <c r="AL39" s="478">
        <f>K39/$Z39*$AA39</f>
        <v>0</v>
      </c>
      <c r="AM39" s="478">
        <f t="shared" ref="AM39" si="36">L39/$Z39*$AA39</f>
        <v>0</v>
      </c>
      <c r="AN39" s="478">
        <f t="shared" ref="AN39" si="37">M39/$Z39*$AA39</f>
        <v>0</v>
      </c>
    </row>
    <row r="40" spans="1:40" x14ac:dyDescent="0.25">
      <c r="A40" s="476" t="s">
        <v>674</v>
      </c>
      <c r="B40" s="479"/>
      <c r="C40" s="479"/>
      <c r="D40" s="479"/>
      <c r="E40" s="479"/>
      <c r="F40" s="479"/>
      <c r="G40" s="479"/>
      <c r="H40" s="479"/>
      <c r="I40" s="479"/>
      <c r="J40" s="479"/>
      <c r="K40" s="478">
        <f>4000.5</f>
        <v>4000.5</v>
      </c>
      <c r="L40" s="478">
        <f>4804</f>
        <v>4804</v>
      </c>
      <c r="M40" s="479"/>
      <c r="N40" s="479"/>
      <c r="O40" s="479"/>
      <c r="P40" s="479"/>
      <c r="Q40" s="478">
        <f>867.75</f>
        <v>867.75</v>
      </c>
      <c r="R40" s="478">
        <f>0</f>
        <v>0</v>
      </c>
      <c r="S40" s="479"/>
      <c r="T40" s="479"/>
      <c r="U40" s="479"/>
      <c r="V40" s="479"/>
      <c r="W40" s="478">
        <f t="shared" si="19"/>
        <v>9672.25</v>
      </c>
      <c r="X40" s="478">
        <f t="shared" si="2"/>
        <v>5527</v>
      </c>
      <c r="Y40" s="478">
        <f t="shared" si="3"/>
        <v>8804.5</v>
      </c>
      <c r="Z40" s="478">
        <f t="shared" si="27"/>
        <v>9672.25</v>
      </c>
      <c r="AA40" s="478">
        <v>2500</v>
      </c>
      <c r="AB40" s="37" t="str">
        <f t="shared" si="5"/>
        <v/>
      </c>
      <c r="AC40" s="478">
        <f t="shared" ref="AC40:AC42" si="38">N40/$Z40*$AA40</f>
        <v>0</v>
      </c>
      <c r="AD40" s="478">
        <f t="shared" ref="AD40:AD42" si="39">O40/$Z40*$AA40</f>
        <v>0</v>
      </c>
      <c r="AE40" s="478">
        <f t="shared" ref="AE40:AE42" si="40">P40/$Z40*$AA40</f>
        <v>0</v>
      </c>
      <c r="AF40" s="478">
        <f t="shared" ref="AF40:AF42" si="41">Q40/$Z40*$AA40</f>
        <v>224.28855747111581</v>
      </c>
      <c r="AG40" s="478">
        <f t="shared" ref="AG40:AG42" si="42">R40/$Z40*$AA40</f>
        <v>0</v>
      </c>
      <c r="AH40" s="478">
        <f t="shared" ref="AH40:AH42" si="43">S40/$Z40*$AA40</f>
        <v>0</v>
      </c>
      <c r="AI40" s="478">
        <f t="shared" ref="AI40:AI42" si="44">T40/$Z40*$AA40</f>
        <v>0</v>
      </c>
      <c r="AJ40" s="488">
        <f t="shared" ref="AJ40:AJ42" si="45">U40/$Z40*$AA40</f>
        <v>0</v>
      </c>
      <c r="AK40" s="478">
        <f t="shared" ref="AK40:AK42" si="46">V40/$Z40*$AA40</f>
        <v>0</v>
      </c>
      <c r="AL40" s="478">
        <f t="shared" ref="AL40:AL42" si="47">K40/$Z40*$AA40</f>
        <v>1034.0148362583679</v>
      </c>
      <c r="AM40" s="478">
        <f t="shared" ref="AM40:AM42" si="48">L40/$Z40*$AA40</f>
        <v>1241.6966062705162</v>
      </c>
      <c r="AN40" s="478">
        <f t="shared" ref="AN40:AN42" si="49">M40/$Z40*$AA40</f>
        <v>0</v>
      </c>
    </row>
    <row r="41" spans="1:40" x14ac:dyDescent="0.25">
      <c r="A41" s="476" t="s">
        <v>161</v>
      </c>
      <c r="B41" s="479"/>
      <c r="C41" s="479"/>
      <c r="D41" s="478">
        <f>52.5</f>
        <v>52.5</v>
      </c>
      <c r="E41" s="479"/>
      <c r="F41" s="478">
        <f>96</f>
        <v>96</v>
      </c>
      <c r="G41" s="478">
        <f>733.96</f>
        <v>733.96</v>
      </c>
      <c r="H41" s="479"/>
      <c r="I41" s="479"/>
      <c r="J41" s="479"/>
      <c r="K41" s="479"/>
      <c r="L41" s="478">
        <f>28</f>
        <v>28</v>
      </c>
      <c r="M41" s="479"/>
      <c r="N41" s="479"/>
      <c r="O41" s="479"/>
      <c r="P41" s="479"/>
      <c r="Q41" s="478">
        <f>358.61</f>
        <v>358.61</v>
      </c>
      <c r="R41" s="479"/>
      <c r="S41" s="478">
        <f>19.99</f>
        <v>19.989999999999998</v>
      </c>
      <c r="T41" s="478">
        <f>350</f>
        <v>350</v>
      </c>
      <c r="U41" s="479"/>
      <c r="V41" s="478">
        <f>185</f>
        <v>185</v>
      </c>
      <c r="W41" s="478">
        <f t="shared" si="19"/>
        <v>1824.0600000000002</v>
      </c>
      <c r="X41" s="478">
        <f t="shared" si="2"/>
        <v>1042.3200000000002</v>
      </c>
      <c r="Y41" s="478">
        <f t="shared" si="3"/>
        <v>910.46</v>
      </c>
      <c r="Z41" s="478">
        <f t="shared" si="27"/>
        <v>941.6</v>
      </c>
      <c r="AA41" s="478">
        <v>1000</v>
      </c>
      <c r="AB41" s="37" t="str">
        <f t="shared" si="5"/>
        <v/>
      </c>
      <c r="AC41" s="478">
        <f t="shared" si="38"/>
        <v>0</v>
      </c>
      <c r="AD41" s="478">
        <f t="shared" si="39"/>
        <v>0</v>
      </c>
      <c r="AE41" s="478">
        <f t="shared" si="40"/>
        <v>0</v>
      </c>
      <c r="AF41" s="478">
        <f t="shared" si="41"/>
        <v>380.85174171622771</v>
      </c>
      <c r="AG41" s="478">
        <f t="shared" si="42"/>
        <v>0</v>
      </c>
      <c r="AH41" s="478">
        <f t="shared" si="43"/>
        <v>21.229821580288867</v>
      </c>
      <c r="AI41" s="478">
        <f t="shared" si="44"/>
        <v>371.70773152081557</v>
      </c>
      <c r="AJ41" s="488">
        <f t="shared" si="45"/>
        <v>0</v>
      </c>
      <c r="AK41" s="478">
        <f t="shared" si="46"/>
        <v>196.47408666100256</v>
      </c>
      <c r="AL41" s="478">
        <f t="shared" si="47"/>
        <v>0</v>
      </c>
      <c r="AM41" s="478">
        <f t="shared" si="48"/>
        <v>29.73661852166525</v>
      </c>
      <c r="AN41" s="478">
        <f t="shared" si="49"/>
        <v>0</v>
      </c>
    </row>
    <row r="42" spans="1:40" x14ac:dyDescent="0.25">
      <c r="A42" s="476" t="s">
        <v>162</v>
      </c>
      <c r="B42" s="478">
        <f>150</f>
        <v>150</v>
      </c>
      <c r="C42" s="479"/>
      <c r="D42" s="478">
        <f>30</f>
        <v>30</v>
      </c>
      <c r="E42" s="479"/>
      <c r="F42" s="478">
        <f>4000</f>
        <v>4000</v>
      </c>
      <c r="G42" s="478">
        <f>276.96</f>
        <v>276.95999999999998</v>
      </c>
      <c r="H42" s="479"/>
      <c r="I42" s="479"/>
      <c r="J42" s="479"/>
      <c r="K42" s="479"/>
      <c r="L42" s="478">
        <f>0.48</f>
        <v>0.48</v>
      </c>
      <c r="M42" s="479"/>
      <c r="N42" s="479"/>
      <c r="O42" s="479"/>
      <c r="P42" s="479"/>
      <c r="Q42" s="479"/>
      <c r="R42" s="478">
        <f>50</f>
        <v>50</v>
      </c>
      <c r="S42" s="479"/>
      <c r="T42" s="479"/>
      <c r="U42" s="478">
        <f>182.87</f>
        <v>182.87</v>
      </c>
      <c r="V42" s="479"/>
      <c r="W42" s="478">
        <f t="shared" si="19"/>
        <v>4690.3099999999995</v>
      </c>
      <c r="X42" s="478">
        <f t="shared" si="2"/>
        <v>2680.1771428571428</v>
      </c>
      <c r="Y42" s="478">
        <f t="shared" si="3"/>
        <v>4457.4399999999996</v>
      </c>
      <c r="Z42" s="478">
        <f t="shared" si="27"/>
        <v>233.35</v>
      </c>
      <c r="AA42" s="478">
        <v>750</v>
      </c>
      <c r="AB42" s="37" t="str">
        <f t="shared" si="5"/>
        <v/>
      </c>
      <c r="AC42" s="478">
        <f t="shared" si="38"/>
        <v>0</v>
      </c>
      <c r="AD42" s="478">
        <f t="shared" si="39"/>
        <v>0</v>
      </c>
      <c r="AE42" s="478">
        <f t="shared" si="40"/>
        <v>0</v>
      </c>
      <c r="AF42" s="478">
        <f t="shared" si="41"/>
        <v>0</v>
      </c>
      <c r="AG42" s="478">
        <f t="shared" si="42"/>
        <v>160.70280694236126</v>
      </c>
      <c r="AH42" s="478">
        <f t="shared" si="43"/>
        <v>0</v>
      </c>
      <c r="AI42" s="478">
        <f t="shared" si="44"/>
        <v>0</v>
      </c>
      <c r="AJ42" s="488">
        <f t="shared" si="45"/>
        <v>587.75444611099203</v>
      </c>
      <c r="AK42" s="478">
        <f t="shared" si="46"/>
        <v>0</v>
      </c>
      <c r="AL42" s="478">
        <f t="shared" si="47"/>
        <v>0</v>
      </c>
      <c r="AM42" s="478">
        <f t="shared" si="48"/>
        <v>1.5427469466466679</v>
      </c>
      <c r="AN42" s="478">
        <f t="shared" si="49"/>
        <v>0</v>
      </c>
    </row>
    <row r="43" spans="1:40" x14ac:dyDescent="0.25">
      <c r="A43" s="476" t="s">
        <v>621</v>
      </c>
      <c r="B43" s="479"/>
      <c r="C43" s="479"/>
      <c r="D43" s="479"/>
      <c r="E43" s="479"/>
      <c r="F43" s="479"/>
      <c r="G43" s="479"/>
      <c r="H43" s="479"/>
      <c r="I43" s="479"/>
      <c r="J43" s="479"/>
      <c r="K43" s="479"/>
      <c r="L43" s="479"/>
      <c r="M43" s="479"/>
      <c r="N43" s="479"/>
      <c r="O43" s="479"/>
      <c r="P43" s="479"/>
      <c r="Q43" s="479"/>
      <c r="R43" s="479"/>
      <c r="S43" s="479"/>
      <c r="T43" s="479"/>
      <c r="U43" s="479"/>
      <c r="V43" s="479"/>
      <c r="W43" s="478">
        <f t="shared" si="19"/>
        <v>0</v>
      </c>
      <c r="X43" s="478">
        <f t="shared" si="2"/>
        <v>0</v>
      </c>
      <c r="Y43" s="478">
        <f t="shared" si="3"/>
        <v>0</v>
      </c>
      <c r="Z43" s="478">
        <f t="shared" si="27"/>
        <v>0</v>
      </c>
      <c r="AA43" s="478"/>
      <c r="AB43" s="37" t="str">
        <f t="shared" si="5"/>
        <v/>
      </c>
      <c r="AC43" s="478"/>
      <c r="AD43" s="478"/>
      <c r="AE43" s="478"/>
      <c r="AF43" s="478"/>
      <c r="AG43" s="478"/>
      <c r="AH43" s="478"/>
      <c r="AI43" s="478"/>
      <c r="AJ43" s="478"/>
      <c r="AK43" s="478"/>
      <c r="AL43" s="478"/>
      <c r="AM43" s="478"/>
      <c r="AN43" s="478"/>
    </row>
    <row r="44" spans="1:40" x14ac:dyDescent="0.25">
      <c r="A44" s="476" t="s">
        <v>189</v>
      </c>
      <c r="B44" s="479"/>
      <c r="C44" s="479"/>
      <c r="D44" s="478">
        <f>99</f>
        <v>99</v>
      </c>
      <c r="E44" s="478">
        <f>75</f>
        <v>75</v>
      </c>
      <c r="F44" s="478">
        <f>37.16</f>
        <v>37.159999999999997</v>
      </c>
      <c r="G44" s="478">
        <f>11.37</f>
        <v>11.37</v>
      </c>
      <c r="H44" s="478">
        <f>73.97</f>
        <v>73.97</v>
      </c>
      <c r="I44" s="478">
        <f>50</f>
        <v>50</v>
      </c>
      <c r="J44" s="478">
        <f>60.74</f>
        <v>60.74</v>
      </c>
      <c r="K44" s="479"/>
      <c r="L44" s="478">
        <f>20</f>
        <v>20</v>
      </c>
      <c r="M44" s="479"/>
      <c r="N44" s="478">
        <f>62.63</f>
        <v>62.63</v>
      </c>
      <c r="O44" s="478">
        <f>11.04</f>
        <v>11.04</v>
      </c>
      <c r="P44" s="478">
        <f>13</f>
        <v>13</v>
      </c>
      <c r="Q44" s="478">
        <f>20</f>
        <v>20</v>
      </c>
      <c r="R44" s="478">
        <f>124.39</f>
        <v>124.39</v>
      </c>
      <c r="S44" s="478">
        <f>40.1</f>
        <v>40.1</v>
      </c>
      <c r="T44" s="478">
        <f>21.31</f>
        <v>21.31</v>
      </c>
      <c r="U44" s="479"/>
      <c r="V44" s="479"/>
      <c r="W44" s="478">
        <f t="shared" si="19"/>
        <v>719.71</v>
      </c>
      <c r="X44" s="478">
        <f t="shared" si="2"/>
        <v>411.26285714285717</v>
      </c>
      <c r="Y44" s="478">
        <f t="shared" si="3"/>
        <v>427.24</v>
      </c>
      <c r="Z44" s="478">
        <f t="shared" si="27"/>
        <v>312.47000000000003</v>
      </c>
      <c r="AA44" s="478">
        <v>425</v>
      </c>
      <c r="AB44" s="37" t="str">
        <f t="shared" si="5"/>
        <v/>
      </c>
      <c r="AC44" s="478">
        <f t="shared" ref="AC44:AC45" si="50">N44/$Z44*$AA44</f>
        <v>85.184977757864743</v>
      </c>
      <c r="AD44" s="478">
        <f t="shared" ref="AD44:AD45" si="51">O44/$Z44*$AA44</f>
        <v>15.015841520785994</v>
      </c>
      <c r="AE44" s="478">
        <f t="shared" ref="AE44:AE45" si="52">P44/$Z44*$AA44</f>
        <v>17.681697442954523</v>
      </c>
      <c r="AF44" s="478">
        <f t="shared" ref="AF44:AF45" si="53">Q44/$Z44*$AA44</f>
        <v>27.202611450699262</v>
      </c>
      <c r="AG44" s="478">
        <f t="shared" ref="AG44:AG45" si="54">R44/$Z44*$AA44</f>
        <v>169.18664191762409</v>
      </c>
      <c r="AH44" s="478">
        <f t="shared" ref="AH44:AH45" si="55">S44/$Z44*$AA44</f>
        <v>54.541235958652031</v>
      </c>
      <c r="AI44" s="478">
        <f t="shared" ref="AI44:AI45" si="56">T44/$Z44*$AA44</f>
        <v>28.984382500720063</v>
      </c>
      <c r="AJ44" s="488">
        <f t="shared" ref="AJ44:AJ45" si="57">U44/$Z44*$AA44</f>
        <v>0</v>
      </c>
      <c r="AK44" s="478">
        <f t="shared" ref="AK44:AK45" si="58">V44/$Z44*$AA44</f>
        <v>0</v>
      </c>
      <c r="AL44" s="478">
        <f t="shared" ref="AL44:AL45" si="59">K44/$Z44*$AA44</f>
        <v>0</v>
      </c>
      <c r="AM44" s="478">
        <f t="shared" ref="AM44:AM45" si="60">L44/$Z44*$AA44</f>
        <v>27.202611450699262</v>
      </c>
      <c r="AN44" s="478">
        <f t="shared" ref="AN44:AN45" si="61">M44/$Z44*$AA44</f>
        <v>0</v>
      </c>
    </row>
    <row r="45" spans="1:40" x14ac:dyDescent="0.25">
      <c r="A45" s="476" t="s">
        <v>518</v>
      </c>
      <c r="B45" s="478">
        <f>104.47</f>
        <v>104.47</v>
      </c>
      <c r="C45" s="478">
        <f>162.12</f>
        <v>162.12</v>
      </c>
      <c r="D45" s="478">
        <f>254.94</f>
        <v>254.94</v>
      </c>
      <c r="E45" s="478">
        <f>126.03</f>
        <v>126.03</v>
      </c>
      <c r="F45" s="479"/>
      <c r="G45" s="479"/>
      <c r="H45" s="478">
        <f>259.92</f>
        <v>259.92</v>
      </c>
      <c r="I45" s="478">
        <f>90.12</f>
        <v>90.12</v>
      </c>
      <c r="J45" s="478">
        <f>125</f>
        <v>125</v>
      </c>
      <c r="K45" s="478">
        <f>35</f>
        <v>35</v>
      </c>
      <c r="L45" s="478">
        <f>209.1</f>
        <v>209.1</v>
      </c>
      <c r="M45" s="478">
        <f>21.84</f>
        <v>21.84</v>
      </c>
      <c r="N45" s="478">
        <f>117.53</f>
        <v>117.53</v>
      </c>
      <c r="O45" s="478">
        <f>180.08</f>
        <v>180.08</v>
      </c>
      <c r="P45" s="478">
        <f>15</f>
        <v>15</v>
      </c>
      <c r="Q45" s="478">
        <f>120.06</f>
        <v>120.06</v>
      </c>
      <c r="R45" s="478">
        <f>278.87</f>
        <v>278.87</v>
      </c>
      <c r="S45" s="478">
        <f>102.07</f>
        <v>102.07</v>
      </c>
      <c r="T45" s="478">
        <f>110.08</f>
        <v>110.08</v>
      </c>
      <c r="U45" s="478">
        <f>287.91</f>
        <v>287.91000000000003</v>
      </c>
      <c r="V45" s="479"/>
      <c r="W45" s="478">
        <f t="shared" si="19"/>
        <v>2600.1399999999994</v>
      </c>
      <c r="X45" s="478">
        <f t="shared" si="2"/>
        <v>1485.7942857142853</v>
      </c>
      <c r="Y45" s="478">
        <f t="shared" si="3"/>
        <v>1388.5399999999997</v>
      </c>
      <c r="Z45" s="478">
        <f t="shared" si="27"/>
        <v>1477.5400000000002</v>
      </c>
      <c r="AA45" s="478">
        <v>1400</v>
      </c>
      <c r="AB45" s="37" t="str">
        <f t="shared" si="5"/>
        <v/>
      </c>
      <c r="AC45" s="478">
        <f t="shared" si="50"/>
        <v>111.36212894405564</v>
      </c>
      <c r="AD45" s="478">
        <f t="shared" si="51"/>
        <v>170.6295599442316</v>
      </c>
      <c r="AE45" s="478">
        <f t="shared" si="52"/>
        <v>14.212813189490639</v>
      </c>
      <c r="AF45" s="478">
        <f t="shared" si="53"/>
        <v>113.75935676868308</v>
      </c>
      <c r="AG45" s="478">
        <f t="shared" si="54"/>
        <v>264.23514761021698</v>
      </c>
      <c r="AH45" s="478">
        <f t="shared" si="55"/>
        <v>96.713456150087282</v>
      </c>
      <c r="AI45" s="478">
        <f t="shared" si="56"/>
        <v>104.30309839327528</v>
      </c>
      <c r="AJ45" s="488">
        <f t="shared" si="57"/>
        <v>272.80073635908332</v>
      </c>
      <c r="AK45" s="478">
        <f t="shared" si="58"/>
        <v>0</v>
      </c>
      <c r="AL45" s="478">
        <f t="shared" si="59"/>
        <v>33.163230775478155</v>
      </c>
      <c r="AM45" s="478">
        <f t="shared" si="60"/>
        <v>198.12661586149946</v>
      </c>
      <c r="AN45" s="478">
        <f t="shared" si="61"/>
        <v>20.693856003898368</v>
      </c>
    </row>
    <row r="46" spans="1:40" x14ac:dyDescent="0.25">
      <c r="A46" s="476" t="s">
        <v>623</v>
      </c>
      <c r="B46" s="480">
        <f t="shared" ref="B46:V46" si="62">((B43)+(B44))+(B45)</f>
        <v>104.47</v>
      </c>
      <c r="C46" s="480">
        <f t="shared" si="62"/>
        <v>162.12</v>
      </c>
      <c r="D46" s="480">
        <f t="shared" si="62"/>
        <v>353.94</v>
      </c>
      <c r="E46" s="480">
        <f t="shared" si="62"/>
        <v>201.03</v>
      </c>
      <c r="F46" s="480">
        <f t="shared" si="62"/>
        <v>37.159999999999997</v>
      </c>
      <c r="G46" s="480">
        <f t="shared" si="62"/>
        <v>11.37</v>
      </c>
      <c r="H46" s="480">
        <f t="shared" si="62"/>
        <v>333.89</v>
      </c>
      <c r="I46" s="480">
        <f t="shared" si="62"/>
        <v>140.12</v>
      </c>
      <c r="J46" s="480">
        <f t="shared" si="62"/>
        <v>185.74</v>
      </c>
      <c r="K46" s="480">
        <f t="shared" si="62"/>
        <v>35</v>
      </c>
      <c r="L46" s="480">
        <f t="shared" si="62"/>
        <v>229.1</v>
      </c>
      <c r="M46" s="480">
        <f t="shared" si="62"/>
        <v>21.84</v>
      </c>
      <c r="N46" s="480">
        <f t="shared" si="62"/>
        <v>180.16</v>
      </c>
      <c r="O46" s="480">
        <f t="shared" si="62"/>
        <v>191.12</v>
      </c>
      <c r="P46" s="480">
        <f t="shared" si="62"/>
        <v>28</v>
      </c>
      <c r="Q46" s="480">
        <f t="shared" si="62"/>
        <v>140.06</v>
      </c>
      <c r="R46" s="480">
        <f t="shared" si="62"/>
        <v>403.26</v>
      </c>
      <c r="S46" s="480">
        <f t="shared" si="62"/>
        <v>142.16999999999999</v>
      </c>
      <c r="T46" s="480">
        <f t="shared" si="62"/>
        <v>131.38999999999999</v>
      </c>
      <c r="U46" s="480">
        <f t="shared" si="62"/>
        <v>287.91000000000003</v>
      </c>
      <c r="V46" s="480">
        <f t="shared" si="62"/>
        <v>0</v>
      </c>
      <c r="W46" s="480">
        <f t="shared" si="19"/>
        <v>3319.85</v>
      </c>
      <c r="X46" s="480">
        <f t="shared" si="2"/>
        <v>1897.0571428571429</v>
      </c>
      <c r="Y46" s="480">
        <f t="shared" si="3"/>
        <v>1815.7799999999997</v>
      </c>
      <c r="Z46" s="480">
        <f>SUM(K46:M46,N46:V46)</f>
        <v>1790.01</v>
      </c>
      <c r="AA46" s="480">
        <f t="shared" ref="AA46:AN46" si="63">((AA43)+(AA44))+(AA45)</f>
        <v>1825</v>
      </c>
      <c r="AB46" s="37" t="str">
        <f t="shared" si="5"/>
        <v/>
      </c>
      <c r="AC46" s="480">
        <f t="shared" si="63"/>
        <v>196.54710670192037</v>
      </c>
      <c r="AD46" s="480">
        <f t="shared" si="63"/>
        <v>185.64540146501758</v>
      </c>
      <c r="AE46" s="480">
        <f t="shared" si="63"/>
        <v>31.894510632445161</v>
      </c>
      <c r="AF46" s="480">
        <f t="shared" si="63"/>
        <v>140.96196821938233</v>
      </c>
      <c r="AG46" s="480">
        <f t="shared" si="63"/>
        <v>433.42178952784104</v>
      </c>
      <c r="AH46" s="480">
        <f t="shared" si="63"/>
        <v>151.25469210873931</v>
      </c>
      <c r="AI46" s="480">
        <f t="shared" si="63"/>
        <v>133.28748089399534</v>
      </c>
      <c r="AJ46" s="480">
        <f t="shared" si="63"/>
        <v>272.80073635908332</v>
      </c>
      <c r="AK46" s="480">
        <f t="shared" si="63"/>
        <v>0</v>
      </c>
      <c r="AL46" s="480">
        <f t="shared" si="63"/>
        <v>33.163230775478155</v>
      </c>
      <c r="AM46" s="480">
        <f t="shared" si="63"/>
        <v>225.32922731219873</v>
      </c>
      <c r="AN46" s="480">
        <f t="shared" si="63"/>
        <v>20.693856003898368</v>
      </c>
    </row>
    <row r="47" spans="1:40" x14ac:dyDescent="0.25">
      <c r="A47" s="476" t="s">
        <v>163</v>
      </c>
      <c r="B47" s="478">
        <f>12203.75</f>
        <v>12203.75</v>
      </c>
      <c r="C47" s="478">
        <f>2364.16</f>
        <v>2364.16</v>
      </c>
      <c r="D47" s="478">
        <f>1064.1</f>
        <v>1064.0999999999999</v>
      </c>
      <c r="E47" s="478">
        <f>485.7</f>
        <v>485.7</v>
      </c>
      <c r="F47" s="478">
        <f>40.96</f>
        <v>40.96</v>
      </c>
      <c r="G47" s="479"/>
      <c r="H47" s="479"/>
      <c r="I47" s="479"/>
      <c r="J47" s="478">
        <f>6.99</f>
        <v>6.99</v>
      </c>
      <c r="K47" s="479"/>
      <c r="L47" s="479"/>
      <c r="M47" s="479"/>
      <c r="N47" s="478">
        <f>425.31</f>
        <v>425.31</v>
      </c>
      <c r="O47" s="479"/>
      <c r="P47" s="479"/>
      <c r="Q47" s="479"/>
      <c r="R47" s="479"/>
      <c r="S47" s="479"/>
      <c r="T47" s="479"/>
      <c r="U47" s="479"/>
      <c r="V47" s="479"/>
      <c r="W47" s="478">
        <f t="shared" si="19"/>
        <v>16590.97</v>
      </c>
      <c r="X47" s="478">
        <f t="shared" si="2"/>
        <v>9480.5542857142864</v>
      </c>
      <c r="Y47" s="478">
        <f t="shared" si="3"/>
        <v>16165.66</v>
      </c>
      <c r="Z47" s="478">
        <f t="shared" ref="Z47:Z56" si="64">SUM(K47:M47,N47:V47)</f>
        <v>425.31</v>
      </c>
      <c r="AA47" s="478">
        <v>6000</v>
      </c>
      <c r="AB47" s="478" t="str">
        <f>IF(ABS(AA47-SUM(AC47:AN47))&lt;1,"","ERROR")</f>
        <v/>
      </c>
      <c r="AC47" s="478">
        <v>5000</v>
      </c>
      <c r="AD47" s="478">
        <v>1000</v>
      </c>
      <c r="AE47" s="478"/>
      <c r="AF47" s="478"/>
      <c r="AG47" s="478"/>
      <c r="AH47" s="478"/>
      <c r="AI47" s="478"/>
      <c r="AJ47" s="478"/>
      <c r="AK47" s="478"/>
      <c r="AL47" s="478"/>
      <c r="AM47" s="478"/>
      <c r="AN47" s="478"/>
    </row>
    <row r="48" spans="1:40" x14ac:dyDescent="0.25">
      <c r="A48" s="476" t="s">
        <v>164</v>
      </c>
      <c r="B48" s="478">
        <f>679.5</f>
        <v>679.5</v>
      </c>
      <c r="C48" s="479"/>
      <c r="D48" s="478">
        <f>1359</f>
        <v>1359</v>
      </c>
      <c r="E48" s="479"/>
      <c r="F48" s="478">
        <f>100</f>
        <v>100</v>
      </c>
      <c r="G48" s="478">
        <f>488.14</f>
        <v>488.14</v>
      </c>
      <c r="H48" s="478">
        <f>530.17</f>
        <v>530.16999999999996</v>
      </c>
      <c r="I48" s="479"/>
      <c r="J48" s="479"/>
      <c r="K48" s="479"/>
      <c r="L48" s="479"/>
      <c r="M48" s="479"/>
      <c r="N48" s="478">
        <f>893.28</f>
        <v>893.28</v>
      </c>
      <c r="O48" s="478">
        <f>729.36</f>
        <v>729.36</v>
      </c>
      <c r="P48" s="478">
        <f>407.88</f>
        <v>407.88</v>
      </c>
      <c r="Q48" s="478">
        <f>152.12</f>
        <v>152.12</v>
      </c>
      <c r="R48" s="478">
        <f>146.73</f>
        <v>146.72999999999999</v>
      </c>
      <c r="S48" s="478">
        <f>28.49</f>
        <v>28.49</v>
      </c>
      <c r="T48" s="479"/>
      <c r="U48" s="479"/>
      <c r="V48" s="478">
        <f>232.97</f>
        <v>232.97</v>
      </c>
      <c r="W48" s="478">
        <f t="shared" si="19"/>
        <v>5747.6399999999994</v>
      </c>
      <c r="X48" s="478">
        <f t="shared" si="2"/>
        <v>3284.3657142857137</v>
      </c>
      <c r="Y48" s="478">
        <f t="shared" si="3"/>
        <v>3156.81</v>
      </c>
      <c r="Z48" s="478">
        <f t="shared" si="64"/>
        <v>2590.8299999999995</v>
      </c>
      <c r="AA48" s="478">
        <v>3200</v>
      </c>
      <c r="AB48" s="37" t="str">
        <f t="shared" ref="AB48:AB111" si="65">IF(ABS(AA48-SUM(AC48:AN48))&lt;1,"","ERROR")</f>
        <v/>
      </c>
      <c r="AC48" s="478">
        <f t="shared" ref="AC48:AC56" si="66">N48/$Z48*$AA48</f>
        <v>1103.3128379708435</v>
      </c>
      <c r="AD48" s="478">
        <f t="shared" ref="AD48:AD56" si="67">O48/$Z48*$AA48</f>
        <v>900.85107861187362</v>
      </c>
      <c r="AE48" s="478">
        <f t="shared" ref="AE48:AE56" si="68">P48/$Z48*$AA48</f>
        <v>503.78295758502117</v>
      </c>
      <c r="AF48" s="478">
        <f t="shared" ref="AF48:AF56" si="69">Q48/$Z48*$AA48</f>
        <v>187.88727936607194</v>
      </c>
      <c r="AG48" s="478">
        <f t="shared" ref="AG48:AG56" si="70">R48/$Z48*$AA48</f>
        <v>181.22995333541763</v>
      </c>
      <c r="AH48" s="478">
        <f t="shared" ref="AH48:AH56" si="71">S48/$Z48*$AA48</f>
        <v>35.188723304886857</v>
      </c>
      <c r="AI48" s="478">
        <f t="shared" ref="AI48:AI56" si="72">T48/$Z48*$AA48</f>
        <v>0</v>
      </c>
      <c r="AJ48" s="488">
        <f t="shared" ref="AJ48:AJ56" si="73">U48/$Z48*$AA48</f>
        <v>0</v>
      </c>
      <c r="AK48" s="478">
        <f t="shared" ref="AK48:AK56" si="74">V48/$Z48*$AA48</f>
        <v>287.74716982588598</v>
      </c>
      <c r="AL48" s="478">
        <f t="shared" ref="AL48:AL56" si="75">K48/$Z48*$AA48</f>
        <v>0</v>
      </c>
      <c r="AM48" s="478">
        <f t="shared" ref="AM48:AM56" si="76">L48/$Z48*$AA48</f>
        <v>0</v>
      </c>
      <c r="AN48" s="478">
        <f t="shared" ref="AN48:AN56" si="77">M48/$Z48*$AA48</f>
        <v>0</v>
      </c>
    </row>
    <row r="49" spans="1:40" x14ac:dyDescent="0.25">
      <c r="A49" s="476" t="s">
        <v>165</v>
      </c>
      <c r="B49" s="479"/>
      <c r="C49" s="478">
        <f>224</f>
        <v>224</v>
      </c>
      <c r="D49" s="478">
        <f>700</f>
        <v>700</v>
      </c>
      <c r="E49" s="479"/>
      <c r="F49" s="478">
        <f>369.98</f>
        <v>369.98</v>
      </c>
      <c r="G49" s="478">
        <f>258.9</f>
        <v>258.89999999999998</v>
      </c>
      <c r="H49" s="478">
        <f>83</f>
        <v>83</v>
      </c>
      <c r="I49" s="479"/>
      <c r="J49" s="479"/>
      <c r="K49" s="479"/>
      <c r="L49" s="479"/>
      <c r="M49" s="479"/>
      <c r="N49" s="479"/>
      <c r="O49" s="479"/>
      <c r="P49" s="478">
        <f>213.9</f>
        <v>213.9</v>
      </c>
      <c r="Q49" s="478">
        <f>52.99</f>
        <v>52.99</v>
      </c>
      <c r="R49" s="478">
        <f>106.92</f>
        <v>106.92</v>
      </c>
      <c r="S49" s="478">
        <f>2070.88</f>
        <v>2070.88</v>
      </c>
      <c r="T49" s="479"/>
      <c r="U49" s="479"/>
      <c r="V49" s="479"/>
      <c r="W49" s="478">
        <f t="shared" si="19"/>
        <v>4080.5700000000006</v>
      </c>
      <c r="X49" s="478">
        <f t="shared" si="2"/>
        <v>2331.7542857142862</v>
      </c>
      <c r="Y49" s="478">
        <f t="shared" si="3"/>
        <v>1635.88</v>
      </c>
      <c r="Z49" s="478">
        <f t="shared" si="64"/>
        <v>2444.69</v>
      </c>
      <c r="AA49" s="478">
        <v>2400</v>
      </c>
      <c r="AB49" s="37" t="str">
        <f t="shared" si="65"/>
        <v/>
      </c>
      <c r="AC49" s="478">
        <f t="shared" si="66"/>
        <v>0</v>
      </c>
      <c r="AD49" s="478">
        <f t="shared" si="67"/>
        <v>0</v>
      </c>
      <c r="AE49" s="478">
        <f t="shared" si="68"/>
        <v>209.98981465952738</v>
      </c>
      <c r="AF49" s="478">
        <f t="shared" si="69"/>
        <v>52.021319676523412</v>
      </c>
      <c r="AG49" s="478">
        <f t="shared" si="70"/>
        <v>104.96545574285491</v>
      </c>
      <c r="AH49" s="478">
        <f t="shared" si="71"/>
        <v>2033.0234099210943</v>
      </c>
      <c r="AI49" s="478">
        <f t="shared" si="72"/>
        <v>0</v>
      </c>
      <c r="AJ49" s="488">
        <f t="shared" si="73"/>
        <v>0</v>
      </c>
      <c r="AK49" s="478">
        <f t="shared" si="74"/>
        <v>0</v>
      </c>
      <c r="AL49" s="478">
        <f t="shared" si="75"/>
        <v>0</v>
      </c>
      <c r="AM49" s="478">
        <f t="shared" si="76"/>
        <v>0</v>
      </c>
      <c r="AN49" s="478">
        <f t="shared" si="77"/>
        <v>0</v>
      </c>
    </row>
    <row r="50" spans="1:40" x14ac:dyDescent="0.25">
      <c r="A50" s="476" t="s">
        <v>166</v>
      </c>
      <c r="B50" s="478">
        <f>303.46</f>
        <v>303.45999999999998</v>
      </c>
      <c r="C50" s="478">
        <f>278.51</f>
        <v>278.51</v>
      </c>
      <c r="D50" s="478">
        <f>263.75</f>
        <v>263.75</v>
      </c>
      <c r="E50" s="478">
        <f>405.39</f>
        <v>405.39</v>
      </c>
      <c r="F50" s="478">
        <f>120.71</f>
        <v>120.71</v>
      </c>
      <c r="G50" s="478">
        <f>476.7</f>
        <v>476.7</v>
      </c>
      <c r="H50" s="478">
        <f>122.63</f>
        <v>122.63</v>
      </c>
      <c r="I50" s="478">
        <f>229.29</f>
        <v>229.29</v>
      </c>
      <c r="J50" s="478">
        <f>41.03</f>
        <v>41.03</v>
      </c>
      <c r="K50" s="478">
        <f>1816.99</f>
        <v>1816.99</v>
      </c>
      <c r="L50" s="478">
        <f>2606.32</f>
        <v>2606.3200000000002</v>
      </c>
      <c r="M50" s="479"/>
      <c r="N50" s="478">
        <f>491.47</f>
        <v>491.47</v>
      </c>
      <c r="O50" s="478">
        <f>110.87</f>
        <v>110.87</v>
      </c>
      <c r="P50" s="478">
        <f>2397.07</f>
        <v>2397.0700000000002</v>
      </c>
      <c r="Q50" s="478">
        <f>2203.34</f>
        <v>2203.34</v>
      </c>
      <c r="R50" s="478">
        <f>140.87</f>
        <v>140.87</v>
      </c>
      <c r="S50" s="478">
        <f>42.45</f>
        <v>42.45</v>
      </c>
      <c r="T50" s="478">
        <f>117.12</f>
        <v>117.12</v>
      </c>
      <c r="U50" s="479"/>
      <c r="V50" s="479"/>
      <c r="W50" s="478">
        <f t="shared" si="19"/>
        <v>12167.970000000003</v>
      </c>
      <c r="X50" s="478">
        <f t="shared" si="2"/>
        <v>6953.1257142857166</v>
      </c>
      <c r="Y50" s="478">
        <f t="shared" si="3"/>
        <v>6664.7800000000007</v>
      </c>
      <c r="Z50" s="478">
        <f t="shared" si="64"/>
        <v>9926.5000000000036</v>
      </c>
      <c r="AA50" s="478">
        <v>7000</v>
      </c>
      <c r="AB50" s="37" t="str">
        <f t="shared" si="65"/>
        <v/>
      </c>
      <c r="AC50" s="478">
        <f t="shared" si="66"/>
        <v>346.57633607011525</v>
      </c>
      <c r="AD50" s="478">
        <f t="shared" si="67"/>
        <v>78.183649826222705</v>
      </c>
      <c r="AE50" s="478">
        <f t="shared" si="68"/>
        <v>1690.3732433385378</v>
      </c>
      <c r="AF50" s="478">
        <f t="shared" si="69"/>
        <v>1553.7581221981561</v>
      </c>
      <c r="AG50" s="478">
        <f t="shared" si="70"/>
        <v>99.339142698836412</v>
      </c>
      <c r="AH50" s="478">
        <f t="shared" si="71"/>
        <v>29.935022414748392</v>
      </c>
      <c r="AI50" s="478">
        <f t="shared" si="72"/>
        <v>82.591044174683901</v>
      </c>
      <c r="AJ50" s="488">
        <f t="shared" si="73"/>
        <v>0</v>
      </c>
      <c r="AK50" s="478">
        <f t="shared" si="74"/>
        <v>0</v>
      </c>
      <c r="AL50" s="478">
        <f t="shared" si="75"/>
        <v>1281.310633153679</v>
      </c>
      <c r="AM50" s="478">
        <f t="shared" si="76"/>
        <v>1837.9328061250183</v>
      </c>
      <c r="AN50" s="478">
        <f t="shared" si="77"/>
        <v>0</v>
      </c>
    </row>
    <row r="51" spans="1:40" x14ac:dyDescent="0.25">
      <c r="A51" s="476" t="s">
        <v>167</v>
      </c>
      <c r="B51" s="479"/>
      <c r="C51" s="478">
        <f>139.7</f>
        <v>139.69999999999999</v>
      </c>
      <c r="D51" s="479"/>
      <c r="E51" s="479"/>
      <c r="F51" s="479"/>
      <c r="G51" s="478">
        <f>1044</f>
        <v>1044</v>
      </c>
      <c r="H51" s="478">
        <f>17.96</f>
        <v>17.96</v>
      </c>
      <c r="I51" s="479"/>
      <c r="J51" s="479"/>
      <c r="K51" s="479"/>
      <c r="L51" s="479"/>
      <c r="M51" s="479"/>
      <c r="N51" s="479"/>
      <c r="O51" s="479"/>
      <c r="P51" s="478">
        <f>27.43</f>
        <v>27.43</v>
      </c>
      <c r="Q51" s="478">
        <f>20.63</f>
        <v>20.63</v>
      </c>
      <c r="R51" s="479"/>
      <c r="S51" s="479"/>
      <c r="T51" s="478">
        <f>1096</f>
        <v>1096</v>
      </c>
      <c r="U51" s="478">
        <f>518</f>
        <v>518</v>
      </c>
      <c r="V51" s="478">
        <f>25</f>
        <v>25</v>
      </c>
      <c r="W51" s="478">
        <f t="shared" si="19"/>
        <v>2888.7200000000003</v>
      </c>
      <c r="X51" s="478">
        <f t="shared" si="2"/>
        <v>1650.6971428571433</v>
      </c>
      <c r="Y51" s="478">
        <f t="shared" si="3"/>
        <v>1201.6600000000001</v>
      </c>
      <c r="Z51" s="478">
        <f t="shared" si="64"/>
        <v>1687.06</v>
      </c>
      <c r="AA51" s="478">
        <v>2500</v>
      </c>
      <c r="AB51" s="37" t="str">
        <f t="shared" si="65"/>
        <v/>
      </c>
      <c r="AC51" s="478">
        <f t="shared" si="66"/>
        <v>0</v>
      </c>
      <c r="AD51" s="478">
        <f t="shared" si="67"/>
        <v>0</v>
      </c>
      <c r="AE51" s="478">
        <f t="shared" si="68"/>
        <v>40.647635531634911</v>
      </c>
      <c r="AF51" s="478">
        <f t="shared" si="69"/>
        <v>30.570934050952545</v>
      </c>
      <c r="AG51" s="478">
        <f t="shared" si="70"/>
        <v>0</v>
      </c>
      <c r="AH51" s="478">
        <f t="shared" si="71"/>
        <v>0</v>
      </c>
      <c r="AI51" s="478">
        <f t="shared" si="72"/>
        <v>1624.1271798276291</v>
      </c>
      <c r="AJ51" s="488">
        <f t="shared" si="73"/>
        <v>767.6075539696277</v>
      </c>
      <c r="AK51" s="478">
        <f t="shared" si="74"/>
        <v>37.046696620155778</v>
      </c>
      <c r="AL51" s="478">
        <f t="shared" si="75"/>
        <v>0</v>
      </c>
      <c r="AM51" s="478">
        <f t="shared" si="76"/>
        <v>0</v>
      </c>
      <c r="AN51" s="478">
        <f t="shared" si="77"/>
        <v>0</v>
      </c>
    </row>
    <row r="52" spans="1:40" x14ac:dyDescent="0.25">
      <c r="A52" s="476" t="s">
        <v>168</v>
      </c>
      <c r="B52" s="479"/>
      <c r="C52" s="478">
        <f>285.18</f>
        <v>285.18</v>
      </c>
      <c r="D52" s="478">
        <f>1326.88</f>
        <v>1326.88</v>
      </c>
      <c r="E52" s="479"/>
      <c r="F52" s="479"/>
      <c r="G52" s="479"/>
      <c r="H52" s="479"/>
      <c r="I52" s="479"/>
      <c r="J52" s="479"/>
      <c r="K52" s="479"/>
      <c r="L52" s="479"/>
      <c r="M52" s="479"/>
      <c r="N52" s="479"/>
      <c r="O52" s="478">
        <f>2793.8</f>
        <v>2793.8</v>
      </c>
      <c r="P52" s="478">
        <f>120</f>
        <v>120</v>
      </c>
      <c r="Q52" s="479"/>
      <c r="R52" s="479"/>
      <c r="S52" s="479"/>
      <c r="T52" s="479"/>
      <c r="U52" s="479"/>
      <c r="V52" s="479"/>
      <c r="W52" s="478">
        <f t="shared" si="19"/>
        <v>4525.8600000000006</v>
      </c>
      <c r="X52" s="478">
        <f t="shared" si="2"/>
        <v>2586.2057142857147</v>
      </c>
      <c r="Y52" s="478">
        <f t="shared" si="3"/>
        <v>1612.0600000000002</v>
      </c>
      <c r="Z52" s="478">
        <f t="shared" si="64"/>
        <v>2913.8</v>
      </c>
      <c r="AA52" s="478">
        <v>2600</v>
      </c>
      <c r="AB52" s="37" t="str">
        <f t="shared" si="65"/>
        <v/>
      </c>
      <c r="AC52" s="478">
        <f t="shared" si="66"/>
        <v>0</v>
      </c>
      <c r="AD52" s="478">
        <f t="shared" si="67"/>
        <v>2492.9233303589813</v>
      </c>
      <c r="AE52" s="478">
        <f t="shared" si="68"/>
        <v>107.0766696410186</v>
      </c>
      <c r="AF52" s="478">
        <f t="shared" si="69"/>
        <v>0</v>
      </c>
      <c r="AG52" s="478">
        <f t="shared" si="70"/>
        <v>0</v>
      </c>
      <c r="AH52" s="478">
        <f t="shared" si="71"/>
        <v>0</v>
      </c>
      <c r="AI52" s="478">
        <f t="shared" si="72"/>
        <v>0</v>
      </c>
      <c r="AJ52" s="488">
        <f t="shared" si="73"/>
        <v>0</v>
      </c>
      <c r="AK52" s="478">
        <f t="shared" si="74"/>
        <v>0</v>
      </c>
      <c r="AL52" s="478">
        <f t="shared" si="75"/>
        <v>0</v>
      </c>
      <c r="AM52" s="478">
        <f t="shared" si="76"/>
        <v>0</v>
      </c>
      <c r="AN52" s="478">
        <f t="shared" si="77"/>
        <v>0</v>
      </c>
    </row>
    <row r="53" spans="1:40" x14ac:dyDescent="0.25">
      <c r="A53" s="476" t="s">
        <v>1186</v>
      </c>
      <c r="B53" s="479"/>
      <c r="C53" s="479"/>
      <c r="D53" s="479"/>
      <c r="E53" s="479"/>
      <c r="F53" s="479"/>
      <c r="G53" s="479"/>
      <c r="H53" s="479"/>
      <c r="I53" s="479"/>
      <c r="J53" s="479"/>
      <c r="K53" s="479"/>
      <c r="L53" s="479"/>
      <c r="M53" s="479"/>
      <c r="N53" s="479"/>
      <c r="O53" s="478">
        <f>195.36</f>
        <v>195.36</v>
      </c>
      <c r="P53" s="479"/>
      <c r="Q53" s="479"/>
      <c r="R53" s="479"/>
      <c r="S53" s="479"/>
      <c r="T53" s="479"/>
      <c r="U53" s="479"/>
      <c r="V53" s="479"/>
      <c r="W53" s="478">
        <f t="shared" si="19"/>
        <v>195.36</v>
      </c>
      <c r="X53" s="478">
        <f t="shared" si="2"/>
        <v>111.63428571428574</v>
      </c>
      <c r="Y53" s="478">
        <f t="shared" si="3"/>
        <v>0</v>
      </c>
      <c r="Z53" s="478">
        <f t="shared" si="64"/>
        <v>195.36</v>
      </c>
      <c r="AA53" s="478">
        <v>150</v>
      </c>
      <c r="AB53" s="37" t="str">
        <f t="shared" si="65"/>
        <v/>
      </c>
      <c r="AC53" s="478">
        <f t="shared" si="66"/>
        <v>0</v>
      </c>
      <c r="AD53" s="478">
        <f t="shared" si="67"/>
        <v>150</v>
      </c>
      <c r="AE53" s="478">
        <f t="shared" si="68"/>
        <v>0</v>
      </c>
      <c r="AF53" s="478">
        <f t="shared" si="69"/>
        <v>0</v>
      </c>
      <c r="AG53" s="478">
        <f t="shared" si="70"/>
        <v>0</v>
      </c>
      <c r="AH53" s="478">
        <f t="shared" si="71"/>
        <v>0</v>
      </c>
      <c r="AI53" s="478">
        <f t="shared" si="72"/>
        <v>0</v>
      </c>
      <c r="AJ53" s="488">
        <f t="shared" si="73"/>
        <v>0</v>
      </c>
      <c r="AK53" s="478">
        <f t="shared" si="74"/>
        <v>0</v>
      </c>
      <c r="AL53" s="478">
        <f t="shared" si="75"/>
        <v>0</v>
      </c>
      <c r="AM53" s="478">
        <f t="shared" si="76"/>
        <v>0</v>
      </c>
      <c r="AN53" s="478">
        <f t="shared" si="77"/>
        <v>0</v>
      </c>
    </row>
    <row r="54" spans="1:40" x14ac:dyDescent="0.25">
      <c r="A54" s="476" t="s">
        <v>1187</v>
      </c>
      <c r="B54" s="478">
        <f>24.23</f>
        <v>24.23</v>
      </c>
      <c r="C54" s="479"/>
      <c r="D54" s="478">
        <f>664.83</f>
        <v>664.83</v>
      </c>
      <c r="E54" s="478">
        <f>201</f>
        <v>201</v>
      </c>
      <c r="F54" s="478">
        <f>425</f>
        <v>425</v>
      </c>
      <c r="G54" s="479"/>
      <c r="H54" s="478">
        <f>750.02</f>
        <v>750.02</v>
      </c>
      <c r="I54" s="479"/>
      <c r="J54" s="478">
        <f>507.15</f>
        <v>507.15</v>
      </c>
      <c r="K54" s="479"/>
      <c r="L54" s="478">
        <f>15.05</f>
        <v>15.05</v>
      </c>
      <c r="M54" s="479"/>
      <c r="N54" s="478">
        <f>44.34</f>
        <v>44.34</v>
      </c>
      <c r="O54" s="478">
        <f>828.16</f>
        <v>828.16</v>
      </c>
      <c r="P54" s="478">
        <f>270.91</f>
        <v>270.91000000000003</v>
      </c>
      <c r="Q54" s="478">
        <f>202.14</f>
        <v>202.14</v>
      </c>
      <c r="R54" s="478">
        <f>331.14</f>
        <v>331.14</v>
      </c>
      <c r="S54" s="478">
        <f>33</f>
        <v>33</v>
      </c>
      <c r="T54" s="478">
        <f>782.48</f>
        <v>782.48</v>
      </c>
      <c r="U54" s="478">
        <f>663.85</f>
        <v>663.85</v>
      </c>
      <c r="V54" s="478">
        <f>156.21</f>
        <v>156.21</v>
      </c>
      <c r="W54" s="478">
        <f t="shared" si="19"/>
        <v>5899.5100000000011</v>
      </c>
      <c r="X54" s="478">
        <f t="shared" si="2"/>
        <v>3371.1485714285718</v>
      </c>
      <c r="Y54" s="478">
        <f t="shared" si="3"/>
        <v>2587.2800000000002</v>
      </c>
      <c r="Z54" s="478">
        <f t="shared" si="64"/>
        <v>3327.2799999999997</v>
      </c>
      <c r="AA54" s="478">
        <f>3300+600+25000</f>
        <v>28900</v>
      </c>
      <c r="AB54" s="37" t="str">
        <f t="shared" si="65"/>
        <v/>
      </c>
      <c r="AC54" s="478">
        <v>51.972181481570537</v>
      </c>
      <c r="AD54" s="478">
        <v>970.71000937702865</v>
      </c>
      <c r="AE54" s="478">
        <f>317.541355100863+10000</f>
        <v>10317.541355100862</v>
      </c>
      <c r="AF54" s="478">
        <f>236.934072275252+15000</f>
        <v>15236.934072275251</v>
      </c>
      <c r="AG54" s="478">
        <v>388.13865980620807</v>
      </c>
      <c r="AH54" s="478">
        <v>38.680243321872524</v>
      </c>
      <c r="AI54" s="478">
        <v>917.16717559087306</v>
      </c>
      <c r="AJ54" s="488">
        <v>778.11756149166888</v>
      </c>
      <c r="AK54" s="478">
        <v>183.09820634271841</v>
      </c>
      <c r="AL54" s="478">
        <v>0</v>
      </c>
      <c r="AM54" s="478">
        <v>17.640535211944893</v>
      </c>
      <c r="AN54" s="478">
        <v>0</v>
      </c>
    </row>
    <row r="55" spans="1:40" x14ac:dyDescent="0.25">
      <c r="A55" s="476" t="s">
        <v>1188</v>
      </c>
      <c r="B55" s="479"/>
      <c r="C55" s="478">
        <f>356.9</f>
        <v>356.9</v>
      </c>
      <c r="D55" s="478">
        <f>1323.5</f>
        <v>1323.5</v>
      </c>
      <c r="E55" s="478">
        <f>70.25</f>
        <v>70.25</v>
      </c>
      <c r="F55" s="478">
        <f>2333.8</f>
        <v>2333.8000000000002</v>
      </c>
      <c r="G55" s="478">
        <f>1027.75</f>
        <v>1027.75</v>
      </c>
      <c r="H55" s="478">
        <f>137</f>
        <v>137</v>
      </c>
      <c r="I55" s="478">
        <f>306.25</f>
        <v>306.25</v>
      </c>
      <c r="J55" s="478">
        <f>839.17</f>
        <v>839.17</v>
      </c>
      <c r="K55" s="479"/>
      <c r="L55" s="478">
        <f>622</f>
        <v>622</v>
      </c>
      <c r="M55" s="479"/>
      <c r="N55" s="478">
        <f>238.59</f>
        <v>238.59</v>
      </c>
      <c r="O55" s="479"/>
      <c r="P55" s="478">
        <f>177</f>
        <v>177</v>
      </c>
      <c r="Q55" s="478">
        <f>201</f>
        <v>201</v>
      </c>
      <c r="R55" s="478">
        <f>66.47</f>
        <v>66.47</v>
      </c>
      <c r="S55" s="478">
        <f>627.1</f>
        <v>627.1</v>
      </c>
      <c r="T55" s="479"/>
      <c r="U55" s="479"/>
      <c r="V55" s="478">
        <f>213.97</f>
        <v>213.97</v>
      </c>
      <c r="W55" s="478">
        <f t="shared" si="19"/>
        <v>8540.75</v>
      </c>
      <c r="X55" s="478">
        <f t="shared" si="2"/>
        <v>4880.4285714285716</v>
      </c>
      <c r="Y55" s="478">
        <f t="shared" si="3"/>
        <v>7016.6200000000008</v>
      </c>
      <c r="Z55" s="478">
        <f t="shared" si="64"/>
        <v>2146.13</v>
      </c>
      <c r="AA55" s="478">
        <f>COGS!C39</f>
        <v>1768</v>
      </c>
      <c r="AB55" s="37" t="str">
        <f t="shared" si="65"/>
        <v/>
      </c>
      <c r="AC55" s="478">
        <f t="shared" si="66"/>
        <v>196.5524548839073</v>
      </c>
      <c r="AD55" s="478">
        <f t="shared" si="67"/>
        <v>0</v>
      </c>
      <c r="AE55" s="478">
        <f t="shared" si="68"/>
        <v>145.81409327487151</v>
      </c>
      <c r="AF55" s="478">
        <f t="shared" si="69"/>
        <v>165.58549575282018</v>
      </c>
      <c r="AG55" s="478">
        <f t="shared" si="70"/>
        <v>54.758546779552027</v>
      </c>
      <c r="AH55" s="478">
        <f t="shared" si="71"/>
        <v>516.61027058006732</v>
      </c>
      <c r="AI55" s="478">
        <f t="shared" si="72"/>
        <v>0</v>
      </c>
      <c r="AJ55" s="488">
        <f t="shared" si="73"/>
        <v>0</v>
      </c>
      <c r="AK55" s="478">
        <f t="shared" si="74"/>
        <v>176.27029117527829</v>
      </c>
      <c r="AL55" s="478">
        <f t="shared" si="75"/>
        <v>0</v>
      </c>
      <c r="AM55" s="478">
        <f t="shared" si="76"/>
        <v>512.40884755350328</v>
      </c>
      <c r="AN55" s="478">
        <f t="shared" si="77"/>
        <v>0</v>
      </c>
    </row>
    <row r="56" spans="1:40" x14ac:dyDescent="0.25">
      <c r="A56" s="476" t="s">
        <v>1189</v>
      </c>
      <c r="B56" s="479"/>
      <c r="C56" s="479"/>
      <c r="D56" s="479"/>
      <c r="E56" s="479"/>
      <c r="F56" s="479"/>
      <c r="G56" s="479"/>
      <c r="H56" s="479"/>
      <c r="I56" s="479"/>
      <c r="J56" s="479"/>
      <c r="K56" s="479"/>
      <c r="L56" s="479"/>
      <c r="M56" s="479"/>
      <c r="N56" s="479"/>
      <c r="O56" s="478">
        <f>430</f>
        <v>430</v>
      </c>
      <c r="P56" s="478">
        <f>667.5</f>
        <v>667.5</v>
      </c>
      <c r="Q56" s="478">
        <f>914.4</f>
        <v>914.4</v>
      </c>
      <c r="R56" s="479"/>
      <c r="S56" s="479"/>
      <c r="T56" s="479"/>
      <c r="U56" s="478">
        <f>144</f>
        <v>144</v>
      </c>
      <c r="V56" s="478">
        <f>500.64</f>
        <v>500.64</v>
      </c>
      <c r="W56" s="478">
        <f t="shared" si="19"/>
        <v>2656.54</v>
      </c>
      <c r="X56" s="478">
        <f t="shared" si="2"/>
        <v>1518.022857142857</v>
      </c>
      <c r="Y56" s="478">
        <f t="shared" si="3"/>
        <v>0</v>
      </c>
      <c r="Z56" s="478">
        <f t="shared" si="64"/>
        <v>2656.54</v>
      </c>
      <c r="AA56" s="478">
        <v>2000</v>
      </c>
      <c r="AB56" s="37" t="str">
        <f t="shared" si="65"/>
        <v/>
      </c>
      <c r="AC56" s="478">
        <f t="shared" si="66"/>
        <v>0</v>
      </c>
      <c r="AD56" s="478">
        <f t="shared" si="67"/>
        <v>323.72936225315635</v>
      </c>
      <c r="AE56" s="478">
        <f t="shared" si="68"/>
        <v>502.5333704743764</v>
      </c>
      <c r="AF56" s="478">
        <f t="shared" si="69"/>
        <v>688.41425312624688</v>
      </c>
      <c r="AG56" s="478">
        <f t="shared" si="70"/>
        <v>0</v>
      </c>
      <c r="AH56" s="478">
        <f t="shared" si="71"/>
        <v>0</v>
      </c>
      <c r="AI56" s="478">
        <f t="shared" si="72"/>
        <v>0</v>
      </c>
      <c r="AJ56" s="488">
        <f t="shared" si="73"/>
        <v>108.41169340570818</v>
      </c>
      <c r="AK56" s="478">
        <f t="shared" si="74"/>
        <v>376.91132074051211</v>
      </c>
      <c r="AL56" s="478">
        <f t="shared" si="75"/>
        <v>0</v>
      </c>
      <c r="AM56" s="478">
        <f t="shared" si="76"/>
        <v>0</v>
      </c>
      <c r="AN56" s="478">
        <f t="shared" si="77"/>
        <v>0</v>
      </c>
    </row>
    <row r="57" spans="1:40" x14ac:dyDescent="0.25">
      <c r="A57" s="476" t="s">
        <v>1190</v>
      </c>
      <c r="B57" s="480">
        <f t="shared" ref="B57:V57" si="78">(B55)+(B56)</f>
        <v>0</v>
      </c>
      <c r="C57" s="480">
        <f t="shared" si="78"/>
        <v>356.9</v>
      </c>
      <c r="D57" s="480">
        <f t="shared" si="78"/>
        <v>1323.5</v>
      </c>
      <c r="E57" s="480">
        <f t="shared" si="78"/>
        <v>70.25</v>
      </c>
      <c r="F57" s="480">
        <f t="shared" si="78"/>
        <v>2333.8000000000002</v>
      </c>
      <c r="G57" s="480">
        <f t="shared" si="78"/>
        <v>1027.75</v>
      </c>
      <c r="H57" s="480">
        <f t="shared" si="78"/>
        <v>137</v>
      </c>
      <c r="I57" s="480">
        <f t="shared" si="78"/>
        <v>306.25</v>
      </c>
      <c r="J57" s="480">
        <f t="shared" si="78"/>
        <v>839.17</v>
      </c>
      <c r="K57" s="480">
        <f t="shared" si="78"/>
        <v>0</v>
      </c>
      <c r="L57" s="480">
        <f t="shared" si="78"/>
        <v>622</v>
      </c>
      <c r="M57" s="480">
        <f t="shared" si="78"/>
        <v>0</v>
      </c>
      <c r="N57" s="480">
        <f t="shared" si="78"/>
        <v>238.59</v>
      </c>
      <c r="O57" s="480">
        <f t="shared" si="78"/>
        <v>430</v>
      </c>
      <c r="P57" s="480">
        <f t="shared" si="78"/>
        <v>844.5</v>
      </c>
      <c r="Q57" s="480">
        <f t="shared" si="78"/>
        <v>1115.4000000000001</v>
      </c>
      <c r="R57" s="480">
        <f t="shared" si="78"/>
        <v>66.47</v>
      </c>
      <c r="S57" s="480">
        <f t="shared" si="78"/>
        <v>627.1</v>
      </c>
      <c r="T57" s="480">
        <f t="shared" si="78"/>
        <v>0</v>
      </c>
      <c r="U57" s="480">
        <f t="shared" si="78"/>
        <v>144</v>
      </c>
      <c r="V57" s="480">
        <f t="shared" si="78"/>
        <v>714.61</v>
      </c>
      <c r="W57" s="480">
        <f t="shared" si="19"/>
        <v>11197.29</v>
      </c>
      <c r="X57" s="480">
        <f t="shared" si="2"/>
        <v>6398.4514285714295</v>
      </c>
      <c r="Y57" s="480">
        <f t="shared" si="3"/>
        <v>7016.6200000000008</v>
      </c>
      <c r="Z57" s="480">
        <f>SUM(K57:M57,N57:V57)</f>
        <v>4802.67</v>
      </c>
      <c r="AA57" s="480">
        <f t="shared" ref="AA57" si="79">(AA55)+(AA56)</f>
        <v>3768</v>
      </c>
      <c r="AB57" s="37" t="str">
        <f t="shared" si="65"/>
        <v/>
      </c>
      <c r="AC57" s="480">
        <f>SUM(AC55:AC56)</f>
        <v>196.5524548839073</v>
      </c>
      <c r="AD57" s="480">
        <f t="shared" ref="AD57:AN57" si="80">SUM(AD55:AD56)</f>
        <v>323.72936225315635</v>
      </c>
      <c r="AE57" s="480">
        <f t="shared" si="80"/>
        <v>648.34746374924794</v>
      </c>
      <c r="AF57" s="480">
        <f t="shared" si="80"/>
        <v>853.99974887906706</v>
      </c>
      <c r="AG57" s="480">
        <f t="shared" si="80"/>
        <v>54.758546779552027</v>
      </c>
      <c r="AH57" s="480">
        <f t="shared" si="80"/>
        <v>516.61027058006732</v>
      </c>
      <c r="AI57" s="480">
        <f t="shared" si="80"/>
        <v>0</v>
      </c>
      <c r="AJ57" s="480">
        <f t="shared" si="80"/>
        <v>108.41169340570818</v>
      </c>
      <c r="AK57" s="480">
        <f t="shared" si="80"/>
        <v>553.18161191579043</v>
      </c>
      <c r="AL57" s="480">
        <f t="shared" si="80"/>
        <v>0</v>
      </c>
      <c r="AM57" s="480">
        <f t="shared" si="80"/>
        <v>512.40884755350328</v>
      </c>
      <c r="AN57" s="480">
        <f t="shared" si="80"/>
        <v>0</v>
      </c>
    </row>
    <row r="58" spans="1:40" x14ac:dyDescent="0.25">
      <c r="A58" s="476" t="s">
        <v>172</v>
      </c>
      <c r="B58" s="478">
        <f>54.86</f>
        <v>54.86</v>
      </c>
      <c r="C58" s="478">
        <f>34.35</f>
        <v>34.35</v>
      </c>
      <c r="D58" s="479"/>
      <c r="E58" s="479"/>
      <c r="F58" s="478">
        <f>34.35</f>
        <v>34.35</v>
      </c>
      <c r="G58" s="479"/>
      <c r="H58" s="479"/>
      <c r="I58" s="478">
        <f>34.35</f>
        <v>34.35</v>
      </c>
      <c r="J58" s="479"/>
      <c r="K58" s="478">
        <f>34.35</f>
        <v>34.35</v>
      </c>
      <c r="L58" s="479"/>
      <c r="M58" s="479"/>
      <c r="N58" s="479"/>
      <c r="O58" s="478">
        <f>34.35</f>
        <v>34.35</v>
      </c>
      <c r="P58" s="479"/>
      <c r="Q58" s="479"/>
      <c r="R58" s="479"/>
      <c r="S58" s="478">
        <f>34.35</f>
        <v>34.35</v>
      </c>
      <c r="T58" s="478">
        <f>34.37</f>
        <v>34.369999999999997</v>
      </c>
      <c r="U58" s="478">
        <f>12.92</f>
        <v>12.92</v>
      </c>
      <c r="V58" s="479"/>
      <c r="W58" s="478">
        <f t="shared" si="19"/>
        <v>308.25</v>
      </c>
      <c r="X58" s="478">
        <f t="shared" si="2"/>
        <v>176.14285714285714</v>
      </c>
      <c r="Y58" s="478">
        <f t="shared" si="3"/>
        <v>192.26</v>
      </c>
      <c r="Z58" s="478">
        <f t="shared" ref="Z58:Z62" si="81">SUM(K58:M58,N58:V58)</f>
        <v>150.34</v>
      </c>
      <c r="AA58" s="478">
        <v>180</v>
      </c>
      <c r="AB58" s="37" t="str">
        <f t="shared" si="65"/>
        <v/>
      </c>
      <c r="AC58" s="478">
        <f t="shared" ref="AC58:AC59" si="82">N58/$Z58*$AA58</f>
        <v>0</v>
      </c>
      <c r="AD58" s="478">
        <f t="shared" ref="AD58:AD59" si="83">O58/$Z58*$AA58</f>
        <v>41.126779300252757</v>
      </c>
      <c r="AE58" s="478">
        <f t="shared" ref="AE58:AE59" si="84">P58/$Z58*$AA58</f>
        <v>0</v>
      </c>
      <c r="AF58" s="478">
        <f t="shared" ref="AF58:AF59" si="85">Q58/$Z58*$AA58</f>
        <v>0</v>
      </c>
      <c r="AG58" s="478">
        <f t="shared" ref="AG58:AG59" si="86">R58/$Z58*$AA58</f>
        <v>0</v>
      </c>
      <c r="AH58" s="478">
        <f t="shared" ref="AH58:AH59" si="87">S58/$Z58*$AA58</f>
        <v>41.126779300252757</v>
      </c>
      <c r="AI58" s="478">
        <f t="shared" ref="AI58:AI59" si="88">T58/$Z58*$AA58</f>
        <v>41.150725023280557</v>
      </c>
      <c r="AJ58" s="488">
        <f t="shared" ref="AJ58:AJ59" si="89">U58/$Z58*$AA58</f>
        <v>15.468937075961154</v>
      </c>
      <c r="AK58" s="478">
        <f t="shared" ref="AK58:AK59" si="90">V58/$Z58*$AA58</f>
        <v>0</v>
      </c>
      <c r="AL58" s="478">
        <f t="shared" ref="AL58:AL59" si="91">K58/$Z58*$AA58</f>
        <v>41.126779300252757</v>
      </c>
      <c r="AM58" s="478">
        <f t="shared" ref="AM58:AM59" si="92">L58/$Z58*$AA58</f>
        <v>0</v>
      </c>
      <c r="AN58" s="478">
        <f t="shared" ref="AN58:AN59" si="93">M58/$Z58*$AA58</f>
        <v>0</v>
      </c>
    </row>
    <row r="59" spans="1:40" x14ac:dyDescent="0.25">
      <c r="A59" s="476" t="s">
        <v>432</v>
      </c>
      <c r="B59" s="478">
        <f>126.08</f>
        <v>126.08</v>
      </c>
      <c r="C59" s="478">
        <f>25</f>
        <v>25</v>
      </c>
      <c r="D59" s="478">
        <f>567.16</f>
        <v>567.16</v>
      </c>
      <c r="E59" s="478">
        <f>276.08</f>
        <v>276.08</v>
      </c>
      <c r="F59" s="478">
        <f>86.63</f>
        <v>86.63</v>
      </c>
      <c r="G59" s="478">
        <f>41.32</f>
        <v>41.32</v>
      </c>
      <c r="H59" s="478">
        <f>91.32</f>
        <v>91.32</v>
      </c>
      <c r="I59" s="478">
        <f>91.32</f>
        <v>91.32</v>
      </c>
      <c r="J59" s="478">
        <f>91.32</f>
        <v>91.32</v>
      </c>
      <c r="K59" s="478">
        <f>91.32</f>
        <v>91.32</v>
      </c>
      <c r="L59" s="478">
        <f>91.3</f>
        <v>91.3</v>
      </c>
      <c r="M59" s="478">
        <f>141.3</f>
        <v>141.30000000000001</v>
      </c>
      <c r="N59" s="478">
        <f>91.3</f>
        <v>91.3</v>
      </c>
      <c r="O59" s="478">
        <f>41.3</f>
        <v>41.3</v>
      </c>
      <c r="P59" s="478">
        <f>91.3</f>
        <v>91.3</v>
      </c>
      <c r="Q59" s="478">
        <f>91.3</f>
        <v>91.3</v>
      </c>
      <c r="R59" s="478">
        <f>116.3</f>
        <v>116.3</v>
      </c>
      <c r="S59" s="478">
        <f>116.3</f>
        <v>116.3</v>
      </c>
      <c r="T59" s="478">
        <f>116.3</f>
        <v>116.3</v>
      </c>
      <c r="U59" s="478">
        <f>157.66</f>
        <v>157.66</v>
      </c>
      <c r="V59" s="478">
        <f>157.66</f>
        <v>157.66</v>
      </c>
      <c r="W59" s="478">
        <f t="shared" si="19"/>
        <v>2699.5699999999993</v>
      </c>
      <c r="X59" s="478">
        <f t="shared" si="2"/>
        <v>1542.611428571428</v>
      </c>
      <c r="Y59" s="478">
        <f t="shared" si="3"/>
        <v>1720.1499999999994</v>
      </c>
      <c r="Z59" s="478">
        <f t="shared" si="81"/>
        <v>1303.3399999999999</v>
      </c>
      <c r="AA59" s="478">
        <f>(42+75)*12</f>
        <v>1404</v>
      </c>
      <c r="AB59" s="37" t="str">
        <f t="shared" si="65"/>
        <v/>
      </c>
      <c r="AC59" s="508">
        <f t="shared" si="82"/>
        <v>98.351312781008787</v>
      </c>
      <c r="AD59" s="508">
        <f t="shared" si="83"/>
        <v>44.489695704881306</v>
      </c>
      <c r="AE59" s="508">
        <f t="shared" si="84"/>
        <v>98.351312781008787</v>
      </c>
      <c r="AF59" s="508">
        <f t="shared" si="85"/>
        <v>98.351312781008787</v>
      </c>
      <c r="AG59" s="508">
        <f t="shared" si="86"/>
        <v>125.28212131907254</v>
      </c>
      <c r="AH59" s="508">
        <f t="shared" si="87"/>
        <v>125.28212131907254</v>
      </c>
      <c r="AI59" s="508">
        <f t="shared" si="88"/>
        <v>125.28212131907254</v>
      </c>
      <c r="AJ59" s="508">
        <f t="shared" si="89"/>
        <v>169.83645096444522</v>
      </c>
      <c r="AK59" s="508">
        <f t="shared" si="90"/>
        <v>169.83645096444522</v>
      </c>
      <c r="AL59" s="508">
        <f t="shared" si="91"/>
        <v>98.37285742783925</v>
      </c>
      <c r="AM59" s="508">
        <f t="shared" si="92"/>
        <v>98.351312781008787</v>
      </c>
      <c r="AN59" s="508">
        <f t="shared" si="93"/>
        <v>152.21292985713632</v>
      </c>
    </row>
    <row r="60" spans="1:40" x14ac:dyDescent="0.25">
      <c r="A60" s="476" t="s">
        <v>173</v>
      </c>
      <c r="B60" s="480">
        <f t="shared" ref="B60:V60" si="94">(B58)+(B59)</f>
        <v>180.94</v>
      </c>
      <c r="C60" s="480">
        <f t="shared" si="94"/>
        <v>59.35</v>
      </c>
      <c r="D60" s="480">
        <f t="shared" si="94"/>
        <v>567.16</v>
      </c>
      <c r="E60" s="480">
        <f t="shared" si="94"/>
        <v>276.08</v>
      </c>
      <c r="F60" s="480">
        <f t="shared" si="94"/>
        <v>120.97999999999999</v>
      </c>
      <c r="G60" s="480">
        <f t="shared" si="94"/>
        <v>41.32</v>
      </c>
      <c r="H60" s="480">
        <f t="shared" si="94"/>
        <v>91.32</v>
      </c>
      <c r="I60" s="480">
        <f t="shared" si="94"/>
        <v>125.66999999999999</v>
      </c>
      <c r="J60" s="480">
        <f t="shared" si="94"/>
        <v>91.32</v>
      </c>
      <c r="K60" s="480">
        <f t="shared" si="94"/>
        <v>125.66999999999999</v>
      </c>
      <c r="L60" s="480">
        <f t="shared" si="94"/>
        <v>91.3</v>
      </c>
      <c r="M60" s="480">
        <f t="shared" si="94"/>
        <v>141.30000000000001</v>
      </c>
      <c r="N60" s="480">
        <f t="shared" si="94"/>
        <v>91.3</v>
      </c>
      <c r="O60" s="480">
        <f t="shared" si="94"/>
        <v>75.650000000000006</v>
      </c>
      <c r="P60" s="480">
        <f t="shared" si="94"/>
        <v>91.3</v>
      </c>
      <c r="Q60" s="480">
        <f t="shared" si="94"/>
        <v>91.3</v>
      </c>
      <c r="R60" s="480">
        <f t="shared" si="94"/>
        <v>116.3</v>
      </c>
      <c r="S60" s="480">
        <f t="shared" si="94"/>
        <v>150.65</v>
      </c>
      <c r="T60" s="480">
        <f t="shared" si="94"/>
        <v>150.66999999999999</v>
      </c>
      <c r="U60" s="480">
        <f t="shared" si="94"/>
        <v>170.57999999999998</v>
      </c>
      <c r="V60" s="480">
        <f t="shared" si="94"/>
        <v>157.66</v>
      </c>
      <c r="W60" s="480">
        <f t="shared" si="19"/>
        <v>3007.82</v>
      </c>
      <c r="X60" s="480">
        <f t="shared" si="2"/>
        <v>1718.7542857142857</v>
      </c>
      <c r="Y60" s="480">
        <f t="shared" si="3"/>
        <v>1912.4099999999999</v>
      </c>
      <c r="Z60" s="480">
        <f t="shared" si="81"/>
        <v>1453.6799999999998</v>
      </c>
      <c r="AA60" s="480">
        <f t="shared" ref="AA60:AN60" si="95">(AA58)+(AA59)</f>
        <v>1584</v>
      </c>
      <c r="AB60" s="37" t="str">
        <f t="shared" si="65"/>
        <v/>
      </c>
      <c r="AC60" s="480">
        <f t="shared" si="95"/>
        <v>98.351312781008787</v>
      </c>
      <c r="AD60" s="480">
        <f t="shared" si="95"/>
        <v>85.616475005134063</v>
      </c>
      <c r="AE60" s="480">
        <f t="shared" si="95"/>
        <v>98.351312781008787</v>
      </c>
      <c r="AF60" s="480">
        <f t="shared" si="95"/>
        <v>98.351312781008787</v>
      </c>
      <c r="AG60" s="480">
        <f t="shared" si="95"/>
        <v>125.28212131907254</v>
      </c>
      <c r="AH60" s="480">
        <f t="shared" si="95"/>
        <v>166.40890061932529</v>
      </c>
      <c r="AI60" s="480">
        <f t="shared" si="95"/>
        <v>166.43284634235312</v>
      </c>
      <c r="AJ60" s="480">
        <f t="shared" si="95"/>
        <v>185.30538804040637</v>
      </c>
      <c r="AK60" s="480">
        <f t="shared" si="95"/>
        <v>169.83645096444522</v>
      </c>
      <c r="AL60" s="480">
        <f t="shared" si="95"/>
        <v>139.49963672809201</v>
      </c>
      <c r="AM60" s="480">
        <f t="shared" si="95"/>
        <v>98.351312781008787</v>
      </c>
      <c r="AN60" s="480">
        <f t="shared" si="95"/>
        <v>152.21292985713632</v>
      </c>
    </row>
    <row r="61" spans="1:40" x14ac:dyDescent="0.25">
      <c r="A61" s="476" t="s">
        <v>174</v>
      </c>
      <c r="B61" s="480">
        <f t="shared" ref="B61:V61" si="96">(((((((((((((((((((B29)+(B32))+(B33))+(B36))+(B38))+(B39))+(B40))+(B41))+(B42))+(B46))+(B47))+(B48))+(B49))+(B50))+(B51))+(B52))+(B53))+(B54))+(B57))+(B60)</f>
        <v>15467.48</v>
      </c>
      <c r="C61" s="480">
        <f t="shared" si="96"/>
        <v>5859.54</v>
      </c>
      <c r="D61" s="480">
        <f t="shared" si="96"/>
        <v>13613.47</v>
      </c>
      <c r="E61" s="480">
        <f t="shared" si="96"/>
        <v>7141.3499999999995</v>
      </c>
      <c r="F61" s="480">
        <f t="shared" si="96"/>
        <v>17939.87</v>
      </c>
      <c r="G61" s="480">
        <f t="shared" si="96"/>
        <v>13912.84</v>
      </c>
      <c r="H61" s="480">
        <f t="shared" si="96"/>
        <v>13668.099999999999</v>
      </c>
      <c r="I61" s="480">
        <f t="shared" si="96"/>
        <v>11255.440000000002</v>
      </c>
      <c r="J61" s="480">
        <f t="shared" si="96"/>
        <v>10295.709999999999</v>
      </c>
      <c r="K61" s="480">
        <f t="shared" si="96"/>
        <v>14929.97</v>
      </c>
      <c r="L61" s="480">
        <f t="shared" si="96"/>
        <v>18752.509999999998</v>
      </c>
      <c r="M61" s="480">
        <f t="shared" si="96"/>
        <v>2905.1400000000003</v>
      </c>
      <c r="N61" s="480">
        <f t="shared" si="96"/>
        <v>7601.63</v>
      </c>
      <c r="O61" s="480">
        <f t="shared" si="96"/>
        <v>9871.5199999999986</v>
      </c>
      <c r="P61" s="480">
        <f t="shared" si="96"/>
        <v>13575.049999999997</v>
      </c>
      <c r="Q61" s="480">
        <f t="shared" si="96"/>
        <v>15097.029999999999</v>
      </c>
      <c r="R61" s="480">
        <f t="shared" si="96"/>
        <v>13507.41</v>
      </c>
      <c r="S61" s="480">
        <f t="shared" si="96"/>
        <v>12991.060000000001</v>
      </c>
      <c r="T61" s="480">
        <f t="shared" si="96"/>
        <v>15421.45</v>
      </c>
      <c r="U61" s="480">
        <f t="shared" si="96"/>
        <v>9771.9</v>
      </c>
      <c r="V61" s="480">
        <f t="shared" si="96"/>
        <v>9863.0199999999986</v>
      </c>
      <c r="W61" s="480">
        <f t="shared" si="19"/>
        <v>253441.49</v>
      </c>
      <c r="X61" s="480">
        <f t="shared" si="2"/>
        <v>144823.70857142855</v>
      </c>
      <c r="Y61" s="480">
        <f t="shared" si="3"/>
        <v>145741.42000000001</v>
      </c>
      <c r="Z61" s="480">
        <f t="shared" si="81"/>
        <v>144287.68999999997</v>
      </c>
      <c r="AA61" s="480">
        <f>(((((((((((((((((((AA29)+(AA32))+(AA33))+(AA36))+(AA38))+(AA39))+(AA40))+(AA41))+(AA42))+(AA46))+(AA47))+(AA48))+(AA49))+(AA50))+(AA51))+(AA52))+(AA53))+(AA54))+(AA57))+(AA60)+AA37</f>
        <v>169233</v>
      </c>
      <c r="AB61" s="37" t="str">
        <f t="shared" si="65"/>
        <v/>
      </c>
      <c r="AC61" s="480">
        <f>AC60+AC57+SUM(AC46:AC54)+SUM(AC36:AC42)+AC33+SUM(AC29:AC31)</f>
        <v>9518.9026930962427</v>
      </c>
      <c r="AD61" s="480">
        <f t="shared" ref="AD61:AN61" si="97">AD60+AD57+SUM(AD46:AD54)+SUM(AD36:AD42)+AD33+SUM(AD29:AD31)</f>
        <v>11815.622946732661</v>
      </c>
      <c r="AE61" s="480">
        <f t="shared" si="97"/>
        <v>22598.790399678524</v>
      </c>
      <c r="AF61" s="480">
        <f t="shared" si="97"/>
        <v>27435.279996420362</v>
      </c>
      <c r="AG61" s="480">
        <f t="shared" si="97"/>
        <v>13113.922750380232</v>
      </c>
      <c r="AH61" s="480">
        <f t="shared" si="97"/>
        <v>18892.385319773559</v>
      </c>
      <c r="AI61" s="480">
        <f t="shared" si="97"/>
        <v>24479.152834177065</v>
      </c>
      <c r="AJ61" s="480">
        <f t="shared" si="97"/>
        <v>11415.997379377486</v>
      </c>
      <c r="AK61" s="480">
        <f t="shared" si="97"/>
        <v>9604.5814259279832</v>
      </c>
      <c r="AL61" s="480">
        <f t="shared" si="97"/>
        <v>12093.963643488971</v>
      </c>
      <c r="AM61" s="480">
        <f t="shared" si="97"/>
        <v>8091.4938250858777</v>
      </c>
      <c r="AN61" s="480">
        <f t="shared" si="97"/>
        <v>172.90678586103468</v>
      </c>
    </row>
    <row r="62" spans="1:40" x14ac:dyDescent="0.25">
      <c r="A62" s="476" t="s">
        <v>175</v>
      </c>
      <c r="B62" s="480">
        <f t="shared" ref="B62:V62" si="98">(B27)-(B61)</f>
        <v>4544.1399999999994</v>
      </c>
      <c r="C62" s="480">
        <f t="shared" si="98"/>
        <v>13098.71</v>
      </c>
      <c r="D62" s="480">
        <f t="shared" si="98"/>
        <v>15426.53</v>
      </c>
      <c r="E62" s="480">
        <f t="shared" si="98"/>
        <v>2669.2200000000003</v>
      </c>
      <c r="F62" s="480">
        <f t="shared" si="98"/>
        <v>34189.97</v>
      </c>
      <c r="G62" s="480">
        <f t="shared" si="98"/>
        <v>-4556.74</v>
      </c>
      <c r="H62" s="480">
        <f t="shared" si="98"/>
        <v>-237.0099999999984</v>
      </c>
      <c r="I62" s="480">
        <f t="shared" si="98"/>
        <v>16375.799999999996</v>
      </c>
      <c r="J62" s="480">
        <f t="shared" si="98"/>
        <v>20539.79</v>
      </c>
      <c r="K62" s="480">
        <f t="shared" si="98"/>
        <v>141273.62</v>
      </c>
      <c r="L62" s="480">
        <f t="shared" si="98"/>
        <v>-994.47999999999956</v>
      </c>
      <c r="M62" s="480">
        <f t="shared" si="98"/>
        <v>131936.68999999997</v>
      </c>
      <c r="N62" s="480">
        <f t="shared" si="98"/>
        <v>18596.109999999997</v>
      </c>
      <c r="O62" s="480">
        <f t="shared" si="98"/>
        <v>5094.9500000000025</v>
      </c>
      <c r="P62" s="480">
        <f t="shared" si="98"/>
        <v>-4255.5999999999967</v>
      </c>
      <c r="Q62" s="480">
        <f t="shared" si="98"/>
        <v>2517.9700000000012</v>
      </c>
      <c r="R62" s="480">
        <f t="shared" si="98"/>
        <v>3838.6100000000006</v>
      </c>
      <c r="S62" s="480">
        <f t="shared" si="98"/>
        <v>2215.8899999999994</v>
      </c>
      <c r="T62" s="480">
        <f t="shared" si="98"/>
        <v>22478.609999999997</v>
      </c>
      <c r="U62" s="480">
        <f t="shared" si="98"/>
        <v>18241.36</v>
      </c>
      <c r="V62" s="480">
        <f t="shared" si="98"/>
        <v>25277.360000000001</v>
      </c>
      <c r="W62" s="480">
        <f t="shared" si="19"/>
        <v>468271.5</v>
      </c>
      <c r="X62" s="480">
        <f t="shared" si="2"/>
        <v>267583.71428571432</v>
      </c>
      <c r="Y62" s="480">
        <f t="shared" si="3"/>
        <v>374266.24</v>
      </c>
      <c r="Z62" s="480">
        <f t="shared" si="81"/>
        <v>366221.08999999997</v>
      </c>
      <c r="AA62" s="480">
        <f t="shared" ref="AA62" si="99">(AA27)-(AA61)</f>
        <v>357836.53</v>
      </c>
      <c r="AB62" s="37" t="str">
        <f t="shared" si="65"/>
        <v/>
      </c>
      <c r="AC62" s="480">
        <f>AC27-AC61</f>
        <v>7931.0973069037573</v>
      </c>
      <c r="AD62" s="480">
        <f t="shared" ref="AD62:AN62" si="100">AD27-AD61</f>
        <v>44434.377053267337</v>
      </c>
      <c r="AE62" s="480">
        <f t="shared" si="100"/>
        <v>-14548.790399678524</v>
      </c>
      <c r="AF62" s="480">
        <f t="shared" si="100"/>
        <v>-7385.2799964203623</v>
      </c>
      <c r="AG62" s="480">
        <f t="shared" si="100"/>
        <v>22736.077249619768</v>
      </c>
      <c r="AH62" s="480">
        <f t="shared" si="100"/>
        <v>17443.177080226436</v>
      </c>
      <c r="AI62" s="480">
        <f t="shared" si="100"/>
        <v>18334.753165822938</v>
      </c>
      <c r="AJ62" s="480">
        <f t="shared" si="100"/>
        <v>28940.689820622516</v>
      </c>
      <c r="AK62" s="480">
        <f t="shared" si="100"/>
        <v>41402.105774072013</v>
      </c>
      <c r="AL62" s="480">
        <f t="shared" si="100"/>
        <v>144327.16115651102</v>
      </c>
      <c r="AM62" s="480">
        <f t="shared" si="100"/>
        <v>22744.068574914119</v>
      </c>
      <c r="AN62" s="480">
        <f t="shared" si="100"/>
        <v>31477.093214138964</v>
      </c>
    </row>
    <row r="63" spans="1:40" x14ac:dyDescent="0.25">
      <c r="A63" s="476" t="s">
        <v>176</v>
      </c>
      <c r="B63" s="479"/>
      <c r="C63" s="479"/>
      <c r="D63" s="479"/>
      <c r="E63" s="479"/>
      <c r="F63" s="479"/>
      <c r="G63" s="479"/>
      <c r="H63" s="479"/>
      <c r="I63" s="479"/>
      <c r="J63" s="479"/>
      <c r="K63" s="479"/>
      <c r="L63" s="479"/>
      <c r="M63" s="479"/>
      <c r="N63" s="479"/>
      <c r="O63" s="479"/>
      <c r="P63" s="479"/>
      <c r="Q63" s="479"/>
      <c r="R63" s="479"/>
      <c r="S63" s="479"/>
      <c r="T63" s="479"/>
      <c r="U63" s="479"/>
      <c r="V63" s="479"/>
      <c r="W63" s="479"/>
      <c r="X63" s="479">
        <f t="shared" si="2"/>
        <v>0</v>
      </c>
      <c r="Y63" s="479">
        <f t="shared" si="3"/>
        <v>0</v>
      </c>
      <c r="Z63" s="479">
        <f>SUM(K63:M63,N63:V63)</f>
        <v>0</v>
      </c>
      <c r="AA63" s="479"/>
      <c r="AB63" s="37" t="str">
        <f t="shared" si="65"/>
        <v/>
      </c>
      <c r="AC63" s="479"/>
      <c r="AD63" s="479"/>
      <c r="AE63" s="479"/>
      <c r="AF63" s="479"/>
      <c r="AG63" s="479"/>
      <c r="AH63" s="479"/>
      <c r="AI63" s="479"/>
      <c r="AJ63" s="479"/>
      <c r="AK63" s="479"/>
      <c r="AL63" s="479"/>
      <c r="AM63" s="479"/>
      <c r="AN63" s="479"/>
    </row>
    <row r="64" spans="1:40" x14ac:dyDescent="0.25">
      <c r="A64" s="476" t="s">
        <v>177</v>
      </c>
      <c r="B64" s="478">
        <f>3424</f>
        <v>3424</v>
      </c>
      <c r="C64" s="478">
        <f>6342.13</f>
        <v>6342.13</v>
      </c>
      <c r="D64" s="478">
        <f>5553.13</f>
        <v>5553.13</v>
      </c>
      <c r="E64" s="478">
        <f>4867.75</f>
        <v>4867.75</v>
      </c>
      <c r="F64" s="478">
        <f>5802.5</f>
        <v>5802.5</v>
      </c>
      <c r="G64" s="478">
        <f>4934.25</f>
        <v>4934.25</v>
      </c>
      <c r="H64" s="478">
        <f>4618.38</f>
        <v>4618.38</v>
      </c>
      <c r="I64" s="478">
        <f>6301.25</f>
        <v>6301.25</v>
      </c>
      <c r="J64" s="478">
        <f>5362.13</f>
        <v>5362.13</v>
      </c>
      <c r="K64" s="478">
        <f>5847.75</f>
        <v>5847.75</v>
      </c>
      <c r="L64" s="478">
        <f>5557.5</f>
        <v>5557.5</v>
      </c>
      <c r="M64" s="478">
        <f>4359.38</f>
        <v>4359.38</v>
      </c>
      <c r="N64" s="478">
        <f>15168.76</f>
        <v>15168.76</v>
      </c>
      <c r="O64" s="478">
        <f>15210.01</f>
        <v>15210.01</v>
      </c>
      <c r="P64" s="478">
        <f>15210.01</f>
        <v>15210.01</v>
      </c>
      <c r="Q64" s="478">
        <f>17746.45</f>
        <v>17746.45</v>
      </c>
      <c r="R64" s="478">
        <f>16483</f>
        <v>16483</v>
      </c>
      <c r="S64" s="478">
        <f>15820.07</f>
        <v>15820.07</v>
      </c>
      <c r="T64" s="478">
        <f>16589.25</f>
        <v>16589.25</v>
      </c>
      <c r="U64" s="478">
        <f>15776.32</f>
        <v>15776.32</v>
      </c>
      <c r="V64" s="478">
        <f>14510.39</f>
        <v>14510.39</v>
      </c>
      <c r="W64" s="478">
        <f t="shared" ref="W64:W121" si="101">((((((((((((((((((((B64)+(C64))+(D64))+(E64))+(F64))+(G64))+(H64))+(I64))+(J64))+(K64))+(L64))+(M64))+(N64))+(O64))+(P64))+(Q64))+(R64))+(S64))+(T64))+(U64))+(V64)</f>
        <v>205484.40999999997</v>
      </c>
      <c r="X64" s="478">
        <f t="shared" si="2"/>
        <v>117419.66285714284</v>
      </c>
      <c r="Y64" s="478">
        <f t="shared" si="3"/>
        <v>62970.149999999994</v>
      </c>
      <c r="Z64" s="478">
        <f t="shared" ref="Z64:Z69" si="102">SUM(K64:M64,N64:V64)</f>
        <v>158278.89000000001</v>
      </c>
      <c r="AA64" s="478">
        <f>Wages!C8</f>
        <v>192242.05600000001</v>
      </c>
      <c r="AB64" s="37" t="str">
        <f t="shared" si="65"/>
        <v/>
      </c>
      <c r="AC64" s="478">
        <f>Wages!C8/12</f>
        <v>16020.171333333334</v>
      </c>
      <c r="AD64" s="478">
        <f>AC64</f>
        <v>16020.171333333334</v>
      </c>
      <c r="AE64" s="478">
        <f t="shared" ref="AE64:AN64" si="103">AD64</f>
        <v>16020.171333333334</v>
      </c>
      <c r="AF64" s="478">
        <f t="shared" si="103"/>
        <v>16020.171333333334</v>
      </c>
      <c r="AG64" s="478">
        <f t="shared" si="103"/>
        <v>16020.171333333334</v>
      </c>
      <c r="AH64" s="478">
        <f t="shared" si="103"/>
        <v>16020.171333333334</v>
      </c>
      <c r="AI64" s="478">
        <f t="shared" si="103"/>
        <v>16020.171333333334</v>
      </c>
      <c r="AJ64" s="478">
        <f t="shared" si="103"/>
        <v>16020.171333333334</v>
      </c>
      <c r="AK64" s="478">
        <f t="shared" si="103"/>
        <v>16020.171333333334</v>
      </c>
      <c r="AL64" s="478">
        <f t="shared" si="103"/>
        <v>16020.171333333334</v>
      </c>
      <c r="AM64" s="478">
        <f t="shared" si="103"/>
        <v>16020.171333333334</v>
      </c>
      <c r="AN64" s="478">
        <f t="shared" si="103"/>
        <v>16020.171333333334</v>
      </c>
    </row>
    <row r="65" spans="1:40" x14ac:dyDescent="0.25">
      <c r="A65" s="474" t="s">
        <v>1208</v>
      </c>
      <c r="B65" s="479"/>
      <c r="C65" s="479"/>
      <c r="D65" s="479"/>
      <c r="E65" s="479"/>
      <c r="F65" s="479"/>
      <c r="G65" s="479"/>
      <c r="H65" s="479"/>
      <c r="I65" s="479"/>
      <c r="J65" s="479"/>
      <c r="K65" s="479"/>
      <c r="L65" s="479"/>
      <c r="M65" s="478">
        <f>1978.98</f>
        <v>1978.98</v>
      </c>
      <c r="N65" s="479"/>
      <c r="O65" s="479"/>
      <c r="P65" s="479"/>
      <c r="Q65" s="479"/>
      <c r="R65" s="479"/>
      <c r="S65" s="479"/>
      <c r="T65" s="479"/>
      <c r="U65" s="479"/>
      <c r="V65" s="479"/>
      <c r="W65" s="478">
        <f t="shared" si="101"/>
        <v>1978.98</v>
      </c>
      <c r="X65" s="478">
        <f t="shared" si="2"/>
        <v>1130.8457142857142</v>
      </c>
      <c r="Y65" s="478">
        <f t="shared" si="3"/>
        <v>1978.98</v>
      </c>
      <c r="Z65" s="478">
        <f t="shared" si="102"/>
        <v>1978.98</v>
      </c>
      <c r="AA65" s="478">
        <f>Wages!C10</f>
        <v>11054.523359999999</v>
      </c>
      <c r="AB65" s="37" t="str">
        <f t="shared" si="65"/>
        <v/>
      </c>
      <c r="AC65" s="478"/>
      <c r="AD65" s="478"/>
      <c r="AE65" s="478"/>
      <c r="AF65" s="478"/>
      <c r="AG65" s="478"/>
      <c r="AH65" s="478"/>
      <c r="AI65" s="478"/>
      <c r="AJ65" s="478"/>
      <c r="AK65" s="478"/>
      <c r="AL65" s="478"/>
      <c r="AM65" s="478"/>
      <c r="AN65" s="478">
        <f>AA65</f>
        <v>11054.523359999999</v>
      </c>
    </row>
    <row r="66" spans="1:40" x14ac:dyDescent="0.25">
      <c r="A66" s="476" t="s">
        <v>1191</v>
      </c>
      <c r="B66" s="478">
        <f t="shared" ref="B66:M66" si="104">9620.01</f>
        <v>9620.01</v>
      </c>
      <c r="C66" s="478">
        <f t="shared" si="104"/>
        <v>9620.01</v>
      </c>
      <c r="D66" s="478">
        <f t="shared" si="104"/>
        <v>9620.01</v>
      </c>
      <c r="E66" s="478">
        <f t="shared" si="104"/>
        <v>9620.01</v>
      </c>
      <c r="F66" s="478">
        <f t="shared" si="104"/>
        <v>9620.01</v>
      </c>
      <c r="G66" s="478">
        <f t="shared" si="104"/>
        <v>9620.01</v>
      </c>
      <c r="H66" s="478">
        <f t="shared" si="104"/>
        <v>9620.01</v>
      </c>
      <c r="I66" s="478">
        <f t="shared" si="104"/>
        <v>9620.01</v>
      </c>
      <c r="J66" s="478">
        <f t="shared" si="104"/>
        <v>9620.01</v>
      </c>
      <c r="K66" s="478">
        <f t="shared" si="104"/>
        <v>9620.01</v>
      </c>
      <c r="L66" s="478">
        <f t="shared" si="104"/>
        <v>9620.01</v>
      </c>
      <c r="M66" s="478">
        <f t="shared" si="104"/>
        <v>9620.01</v>
      </c>
      <c r="N66" s="479"/>
      <c r="O66" s="479"/>
      <c r="P66" s="479"/>
      <c r="Q66" s="479"/>
      <c r="R66" s="479"/>
      <c r="S66" s="479"/>
      <c r="T66" s="479"/>
      <c r="U66" s="479"/>
      <c r="V66" s="479"/>
      <c r="W66" s="478">
        <f t="shared" si="101"/>
        <v>115440.11999999998</v>
      </c>
      <c r="X66" s="478">
        <f t="shared" si="2"/>
        <v>65965.782857142854</v>
      </c>
      <c r="Y66" s="478">
        <f t="shared" si="3"/>
        <v>115440.11999999998</v>
      </c>
      <c r="Z66" s="478">
        <f t="shared" si="102"/>
        <v>28860.03</v>
      </c>
      <c r="AA66" s="481"/>
      <c r="AB66" s="37" t="str">
        <f t="shared" si="65"/>
        <v/>
      </c>
      <c r="AC66" s="478"/>
      <c r="AD66" s="478"/>
      <c r="AE66" s="478"/>
      <c r="AF66" s="478"/>
      <c r="AG66" s="478"/>
      <c r="AH66" s="478"/>
      <c r="AI66" s="478"/>
      <c r="AJ66" s="478"/>
      <c r="AK66" s="478"/>
      <c r="AL66" s="478"/>
      <c r="AM66" s="478"/>
      <c r="AN66" s="478"/>
    </row>
    <row r="67" spans="1:40" x14ac:dyDescent="0.25">
      <c r="A67" s="476" t="s">
        <v>1192</v>
      </c>
      <c r="B67" s="479"/>
      <c r="C67" s="479"/>
      <c r="D67" s="479"/>
      <c r="E67" s="479"/>
      <c r="F67" s="479"/>
      <c r="G67" s="479"/>
      <c r="H67" s="479"/>
      <c r="I67" s="479"/>
      <c r="J67" s="479"/>
      <c r="K67" s="479"/>
      <c r="L67" s="479"/>
      <c r="M67" s="478">
        <f>1624.25</f>
        <v>1624.25</v>
      </c>
      <c r="N67" s="479"/>
      <c r="O67" s="479"/>
      <c r="P67" s="479"/>
      <c r="Q67" s="479"/>
      <c r="R67" s="479"/>
      <c r="S67" s="479"/>
      <c r="T67" s="479"/>
      <c r="U67" s="479"/>
      <c r="V67" s="479"/>
      <c r="W67" s="478">
        <f t="shared" si="101"/>
        <v>1624.25</v>
      </c>
      <c r="X67" s="478">
        <f t="shared" si="2"/>
        <v>928.14285714285722</v>
      </c>
      <c r="Y67" s="478">
        <f t="shared" si="3"/>
        <v>1624.25</v>
      </c>
      <c r="Z67" s="478">
        <f t="shared" si="102"/>
        <v>1624.25</v>
      </c>
      <c r="AA67" s="481"/>
      <c r="AB67" s="37" t="str">
        <f t="shared" si="65"/>
        <v/>
      </c>
      <c r="AC67" s="478"/>
      <c r="AD67" s="478"/>
      <c r="AE67" s="478"/>
      <c r="AF67" s="478"/>
      <c r="AG67" s="478"/>
      <c r="AH67" s="478"/>
      <c r="AI67" s="478"/>
      <c r="AJ67" s="478"/>
      <c r="AK67" s="478"/>
      <c r="AL67" s="478"/>
      <c r="AM67" s="478"/>
      <c r="AN67" s="478"/>
    </row>
    <row r="68" spans="1:40" x14ac:dyDescent="0.25">
      <c r="A68" s="476" t="s">
        <v>1193</v>
      </c>
      <c r="B68" s="480">
        <f t="shared" ref="B68:V68" si="105">(B66)+(B67)</f>
        <v>9620.01</v>
      </c>
      <c r="C68" s="480">
        <f t="shared" si="105"/>
        <v>9620.01</v>
      </c>
      <c r="D68" s="480">
        <f t="shared" si="105"/>
        <v>9620.01</v>
      </c>
      <c r="E68" s="480">
        <f t="shared" si="105"/>
        <v>9620.01</v>
      </c>
      <c r="F68" s="480">
        <f t="shared" si="105"/>
        <v>9620.01</v>
      </c>
      <c r="G68" s="480">
        <f t="shared" si="105"/>
        <v>9620.01</v>
      </c>
      <c r="H68" s="480">
        <f t="shared" si="105"/>
        <v>9620.01</v>
      </c>
      <c r="I68" s="480">
        <f t="shared" si="105"/>
        <v>9620.01</v>
      </c>
      <c r="J68" s="480">
        <f t="shared" si="105"/>
        <v>9620.01</v>
      </c>
      <c r="K68" s="480">
        <f t="shared" si="105"/>
        <v>9620.01</v>
      </c>
      <c r="L68" s="480">
        <f t="shared" si="105"/>
        <v>9620.01</v>
      </c>
      <c r="M68" s="480">
        <f t="shared" si="105"/>
        <v>11244.26</v>
      </c>
      <c r="N68" s="480">
        <f t="shared" si="105"/>
        <v>0</v>
      </c>
      <c r="O68" s="480">
        <f t="shared" si="105"/>
        <v>0</v>
      </c>
      <c r="P68" s="480">
        <f t="shared" si="105"/>
        <v>0</v>
      </c>
      <c r="Q68" s="480">
        <f t="shared" si="105"/>
        <v>0</v>
      </c>
      <c r="R68" s="480">
        <f t="shared" si="105"/>
        <v>0</v>
      </c>
      <c r="S68" s="480">
        <f t="shared" si="105"/>
        <v>0</v>
      </c>
      <c r="T68" s="480">
        <f t="shared" si="105"/>
        <v>0</v>
      </c>
      <c r="U68" s="480">
        <f t="shared" si="105"/>
        <v>0</v>
      </c>
      <c r="V68" s="480">
        <f t="shared" si="105"/>
        <v>0</v>
      </c>
      <c r="W68" s="480">
        <f t="shared" si="101"/>
        <v>117064.36999999998</v>
      </c>
      <c r="X68" s="480">
        <f t="shared" si="2"/>
        <v>66893.925714285695</v>
      </c>
      <c r="Y68" s="480">
        <f t="shared" si="3"/>
        <v>117064.36999999998</v>
      </c>
      <c r="Z68" s="480">
        <f t="shared" si="102"/>
        <v>30484.28</v>
      </c>
      <c r="AA68" s="480">
        <f t="shared" ref="AA68" si="106">(AA66)+(AA67)</f>
        <v>0</v>
      </c>
      <c r="AB68" s="37" t="str">
        <f t="shared" si="65"/>
        <v/>
      </c>
      <c r="AC68" s="480"/>
      <c r="AD68" s="480"/>
      <c r="AE68" s="480"/>
      <c r="AF68" s="480"/>
      <c r="AG68" s="480"/>
      <c r="AH68" s="480"/>
      <c r="AI68" s="480"/>
      <c r="AJ68" s="480"/>
      <c r="AK68" s="480"/>
      <c r="AL68" s="480"/>
      <c r="AM68" s="480"/>
      <c r="AN68" s="480"/>
    </row>
    <row r="69" spans="1:40" x14ac:dyDescent="0.25">
      <c r="A69" s="476" t="s">
        <v>434</v>
      </c>
      <c r="B69" s="480">
        <f t="shared" ref="B69:V69" si="107">((B64)+(B65))+(B68)</f>
        <v>13044.01</v>
      </c>
      <c r="C69" s="480">
        <f t="shared" si="107"/>
        <v>15962.14</v>
      </c>
      <c r="D69" s="480">
        <f t="shared" si="107"/>
        <v>15173.14</v>
      </c>
      <c r="E69" s="480">
        <f t="shared" si="107"/>
        <v>14487.76</v>
      </c>
      <c r="F69" s="480">
        <f t="shared" si="107"/>
        <v>15422.51</v>
      </c>
      <c r="G69" s="480">
        <f t="shared" si="107"/>
        <v>14554.26</v>
      </c>
      <c r="H69" s="480">
        <f t="shared" si="107"/>
        <v>14238.39</v>
      </c>
      <c r="I69" s="480">
        <f t="shared" si="107"/>
        <v>15921.26</v>
      </c>
      <c r="J69" s="480">
        <f t="shared" si="107"/>
        <v>14982.14</v>
      </c>
      <c r="K69" s="480">
        <f t="shared" si="107"/>
        <v>15467.76</v>
      </c>
      <c r="L69" s="480">
        <f t="shared" si="107"/>
        <v>15177.51</v>
      </c>
      <c r="M69" s="480">
        <f t="shared" si="107"/>
        <v>17582.620000000003</v>
      </c>
      <c r="N69" s="480">
        <f t="shared" si="107"/>
        <v>15168.76</v>
      </c>
      <c r="O69" s="480">
        <f t="shared" si="107"/>
        <v>15210.01</v>
      </c>
      <c r="P69" s="480">
        <f t="shared" si="107"/>
        <v>15210.01</v>
      </c>
      <c r="Q69" s="480">
        <f t="shared" si="107"/>
        <v>17746.45</v>
      </c>
      <c r="R69" s="480">
        <f t="shared" si="107"/>
        <v>16483</v>
      </c>
      <c r="S69" s="480">
        <f t="shared" si="107"/>
        <v>15820.07</v>
      </c>
      <c r="T69" s="480">
        <f t="shared" si="107"/>
        <v>16589.25</v>
      </c>
      <c r="U69" s="480">
        <f t="shared" si="107"/>
        <v>15776.32</v>
      </c>
      <c r="V69" s="480">
        <f t="shared" si="107"/>
        <v>14510.39</v>
      </c>
      <c r="W69" s="480">
        <f t="shared" si="101"/>
        <v>324527.76000000007</v>
      </c>
      <c r="X69" s="480">
        <f t="shared" si="2"/>
        <v>185444.43428571432</v>
      </c>
      <c r="Y69" s="480">
        <f t="shared" si="3"/>
        <v>182013.5</v>
      </c>
      <c r="Z69" s="480">
        <f t="shared" si="102"/>
        <v>190742.15000000002</v>
      </c>
      <c r="AA69" s="480">
        <f t="shared" ref="AA69" si="108">((AA64)+(AA65))+(AA68)</f>
        <v>203296.57936</v>
      </c>
      <c r="AB69" s="37" t="str">
        <f t="shared" si="65"/>
        <v/>
      </c>
      <c r="AC69" s="480">
        <f>SUM(AC64:AC67)</f>
        <v>16020.171333333334</v>
      </c>
      <c r="AD69" s="480">
        <f t="shared" ref="AD69:AN69" si="109">SUM(AD64:AD67)</f>
        <v>16020.171333333334</v>
      </c>
      <c r="AE69" s="480">
        <f t="shared" si="109"/>
        <v>16020.171333333334</v>
      </c>
      <c r="AF69" s="480">
        <f t="shared" si="109"/>
        <v>16020.171333333334</v>
      </c>
      <c r="AG69" s="480">
        <f t="shared" si="109"/>
        <v>16020.171333333334</v>
      </c>
      <c r="AH69" s="480">
        <f t="shared" si="109"/>
        <v>16020.171333333334</v>
      </c>
      <c r="AI69" s="480">
        <f t="shared" si="109"/>
        <v>16020.171333333334</v>
      </c>
      <c r="AJ69" s="480">
        <f t="shared" si="109"/>
        <v>16020.171333333334</v>
      </c>
      <c r="AK69" s="480">
        <f t="shared" si="109"/>
        <v>16020.171333333334</v>
      </c>
      <c r="AL69" s="480">
        <f t="shared" si="109"/>
        <v>16020.171333333334</v>
      </c>
      <c r="AM69" s="480">
        <f t="shared" si="109"/>
        <v>16020.171333333334</v>
      </c>
      <c r="AN69" s="480">
        <f t="shared" si="109"/>
        <v>27074.694693333331</v>
      </c>
    </row>
    <row r="70" spans="1:40" x14ac:dyDescent="0.25">
      <c r="A70" s="476" t="s">
        <v>178</v>
      </c>
      <c r="B70" s="479"/>
      <c r="C70" s="479"/>
      <c r="D70" s="479"/>
      <c r="E70" s="479"/>
      <c r="F70" s="479"/>
      <c r="G70" s="479"/>
      <c r="H70" s="478">
        <f>167.4</f>
        <v>167.4</v>
      </c>
      <c r="I70" s="479"/>
      <c r="J70" s="479"/>
      <c r="K70" s="479"/>
      <c r="L70" s="479"/>
      <c r="M70" s="479"/>
      <c r="N70" s="479"/>
      <c r="O70" s="479"/>
      <c r="P70" s="479"/>
      <c r="Q70" s="479"/>
      <c r="R70" s="479"/>
      <c r="S70" s="479"/>
      <c r="T70" s="479"/>
      <c r="U70" s="479"/>
      <c r="V70" s="479"/>
      <c r="W70" s="478">
        <f t="shared" si="101"/>
        <v>167.4</v>
      </c>
      <c r="X70" s="478">
        <f t="shared" si="2"/>
        <v>95.657142857142858</v>
      </c>
      <c r="Y70" s="478">
        <f t="shared" si="3"/>
        <v>167.4</v>
      </c>
      <c r="Z70" s="478">
        <f t="shared" ref="Z70:Z89" si="110">SUM(K70:M70,N70:V70)</f>
        <v>0</v>
      </c>
      <c r="AA70" s="478">
        <v>100</v>
      </c>
      <c r="AB70" s="37" t="str">
        <f t="shared" si="65"/>
        <v/>
      </c>
      <c r="AC70" s="478"/>
      <c r="AD70" s="478">
        <v>100</v>
      </c>
      <c r="AE70" s="478"/>
      <c r="AF70" s="478"/>
      <c r="AG70" s="478"/>
      <c r="AH70" s="478"/>
      <c r="AI70" s="478"/>
      <c r="AJ70" s="478"/>
      <c r="AK70" s="478"/>
      <c r="AL70" s="478"/>
      <c r="AM70" s="478"/>
      <c r="AN70" s="478"/>
    </row>
    <row r="71" spans="1:40" x14ac:dyDescent="0.25">
      <c r="A71" s="476" t="s">
        <v>179</v>
      </c>
      <c r="B71" s="479"/>
      <c r="C71" s="479"/>
      <c r="D71" s="479"/>
      <c r="E71" s="479"/>
      <c r="F71" s="479"/>
      <c r="G71" s="479"/>
      <c r="H71" s="479"/>
      <c r="I71" s="478">
        <f>59.74</f>
        <v>59.74</v>
      </c>
      <c r="J71" s="479"/>
      <c r="K71" s="479"/>
      <c r="L71" s="479"/>
      <c r="M71" s="479"/>
      <c r="N71" s="479"/>
      <c r="O71" s="479"/>
      <c r="P71" s="479"/>
      <c r="Q71" s="479"/>
      <c r="R71" s="479"/>
      <c r="S71" s="479"/>
      <c r="T71" s="479"/>
      <c r="U71" s="479"/>
      <c r="V71" s="479"/>
      <c r="W71" s="478">
        <f t="shared" si="101"/>
        <v>59.74</v>
      </c>
      <c r="X71" s="478">
        <f t="shared" si="2"/>
        <v>34.137142857142862</v>
      </c>
      <c r="Y71" s="478">
        <f t="shared" si="3"/>
        <v>59.74</v>
      </c>
      <c r="Z71" s="478">
        <f t="shared" si="110"/>
        <v>0</v>
      </c>
      <c r="AA71" s="478">
        <v>0</v>
      </c>
      <c r="AB71" s="37" t="str">
        <f t="shared" si="65"/>
        <v/>
      </c>
      <c r="AC71" s="478"/>
      <c r="AD71" s="478"/>
      <c r="AE71" s="478"/>
      <c r="AF71" s="478"/>
      <c r="AG71" s="478"/>
      <c r="AH71" s="478"/>
      <c r="AI71" s="478"/>
      <c r="AJ71" s="478"/>
      <c r="AK71" s="478"/>
      <c r="AL71" s="478"/>
      <c r="AM71" s="478"/>
      <c r="AN71" s="478"/>
    </row>
    <row r="72" spans="1:40" x14ac:dyDescent="0.25">
      <c r="A72" s="476" t="s">
        <v>180</v>
      </c>
      <c r="B72" s="478">
        <f>0.75</f>
        <v>0.75</v>
      </c>
      <c r="C72" s="478">
        <f>0</f>
        <v>0</v>
      </c>
      <c r="D72" s="478">
        <f>0</f>
        <v>0</v>
      </c>
      <c r="E72" s="478">
        <f>0</f>
        <v>0</v>
      </c>
      <c r="F72" s="478">
        <f>145.65</f>
        <v>145.65</v>
      </c>
      <c r="G72" s="478">
        <f>0.75</f>
        <v>0.75</v>
      </c>
      <c r="H72" s="479"/>
      <c r="I72" s="478">
        <f>561.52</f>
        <v>561.52</v>
      </c>
      <c r="J72" s="478">
        <f>0.75</f>
        <v>0.75</v>
      </c>
      <c r="K72" s="478">
        <f>0.75</f>
        <v>0.75</v>
      </c>
      <c r="L72" s="478">
        <f>0.75</f>
        <v>0.75</v>
      </c>
      <c r="M72" s="478">
        <f>0.75</f>
        <v>0.75</v>
      </c>
      <c r="N72" s="478">
        <f>1.13</f>
        <v>1.1299999999999999</v>
      </c>
      <c r="O72" s="478">
        <f>1.13</f>
        <v>1.1299999999999999</v>
      </c>
      <c r="P72" s="478">
        <f>1.13</f>
        <v>1.1299999999999999</v>
      </c>
      <c r="Q72" s="478">
        <f>1.13</f>
        <v>1.1299999999999999</v>
      </c>
      <c r="R72" s="479"/>
      <c r="S72" s="479"/>
      <c r="T72" s="479"/>
      <c r="U72" s="479"/>
      <c r="V72" s="478">
        <f>0</f>
        <v>0</v>
      </c>
      <c r="W72" s="478">
        <f t="shared" si="101"/>
        <v>716.18999999999994</v>
      </c>
      <c r="X72" s="478">
        <f t="shared" si="2"/>
        <v>409.25142857142851</v>
      </c>
      <c r="Y72" s="478">
        <f t="shared" si="3"/>
        <v>711.67</v>
      </c>
      <c r="Z72" s="478">
        <f t="shared" si="110"/>
        <v>6.77</v>
      </c>
      <c r="AA72" s="478">
        <v>500</v>
      </c>
      <c r="AB72" s="37" t="str">
        <f t="shared" si="65"/>
        <v/>
      </c>
      <c r="AC72" s="478">
        <f t="shared" ref="AC72:AC84" si="111">N72/$Z72*$AA72</f>
        <v>83.456425406203834</v>
      </c>
      <c r="AD72" s="478">
        <f t="shared" ref="AD72:AD84" si="112">O72/$Z72*$AA72</f>
        <v>83.456425406203834</v>
      </c>
      <c r="AE72" s="478">
        <f t="shared" ref="AE72:AE84" si="113">P72/$Z72*$AA72</f>
        <v>83.456425406203834</v>
      </c>
      <c r="AF72" s="478">
        <f t="shared" ref="AF72:AF84" si="114">Q72/$Z72*$AA72</f>
        <v>83.456425406203834</v>
      </c>
      <c r="AG72" s="478">
        <f t="shared" ref="AG72:AG84" si="115">R72/$Z72*$AA72</f>
        <v>0</v>
      </c>
      <c r="AH72" s="478">
        <f t="shared" ref="AH72:AH84" si="116">S72/$Z72*$AA72</f>
        <v>0</v>
      </c>
      <c r="AI72" s="478">
        <f t="shared" ref="AI72:AI84" si="117">T72/$Z72*$AA72</f>
        <v>0</v>
      </c>
      <c r="AJ72" s="488">
        <f t="shared" ref="AJ72:AJ84" si="118">U72/$Z72*$AA72</f>
        <v>0</v>
      </c>
      <c r="AK72" s="478">
        <f t="shared" ref="AK72:AK84" si="119">V72/$Z72*$AA72</f>
        <v>0</v>
      </c>
      <c r="AL72" s="478">
        <f t="shared" ref="AL72:AL84" si="120">K72/$Z72*$AA72</f>
        <v>55.391432791728214</v>
      </c>
      <c r="AM72" s="478">
        <f t="shared" ref="AM72:AM84" si="121">L72/$Z72*$AA72</f>
        <v>55.391432791728214</v>
      </c>
      <c r="AN72" s="478">
        <f t="shared" ref="AN72:AN84" si="122">M72/$Z72*$AA72</f>
        <v>55.391432791728214</v>
      </c>
    </row>
    <row r="73" spans="1:40" x14ac:dyDescent="0.25">
      <c r="A73" s="476" t="s">
        <v>181</v>
      </c>
      <c r="B73" s="479"/>
      <c r="C73" s="479"/>
      <c r="D73" s="478">
        <f>10000</f>
        <v>10000</v>
      </c>
      <c r="E73" s="479"/>
      <c r="F73" s="479"/>
      <c r="G73" s="479"/>
      <c r="H73" s="479"/>
      <c r="I73" s="479"/>
      <c r="J73" s="479"/>
      <c r="K73" s="479"/>
      <c r="L73" s="479"/>
      <c r="M73" s="479"/>
      <c r="N73" s="479"/>
      <c r="O73" s="479"/>
      <c r="P73" s="479"/>
      <c r="Q73" s="479"/>
      <c r="R73" s="479"/>
      <c r="S73" s="479"/>
      <c r="T73" s="479"/>
      <c r="U73" s="479"/>
      <c r="V73" s="479"/>
      <c r="W73" s="478">
        <f t="shared" si="101"/>
        <v>10000</v>
      </c>
      <c r="X73" s="478">
        <f t="shared" ref="X73:X131" si="123">W73/21*12</f>
        <v>5714.2857142857147</v>
      </c>
      <c r="Y73" s="478">
        <f t="shared" ref="Y73:Y131" si="124">SUM(B73:M73)</f>
        <v>10000</v>
      </c>
      <c r="Z73" s="478">
        <f t="shared" si="110"/>
        <v>0</v>
      </c>
      <c r="AA73" s="478">
        <v>0</v>
      </c>
      <c r="AB73" s="37" t="str">
        <f t="shared" si="65"/>
        <v/>
      </c>
      <c r="AC73" s="478"/>
      <c r="AD73" s="478"/>
      <c r="AE73" s="478"/>
      <c r="AF73" s="478"/>
      <c r="AG73" s="478"/>
      <c r="AH73" s="478"/>
      <c r="AI73" s="478"/>
      <c r="AJ73" s="488"/>
      <c r="AK73" s="478"/>
      <c r="AL73" s="478"/>
      <c r="AM73" s="478"/>
      <c r="AN73" s="478"/>
    </row>
    <row r="74" spans="1:40" x14ac:dyDescent="0.25">
      <c r="A74" s="476" t="s">
        <v>636</v>
      </c>
      <c r="B74" s="479"/>
      <c r="C74" s="479"/>
      <c r="D74" s="479"/>
      <c r="E74" s="479"/>
      <c r="F74" s="479"/>
      <c r="G74" s="479"/>
      <c r="H74" s="479"/>
      <c r="I74" s="478">
        <f>249</f>
        <v>249</v>
      </c>
      <c r="J74" s="479"/>
      <c r="K74" s="479"/>
      <c r="L74" s="479"/>
      <c r="M74" s="479"/>
      <c r="N74" s="479"/>
      <c r="O74" s="479"/>
      <c r="P74" s="479"/>
      <c r="Q74" s="479"/>
      <c r="R74" s="479"/>
      <c r="S74" s="479"/>
      <c r="T74" s="479"/>
      <c r="U74" s="479"/>
      <c r="V74" s="479"/>
      <c r="W74" s="478">
        <f t="shared" si="101"/>
        <v>249</v>
      </c>
      <c r="X74" s="478">
        <f t="shared" si="123"/>
        <v>142.28571428571428</v>
      </c>
      <c r="Y74" s="478">
        <f t="shared" si="124"/>
        <v>249</v>
      </c>
      <c r="Z74" s="478">
        <f t="shared" si="110"/>
        <v>0</v>
      </c>
      <c r="AA74" s="478">
        <v>250</v>
      </c>
      <c r="AB74" s="37" t="str">
        <f t="shared" si="65"/>
        <v/>
      </c>
      <c r="AC74" s="478">
        <v>0</v>
      </c>
      <c r="AD74" s="478">
        <v>0</v>
      </c>
      <c r="AE74" s="478">
        <v>250</v>
      </c>
      <c r="AF74" s="478"/>
      <c r="AG74" s="478"/>
      <c r="AH74" s="478"/>
      <c r="AI74" s="478"/>
      <c r="AJ74" s="488"/>
      <c r="AK74" s="478"/>
      <c r="AL74" s="478"/>
      <c r="AM74" s="478"/>
      <c r="AN74" s="478"/>
    </row>
    <row r="75" spans="1:40" x14ac:dyDescent="0.25">
      <c r="A75" s="476" t="s">
        <v>1194</v>
      </c>
      <c r="B75" s="479"/>
      <c r="C75" s="479"/>
      <c r="D75" s="479"/>
      <c r="E75" s="479"/>
      <c r="F75" s="479"/>
      <c r="G75" s="479"/>
      <c r="H75" s="479"/>
      <c r="I75" s="479"/>
      <c r="J75" s="479"/>
      <c r="K75" s="479"/>
      <c r="L75" s="478">
        <f>381.25</f>
        <v>381.25</v>
      </c>
      <c r="M75" s="479"/>
      <c r="N75" s="478">
        <f>512.5</f>
        <v>512.5</v>
      </c>
      <c r="O75" s="478">
        <f>200</f>
        <v>200</v>
      </c>
      <c r="P75" s="479"/>
      <c r="Q75" s="479"/>
      <c r="R75" s="479"/>
      <c r="S75" s="479"/>
      <c r="T75" s="479"/>
      <c r="U75" s="479"/>
      <c r="V75" s="479"/>
      <c r="W75" s="478">
        <f t="shared" si="101"/>
        <v>1093.75</v>
      </c>
      <c r="X75" s="478">
        <f t="shared" si="123"/>
        <v>625</v>
      </c>
      <c r="Y75" s="478">
        <f t="shared" si="124"/>
        <v>381.25</v>
      </c>
      <c r="Z75" s="478">
        <f t="shared" si="110"/>
        <v>1093.75</v>
      </c>
      <c r="AA75" s="478">
        <v>750</v>
      </c>
      <c r="AB75" s="37" t="str">
        <f t="shared" si="65"/>
        <v/>
      </c>
      <c r="AC75" s="478">
        <f t="shared" si="111"/>
        <v>351.42857142857144</v>
      </c>
      <c r="AD75" s="478">
        <f t="shared" si="112"/>
        <v>137.14285714285714</v>
      </c>
      <c r="AE75" s="478">
        <f t="shared" si="113"/>
        <v>0</v>
      </c>
      <c r="AF75" s="478">
        <f t="shared" si="114"/>
        <v>0</v>
      </c>
      <c r="AG75" s="478">
        <f t="shared" si="115"/>
        <v>0</v>
      </c>
      <c r="AH75" s="478">
        <f t="shared" si="116"/>
        <v>0</v>
      </c>
      <c r="AI75" s="478">
        <f t="shared" si="117"/>
        <v>0</v>
      </c>
      <c r="AJ75" s="488">
        <f t="shared" si="118"/>
        <v>0</v>
      </c>
      <c r="AK75" s="478">
        <f t="shared" si="119"/>
        <v>0</v>
      </c>
      <c r="AL75" s="478">
        <f t="shared" si="120"/>
        <v>0</v>
      </c>
      <c r="AM75" s="478">
        <f t="shared" si="121"/>
        <v>261.42857142857144</v>
      </c>
      <c r="AN75" s="478">
        <f t="shared" si="122"/>
        <v>0</v>
      </c>
    </row>
    <row r="76" spans="1:40" x14ac:dyDescent="0.25">
      <c r="A76" s="476" t="s">
        <v>183</v>
      </c>
      <c r="B76" s="479"/>
      <c r="C76" s="478">
        <f>30</f>
        <v>30</v>
      </c>
      <c r="D76" s="478">
        <f>211.35</f>
        <v>211.35</v>
      </c>
      <c r="E76" s="479"/>
      <c r="F76" s="478">
        <f>14.35</f>
        <v>14.35</v>
      </c>
      <c r="G76" s="478">
        <f>15.39</f>
        <v>15.39</v>
      </c>
      <c r="H76" s="478">
        <f>13.59</f>
        <v>13.59</v>
      </c>
      <c r="I76" s="479"/>
      <c r="J76" s="479"/>
      <c r="K76" s="478">
        <f>7.35</f>
        <v>7.35</v>
      </c>
      <c r="L76" s="478">
        <f>64.45</f>
        <v>64.45</v>
      </c>
      <c r="M76" s="479"/>
      <c r="N76" s="479"/>
      <c r="O76" s="478">
        <f>7.75</f>
        <v>7.75</v>
      </c>
      <c r="P76" s="478">
        <f>54.75</f>
        <v>54.75</v>
      </c>
      <c r="Q76" s="478">
        <f>248</f>
        <v>248</v>
      </c>
      <c r="R76" s="479"/>
      <c r="S76" s="479"/>
      <c r="T76" s="479"/>
      <c r="U76" s="479"/>
      <c r="V76" s="478">
        <f>15.5</f>
        <v>15.5</v>
      </c>
      <c r="W76" s="478">
        <f t="shared" si="101"/>
        <v>682.48</v>
      </c>
      <c r="X76" s="478">
        <f t="shared" si="123"/>
        <v>389.9885714285715</v>
      </c>
      <c r="Y76" s="478">
        <f t="shared" si="124"/>
        <v>356.47999999999996</v>
      </c>
      <c r="Z76" s="478">
        <f t="shared" si="110"/>
        <v>397.8</v>
      </c>
      <c r="AA76" s="478">
        <v>400</v>
      </c>
      <c r="AB76" s="37" t="str">
        <f t="shared" si="65"/>
        <v/>
      </c>
      <c r="AC76" s="478">
        <f t="shared" si="111"/>
        <v>0</v>
      </c>
      <c r="AD76" s="478">
        <f t="shared" si="112"/>
        <v>7.7928607340372045</v>
      </c>
      <c r="AE76" s="478">
        <f t="shared" si="113"/>
        <v>55.05279034690799</v>
      </c>
      <c r="AF76" s="478">
        <f t="shared" si="114"/>
        <v>249.37154348919054</v>
      </c>
      <c r="AG76" s="478">
        <f t="shared" si="115"/>
        <v>0</v>
      </c>
      <c r="AH76" s="478">
        <f t="shared" si="116"/>
        <v>0</v>
      </c>
      <c r="AI76" s="478">
        <f t="shared" si="117"/>
        <v>0</v>
      </c>
      <c r="AJ76" s="488">
        <f t="shared" si="118"/>
        <v>0</v>
      </c>
      <c r="AK76" s="478">
        <f t="shared" si="119"/>
        <v>15.585721468074409</v>
      </c>
      <c r="AL76" s="478">
        <f t="shared" si="120"/>
        <v>7.3906485671191557</v>
      </c>
      <c r="AM76" s="478">
        <f t="shared" si="121"/>
        <v>64.806435394670686</v>
      </c>
      <c r="AN76" s="478">
        <f t="shared" si="122"/>
        <v>0</v>
      </c>
    </row>
    <row r="77" spans="1:40" x14ac:dyDescent="0.25">
      <c r="A77" s="476" t="s">
        <v>1195</v>
      </c>
      <c r="B77" s="479"/>
      <c r="C77" s="479"/>
      <c r="D77" s="479"/>
      <c r="E77" s="479"/>
      <c r="F77" s="479"/>
      <c r="G77" s="479"/>
      <c r="H77" s="479"/>
      <c r="I77" s="479"/>
      <c r="J77" s="479"/>
      <c r="K77" s="479"/>
      <c r="L77" s="479"/>
      <c r="M77" s="479"/>
      <c r="N77" s="479"/>
      <c r="O77" s="479"/>
      <c r="P77" s="479"/>
      <c r="Q77" s="478">
        <f>102</f>
        <v>102</v>
      </c>
      <c r="R77" s="479"/>
      <c r="S77" s="478">
        <f>69</f>
        <v>69</v>
      </c>
      <c r="T77" s="479"/>
      <c r="U77" s="479"/>
      <c r="V77" s="479"/>
      <c r="W77" s="478">
        <f t="shared" si="101"/>
        <v>171</v>
      </c>
      <c r="X77" s="478">
        <f t="shared" si="123"/>
        <v>97.714285714285708</v>
      </c>
      <c r="Y77" s="478">
        <f t="shared" si="124"/>
        <v>0</v>
      </c>
      <c r="Z77" s="478">
        <f t="shared" si="110"/>
        <v>171</v>
      </c>
      <c r="AA77" s="478">
        <v>110</v>
      </c>
      <c r="AB77" s="37" t="str">
        <f t="shared" si="65"/>
        <v/>
      </c>
      <c r="AC77" s="478">
        <f t="shared" si="111"/>
        <v>0</v>
      </c>
      <c r="AD77" s="478">
        <f t="shared" si="112"/>
        <v>0</v>
      </c>
      <c r="AE77" s="478">
        <f t="shared" si="113"/>
        <v>0</v>
      </c>
      <c r="AF77" s="478">
        <f t="shared" si="114"/>
        <v>65.614035087719301</v>
      </c>
      <c r="AG77" s="478">
        <f t="shared" si="115"/>
        <v>0</v>
      </c>
      <c r="AH77" s="478">
        <f t="shared" si="116"/>
        <v>44.385964912280699</v>
      </c>
      <c r="AI77" s="478">
        <f t="shared" si="117"/>
        <v>0</v>
      </c>
      <c r="AJ77" s="488">
        <f t="shared" si="118"/>
        <v>0</v>
      </c>
      <c r="AK77" s="478">
        <f t="shared" si="119"/>
        <v>0</v>
      </c>
      <c r="AL77" s="478">
        <f t="shared" si="120"/>
        <v>0</v>
      </c>
      <c r="AM77" s="478">
        <f t="shared" si="121"/>
        <v>0</v>
      </c>
      <c r="AN77" s="478">
        <f t="shared" si="122"/>
        <v>0</v>
      </c>
    </row>
    <row r="78" spans="1:40" x14ac:dyDescent="0.25">
      <c r="A78" s="476" t="s">
        <v>219</v>
      </c>
      <c r="B78" s="478">
        <f>1128.22</f>
        <v>1128.22</v>
      </c>
      <c r="C78" s="478">
        <f>587.38</f>
        <v>587.38</v>
      </c>
      <c r="D78" s="478">
        <f>283.64</f>
        <v>283.64</v>
      </c>
      <c r="E78" s="478">
        <f>310.71</f>
        <v>310.70999999999998</v>
      </c>
      <c r="F78" s="478">
        <f>288.77</f>
        <v>288.77</v>
      </c>
      <c r="G78" s="478">
        <f>372.62</f>
        <v>372.62</v>
      </c>
      <c r="H78" s="478">
        <f>254.49</f>
        <v>254.49</v>
      </c>
      <c r="I78" s="478">
        <f>325.36</f>
        <v>325.36</v>
      </c>
      <c r="J78" s="478">
        <f>241.02</f>
        <v>241.02</v>
      </c>
      <c r="K78" s="478">
        <f>363.06</f>
        <v>363.06</v>
      </c>
      <c r="L78" s="478">
        <f>708.66</f>
        <v>708.66</v>
      </c>
      <c r="M78" s="478">
        <f>288.68</f>
        <v>288.68</v>
      </c>
      <c r="N78" s="478">
        <f>1647.84</f>
        <v>1647.84</v>
      </c>
      <c r="O78" s="478">
        <f>495</f>
        <v>495</v>
      </c>
      <c r="P78" s="478">
        <f>282.56</f>
        <v>282.56</v>
      </c>
      <c r="Q78" s="478">
        <f>255.34</f>
        <v>255.34</v>
      </c>
      <c r="R78" s="478">
        <f>303.03</f>
        <v>303.02999999999997</v>
      </c>
      <c r="S78" s="478">
        <f>375.2</f>
        <v>375.2</v>
      </c>
      <c r="T78" s="478">
        <f>366.83</f>
        <v>366.83</v>
      </c>
      <c r="U78" s="478">
        <f>306.11</f>
        <v>306.11</v>
      </c>
      <c r="V78" s="478">
        <f>381.05</f>
        <v>381.05</v>
      </c>
      <c r="W78" s="478">
        <f t="shared" si="101"/>
        <v>9565.5700000000015</v>
      </c>
      <c r="X78" s="478">
        <f t="shared" si="123"/>
        <v>5466.0400000000009</v>
      </c>
      <c r="Y78" s="478">
        <f t="shared" si="124"/>
        <v>5152.6100000000006</v>
      </c>
      <c r="Z78" s="478">
        <f t="shared" si="110"/>
        <v>5773.36</v>
      </c>
      <c r="AA78" s="478">
        <v>5400</v>
      </c>
      <c r="AB78" s="37" t="str">
        <f t="shared" si="65"/>
        <v/>
      </c>
      <c r="AC78" s="478">
        <f t="shared" si="111"/>
        <v>1541.2750980364985</v>
      </c>
      <c r="AD78" s="478">
        <f t="shared" si="112"/>
        <v>462.98862360912887</v>
      </c>
      <c r="AE78" s="478">
        <f t="shared" si="113"/>
        <v>264.28700098382922</v>
      </c>
      <c r="AF78" s="478">
        <f t="shared" si="114"/>
        <v>238.82730333809081</v>
      </c>
      <c r="AG78" s="478">
        <f t="shared" si="115"/>
        <v>283.43321739853394</v>
      </c>
      <c r="AH78" s="478">
        <f t="shared" si="116"/>
        <v>350.93602339019219</v>
      </c>
      <c r="AI78" s="478">
        <f t="shared" si="117"/>
        <v>343.10730666371057</v>
      </c>
      <c r="AJ78" s="488">
        <f t="shared" si="118"/>
        <v>286.31403550099077</v>
      </c>
      <c r="AK78" s="478">
        <f t="shared" si="119"/>
        <v>356.40770712375468</v>
      </c>
      <c r="AL78" s="478">
        <f t="shared" si="120"/>
        <v>339.58111047985926</v>
      </c>
      <c r="AM78" s="478">
        <f t="shared" si="121"/>
        <v>662.8313495087782</v>
      </c>
      <c r="AN78" s="478">
        <f t="shared" si="122"/>
        <v>270.011223966633</v>
      </c>
    </row>
    <row r="79" spans="1:40" x14ac:dyDescent="0.25">
      <c r="A79" s="476" t="s">
        <v>184</v>
      </c>
      <c r="B79" s="479"/>
      <c r="C79" s="478">
        <f>41.91</f>
        <v>41.91</v>
      </c>
      <c r="D79" s="478">
        <f>202.58</f>
        <v>202.58</v>
      </c>
      <c r="E79" s="479"/>
      <c r="F79" s="479"/>
      <c r="G79" s="478">
        <f>269.87</f>
        <v>269.87</v>
      </c>
      <c r="H79" s="479"/>
      <c r="I79" s="479"/>
      <c r="J79" s="479"/>
      <c r="K79" s="479"/>
      <c r="L79" s="478">
        <f>24.58</f>
        <v>24.58</v>
      </c>
      <c r="M79" s="479"/>
      <c r="N79" s="479"/>
      <c r="O79" s="478">
        <f>605.07</f>
        <v>605.07000000000005</v>
      </c>
      <c r="P79" s="478">
        <f>202.26</f>
        <v>202.26</v>
      </c>
      <c r="Q79" s="478">
        <f>234.88</f>
        <v>234.88</v>
      </c>
      <c r="R79" s="479"/>
      <c r="S79" s="479"/>
      <c r="T79" s="478">
        <f>159.27</f>
        <v>159.27000000000001</v>
      </c>
      <c r="U79" s="479"/>
      <c r="V79" s="479"/>
      <c r="W79" s="478">
        <f t="shared" si="101"/>
        <v>1740.42</v>
      </c>
      <c r="X79" s="478">
        <f t="shared" si="123"/>
        <v>994.52571428571423</v>
      </c>
      <c r="Y79" s="478">
        <f t="shared" si="124"/>
        <v>538.94000000000005</v>
      </c>
      <c r="Z79" s="478">
        <f t="shared" si="110"/>
        <v>1226.06</v>
      </c>
      <c r="AA79" s="478">
        <v>1200</v>
      </c>
      <c r="AB79" s="37" t="str">
        <f t="shared" si="65"/>
        <v/>
      </c>
      <c r="AC79" s="478">
        <f t="shared" si="111"/>
        <v>0</v>
      </c>
      <c r="AD79" s="478">
        <f t="shared" si="112"/>
        <v>592.20919041482477</v>
      </c>
      <c r="AE79" s="478">
        <f t="shared" si="113"/>
        <v>197.96094807758186</v>
      </c>
      <c r="AF79" s="478">
        <f t="shared" si="114"/>
        <v>229.88760745803631</v>
      </c>
      <c r="AG79" s="478">
        <f t="shared" si="115"/>
        <v>0</v>
      </c>
      <c r="AH79" s="478">
        <f t="shared" si="116"/>
        <v>0</v>
      </c>
      <c r="AI79" s="478">
        <f t="shared" si="117"/>
        <v>155.88470384809881</v>
      </c>
      <c r="AJ79" s="488">
        <f t="shared" si="118"/>
        <v>0</v>
      </c>
      <c r="AK79" s="478">
        <f t="shared" si="119"/>
        <v>0</v>
      </c>
      <c r="AL79" s="478">
        <f t="shared" si="120"/>
        <v>0</v>
      </c>
      <c r="AM79" s="478">
        <f t="shared" si="121"/>
        <v>24.05755020145833</v>
      </c>
      <c r="AN79" s="478">
        <f t="shared" si="122"/>
        <v>0</v>
      </c>
    </row>
    <row r="80" spans="1:40" x14ac:dyDescent="0.25">
      <c r="A80" s="476" t="s">
        <v>185</v>
      </c>
      <c r="B80" s="479"/>
      <c r="C80" s="479"/>
      <c r="D80" s="478">
        <f>182.33</f>
        <v>182.33</v>
      </c>
      <c r="E80" s="479"/>
      <c r="F80" s="479"/>
      <c r="G80" s="479"/>
      <c r="H80" s="479"/>
      <c r="I80" s="479"/>
      <c r="J80" s="479"/>
      <c r="K80" s="479"/>
      <c r="L80" s="479"/>
      <c r="M80" s="479"/>
      <c r="N80" s="479"/>
      <c r="O80" s="479"/>
      <c r="P80" s="479"/>
      <c r="Q80" s="479"/>
      <c r="R80" s="478">
        <f>175.51</f>
        <v>175.51</v>
      </c>
      <c r="S80" s="479"/>
      <c r="T80" s="479"/>
      <c r="U80" s="479"/>
      <c r="V80" s="479"/>
      <c r="W80" s="478">
        <f t="shared" si="101"/>
        <v>357.84000000000003</v>
      </c>
      <c r="X80" s="478">
        <f t="shared" si="123"/>
        <v>204.48000000000002</v>
      </c>
      <c r="Y80" s="478">
        <f t="shared" si="124"/>
        <v>182.33</v>
      </c>
      <c r="Z80" s="478">
        <f t="shared" si="110"/>
        <v>175.51</v>
      </c>
      <c r="AA80" s="478">
        <v>190</v>
      </c>
      <c r="AB80" s="37" t="str">
        <f t="shared" si="65"/>
        <v/>
      </c>
      <c r="AC80" s="478">
        <f t="shared" si="111"/>
        <v>0</v>
      </c>
      <c r="AD80" s="478">
        <f t="shared" si="112"/>
        <v>0</v>
      </c>
      <c r="AE80" s="478">
        <f t="shared" si="113"/>
        <v>0</v>
      </c>
      <c r="AF80" s="478">
        <f t="shared" si="114"/>
        <v>0</v>
      </c>
      <c r="AG80" s="478">
        <f t="shared" si="115"/>
        <v>190</v>
      </c>
      <c r="AH80" s="478">
        <f t="shared" si="116"/>
        <v>0</v>
      </c>
      <c r="AI80" s="478">
        <f t="shared" si="117"/>
        <v>0</v>
      </c>
      <c r="AJ80" s="488">
        <f t="shared" si="118"/>
        <v>0</v>
      </c>
      <c r="AK80" s="478">
        <f t="shared" si="119"/>
        <v>0</v>
      </c>
      <c r="AL80" s="478">
        <f t="shared" si="120"/>
        <v>0</v>
      </c>
      <c r="AM80" s="478">
        <f t="shared" si="121"/>
        <v>0</v>
      </c>
      <c r="AN80" s="478">
        <f t="shared" si="122"/>
        <v>0</v>
      </c>
    </row>
    <row r="81" spans="1:40" x14ac:dyDescent="0.25">
      <c r="A81" s="476" t="s">
        <v>187</v>
      </c>
      <c r="B81" s="479"/>
      <c r="C81" s="479"/>
      <c r="D81" s="479"/>
      <c r="E81" s="479"/>
      <c r="F81" s="478">
        <f>24.93</f>
        <v>24.93</v>
      </c>
      <c r="G81" s="479"/>
      <c r="H81" s="479"/>
      <c r="I81" s="479"/>
      <c r="J81" s="479"/>
      <c r="K81" s="479"/>
      <c r="L81" s="479"/>
      <c r="M81" s="479"/>
      <c r="N81" s="479"/>
      <c r="O81" s="479"/>
      <c r="P81" s="479"/>
      <c r="Q81" s="479"/>
      <c r="R81" s="479"/>
      <c r="S81" s="478">
        <f>134.41</f>
        <v>134.41</v>
      </c>
      <c r="T81" s="479"/>
      <c r="U81" s="479"/>
      <c r="V81" s="479"/>
      <c r="W81" s="478">
        <f t="shared" si="101"/>
        <v>159.34</v>
      </c>
      <c r="X81" s="478">
        <f t="shared" si="123"/>
        <v>91.051428571428573</v>
      </c>
      <c r="Y81" s="478">
        <f t="shared" si="124"/>
        <v>24.93</v>
      </c>
      <c r="Z81" s="478">
        <f t="shared" si="110"/>
        <v>134.41</v>
      </c>
      <c r="AA81" s="478">
        <v>100</v>
      </c>
      <c r="AB81" s="37" t="str">
        <f t="shared" si="65"/>
        <v/>
      </c>
      <c r="AC81" s="478">
        <f t="shared" si="111"/>
        <v>0</v>
      </c>
      <c r="AD81" s="478">
        <f t="shared" si="112"/>
        <v>0</v>
      </c>
      <c r="AE81" s="478">
        <f t="shared" si="113"/>
        <v>0</v>
      </c>
      <c r="AF81" s="478">
        <f t="shared" si="114"/>
        <v>0</v>
      </c>
      <c r="AG81" s="478">
        <f t="shared" si="115"/>
        <v>0</v>
      </c>
      <c r="AH81" s="478">
        <f t="shared" si="116"/>
        <v>100</v>
      </c>
      <c r="AI81" s="478">
        <f t="shared" si="117"/>
        <v>0</v>
      </c>
      <c r="AJ81" s="488">
        <f t="shared" si="118"/>
        <v>0</v>
      </c>
      <c r="AK81" s="478">
        <f t="shared" si="119"/>
        <v>0</v>
      </c>
      <c r="AL81" s="478">
        <f t="shared" si="120"/>
        <v>0</v>
      </c>
      <c r="AM81" s="478">
        <f t="shared" si="121"/>
        <v>0</v>
      </c>
      <c r="AN81" s="478">
        <f t="shared" si="122"/>
        <v>0</v>
      </c>
    </row>
    <row r="82" spans="1:40" x14ac:dyDescent="0.25">
      <c r="A82" s="476" t="s">
        <v>640</v>
      </c>
      <c r="B82" s="479"/>
      <c r="C82" s="479"/>
      <c r="D82" s="479"/>
      <c r="E82" s="479"/>
      <c r="F82" s="479"/>
      <c r="G82" s="479"/>
      <c r="H82" s="479"/>
      <c r="I82" s="478">
        <f>1398.65</f>
        <v>1398.65</v>
      </c>
      <c r="J82" s="478">
        <f>4504.77</f>
        <v>4504.7700000000004</v>
      </c>
      <c r="K82" s="478">
        <f>13824.22</f>
        <v>13824.22</v>
      </c>
      <c r="L82" s="478">
        <f>200</f>
        <v>200</v>
      </c>
      <c r="M82" s="479"/>
      <c r="N82" s="478">
        <f>368.78</f>
        <v>368.78</v>
      </c>
      <c r="O82" s="479"/>
      <c r="P82" s="479"/>
      <c r="Q82" s="479"/>
      <c r="R82" s="479"/>
      <c r="S82" s="479"/>
      <c r="T82" s="479"/>
      <c r="U82" s="479"/>
      <c r="V82" s="478">
        <f>699</f>
        <v>699</v>
      </c>
      <c r="W82" s="478">
        <f t="shared" si="101"/>
        <v>20995.42</v>
      </c>
      <c r="X82" s="478">
        <f t="shared" si="123"/>
        <v>11997.382857142857</v>
      </c>
      <c r="Y82" s="478">
        <f t="shared" si="124"/>
        <v>19927.64</v>
      </c>
      <c r="Z82" s="478">
        <f t="shared" si="110"/>
        <v>15092</v>
      </c>
      <c r="AA82" s="478">
        <v>15000</v>
      </c>
      <c r="AB82" s="37" t="str">
        <f t="shared" si="65"/>
        <v/>
      </c>
      <c r="AC82" s="478">
        <f t="shared" si="111"/>
        <v>366.53193745030478</v>
      </c>
      <c r="AD82" s="478">
        <f t="shared" si="112"/>
        <v>0</v>
      </c>
      <c r="AE82" s="478">
        <f t="shared" si="113"/>
        <v>0</v>
      </c>
      <c r="AF82" s="478">
        <f t="shared" si="114"/>
        <v>0</v>
      </c>
      <c r="AG82" s="478">
        <f t="shared" si="115"/>
        <v>0</v>
      </c>
      <c r="AH82" s="478">
        <f t="shared" si="116"/>
        <v>0</v>
      </c>
      <c r="AI82" s="478">
        <f t="shared" si="117"/>
        <v>0</v>
      </c>
      <c r="AJ82" s="488">
        <f t="shared" si="118"/>
        <v>0</v>
      </c>
      <c r="AK82" s="478">
        <f t="shared" si="119"/>
        <v>694.73893453485289</v>
      </c>
      <c r="AL82" s="478">
        <f t="shared" si="120"/>
        <v>13739.948316989134</v>
      </c>
      <c r="AM82" s="478">
        <f t="shared" si="121"/>
        <v>198.780811025709</v>
      </c>
      <c r="AN82" s="478">
        <f t="shared" si="122"/>
        <v>0</v>
      </c>
    </row>
    <row r="83" spans="1:40" x14ac:dyDescent="0.25">
      <c r="A83" s="476" t="s">
        <v>642</v>
      </c>
      <c r="B83" s="478">
        <f>75.95</f>
        <v>75.95</v>
      </c>
      <c r="C83" s="478">
        <f>274.32</f>
        <v>274.32</v>
      </c>
      <c r="D83" s="479"/>
      <c r="E83" s="479"/>
      <c r="F83" s="479"/>
      <c r="G83" s="479"/>
      <c r="H83" s="479"/>
      <c r="I83" s="479"/>
      <c r="J83" s="479"/>
      <c r="K83" s="479"/>
      <c r="L83" s="479"/>
      <c r="M83" s="479"/>
      <c r="N83" s="479"/>
      <c r="O83" s="479"/>
      <c r="P83" s="479"/>
      <c r="Q83" s="479"/>
      <c r="R83" s="479"/>
      <c r="S83" s="478">
        <f>111.4</f>
        <v>111.4</v>
      </c>
      <c r="T83" s="479"/>
      <c r="U83" s="479"/>
      <c r="V83" s="479"/>
      <c r="W83" s="478">
        <f t="shared" si="101"/>
        <v>461.66999999999996</v>
      </c>
      <c r="X83" s="478">
        <f t="shared" si="123"/>
        <v>263.81142857142856</v>
      </c>
      <c r="Y83" s="478">
        <f t="shared" si="124"/>
        <v>350.27</v>
      </c>
      <c r="Z83" s="478">
        <f t="shared" si="110"/>
        <v>111.4</v>
      </c>
      <c r="AA83" s="478">
        <v>250</v>
      </c>
      <c r="AB83" s="37" t="str">
        <f t="shared" si="65"/>
        <v/>
      </c>
      <c r="AC83" s="478">
        <f t="shared" si="111"/>
        <v>0</v>
      </c>
      <c r="AD83" s="478">
        <f t="shared" si="112"/>
        <v>0</v>
      </c>
      <c r="AE83" s="478">
        <f t="shared" si="113"/>
        <v>0</v>
      </c>
      <c r="AF83" s="478">
        <f t="shared" si="114"/>
        <v>0</v>
      </c>
      <c r="AG83" s="478">
        <f t="shared" si="115"/>
        <v>0</v>
      </c>
      <c r="AH83" s="478">
        <f t="shared" si="116"/>
        <v>250</v>
      </c>
      <c r="AI83" s="478">
        <f t="shared" si="117"/>
        <v>0</v>
      </c>
      <c r="AJ83" s="488">
        <f t="shared" si="118"/>
        <v>0</v>
      </c>
      <c r="AK83" s="478">
        <f t="shared" si="119"/>
        <v>0</v>
      </c>
      <c r="AL83" s="478">
        <f t="shared" si="120"/>
        <v>0</v>
      </c>
      <c r="AM83" s="478">
        <f t="shared" si="121"/>
        <v>0</v>
      </c>
      <c r="AN83" s="478">
        <f t="shared" si="122"/>
        <v>0</v>
      </c>
    </row>
    <row r="84" spans="1:40" x14ac:dyDescent="0.25">
      <c r="A84" s="476" t="s">
        <v>193</v>
      </c>
      <c r="B84" s="478">
        <f>76</f>
        <v>76</v>
      </c>
      <c r="C84" s="478">
        <f>80</f>
        <v>80</v>
      </c>
      <c r="D84" s="478">
        <f>80</f>
        <v>80</v>
      </c>
      <c r="E84" s="479"/>
      <c r="F84" s="478">
        <f>80</f>
        <v>80</v>
      </c>
      <c r="G84" s="478">
        <f>80</f>
        <v>80</v>
      </c>
      <c r="H84" s="478">
        <f>80</f>
        <v>80</v>
      </c>
      <c r="I84" s="478">
        <f>80</f>
        <v>80</v>
      </c>
      <c r="J84" s="478">
        <f>80</f>
        <v>80</v>
      </c>
      <c r="K84" s="478">
        <f>80</f>
        <v>80</v>
      </c>
      <c r="L84" s="478">
        <f>150</f>
        <v>150</v>
      </c>
      <c r="M84" s="478">
        <f>80</f>
        <v>80</v>
      </c>
      <c r="N84" s="478">
        <f>304</f>
        <v>304</v>
      </c>
      <c r="O84" s="478">
        <f>80</f>
        <v>80</v>
      </c>
      <c r="P84" s="478">
        <f>80</f>
        <v>80</v>
      </c>
      <c r="Q84" s="478">
        <f>104.5</f>
        <v>104.5</v>
      </c>
      <c r="R84" s="478">
        <f>80</f>
        <v>80</v>
      </c>
      <c r="S84" s="478">
        <f>227.08</f>
        <v>227.08</v>
      </c>
      <c r="T84" s="478">
        <f>414.88</f>
        <v>414.88</v>
      </c>
      <c r="U84" s="478">
        <f>373.54</f>
        <v>373.54</v>
      </c>
      <c r="V84" s="478">
        <f>414.9</f>
        <v>414.9</v>
      </c>
      <c r="W84" s="478">
        <f t="shared" si="101"/>
        <v>3024.9</v>
      </c>
      <c r="X84" s="478">
        <f t="shared" si="123"/>
        <v>1728.5142857142857</v>
      </c>
      <c r="Y84" s="478">
        <f t="shared" si="124"/>
        <v>946</v>
      </c>
      <c r="Z84" s="478">
        <f t="shared" si="110"/>
        <v>2388.9</v>
      </c>
      <c r="AA84" s="478">
        <v>2500</v>
      </c>
      <c r="AB84" s="37" t="str">
        <f t="shared" si="65"/>
        <v/>
      </c>
      <c r="AC84" s="478">
        <f t="shared" si="111"/>
        <v>318.13805517183636</v>
      </c>
      <c r="AD84" s="478">
        <f t="shared" si="112"/>
        <v>83.720540834693793</v>
      </c>
      <c r="AE84" s="478">
        <f t="shared" si="113"/>
        <v>83.720540834693793</v>
      </c>
      <c r="AF84" s="478">
        <f t="shared" si="114"/>
        <v>109.35995646531876</v>
      </c>
      <c r="AG84" s="478">
        <f t="shared" si="115"/>
        <v>83.720540834693793</v>
      </c>
      <c r="AH84" s="478">
        <f t="shared" si="116"/>
        <v>237.64075515927834</v>
      </c>
      <c r="AI84" s="478">
        <f t="shared" si="117"/>
        <v>434.174724768722</v>
      </c>
      <c r="AJ84" s="488">
        <f t="shared" si="118"/>
        <v>390.912135292394</v>
      </c>
      <c r="AK84" s="478">
        <f t="shared" si="119"/>
        <v>434.19565490393069</v>
      </c>
      <c r="AL84" s="478">
        <f t="shared" si="120"/>
        <v>83.720540834693793</v>
      </c>
      <c r="AM84" s="478">
        <f t="shared" si="121"/>
        <v>156.97601406505086</v>
      </c>
      <c r="AN84" s="478">
        <f t="shared" si="122"/>
        <v>83.720540834693793</v>
      </c>
    </row>
    <row r="85" spans="1:40" x14ac:dyDescent="0.25">
      <c r="A85" s="476" t="s">
        <v>194</v>
      </c>
      <c r="B85" s="479"/>
      <c r="C85" s="479"/>
      <c r="D85" s="479"/>
      <c r="E85" s="479"/>
      <c r="F85" s="479"/>
      <c r="G85" s="479"/>
      <c r="H85" s="479"/>
      <c r="I85" s="479"/>
      <c r="J85" s="478">
        <f>250</f>
        <v>250</v>
      </c>
      <c r="K85" s="479"/>
      <c r="L85" s="479"/>
      <c r="M85" s="479"/>
      <c r="N85" s="479"/>
      <c r="O85" s="479"/>
      <c r="P85" s="479"/>
      <c r="Q85" s="479"/>
      <c r="R85" s="479"/>
      <c r="S85" s="479"/>
      <c r="T85" s="479"/>
      <c r="U85" s="479"/>
      <c r="V85" s="479"/>
      <c r="W85" s="478">
        <f t="shared" si="101"/>
        <v>250</v>
      </c>
      <c r="X85" s="478">
        <f t="shared" si="123"/>
        <v>142.85714285714286</v>
      </c>
      <c r="Y85" s="478">
        <f t="shared" si="124"/>
        <v>250</v>
      </c>
      <c r="Z85" s="478">
        <f t="shared" si="110"/>
        <v>0</v>
      </c>
      <c r="AA85" s="478"/>
      <c r="AB85" s="37" t="str">
        <f t="shared" si="65"/>
        <v/>
      </c>
      <c r="AC85" s="478"/>
      <c r="AD85" s="478"/>
      <c r="AE85" s="478"/>
      <c r="AF85" s="478"/>
      <c r="AG85" s="478"/>
      <c r="AH85" s="478"/>
      <c r="AI85" s="478"/>
      <c r="AJ85" s="488"/>
      <c r="AK85" s="478"/>
      <c r="AL85" s="478"/>
      <c r="AM85" s="478"/>
      <c r="AN85" s="478"/>
    </row>
    <row r="86" spans="1:40" x14ac:dyDescent="0.25">
      <c r="A86" s="476" t="s">
        <v>439</v>
      </c>
      <c r="B86" s="479"/>
      <c r="C86" s="478">
        <f>3027</f>
        <v>3027</v>
      </c>
      <c r="D86" s="479"/>
      <c r="E86" s="479"/>
      <c r="F86" s="479"/>
      <c r="G86" s="479"/>
      <c r="H86" s="479"/>
      <c r="I86" s="479"/>
      <c r="J86" s="478">
        <f>146</f>
        <v>146</v>
      </c>
      <c r="K86" s="479"/>
      <c r="L86" s="479"/>
      <c r="M86" s="479"/>
      <c r="N86" s="479"/>
      <c r="O86" s="478">
        <f>3436</f>
        <v>3436</v>
      </c>
      <c r="P86" s="479"/>
      <c r="Q86" s="479"/>
      <c r="R86" s="478">
        <f>-172</f>
        <v>-172</v>
      </c>
      <c r="S86" s="479"/>
      <c r="T86" s="478">
        <f>55</f>
        <v>55</v>
      </c>
      <c r="U86" s="479"/>
      <c r="V86" s="479"/>
      <c r="W86" s="478">
        <f t="shared" si="101"/>
        <v>6492</v>
      </c>
      <c r="X86" s="478">
        <f t="shared" si="123"/>
        <v>3709.7142857142862</v>
      </c>
      <c r="Y86" s="478">
        <f t="shared" si="124"/>
        <v>3173</v>
      </c>
      <c r="Z86" s="478">
        <f t="shared" si="110"/>
        <v>3319</v>
      </c>
      <c r="AA86" s="478">
        <f>Insurance!F11</f>
        <v>3500</v>
      </c>
      <c r="AB86" s="37" t="str">
        <f t="shared" si="65"/>
        <v/>
      </c>
      <c r="AC86" s="478">
        <f>Insurance!H11</f>
        <v>0</v>
      </c>
      <c r="AD86" s="478">
        <f>Insurance!I11</f>
        <v>3500</v>
      </c>
      <c r="AE86" s="478">
        <f>Insurance!J11</f>
        <v>0</v>
      </c>
      <c r="AF86" s="478">
        <f>Insurance!K11</f>
        <v>0</v>
      </c>
      <c r="AG86" s="478">
        <f>Insurance!L11</f>
        <v>0</v>
      </c>
      <c r="AH86" s="478">
        <f>Insurance!M11</f>
        <v>0</v>
      </c>
      <c r="AI86" s="478">
        <f>Insurance!N11</f>
        <v>0</v>
      </c>
      <c r="AJ86" s="478">
        <f>Insurance!O11</f>
        <v>0</v>
      </c>
      <c r="AK86" s="478">
        <f>Insurance!P11</f>
        <v>0</v>
      </c>
      <c r="AL86" s="478">
        <f>Insurance!Q11</f>
        <v>0</v>
      </c>
      <c r="AM86" s="478">
        <f>Insurance!R11</f>
        <v>0</v>
      </c>
      <c r="AN86" s="478">
        <f>Insurance!S11</f>
        <v>0</v>
      </c>
    </row>
    <row r="87" spans="1:40" x14ac:dyDescent="0.25">
      <c r="A87" s="476" t="s">
        <v>643</v>
      </c>
      <c r="B87" s="478">
        <f>421.56</f>
        <v>421.56</v>
      </c>
      <c r="C87" s="479"/>
      <c r="D87" s="478">
        <f>210.78</f>
        <v>210.78</v>
      </c>
      <c r="E87" s="478">
        <f>210.78</f>
        <v>210.78</v>
      </c>
      <c r="F87" s="478">
        <f>210.78</f>
        <v>210.78</v>
      </c>
      <c r="G87" s="478">
        <f>210.78</f>
        <v>210.78</v>
      </c>
      <c r="H87" s="478">
        <f>210.78</f>
        <v>210.78</v>
      </c>
      <c r="I87" s="479"/>
      <c r="J87" s="479"/>
      <c r="K87" s="479"/>
      <c r="L87" s="478">
        <f>2403.65</f>
        <v>2403.65</v>
      </c>
      <c r="M87" s="478">
        <f>248.29</f>
        <v>248.29</v>
      </c>
      <c r="N87" s="478">
        <f>496.58</f>
        <v>496.58</v>
      </c>
      <c r="O87" s="479"/>
      <c r="P87" s="478">
        <f>248.29</f>
        <v>248.29</v>
      </c>
      <c r="Q87" s="478">
        <f>248.29</f>
        <v>248.29</v>
      </c>
      <c r="R87" s="478">
        <f>248.29</f>
        <v>248.29</v>
      </c>
      <c r="S87" s="478">
        <f>248.29</f>
        <v>248.29</v>
      </c>
      <c r="T87" s="478">
        <f>263.32</f>
        <v>263.32</v>
      </c>
      <c r="U87" s="479"/>
      <c r="V87" s="479"/>
      <c r="W87" s="478">
        <f t="shared" si="101"/>
        <v>5880.46</v>
      </c>
      <c r="X87" s="478">
        <f t="shared" si="123"/>
        <v>3360.2628571428568</v>
      </c>
      <c r="Y87" s="478">
        <f t="shared" si="124"/>
        <v>4127.4000000000005</v>
      </c>
      <c r="Z87" s="478">
        <f t="shared" si="110"/>
        <v>4405</v>
      </c>
      <c r="AA87" s="478">
        <f>Insurance!F8+Insurance!F9</f>
        <v>4368</v>
      </c>
      <c r="AB87" s="37" t="str">
        <f t="shared" si="65"/>
        <v/>
      </c>
      <c r="AC87" s="478">
        <f>Insurance!H8+Insurance!H9</f>
        <v>252</v>
      </c>
      <c r="AD87" s="478">
        <f>Insurance!I8+Insurance!I9</f>
        <v>252</v>
      </c>
      <c r="AE87" s="478">
        <f>Insurance!J8+Insurance!J9</f>
        <v>252</v>
      </c>
      <c r="AF87" s="478">
        <f>Insurance!K8+Insurance!K9</f>
        <v>252</v>
      </c>
      <c r="AG87" s="478">
        <f>Insurance!L8+Insurance!L9</f>
        <v>252</v>
      </c>
      <c r="AH87" s="478">
        <f>Insurance!M8+Insurance!M9</f>
        <v>252</v>
      </c>
      <c r="AI87" s="478">
        <f>Insurance!N8+Insurance!N9</f>
        <v>252</v>
      </c>
      <c r="AJ87" s="478">
        <f>Insurance!O8+Insurance!O9</f>
        <v>0</v>
      </c>
      <c r="AK87" s="478">
        <f>Insurance!P8+Insurance!P9</f>
        <v>0</v>
      </c>
      <c r="AL87" s="478">
        <f>Insurance!Q8+Insurance!Q9</f>
        <v>0</v>
      </c>
      <c r="AM87" s="478">
        <f>Insurance!R8+Insurance!R9</f>
        <v>2352</v>
      </c>
      <c r="AN87" s="478">
        <f>Insurance!S8+Insurance!S9</f>
        <v>252</v>
      </c>
    </row>
    <row r="88" spans="1:40" x14ac:dyDescent="0.25">
      <c r="A88" s="476" t="s">
        <v>644</v>
      </c>
      <c r="B88" s="479"/>
      <c r="C88" s="479"/>
      <c r="D88" s="479"/>
      <c r="E88" s="479"/>
      <c r="F88" s="479"/>
      <c r="G88" s="478">
        <f>152</f>
        <v>152</v>
      </c>
      <c r="H88" s="479"/>
      <c r="I88" s="479"/>
      <c r="J88" s="478">
        <f>123</f>
        <v>123</v>
      </c>
      <c r="K88" s="479"/>
      <c r="L88" s="479"/>
      <c r="M88" s="479"/>
      <c r="N88" s="479"/>
      <c r="O88" s="479"/>
      <c r="P88" s="479"/>
      <c r="Q88" s="479"/>
      <c r="R88" s="479"/>
      <c r="S88" s="478">
        <f>284</f>
        <v>284</v>
      </c>
      <c r="T88" s="479"/>
      <c r="U88" s="479"/>
      <c r="V88" s="479"/>
      <c r="W88" s="478">
        <f t="shared" si="101"/>
        <v>559</v>
      </c>
      <c r="X88" s="478">
        <f t="shared" si="123"/>
        <v>319.42857142857144</v>
      </c>
      <c r="Y88" s="478">
        <f t="shared" si="124"/>
        <v>275</v>
      </c>
      <c r="Z88" s="478">
        <f t="shared" si="110"/>
        <v>284</v>
      </c>
      <c r="AA88" s="478">
        <f>Insurance!F10</f>
        <v>285</v>
      </c>
      <c r="AB88" s="37" t="str">
        <f t="shared" si="65"/>
        <v/>
      </c>
      <c r="AC88" s="478">
        <f>Insurance!H10</f>
        <v>0</v>
      </c>
      <c r="AD88" s="478">
        <f>Insurance!I10</f>
        <v>0</v>
      </c>
      <c r="AE88" s="478">
        <f>Insurance!J10</f>
        <v>0</v>
      </c>
      <c r="AF88" s="478">
        <f>Insurance!K10</f>
        <v>0</v>
      </c>
      <c r="AG88" s="478">
        <f>Insurance!L10</f>
        <v>0</v>
      </c>
      <c r="AH88" s="478">
        <f>Insurance!M10</f>
        <v>285</v>
      </c>
      <c r="AI88" s="478">
        <f>Insurance!N10</f>
        <v>0</v>
      </c>
      <c r="AJ88" s="478">
        <f>Insurance!O10</f>
        <v>0</v>
      </c>
      <c r="AK88" s="478">
        <f>Insurance!P10</f>
        <v>0</v>
      </c>
      <c r="AL88" s="478">
        <f>Insurance!Q10</f>
        <v>0</v>
      </c>
      <c r="AM88" s="478">
        <f>Insurance!R10</f>
        <v>0</v>
      </c>
      <c r="AN88" s="478">
        <f>Insurance!S10</f>
        <v>0</v>
      </c>
    </row>
    <row r="89" spans="1:40" x14ac:dyDescent="0.25">
      <c r="A89" s="476" t="s">
        <v>645</v>
      </c>
      <c r="B89" s="479"/>
      <c r="C89" s="479"/>
      <c r="D89" s="479"/>
      <c r="E89" s="479"/>
      <c r="F89" s="479"/>
      <c r="G89" s="479"/>
      <c r="H89" s="478">
        <f>5280</f>
        <v>5280</v>
      </c>
      <c r="I89" s="479"/>
      <c r="J89" s="479"/>
      <c r="K89" s="479"/>
      <c r="L89" s="479"/>
      <c r="M89" s="478">
        <f>2022</f>
        <v>2022</v>
      </c>
      <c r="N89" s="479"/>
      <c r="O89" s="479"/>
      <c r="P89" s="479"/>
      <c r="Q89" s="479"/>
      <c r="R89" s="479"/>
      <c r="S89" s="479"/>
      <c r="T89" s="479"/>
      <c r="U89" s="478">
        <f>5198</f>
        <v>5198</v>
      </c>
      <c r="V89" s="479"/>
      <c r="W89" s="478">
        <f t="shared" si="101"/>
        <v>12500</v>
      </c>
      <c r="X89" s="478">
        <f t="shared" si="123"/>
        <v>7142.8571428571422</v>
      </c>
      <c r="Y89" s="478">
        <f t="shared" si="124"/>
        <v>7302</v>
      </c>
      <c r="Z89" s="478">
        <f t="shared" si="110"/>
        <v>7220</v>
      </c>
      <c r="AA89" s="478">
        <f>Insurance!F7</f>
        <v>6000</v>
      </c>
      <c r="AB89" s="37" t="str">
        <f t="shared" si="65"/>
        <v/>
      </c>
      <c r="AC89" s="478">
        <f>Insurance!H7</f>
        <v>0</v>
      </c>
      <c r="AD89" s="478">
        <f>Insurance!I7</f>
        <v>0</v>
      </c>
      <c r="AE89" s="478">
        <f>Insurance!J7</f>
        <v>0</v>
      </c>
      <c r="AF89" s="478">
        <f>Insurance!K7</f>
        <v>0</v>
      </c>
      <c r="AG89" s="478">
        <f>Insurance!L7</f>
        <v>0</v>
      </c>
      <c r="AH89" s="478">
        <f>Insurance!M7</f>
        <v>0</v>
      </c>
      <c r="AI89" s="478">
        <f>Insurance!N7</f>
        <v>0</v>
      </c>
      <c r="AJ89" s="478">
        <f>Insurance!O7</f>
        <v>6000</v>
      </c>
      <c r="AK89" s="478">
        <f>Insurance!P7</f>
        <v>0</v>
      </c>
      <c r="AL89" s="478">
        <f>Insurance!Q7</f>
        <v>0</v>
      </c>
      <c r="AM89" s="478">
        <f>Insurance!R7</f>
        <v>0</v>
      </c>
      <c r="AN89" s="478">
        <f>Insurance!S7</f>
        <v>0</v>
      </c>
    </row>
    <row r="90" spans="1:40" x14ac:dyDescent="0.25">
      <c r="A90" s="476" t="s">
        <v>440</v>
      </c>
      <c r="B90" s="480">
        <f t="shared" ref="B90:V90" si="125">((((B85)+(B86))+(B87))+(B88))+(B89)</f>
        <v>421.56</v>
      </c>
      <c r="C90" s="480">
        <f t="shared" si="125"/>
        <v>3027</v>
      </c>
      <c r="D90" s="480">
        <f t="shared" si="125"/>
        <v>210.78</v>
      </c>
      <c r="E90" s="480">
        <f t="shared" si="125"/>
        <v>210.78</v>
      </c>
      <c r="F90" s="480">
        <f t="shared" si="125"/>
        <v>210.78</v>
      </c>
      <c r="G90" s="480">
        <f t="shared" si="125"/>
        <v>362.78</v>
      </c>
      <c r="H90" s="480">
        <f t="shared" si="125"/>
        <v>5490.78</v>
      </c>
      <c r="I90" s="480">
        <f t="shared" si="125"/>
        <v>0</v>
      </c>
      <c r="J90" s="480">
        <f t="shared" si="125"/>
        <v>519</v>
      </c>
      <c r="K90" s="480">
        <f t="shared" si="125"/>
        <v>0</v>
      </c>
      <c r="L90" s="480">
        <f t="shared" si="125"/>
        <v>2403.65</v>
      </c>
      <c r="M90" s="480">
        <f t="shared" si="125"/>
        <v>2270.29</v>
      </c>
      <c r="N90" s="480">
        <f t="shared" si="125"/>
        <v>496.58</v>
      </c>
      <c r="O90" s="480">
        <f t="shared" si="125"/>
        <v>3436</v>
      </c>
      <c r="P90" s="480">
        <f t="shared" si="125"/>
        <v>248.29</v>
      </c>
      <c r="Q90" s="480">
        <f t="shared" si="125"/>
        <v>248.29</v>
      </c>
      <c r="R90" s="480">
        <f t="shared" si="125"/>
        <v>76.289999999999992</v>
      </c>
      <c r="S90" s="480">
        <f t="shared" si="125"/>
        <v>532.29</v>
      </c>
      <c r="T90" s="480">
        <f t="shared" si="125"/>
        <v>318.32</v>
      </c>
      <c r="U90" s="480">
        <f t="shared" si="125"/>
        <v>5198</v>
      </c>
      <c r="V90" s="480">
        <f t="shared" si="125"/>
        <v>0</v>
      </c>
      <c r="W90" s="480">
        <f t="shared" si="101"/>
        <v>25681.46</v>
      </c>
      <c r="X90" s="480">
        <f t="shared" si="123"/>
        <v>14675.12</v>
      </c>
      <c r="Y90" s="480">
        <f t="shared" si="124"/>
        <v>15127.399999999998</v>
      </c>
      <c r="Z90" s="480">
        <f>SUM(K90:M90,N90:V90)</f>
        <v>15228.000000000004</v>
      </c>
      <c r="AA90" s="480">
        <f t="shared" ref="AA90:AN90" si="126">((((AA85)+(AA86))+(AA87))+(AA88))+(AA89)</f>
        <v>14153</v>
      </c>
      <c r="AB90" s="37" t="str">
        <f t="shared" si="65"/>
        <v/>
      </c>
      <c r="AC90" s="480">
        <f t="shared" si="126"/>
        <v>252</v>
      </c>
      <c r="AD90" s="480">
        <f t="shared" si="126"/>
        <v>3752</v>
      </c>
      <c r="AE90" s="480">
        <f t="shared" si="126"/>
        <v>252</v>
      </c>
      <c r="AF90" s="480">
        <f t="shared" si="126"/>
        <v>252</v>
      </c>
      <c r="AG90" s="480">
        <f t="shared" si="126"/>
        <v>252</v>
      </c>
      <c r="AH90" s="480">
        <f t="shared" si="126"/>
        <v>537</v>
      </c>
      <c r="AI90" s="480">
        <f t="shared" si="126"/>
        <v>252</v>
      </c>
      <c r="AJ90" s="480">
        <f t="shared" si="126"/>
        <v>6000</v>
      </c>
      <c r="AK90" s="480">
        <f t="shared" si="126"/>
        <v>0</v>
      </c>
      <c r="AL90" s="480">
        <f t="shared" si="126"/>
        <v>0</v>
      </c>
      <c r="AM90" s="480">
        <f t="shared" si="126"/>
        <v>2352</v>
      </c>
      <c r="AN90" s="480">
        <f t="shared" si="126"/>
        <v>252</v>
      </c>
    </row>
    <row r="91" spans="1:40" x14ac:dyDescent="0.25">
      <c r="A91" s="476" t="s">
        <v>195</v>
      </c>
      <c r="B91" s="479"/>
      <c r="C91" s="479"/>
      <c r="D91" s="479"/>
      <c r="E91" s="479"/>
      <c r="F91" s="479"/>
      <c r="G91" s="478">
        <f>25</f>
        <v>25</v>
      </c>
      <c r="H91" s="479"/>
      <c r="I91" s="479"/>
      <c r="J91" s="478">
        <f>20.95</f>
        <v>20.95</v>
      </c>
      <c r="K91" s="479"/>
      <c r="L91" s="479"/>
      <c r="M91" s="478">
        <f>2400</f>
        <v>2400</v>
      </c>
      <c r="N91" s="479"/>
      <c r="O91" s="479"/>
      <c r="P91" s="478">
        <f>30</f>
        <v>30</v>
      </c>
      <c r="Q91" s="479"/>
      <c r="R91" s="478">
        <f>325</f>
        <v>325</v>
      </c>
      <c r="S91" s="478">
        <f>1000</f>
        <v>1000</v>
      </c>
      <c r="T91" s="479"/>
      <c r="U91" s="479"/>
      <c r="V91" s="478">
        <f>685</f>
        <v>685</v>
      </c>
      <c r="W91" s="478">
        <f t="shared" si="101"/>
        <v>4485.95</v>
      </c>
      <c r="X91" s="478">
        <f t="shared" si="123"/>
        <v>2563.3999999999996</v>
      </c>
      <c r="Y91" s="478">
        <f t="shared" si="124"/>
        <v>2445.9499999999998</v>
      </c>
      <c r="Z91" s="478">
        <f t="shared" ref="Z91:Z112" si="127">SUM(K91:M91,N91:V91)</f>
        <v>4440</v>
      </c>
      <c r="AA91" s="478">
        <v>2500</v>
      </c>
      <c r="AB91" s="37" t="str">
        <f t="shared" si="65"/>
        <v/>
      </c>
      <c r="AC91" s="478">
        <f t="shared" ref="AC91:AC107" si="128">N91/$Z91*$AA91</f>
        <v>0</v>
      </c>
      <c r="AD91" s="478">
        <f t="shared" ref="AD91:AD107" si="129">O91/$Z91*$AA91</f>
        <v>0</v>
      </c>
      <c r="AE91" s="478">
        <f t="shared" ref="AE91:AE107" si="130">P91/$Z91*$AA91</f>
        <v>16.891891891891891</v>
      </c>
      <c r="AF91" s="478">
        <f t="shared" ref="AF91:AF107" si="131">Q91/$Z91*$AA91</f>
        <v>0</v>
      </c>
      <c r="AG91" s="478">
        <f t="shared" ref="AG91:AG107" si="132">R91/$Z91*$AA91</f>
        <v>182.9954954954955</v>
      </c>
      <c r="AH91" s="478">
        <f t="shared" ref="AH91:AH107" si="133">S91/$Z91*$AA91</f>
        <v>563.06306306306305</v>
      </c>
      <c r="AI91" s="478">
        <f t="shared" ref="AI91:AI107" si="134">T91/$Z91*$AA91</f>
        <v>0</v>
      </c>
      <c r="AJ91" s="488">
        <f t="shared" ref="AJ91:AJ107" si="135">U91/$Z91*$AA91</f>
        <v>0</v>
      </c>
      <c r="AK91" s="478">
        <f t="shared" ref="AK91:AK107" si="136">V91/$Z91*$AA91</f>
        <v>385.69819819819821</v>
      </c>
      <c r="AL91" s="478">
        <f t="shared" ref="AL91:AL107" si="137">K91/$Z91*$AA91</f>
        <v>0</v>
      </c>
      <c r="AM91" s="478">
        <f t="shared" ref="AM91:AM107" si="138">L91/$Z91*$AA91</f>
        <v>0</v>
      </c>
      <c r="AN91" s="478">
        <f t="shared" ref="AN91:AN107" si="139">M91/$Z91*$AA91</f>
        <v>1351.3513513513515</v>
      </c>
    </row>
    <row r="92" spans="1:40" x14ac:dyDescent="0.25">
      <c r="A92" s="476" t="s">
        <v>196</v>
      </c>
      <c r="B92" s="478">
        <f>42.47</f>
        <v>42.47</v>
      </c>
      <c r="C92" s="478">
        <f>115.22</f>
        <v>115.22</v>
      </c>
      <c r="D92" s="478">
        <f>78.58</f>
        <v>78.58</v>
      </c>
      <c r="E92" s="478">
        <f>129.19</f>
        <v>129.19</v>
      </c>
      <c r="F92" s="478">
        <f>58.57</f>
        <v>58.57</v>
      </c>
      <c r="G92" s="478">
        <f>107.92</f>
        <v>107.92</v>
      </c>
      <c r="H92" s="478">
        <f>167.04</f>
        <v>167.04</v>
      </c>
      <c r="I92" s="478">
        <f>226.72</f>
        <v>226.72</v>
      </c>
      <c r="J92" s="478">
        <f>37.91</f>
        <v>37.909999999999997</v>
      </c>
      <c r="K92" s="478">
        <f>225.12</f>
        <v>225.12</v>
      </c>
      <c r="L92" s="478">
        <f>148.04</f>
        <v>148.04</v>
      </c>
      <c r="M92" s="478">
        <f>16.08</f>
        <v>16.079999999999998</v>
      </c>
      <c r="N92" s="478">
        <f>720.07</f>
        <v>720.07</v>
      </c>
      <c r="O92" s="478">
        <f>129.09</f>
        <v>129.09</v>
      </c>
      <c r="P92" s="478">
        <f>294.41</f>
        <v>294.41000000000003</v>
      </c>
      <c r="Q92" s="479"/>
      <c r="R92" s="478">
        <f>52.43</f>
        <v>52.43</v>
      </c>
      <c r="S92" s="478">
        <f>55.9</f>
        <v>55.9</v>
      </c>
      <c r="T92" s="478">
        <f>32</f>
        <v>32</v>
      </c>
      <c r="U92" s="478">
        <f>333.77</f>
        <v>333.77</v>
      </c>
      <c r="V92" s="478">
        <f>118.36</f>
        <v>118.36</v>
      </c>
      <c r="W92" s="478">
        <f t="shared" si="101"/>
        <v>3088.89</v>
      </c>
      <c r="X92" s="478">
        <f t="shared" si="123"/>
        <v>1765.08</v>
      </c>
      <c r="Y92" s="478">
        <f t="shared" si="124"/>
        <v>1352.8599999999997</v>
      </c>
      <c r="Z92" s="478">
        <f t="shared" si="127"/>
        <v>2125.27</v>
      </c>
      <c r="AA92" s="478">
        <v>1750</v>
      </c>
      <c r="AB92" s="37" t="str">
        <f t="shared" si="65"/>
        <v/>
      </c>
      <c r="AC92" s="478">
        <f t="shared" si="128"/>
        <v>592.92348736866381</v>
      </c>
      <c r="AD92" s="478">
        <f t="shared" si="129"/>
        <v>106.29590593195218</v>
      </c>
      <c r="AE92" s="478">
        <f t="shared" si="130"/>
        <v>242.42449194690556</v>
      </c>
      <c r="AF92" s="478">
        <f t="shared" si="131"/>
        <v>0</v>
      </c>
      <c r="AG92" s="478">
        <f t="shared" si="132"/>
        <v>43.172161654754461</v>
      </c>
      <c r="AH92" s="478">
        <f t="shared" si="133"/>
        <v>46.029445670432459</v>
      </c>
      <c r="AI92" s="478">
        <f t="shared" si="134"/>
        <v>26.349593228154543</v>
      </c>
      <c r="AJ92" s="488">
        <f t="shared" si="135"/>
        <v>274.83449161753566</v>
      </c>
      <c r="AK92" s="478">
        <f t="shared" si="136"/>
        <v>97.460557952636606</v>
      </c>
      <c r="AL92" s="478">
        <f t="shared" si="137"/>
        <v>185.36938836006721</v>
      </c>
      <c r="AM92" s="478">
        <f t="shared" si="138"/>
        <v>121.89980567174993</v>
      </c>
      <c r="AN92" s="478">
        <f t="shared" si="139"/>
        <v>13.240670597147655</v>
      </c>
    </row>
    <row r="93" spans="1:40" x14ac:dyDescent="0.25">
      <c r="A93" s="476" t="s">
        <v>441</v>
      </c>
      <c r="B93" s="479"/>
      <c r="C93" s="479"/>
      <c r="D93" s="479"/>
      <c r="E93" s="479"/>
      <c r="F93" s="478">
        <f>305.37</f>
        <v>305.37</v>
      </c>
      <c r="G93" s="479"/>
      <c r="H93" s="479"/>
      <c r="I93" s="479"/>
      <c r="J93" s="478">
        <f>2008.5</f>
        <v>2008.5</v>
      </c>
      <c r="K93" s="478">
        <f>758.5</f>
        <v>758.5</v>
      </c>
      <c r="L93" s="479"/>
      <c r="M93" s="479"/>
      <c r="N93" s="479"/>
      <c r="O93" s="479"/>
      <c r="P93" s="479"/>
      <c r="Q93" s="479"/>
      <c r="R93" s="479"/>
      <c r="S93" s="479"/>
      <c r="T93" s="479"/>
      <c r="U93" s="479"/>
      <c r="V93" s="479"/>
      <c r="W93" s="478">
        <f t="shared" si="101"/>
        <v>3072.37</v>
      </c>
      <c r="X93" s="478">
        <f t="shared" si="123"/>
        <v>1755.64</v>
      </c>
      <c r="Y93" s="478">
        <f t="shared" si="124"/>
        <v>3072.37</v>
      </c>
      <c r="Z93" s="478">
        <f t="shared" si="127"/>
        <v>758.5</v>
      </c>
      <c r="AA93" s="478">
        <v>2500</v>
      </c>
      <c r="AB93" s="37" t="str">
        <f t="shared" si="65"/>
        <v/>
      </c>
      <c r="AC93" s="478">
        <f t="shared" si="128"/>
        <v>0</v>
      </c>
      <c r="AD93" s="478">
        <f t="shared" si="129"/>
        <v>0</v>
      </c>
      <c r="AE93" s="478">
        <f t="shared" si="130"/>
        <v>0</v>
      </c>
      <c r="AF93" s="478">
        <f t="shared" si="131"/>
        <v>0</v>
      </c>
      <c r="AG93" s="478">
        <f t="shared" si="132"/>
        <v>0</v>
      </c>
      <c r="AH93" s="478">
        <f t="shared" si="133"/>
        <v>0</v>
      </c>
      <c r="AI93" s="478">
        <f t="shared" si="134"/>
        <v>0</v>
      </c>
      <c r="AJ93" s="488">
        <f t="shared" si="135"/>
        <v>0</v>
      </c>
      <c r="AK93" s="478">
        <f t="shared" si="136"/>
        <v>0</v>
      </c>
      <c r="AL93" s="478">
        <f t="shared" si="137"/>
        <v>2500</v>
      </c>
      <c r="AM93" s="478">
        <f t="shared" si="138"/>
        <v>0</v>
      </c>
      <c r="AN93" s="478">
        <f t="shared" si="139"/>
        <v>0</v>
      </c>
    </row>
    <row r="94" spans="1:40" x14ac:dyDescent="0.25">
      <c r="A94" s="476" t="s">
        <v>198</v>
      </c>
      <c r="B94" s="478">
        <f>91.1</f>
        <v>91.1</v>
      </c>
      <c r="C94" s="478">
        <f>6.99</f>
        <v>6.99</v>
      </c>
      <c r="D94" s="478">
        <f>309.15</f>
        <v>309.14999999999998</v>
      </c>
      <c r="E94" s="479"/>
      <c r="F94" s="478">
        <f>40</f>
        <v>40</v>
      </c>
      <c r="G94" s="478">
        <f>148.14</f>
        <v>148.13999999999999</v>
      </c>
      <c r="H94" s="479"/>
      <c r="I94" s="478">
        <f>5.4</f>
        <v>5.4</v>
      </c>
      <c r="J94" s="478">
        <f>28.69</f>
        <v>28.69</v>
      </c>
      <c r="K94" s="478">
        <f>15.35</f>
        <v>15.35</v>
      </c>
      <c r="L94" s="478">
        <f>221.66</f>
        <v>221.66</v>
      </c>
      <c r="M94" s="479"/>
      <c r="N94" s="478">
        <f>73.09</f>
        <v>73.09</v>
      </c>
      <c r="O94" s="478">
        <f>287.93</f>
        <v>287.93</v>
      </c>
      <c r="P94" s="478">
        <f>37.49</f>
        <v>37.49</v>
      </c>
      <c r="Q94" s="479"/>
      <c r="R94" s="478">
        <f>100.21</f>
        <v>100.21</v>
      </c>
      <c r="S94" s="478">
        <f>43.5</f>
        <v>43.5</v>
      </c>
      <c r="T94" s="478">
        <f>66.31</f>
        <v>66.31</v>
      </c>
      <c r="U94" s="478">
        <f>2786.27</f>
        <v>2786.27</v>
      </c>
      <c r="V94" s="478">
        <f>85.61</f>
        <v>85.61</v>
      </c>
      <c r="W94" s="478">
        <f t="shared" si="101"/>
        <v>4346.8899999999994</v>
      </c>
      <c r="X94" s="478">
        <f t="shared" si="123"/>
        <v>2483.9371428571426</v>
      </c>
      <c r="Y94" s="478">
        <f t="shared" si="124"/>
        <v>866.4799999999999</v>
      </c>
      <c r="Z94" s="478">
        <f t="shared" si="127"/>
        <v>3717.42</v>
      </c>
      <c r="AA94" s="478">
        <v>2600</v>
      </c>
      <c r="AB94" s="37" t="str">
        <f t="shared" si="65"/>
        <v/>
      </c>
      <c r="AC94" s="478">
        <f t="shared" si="128"/>
        <v>51.119862700475061</v>
      </c>
      <c r="AD94" s="478">
        <f t="shared" si="129"/>
        <v>201.38106536253636</v>
      </c>
      <c r="AE94" s="478">
        <f t="shared" si="130"/>
        <v>26.220873616648106</v>
      </c>
      <c r="AF94" s="478">
        <f t="shared" si="131"/>
        <v>0</v>
      </c>
      <c r="AG94" s="478">
        <f t="shared" si="132"/>
        <v>70.087856631749972</v>
      </c>
      <c r="AH94" s="478">
        <f t="shared" si="133"/>
        <v>30.424326549058218</v>
      </c>
      <c r="AI94" s="478">
        <f t="shared" si="134"/>
        <v>46.377864217656338</v>
      </c>
      <c r="AJ94" s="488">
        <f t="shared" si="135"/>
        <v>1948.7445593987227</v>
      </c>
      <c r="AK94" s="478">
        <f t="shared" si="136"/>
        <v>59.876473468158025</v>
      </c>
      <c r="AL94" s="478">
        <f t="shared" si="137"/>
        <v>10.735940517886061</v>
      </c>
      <c r="AM94" s="478">
        <f t="shared" si="138"/>
        <v>155.03117753710907</v>
      </c>
      <c r="AN94" s="478">
        <f t="shared" si="139"/>
        <v>0</v>
      </c>
    </row>
    <row r="95" spans="1:40" x14ac:dyDescent="0.25">
      <c r="A95" s="476" t="s">
        <v>199</v>
      </c>
      <c r="B95" s="478">
        <f>1230.01</f>
        <v>1230.01</v>
      </c>
      <c r="C95" s="478">
        <f>1419.1</f>
        <v>1419.1</v>
      </c>
      <c r="D95" s="478">
        <f>1374.2</f>
        <v>1374.2</v>
      </c>
      <c r="E95" s="478">
        <f>1316.15</f>
        <v>1316.15</v>
      </c>
      <c r="F95" s="478">
        <f>1564.07</f>
        <v>1564.07</v>
      </c>
      <c r="G95" s="478">
        <f>1483.7</f>
        <v>1483.7</v>
      </c>
      <c r="H95" s="478">
        <f>1486.37</f>
        <v>1486.37</v>
      </c>
      <c r="I95" s="478">
        <f>1392.05</f>
        <v>1392.05</v>
      </c>
      <c r="J95" s="478">
        <f>1193.83</f>
        <v>1193.83</v>
      </c>
      <c r="K95" s="478">
        <f>1255.27</f>
        <v>1255.27</v>
      </c>
      <c r="L95" s="478">
        <f>4742.79</f>
        <v>4742.79</v>
      </c>
      <c r="M95" s="478">
        <f>1565.37</f>
        <v>1565.37</v>
      </c>
      <c r="N95" s="478">
        <f>1428.67</f>
        <v>1428.67</v>
      </c>
      <c r="O95" s="478">
        <f>1441.91</f>
        <v>1441.91</v>
      </c>
      <c r="P95" s="478">
        <f>1790.15</f>
        <v>1790.15</v>
      </c>
      <c r="Q95" s="478">
        <f>2000.58</f>
        <v>2000.58</v>
      </c>
      <c r="R95" s="478">
        <f>2075.07</f>
        <v>2075.0700000000002</v>
      </c>
      <c r="S95" s="478">
        <f>1841.55</f>
        <v>1841.55</v>
      </c>
      <c r="T95" s="478">
        <f>2283.72</f>
        <v>2283.7199999999998</v>
      </c>
      <c r="U95" s="478">
        <f>1705.74</f>
        <v>1705.74</v>
      </c>
      <c r="V95" s="478">
        <f>1655.72</f>
        <v>1655.72</v>
      </c>
      <c r="W95" s="478">
        <f t="shared" si="101"/>
        <v>36246.01999999999</v>
      </c>
      <c r="X95" s="478">
        <f t="shared" si="123"/>
        <v>20712.011428571423</v>
      </c>
      <c r="Y95" s="478">
        <f t="shared" si="124"/>
        <v>20022.909999999996</v>
      </c>
      <c r="Z95" s="478">
        <f t="shared" si="127"/>
        <v>23786.54</v>
      </c>
      <c r="AA95" s="478">
        <f>Taxes!O11</f>
        <v>23642.492341040001</v>
      </c>
      <c r="AB95" s="37" t="str">
        <f t="shared" si="65"/>
        <v/>
      </c>
      <c r="AC95" s="478">
        <f>Taxes!C11</f>
        <v>2429.33648404</v>
      </c>
      <c r="AD95" s="478">
        <f>Taxes!D11</f>
        <v>1746.8654470000001</v>
      </c>
      <c r="AE95" s="478">
        <f>Taxes!E11</f>
        <v>2055.8374469999999</v>
      </c>
      <c r="AF95" s="478">
        <f>Taxes!F11</f>
        <v>1989.5081069999999</v>
      </c>
      <c r="AG95" s="478">
        <f>Taxes!G11</f>
        <v>2160.043107</v>
      </c>
      <c r="AH95" s="478">
        <f>Taxes!H11</f>
        <v>2751.3431069999997</v>
      </c>
      <c r="AI95" s="478">
        <f>Taxes!I11</f>
        <v>2571.3431070000001</v>
      </c>
      <c r="AJ95" s="478">
        <f>Taxes!J11</f>
        <v>1725.3431069999999</v>
      </c>
      <c r="AK95" s="478">
        <f>Taxes!K11</f>
        <v>1725.3431069999999</v>
      </c>
      <c r="AL95" s="478">
        <f>Taxes!L11</f>
        <v>1863.043107</v>
      </c>
      <c r="AM95" s="478">
        <f>Taxes!M11</f>
        <v>1449.9431070000001</v>
      </c>
      <c r="AN95" s="478">
        <f>Taxes!N11</f>
        <v>1174.543107</v>
      </c>
    </row>
    <row r="96" spans="1:40" x14ac:dyDescent="0.25">
      <c r="A96" s="476" t="s">
        <v>1196</v>
      </c>
      <c r="B96" s="479"/>
      <c r="C96" s="479"/>
      <c r="D96" s="479"/>
      <c r="E96" s="479"/>
      <c r="F96" s="479"/>
      <c r="G96" s="479"/>
      <c r="H96" s="479"/>
      <c r="I96" s="479"/>
      <c r="J96" s="479"/>
      <c r="K96" s="479"/>
      <c r="L96" s="479"/>
      <c r="M96" s="479"/>
      <c r="N96" s="479"/>
      <c r="O96" s="479"/>
      <c r="P96" s="479"/>
      <c r="Q96" s="479"/>
      <c r="R96" s="479"/>
      <c r="S96" s="479"/>
      <c r="T96" s="478">
        <f>40</f>
        <v>40</v>
      </c>
      <c r="U96" s="479"/>
      <c r="V96" s="479"/>
      <c r="W96" s="478">
        <f t="shared" si="101"/>
        <v>40</v>
      </c>
      <c r="X96" s="478">
        <f t="shared" si="123"/>
        <v>22.857142857142854</v>
      </c>
      <c r="Y96" s="478">
        <f t="shared" si="124"/>
        <v>0</v>
      </c>
      <c r="Z96" s="478">
        <f t="shared" si="127"/>
        <v>40</v>
      </c>
      <c r="AA96" s="478"/>
      <c r="AB96" s="37" t="str">
        <f t="shared" si="65"/>
        <v/>
      </c>
      <c r="AC96" s="478"/>
      <c r="AD96" s="478"/>
      <c r="AE96" s="478"/>
      <c r="AF96" s="478"/>
      <c r="AG96" s="478"/>
      <c r="AH96" s="478"/>
      <c r="AI96" s="478"/>
      <c r="AJ96" s="488"/>
      <c r="AK96" s="478"/>
      <c r="AL96" s="478"/>
      <c r="AM96" s="478"/>
      <c r="AN96" s="478"/>
    </row>
    <row r="97" spans="1:40" x14ac:dyDescent="0.25">
      <c r="A97" s="476" t="s">
        <v>200</v>
      </c>
      <c r="B97" s="479"/>
      <c r="C97" s="478">
        <f>130</f>
        <v>130</v>
      </c>
      <c r="D97" s="478">
        <f>260</f>
        <v>260</v>
      </c>
      <c r="E97" s="478">
        <f>130</f>
        <v>130</v>
      </c>
      <c r="F97" s="478">
        <f>130</f>
        <v>130</v>
      </c>
      <c r="G97" s="478">
        <f>130</f>
        <v>130</v>
      </c>
      <c r="H97" s="478">
        <f>130</f>
        <v>130</v>
      </c>
      <c r="I97" s="479"/>
      <c r="J97" s="479"/>
      <c r="K97" s="479"/>
      <c r="L97" s="479"/>
      <c r="M97" s="479"/>
      <c r="N97" s="478">
        <f>910</f>
        <v>910</v>
      </c>
      <c r="O97" s="479"/>
      <c r="P97" s="478">
        <f>260</f>
        <v>260</v>
      </c>
      <c r="Q97" s="478">
        <f>130</f>
        <v>130</v>
      </c>
      <c r="R97" s="478">
        <f>260</f>
        <v>260</v>
      </c>
      <c r="S97" s="479"/>
      <c r="T97" s="478">
        <f>130</f>
        <v>130</v>
      </c>
      <c r="U97" s="478">
        <f>130</f>
        <v>130</v>
      </c>
      <c r="V97" s="478">
        <f>130</f>
        <v>130</v>
      </c>
      <c r="W97" s="478">
        <f t="shared" si="101"/>
        <v>2860</v>
      </c>
      <c r="X97" s="478">
        <f t="shared" si="123"/>
        <v>1634.2857142857144</v>
      </c>
      <c r="Y97" s="478">
        <f t="shared" si="124"/>
        <v>910</v>
      </c>
      <c r="Z97" s="478">
        <f t="shared" si="127"/>
        <v>1950</v>
      </c>
      <c r="AA97" s="478">
        <f>104*12</f>
        <v>1248</v>
      </c>
      <c r="AB97" s="37" t="str">
        <f t="shared" si="65"/>
        <v/>
      </c>
      <c r="AC97" s="478">
        <v>104</v>
      </c>
      <c r="AD97" s="478">
        <v>104</v>
      </c>
      <c r="AE97" s="478">
        <v>104</v>
      </c>
      <c r="AF97" s="478">
        <v>104</v>
      </c>
      <c r="AG97" s="478">
        <v>104</v>
      </c>
      <c r="AH97" s="478">
        <v>104</v>
      </c>
      <c r="AI97" s="478">
        <v>104</v>
      </c>
      <c r="AJ97" s="478">
        <v>104</v>
      </c>
      <c r="AK97" s="478">
        <v>104</v>
      </c>
      <c r="AL97" s="478">
        <v>104</v>
      </c>
      <c r="AM97" s="478">
        <v>104</v>
      </c>
      <c r="AN97" s="478">
        <v>104</v>
      </c>
    </row>
    <row r="98" spans="1:40" x14ac:dyDescent="0.25">
      <c r="A98" s="476" t="s">
        <v>201</v>
      </c>
      <c r="B98" s="479"/>
      <c r="C98" s="479"/>
      <c r="D98" s="478">
        <f>8.17</f>
        <v>8.17</v>
      </c>
      <c r="E98" s="479"/>
      <c r="F98" s="478">
        <f>28.16</f>
        <v>28.16</v>
      </c>
      <c r="G98" s="479"/>
      <c r="H98" s="479"/>
      <c r="I98" s="479"/>
      <c r="J98" s="479"/>
      <c r="K98" s="478">
        <f>11.84</f>
        <v>11.84</v>
      </c>
      <c r="L98" s="479"/>
      <c r="M98" s="479"/>
      <c r="N98" s="479"/>
      <c r="O98" s="479"/>
      <c r="P98" s="479"/>
      <c r="Q98" s="479"/>
      <c r="R98" s="479"/>
      <c r="S98" s="479"/>
      <c r="T98" s="479"/>
      <c r="U98" s="479"/>
      <c r="V98" s="479"/>
      <c r="W98" s="478">
        <f t="shared" si="101"/>
        <v>48.17</v>
      </c>
      <c r="X98" s="478">
        <f t="shared" si="123"/>
        <v>27.525714285714287</v>
      </c>
      <c r="Y98" s="478">
        <f t="shared" si="124"/>
        <v>48.17</v>
      </c>
      <c r="Z98" s="478">
        <f t="shared" si="127"/>
        <v>11.84</v>
      </c>
      <c r="AA98" s="478">
        <v>0</v>
      </c>
      <c r="AB98" s="37" t="str">
        <f t="shared" si="65"/>
        <v/>
      </c>
      <c r="AC98" s="478">
        <f t="shared" si="128"/>
        <v>0</v>
      </c>
      <c r="AD98" s="478">
        <f t="shared" si="129"/>
        <v>0</v>
      </c>
      <c r="AE98" s="478">
        <f t="shared" si="130"/>
        <v>0</v>
      </c>
      <c r="AF98" s="478">
        <f t="shared" si="131"/>
        <v>0</v>
      </c>
      <c r="AG98" s="478">
        <f t="shared" si="132"/>
        <v>0</v>
      </c>
      <c r="AH98" s="478">
        <f t="shared" si="133"/>
        <v>0</v>
      </c>
      <c r="AI98" s="478">
        <f t="shared" si="134"/>
        <v>0</v>
      </c>
      <c r="AJ98" s="488">
        <f t="shared" si="135"/>
        <v>0</v>
      </c>
      <c r="AK98" s="478">
        <f t="shared" si="136"/>
        <v>0</v>
      </c>
      <c r="AL98" s="478">
        <f t="shared" si="137"/>
        <v>0</v>
      </c>
      <c r="AM98" s="478">
        <f t="shared" si="138"/>
        <v>0</v>
      </c>
      <c r="AN98" s="478">
        <f t="shared" si="139"/>
        <v>0</v>
      </c>
    </row>
    <row r="99" spans="1:40" x14ac:dyDescent="0.25">
      <c r="A99" s="476" t="s">
        <v>202</v>
      </c>
      <c r="B99" s="479"/>
      <c r="C99" s="479"/>
      <c r="D99" s="479"/>
      <c r="E99" s="479"/>
      <c r="F99" s="479"/>
      <c r="G99" s="479"/>
      <c r="H99" s="479"/>
      <c r="I99" s="479"/>
      <c r="J99" s="479"/>
      <c r="K99" s="478">
        <f>4.56</f>
        <v>4.5599999999999996</v>
      </c>
      <c r="L99" s="479"/>
      <c r="M99" s="479"/>
      <c r="N99" s="479"/>
      <c r="O99" s="479"/>
      <c r="P99" s="479"/>
      <c r="Q99" s="479"/>
      <c r="R99" s="479"/>
      <c r="S99" s="479"/>
      <c r="T99" s="479"/>
      <c r="U99" s="479"/>
      <c r="V99" s="479"/>
      <c r="W99" s="478">
        <f t="shared" si="101"/>
        <v>4.5599999999999996</v>
      </c>
      <c r="X99" s="478">
        <f t="shared" si="123"/>
        <v>2.6057142857142859</v>
      </c>
      <c r="Y99" s="478">
        <f t="shared" si="124"/>
        <v>4.5599999999999996</v>
      </c>
      <c r="Z99" s="478">
        <f t="shared" si="127"/>
        <v>4.5599999999999996</v>
      </c>
      <c r="AA99" s="478">
        <v>4000</v>
      </c>
      <c r="AB99" s="37" t="str">
        <f t="shared" si="65"/>
        <v/>
      </c>
      <c r="AC99" s="478">
        <v>0</v>
      </c>
      <c r="AD99" s="478">
        <v>0</v>
      </c>
      <c r="AE99" s="478">
        <v>0</v>
      </c>
      <c r="AF99" s="478">
        <v>2500</v>
      </c>
      <c r="AG99" s="478">
        <f t="shared" si="132"/>
        <v>0</v>
      </c>
      <c r="AH99" s="478">
        <f t="shared" si="133"/>
        <v>0</v>
      </c>
      <c r="AI99" s="478">
        <f t="shared" si="134"/>
        <v>0</v>
      </c>
      <c r="AJ99" s="488">
        <f t="shared" si="135"/>
        <v>0</v>
      </c>
      <c r="AK99" s="478">
        <v>1500</v>
      </c>
      <c r="AL99" s="478">
        <v>0</v>
      </c>
      <c r="AM99" s="478">
        <f t="shared" si="138"/>
        <v>0</v>
      </c>
      <c r="AN99" s="478">
        <f t="shared" si="139"/>
        <v>0</v>
      </c>
    </row>
    <row r="100" spans="1:40" x14ac:dyDescent="0.25">
      <c r="A100" s="476" t="s">
        <v>203</v>
      </c>
      <c r="B100" s="478">
        <f>38.24</f>
        <v>38.24</v>
      </c>
      <c r="C100" s="478">
        <f>120</f>
        <v>120</v>
      </c>
      <c r="D100" s="478">
        <f>17.75</f>
        <v>17.75</v>
      </c>
      <c r="E100" s="479"/>
      <c r="F100" s="478">
        <f>387.15</f>
        <v>387.15</v>
      </c>
      <c r="G100" s="478">
        <f>330</f>
        <v>330</v>
      </c>
      <c r="H100" s="479"/>
      <c r="I100" s="478">
        <f>100</f>
        <v>100</v>
      </c>
      <c r="J100" s="478">
        <f>70</f>
        <v>70</v>
      </c>
      <c r="K100" s="478">
        <f>100</f>
        <v>100</v>
      </c>
      <c r="L100" s="478">
        <f>85</f>
        <v>85</v>
      </c>
      <c r="M100" s="479"/>
      <c r="N100" s="478">
        <f>30</f>
        <v>30</v>
      </c>
      <c r="O100" s="478">
        <f>159</f>
        <v>159</v>
      </c>
      <c r="P100" s="478">
        <f>104</f>
        <v>104</v>
      </c>
      <c r="Q100" s="478">
        <f>300.11</f>
        <v>300.11</v>
      </c>
      <c r="R100" s="478">
        <f>455</f>
        <v>455</v>
      </c>
      <c r="S100" s="478">
        <f>489</f>
        <v>489</v>
      </c>
      <c r="T100" s="478">
        <f>204</f>
        <v>204</v>
      </c>
      <c r="U100" s="478">
        <f>259</f>
        <v>259</v>
      </c>
      <c r="V100" s="478">
        <f>158.65</f>
        <v>158.65</v>
      </c>
      <c r="W100" s="478">
        <f t="shared" si="101"/>
        <v>3406.9</v>
      </c>
      <c r="X100" s="478">
        <f t="shared" si="123"/>
        <v>1946.8000000000002</v>
      </c>
      <c r="Y100" s="478">
        <f t="shared" si="124"/>
        <v>1248.1399999999999</v>
      </c>
      <c r="Z100" s="478">
        <f t="shared" si="127"/>
        <v>2343.7600000000002</v>
      </c>
      <c r="AA100" s="478">
        <v>2000</v>
      </c>
      <c r="AB100" s="37" t="str">
        <f t="shared" si="65"/>
        <v/>
      </c>
      <c r="AC100" s="478">
        <f t="shared" si="128"/>
        <v>25.599890773799363</v>
      </c>
      <c r="AD100" s="478">
        <f t="shared" si="129"/>
        <v>135.67942110113663</v>
      </c>
      <c r="AE100" s="478">
        <f t="shared" si="130"/>
        <v>88.746288015837791</v>
      </c>
      <c r="AF100" s="478">
        <f t="shared" si="131"/>
        <v>256.09277400416426</v>
      </c>
      <c r="AG100" s="478">
        <f t="shared" si="132"/>
        <v>388.26501006929033</v>
      </c>
      <c r="AH100" s="478">
        <f t="shared" si="133"/>
        <v>417.2782196129296</v>
      </c>
      <c r="AI100" s="478">
        <f t="shared" si="134"/>
        <v>174.07925726183569</v>
      </c>
      <c r="AJ100" s="488">
        <f t="shared" si="135"/>
        <v>221.0123903471345</v>
      </c>
      <c r="AK100" s="478">
        <f t="shared" si="136"/>
        <v>135.38075570877564</v>
      </c>
      <c r="AL100" s="478">
        <f t="shared" si="137"/>
        <v>85.332969245997873</v>
      </c>
      <c r="AM100" s="478">
        <f t="shared" si="138"/>
        <v>72.533023859098193</v>
      </c>
      <c r="AN100" s="478">
        <f t="shared" si="139"/>
        <v>0</v>
      </c>
    </row>
    <row r="101" spans="1:40" x14ac:dyDescent="0.25">
      <c r="A101" s="476" t="s">
        <v>444</v>
      </c>
      <c r="B101" s="479"/>
      <c r="C101" s="479"/>
      <c r="D101" s="479"/>
      <c r="E101" s="479"/>
      <c r="F101" s="479"/>
      <c r="G101" s="479"/>
      <c r="H101" s="479"/>
      <c r="I101" s="479"/>
      <c r="J101" s="479"/>
      <c r="K101" s="478">
        <f>250</f>
        <v>250</v>
      </c>
      <c r="L101" s="479"/>
      <c r="M101" s="479"/>
      <c r="N101" s="479"/>
      <c r="O101" s="478">
        <f>100</f>
        <v>100</v>
      </c>
      <c r="P101" s="478">
        <f>50</f>
        <v>50</v>
      </c>
      <c r="Q101" s="479"/>
      <c r="R101" s="479"/>
      <c r="S101" s="479"/>
      <c r="T101" s="479"/>
      <c r="U101" s="479"/>
      <c r="V101" s="479"/>
      <c r="W101" s="478">
        <f t="shared" si="101"/>
        <v>400</v>
      </c>
      <c r="X101" s="478">
        <f t="shared" si="123"/>
        <v>228.57142857142856</v>
      </c>
      <c r="Y101" s="478">
        <f t="shared" si="124"/>
        <v>250</v>
      </c>
      <c r="Z101" s="478">
        <f t="shared" si="127"/>
        <v>400</v>
      </c>
      <c r="AA101" s="478">
        <v>2500</v>
      </c>
      <c r="AB101" s="37" t="str">
        <f t="shared" si="65"/>
        <v/>
      </c>
      <c r="AC101" s="478">
        <f t="shared" si="128"/>
        <v>0</v>
      </c>
      <c r="AD101" s="478">
        <f t="shared" si="129"/>
        <v>625</v>
      </c>
      <c r="AE101" s="478">
        <f t="shared" si="130"/>
        <v>312.5</v>
      </c>
      <c r="AF101" s="478">
        <f t="shared" si="131"/>
        <v>0</v>
      </c>
      <c r="AG101" s="478">
        <f t="shared" si="132"/>
        <v>0</v>
      </c>
      <c r="AH101" s="478">
        <f t="shared" si="133"/>
        <v>0</v>
      </c>
      <c r="AI101" s="478">
        <f t="shared" si="134"/>
        <v>0</v>
      </c>
      <c r="AJ101" s="488">
        <f t="shared" si="135"/>
        <v>0</v>
      </c>
      <c r="AK101" s="478">
        <f t="shared" si="136"/>
        <v>0</v>
      </c>
      <c r="AL101" s="478">
        <f t="shared" si="137"/>
        <v>1562.5</v>
      </c>
      <c r="AM101" s="478">
        <f t="shared" si="138"/>
        <v>0</v>
      </c>
      <c r="AN101" s="478">
        <f t="shared" si="139"/>
        <v>0</v>
      </c>
    </row>
    <row r="102" spans="1:40" x14ac:dyDescent="0.25">
      <c r="A102" s="476" t="s">
        <v>204</v>
      </c>
      <c r="B102" s="479"/>
      <c r="C102" s="478">
        <f>92.42</f>
        <v>92.42</v>
      </c>
      <c r="D102" s="478">
        <f>149.43</f>
        <v>149.43</v>
      </c>
      <c r="E102" s="479"/>
      <c r="F102" s="479"/>
      <c r="G102" s="478">
        <f>135.07</f>
        <v>135.07</v>
      </c>
      <c r="H102" s="479"/>
      <c r="I102" s="478">
        <f>32.8</f>
        <v>32.799999999999997</v>
      </c>
      <c r="J102" s="478">
        <f>29.37</f>
        <v>29.37</v>
      </c>
      <c r="K102" s="478">
        <f>220.28</f>
        <v>220.28</v>
      </c>
      <c r="L102" s="478">
        <f>59.37</f>
        <v>59.37</v>
      </c>
      <c r="M102" s="479"/>
      <c r="N102" s="478">
        <f>88.62</f>
        <v>88.62</v>
      </c>
      <c r="O102" s="478">
        <f>163.61</f>
        <v>163.61000000000001</v>
      </c>
      <c r="P102" s="478">
        <f>22.29</f>
        <v>22.29</v>
      </c>
      <c r="Q102" s="479"/>
      <c r="R102" s="478">
        <f>162.5</f>
        <v>162.5</v>
      </c>
      <c r="S102" s="479"/>
      <c r="T102" s="478">
        <f>22.27</f>
        <v>22.27</v>
      </c>
      <c r="U102" s="478">
        <f>273.56</f>
        <v>273.56</v>
      </c>
      <c r="V102" s="479"/>
      <c r="W102" s="478">
        <f t="shared" si="101"/>
        <v>1451.59</v>
      </c>
      <c r="X102" s="478">
        <f t="shared" si="123"/>
        <v>829.48</v>
      </c>
      <c r="Y102" s="478">
        <f t="shared" si="124"/>
        <v>718.74</v>
      </c>
      <c r="Z102" s="478">
        <f t="shared" si="127"/>
        <v>1012.5</v>
      </c>
      <c r="AA102" s="478">
        <v>800</v>
      </c>
      <c r="AB102" s="37" t="str">
        <f t="shared" si="65"/>
        <v/>
      </c>
      <c r="AC102" s="478">
        <f t="shared" si="128"/>
        <v>70.020740740740735</v>
      </c>
      <c r="AD102" s="478">
        <f t="shared" si="129"/>
        <v>129.2720987654321</v>
      </c>
      <c r="AE102" s="478">
        <f t="shared" si="130"/>
        <v>17.611851851851849</v>
      </c>
      <c r="AF102" s="478">
        <f t="shared" si="131"/>
        <v>0</v>
      </c>
      <c r="AG102" s="478">
        <f t="shared" si="132"/>
        <v>128.39506172839506</v>
      </c>
      <c r="AH102" s="478">
        <f t="shared" si="133"/>
        <v>0</v>
      </c>
      <c r="AI102" s="478">
        <f t="shared" si="134"/>
        <v>17.59604938271605</v>
      </c>
      <c r="AJ102" s="488">
        <f t="shared" si="135"/>
        <v>216.14617283950616</v>
      </c>
      <c r="AK102" s="478">
        <f t="shared" si="136"/>
        <v>0</v>
      </c>
      <c r="AL102" s="478">
        <f t="shared" si="137"/>
        <v>174.0483950617284</v>
      </c>
      <c r="AM102" s="478">
        <f t="shared" si="138"/>
        <v>46.909629629629627</v>
      </c>
      <c r="AN102" s="478">
        <f t="shared" si="139"/>
        <v>0</v>
      </c>
    </row>
    <row r="103" spans="1:40" x14ac:dyDescent="0.25">
      <c r="A103" s="476" t="s">
        <v>205</v>
      </c>
      <c r="B103" s="479"/>
      <c r="C103" s="479"/>
      <c r="D103" s="479"/>
      <c r="E103" s="479"/>
      <c r="F103" s="479"/>
      <c r="G103" s="478">
        <f>320</f>
        <v>320</v>
      </c>
      <c r="H103" s="479"/>
      <c r="I103" s="478">
        <f>203.06</f>
        <v>203.06</v>
      </c>
      <c r="J103" s="478">
        <f>71.6</f>
        <v>71.599999999999994</v>
      </c>
      <c r="K103" s="479"/>
      <c r="L103" s="479"/>
      <c r="M103" s="479"/>
      <c r="N103" s="478">
        <f>9</f>
        <v>9</v>
      </c>
      <c r="O103" s="479"/>
      <c r="P103" s="479"/>
      <c r="Q103" s="479"/>
      <c r="R103" s="479"/>
      <c r="S103" s="479"/>
      <c r="T103" s="479"/>
      <c r="U103" s="478">
        <f>486</f>
        <v>486</v>
      </c>
      <c r="V103" s="479"/>
      <c r="W103" s="478">
        <f t="shared" si="101"/>
        <v>1089.6599999999999</v>
      </c>
      <c r="X103" s="478">
        <f t="shared" si="123"/>
        <v>622.66285714285709</v>
      </c>
      <c r="Y103" s="478">
        <f t="shared" si="124"/>
        <v>594.66</v>
      </c>
      <c r="Z103" s="478">
        <f t="shared" si="127"/>
        <v>495</v>
      </c>
      <c r="AA103" s="478">
        <v>600</v>
      </c>
      <c r="AB103" s="37" t="str">
        <f t="shared" si="65"/>
        <v/>
      </c>
      <c r="AC103" s="478">
        <f t="shared" si="128"/>
        <v>10.909090909090908</v>
      </c>
      <c r="AD103" s="478">
        <f t="shared" si="129"/>
        <v>0</v>
      </c>
      <c r="AE103" s="478">
        <f t="shared" si="130"/>
        <v>0</v>
      </c>
      <c r="AF103" s="478">
        <f t="shared" si="131"/>
        <v>0</v>
      </c>
      <c r="AG103" s="478">
        <f t="shared" si="132"/>
        <v>0</v>
      </c>
      <c r="AH103" s="478">
        <f t="shared" si="133"/>
        <v>0</v>
      </c>
      <c r="AI103" s="478">
        <f t="shared" si="134"/>
        <v>0</v>
      </c>
      <c r="AJ103" s="488">
        <f t="shared" si="135"/>
        <v>589.09090909090912</v>
      </c>
      <c r="AK103" s="478">
        <f t="shared" si="136"/>
        <v>0</v>
      </c>
      <c r="AL103" s="478">
        <f t="shared" si="137"/>
        <v>0</v>
      </c>
      <c r="AM103" s="478">
        <f t="shared" si="138"/>
        <v>0</v>
      </c>
      <c r="AN103" s="478">
        <f t="shared" si="139"/>
        <v>0</v>
      </c>
    </row>
    <row r="104" spans="1:40" x14ac:dyDescent="0.25">
      <c r="A104" s="476" t="s">
        <v>206</v>
      </c>
      <c r="B104" s="479"/>
      <c r="C104" s="478">
        <f>188.23</f>
        <v>188.23</v>
      </c>
      <c r="D104" s="478">
        <f>278.79</f>
        <v>278.79000000000002</v>
      </c>
      <c r="E104" s="478">
        <f>23.47</f>
        <v>23.47</v>
      </c>
      <c r="F104" s="478">
        <f>219.76</f>
        <v>219.76</v>
      </c>
      <c r="G104" s="478">
        <f>474.22</f>
        <v>474.22</v>
      </c>
      <c r="H104" s="478">
        <f>14.91</f>
        <v>14.91</v>
      </c>
      <c r="I104" s="478">
        <f>108.49</f>
        <v>108.49</v>
      </c>
      <c r="J104" s="478">
        <f>170.17</f>
        <v>170.17</v>
      </c>
      <c r="K104" s="478">
        <f>121.18</f>
        <v>121.18</v>
      </c>
      <c r="L104" s="479"/>
      <c r="M104" s="479"/>
      <c r="N104" s="478">
        <f>472.28</f>
        <v>472.28</v>
      </c>
      <c r="O104" s="478">
        <f>534.07</f>
        <v>534.07000000000005</v>
      </c>
      <c r="P104" s="478">
        <f>105.65</f>
        <v>105.65</v>
      </c>
      <c r="Q104" s="478">
        <f>284.65</f>
        <v>284.64999999999998</v>
      </c>
      <c r="R104" s="478">
        <f>198.67</f>
        <v>198.67</v>
      </c>
      <c r="S104" s="478">
        <f>193.05</f>
        <v>193.05</v>
      </c>
      <c r="T104" s="478">
        <f>270.87</f>
        <v>270.87</v>
      </c>
      <c r="U104" s="479"/>
      <c r="V104" s="479"/>
      <c r="W104" s="478">
        <f t="shared" si="101"/>
        <v>3658.4600000000005</v>
      </c>
      <c r="X104" s="478">
        <f t="shared" si="123"/>
        <v>2090.5485714285719</v>
      </c>
      <c r="Y104" s="478">
        <f t="shared" si="124"/>
        <v>1599.2200000000003</v>
      </c>
      <c r="Z104" s="478">
        <f t="shared" si="127"/>
        <v>2180.4200000000005</v>
      </c>
      <c r="AA104" s="478">
        <v>2100</v>
      </c>
      <c r="AB104" s="37" t="str">
        <f t="shared" si="65"/>
        <v/>
      </c>
      <c r="AC104" s="478">
        <f t="shared" si="128"/>
        <v>454.860990084479</v>
      </c>
      <c r="AD104" s="478">
        <f t="shared" si="129"/>
        <v>514.37200172443829</v>
      </c>
      <c r="AE104" s="478">
        <f t="shared" si="130"/>
        <v>101.75333192687646</v>
      </c>
      <c r="AF104" s="478">
        <f t="shared" si="131"/>
        <v>274.15131029801586</v>
      </c>
      <c r="AG104" s="478">
        <f t="shared" si="132"/>
        <v>191.34249364801272</v>
      </c>
      <c r="AH104" s="478">
        <f t="shared" si="133"/>
        <v>185.92977499747752</v>
      </c>
      <c r="AI104" s="478">
        <f t="shared" si="134"/>
        <v>260.87955531503098</v>
      </c>
      <c r="AJ104" s="488">
        <f t="shared" si="135"/>
        <v>0</v>
      </c>
      <c r="AK104" s="478">
        <f t="shared" si="136"/>
        <v>0</v>
      </c>
      <c r="AL104" s="478">
        <f t="shared" si="137"/>
        <v>116.71054200566861</v>
      </c>
      <c r="AM104" s="478">
        <f t="shared" si="138"/>
        <v>0</v>
      </c>
      <c r="AN104" s="478">
        <f t="shared" si="139"/>
        <v>0</v>
      </c>
    </row>
    <row r="105" spans="1:40" x14ac:dyDescent="0.25">
      <c r="A105" s="476" t="s">
        <v>445</v>
      </c>
      <c r="B105" s="479"/>
      <c r="C105" s="479"/>
      <c r="D105" s="479"/>
      <c r="E105" s="479"/>
      <c r="F105" s="479"/>
      <c r="G105" s="479"/>
      <c r="H105" s="479"/>
      <c r="I105" s="479"/>
      <c r="J105" s="479"/>
      <c r="K105" s="478">
        <f>20.7</f>
        <v>20.7</v>
      </c>
      <c r="L105" s="478">
        <f>1619.66</f>
        <v>1619.66</v>
      </c>
      <c r="M105" s="479"/>
      <c r="N105" s="478">
        <f>118.94</f>
        <v>118.94</v>
      </c>
      <c r="O105" s="478">
        <f>59.67</f>
        <v>59.67</v>
      </c>
      <c r="P105" s="478">
        <f>72.5</f>
        <v>72.5</v>
      </c>
      <c r="Q105" s="478">
        <f>65.5</f>
        <v>65.5</v>
      </c>
      <c r="R105" s="478">
        <f>44.66</f>
        <v>44.66</v>
      </c>
      <c r="S105" s="478">
        <f>46.33</f>
        <v>46.33</v>
      </c>
      <c r="T105" s="478">
        <f>64.04</f>
        <v>64.040000000000006</v>
      </c>
      <c r="U105" s="478">
        <f>19.43</f>
        <v>19.43</v>
      </c>
      <c r="V105" s="479"/>
      <c r="W105" s="478">
        <f t="shared" si="101"/>
        <v>2131.4300000000003</v>
      </c>
      <c r="X105" s="478">
        <f t="shared" si="123"/>
        <v>1217.9600000000003</v>
      </c>
      <c r="Y105" s="478">
        <f t="shared" si="124"/>
        <v>1640.3600000000001</v>
      </c>
      <c r="Z105" s="478">
        <f t="shared" si="127"/>
        <v>2131.4300000000003</v>
      </c>
      <c r="AA105" s="478">
        <v>0</v>
      </c>
      <c r="AB105" s="37" t="str">
        <f t="shared" si="65"/>
        <v/>
      </c>
      <c r="AC105" s="478"/>
      <c r="AD105" s="478"/>
      <c r="AE105" s="478"/>
      <c r="AF105" s="478"/>
      <c r="AG105" s="478"/>
      <c r="AH105" s="478"/>
      <c r="AI105" s="478"/>
      <c r="AJ105" s="488"/>
      <c r="AK105" s="478"/>
      <c r="AL105" s="478"/>
      <c r="AM105" s="478"/>
      <c r="AN105" s="478"/>
    </row>
    <row r="106" spans="1:40" x14ac:dyDescent="0.25">
      <c r="A106" s="476" t="s">
        <v>207</v>
      </c>
      <c r="B106" s="479"/>
      <c r="C106" s="479"/>
      <c r="D106" s="479"/>
      <c r="E106" s="479"/>
      <c r="F106" s="479"/>
      <c r="G106" s="479"/>
      <c r="H106" s="479"/>
      <c r="I106" s="478">
        <f>20.95</f>
        <v>20.95</v>
      </c>
      <c r="J106" s="479"/>
      <c r="K106" s="479"/>
      <c r="L106" s="479"/>
      <c r="M106" s="479"/>
      <c r="N106" s="479"/>
      <c r="O106" s="479"/>
      <c r="P106" s="478">
        <f>20.95</f>
        <v>20.95</v>
      </c>
      <c r="Q106" s="479"/>
      <c r="R106" s="479"/>
      <c r="S106" s="479"/>
      <c r="T106" s="479"/>
      <c r="U106" s="479"/>
      <c r="V106" s="479"/>
      <c r="W106" s="478">
        <f t="shared" si="101"/>
        <v>41.9</v>
      </c>
      <c r="X106" s="478">
        <f t="shared" si="123"/>
        <v>23.942857142857143</v>
      </c>
      <c r="Y106" s="478">
        <f t="shared" si="124"/>
        <v>20.95</v>
      </c>
      <c r="Z106" s="478">
        <f t="shared" si="127"/>
        <v>20.95</v>
      </c>
      <c r="AA106" s="478">
        <v>0</v>
      </c>
      <c r="AB106" s="37" t="str">
        <f t="shared" si="65"/>
        <v/>
      </c>
      <c r="AC106" s="478">
        <f t="shared" si="128"/>
        <v>0</v>
      </c>
      <c r="AD106" s="478">
        <f t="shared" si="129"/>
        <v>0</v>
      </c>
      <c r="AE106" s="478">
        <f t="shared" si="130"/>
        <v>0</v>
      </c>
      <c r="AF106" s="478">
        <f t="shared" si="131"/>
        <v>0</v>
      </c>
      <c r="AG106" s="478">
        <f t="shared" si="132"/>
        <v>0</v>
      </c>
      <c r="AH106" s="478">
        <f t="shared" si="133"/>
        <v>0</v>
      </c>
      <c r="AI106" s="478">
        <f t="shared" si="134"/>
        <v>0</v>
      </c>
      <c r="AJ106" s="488">
        <f t="shared" si="135"/>
        <v>0</v>
      </c>
      <c r="AK106" s="478">
        <f t="shared" si="136"/>
        <v>0</v>
      </c>
      <c r="AL106" s="478">
        <f t="shared" si="137"/>
        <v>0</v>
      </c>
      <c r="AM106" s="478">
        <f t="shared" si="138"/>
        <v>0</v>
      </c>
      <c r="AN106" s="478">
        <f t="shared" si="139"/>
        <v>0</v>
      </c>
    </row>
    <row r="107" spans="1:40" x14ac:dyDescent="0.25">
      <c r="A107" s="476" t="s">
        <v>208</v>
      </c>
      <c r="B107" s="479"/>
      <c r="C107" s="479"/>
      <c r="D107" s="478">
        <f>25.99</f>
        <v>25.99</v>
      </c>
      <c r="E107" s="479"/>
      <c r="F107" s="478">
        <f>112.69</f>
        <v>112.69</v>
      </c>
      <c r="G107" s="478">
        <f>154.21</f>
        <v>154.21</v>
      </c>
      <c r="H107" s="478">
        <f>150.48</f>
        <v>150.47999999999999</v>
      </c>
      <c r="I107" s="479"/>
      <c r="J107" s="479"/>
      <c r="K107" s="479"/>
      <c r="L107" s="478">
        <f>13.68</f>
        <v>13.68</v>
      </c>
      <c r="M107" s="479"/>
      <c r="N107" s="479"/>
      <c r="O107" s="478">
        <f>149</f>
        <v>149</v>
      </c>
      <c r="P107" s="479"/>
      <c r="Q107" s="478">
        <f>111.62</f>
        <v>111.62</v>
      </c>
      <c r="R107" s="478">
        <f>125.55</f>
        <v>125.55</v>
      </c>
      <c r="S107" s="478">
        <f>12.99</f>
        <v>12.99</v>
      </c>
      <c r="T107" s="479"/>
      <c r="U107" s="479"/>
      <c r="V107" s="479"/>
      <c r="W107" s="478">
        <f t="shared" si="101"/>
        <v>856.20999999999992</v>
      </c>
      <c r="X107" s="478">
        <f t="shared" si="123"/>
        <v>489.26285714285711</v>
      </c>
      <c r="Y107" s="478">
        <f t="shared" si="124"/>
        <v>457.05</v>
      </c>
      <c r="Z107" s="478">
        <f t="shared" si="127"/>
        <v>412.84000000000003</v>
      </c>
      <c r="AA107" s="478">
        <v>450</v>
      </c>
      <c r="AB107" s="37" t="str">
        <f t="shared" si="65"/>
        <v/>
      </c>
      <c r="AC107" s="478">
        <f t="shared" si="128"/>
        <v>0</v>
      </c>
      <c r="AD107" s="478">
        <f t="shared" si="129"/>
        <v>162.41158802441623</v>
      </c>
      <c r="AE107" s="478">
        <f t="shared" si="130"/>
        <v>0</v>
      </c>
      <c r="AF107" s="478">
        <f t="shared" si="131"/>
        <v>121.66698963278752</v>
      </c>
      <c r="AG107" s="478">
        <f t="shared" si="132"/>
        <v>136.8508380970836</v>
      </c>
      <c r="AH107" s="478">
        <f t="shared" si="133"/>
        <v>14.159238445887024</v>
      </c>
      <c r="AI107" s="478">
        <f t="shared" si="134"/>
        <v>0</v>
      </c>
      <c r="AJ107" s="488">
        <f t="shared" si="135"/>
        <v>0</v>
      </c>
      <c r="AK107" s="478">
        <f t="shared" si="136"/>
        <v>0</v>
      </c>
      <c r="AL107" s="478">
        <f t="shared" si="137"/>
        <v>0</v>
      </c>
      <c r="AM107" s="478">
        <f t="shared" si="138"/>
        <v>14.911345799825597</v>
      </c>
      <c r="AN107" s="478">
        <f t="shared" si="139"/>
        <v>0</v>
      </c>
    </row>
    <row r="108" spans="1:40" x14ac:dyDescent="0.25">
      <c r="A108" s="476" t="s">
        <v>209</v>
      </c>
      <c r="B108" s="479"/>
      <c r="C108" s="479"/>
      <c r="D108" s="479"/>
      <c r="E108" s="479"/>
      <c r="F108" s="479"/>
      <c r="G108" s="479"/>
      <c r="H108" s="479"/>
      <c r="I108" s="479"/>
      <c r="J108" s="479"/>
      <c r="K108" s="479"/>
      <c r="L108" s="479"/>
      <c r="M108" s="479"/>
      <c r="N108" s="479"/>
      <c r="O108" s="479"/>
      <c r="P108" s="479"/>
      <c r="Q108" s="479"/>
      <c r="R108" s="479"/>
      <c r="S108" s="479"/>
      <c r="T108" s="479"/>
      <c r="U108" s="478">
        <f>8</f>
        <v>8</v>
      </c>
      <c r="V108" s="479"/>
      <c r="W108" s="478">
        <f t="shared" si="101"/>
        <v>8</v>
      </c>
      <c r="X108" s="478">
        <f t="shared" si="123"/>
        <v>4.5714285714285712</v>
      </c>
      <c r="Y108" s="478">
        <f t="shared" si="124"/>
        <v>0</v>
      </c>
      <c r="Z108" s="478">
        <f t="shared" si="127"/>
        <v>8</v>
      </c>
      <c r="AA108" s="478"/>
      <c r="AB108" s="37" t="str">
        <f t="shared" si="65"/>
        <v/>
      </c>
      <c r="AC108" s="478"/>
      <c r="AD108" s="478"/>
      <c r="AE108" s="478"/>
      <c r="AF108" s="478"/>
      <c r="AG108" s="478"/>
      <c r="AH108" s="478"/>
      <c r="AI108" s="478"/>
      <c r="AJ108" s="478"/>
      <c r="AK108" s="478"/>
      <c r="AL108" s="478"/>
      <c r="AM108" s="478"/>
      <c r="AN108" s="478"/>
    </row>
    <row r="109" spans="1:40" x14ac:dyDescent="0.25">
      <c r="A109" s="476" t="s">
        <v>527</v>
      </c>
      <c r="B109" s="478">
        <f>896.49</f>
        <v>896.49</v>
      </c>
      <c r="C109" s="478">
        <f>42</f>
        <v>42</v>
      </c>
      <c r="D109" s="479"/>
      <c r="E109" s="479"/>
      <c r="F109" s="479"/>
      <c r="G109" s="479"/>
      <c r="H109" s="479"/>
      <c r="I109" s="479"/>
      <c r="J109" s="479"/>
      <c r="K109" s="478">
        <f>30</f>
        <v>30</v>
      </c>
      <c r="L109" s="479"/>
      <c r="M109" s="478">
        <f>1028.23</f>
        <v>1028.23</v>
      </c>
      <c r="N109" s="478">
        <f>-689.68</f>
        <v>-689.68</v>
      </c>
      <c r="O109" s="479"/>
      <c r="P109" s="479"/>
      <c r="Q109" s="479"/>
      <c r="R109" s="479"/>
      <c r="S109" s="479"/>
      <c r="T109" s="479"/>
      <c r="U109" s="479"/>
      <c r="V109" s="479"/>
      <c r="W109" s="478">
        <f t="shared" si="101"/>
        <v>1307.04</v>
      </c>
      <c r="X109" s="478">
        <f t="shared" si="123"/>
        <v>746.87999999999988</v>
      </c>
      <c r="Y109" s="478">
        <f t="shared" si="124"/>
        <v>1996.72</v>
      </c>
      <c r="Z109" s="478">
        <f t="shared" si="127"/>
        <v>368.55000000000007</v>
      </c>
      <c r="AA109" s="478">
        <f>'Travel Output'!O5</f>
        <v>1245</v>
      </c>
      <c r="AB109" s="37" t="str">
        <f t="shared" si="65"/>
        <v/>
      </c>
      <c r="AC109" s="478">
        <f>'Travel Output'!C5</f>
        <v>415</v>
      </c>
      <c r="AD109" s="478">
        <f>'Travel Output'!D5</f>
        <v>0</v>
      </c>
      <c r="AE109" s="478">
        <f>'Travel Output'!E5</f>
        <v>0</v>
      </c>
      <c r="AF109" s="478">
        <f>'Travel Output'!F5</f>
        <v>0</v>
      </c>
      <c r="AG109" s="478">
        <f>'Travel Output'!G5</f>
        <v>415</v>
      </c>
      <c r="AH109" s="478">
        <f>'Travel Output'!H5</f>
        <v>0</v>
      </c>
      <c r="AI109" s="478">
        <f>'Travel Output'!I5</f>
        <v>0</v>
      </c>
      <c r="AJ109" s="478">
        <f>'Travel Output'!J5</f>
        <v>0</v>
      </c>
      <c r="AK109" s="478">
        <f>'Travel Output'!K5</f>
        <v>0</v>
      </c>
      <c r="AL109" s="478">
        <f>'Travel Output'!L5</f>
        <v>415</v>
      </c>
      <c r="AM109" s="478">
        <f>'Travel Output'!M5</f>
        <v>0</v>
      </c>
      <c r="AN109" s="478">
        <f>'Travel Output'!N5</f>
        <v>0</v>
      </c>
    </row>
    <row r="110" spans="1:40" x14ac:dyDescent="0.25">
      <c r="A110" s="476" t="s">
        <v>528</v>
      </c>
      <c r="B110" s="478">
        <f>457.58</f>
        <v>457.58</v>
      </c>
      <c r="C110" s="478">
        <f>374.97</f>
        <v>374.97</v>
      </c>
      <c r="D110" s="479"/>
      <c r="E110" s="479"/>
      <c r="F110" s="479"/>
      <c r="G110" s="479"/>
      <c r="H110" s="478">
        <f>726.64</f>
        <v>726.64</v>
      </c>
      <c r="I110" s="479"/>
      <c r="J110" s="479"/>
      <c r="K110" s="478">
        <f>1154.08</f>
        <v>1154.08</v>
      </c>
      <c r="L110" s="479"/>
      <c r="M110" s="478">
        <f>179.67</f>
        <v>179.67</v>
      </c>
      <c r="N110" s="479"/>
      <c r="O110" s="479"/>
      <c r="P110" s="479"/>
      <c r="Q110" s="479"/>
      <c r="R110" s="479"/>
      <c r="S110" s="479"/>
      <c r="T110" s="479"/>
      <c r="U110" s="479"/>
      <c r="V110" s="479"/>
      <c r="W110" s="478">
        <f t="shared" si="101"/>
        <v>2892.94</v>
      </c>
      <c r="X110" s="478">
        <f t="shared" si="123"/>
        <v>1653.1085714285716</v>
      </c>
      <c r="Y110" s="478">
        <f t="shared" si="124"/>
        <v>2892.94</v>
      </c>
      <c r="Z110" s="478">
        <f t="shared" si="127"/>
        <v>1333.75</v>
      </c>
      <c r="AA110" s="478">
        <f>'Travel Output'!O6</f>
        <v>1380</v>
      </c>
      <c r="AB110" s="37" t="str">
        <f t="shared" si="65"/>
        <v/>
      </c>
      <c r="AC110" s="478">
        <f>'Travel Output'!C6</f>
        <v>460</v>
      </c>
      <c r="AD110" s="478">
        <f>'Travel Output'!D6</f>
        <v>0</v>
      </c>
      <c r="AE110" s="478">
        <f>'Travel Output'!E6</f>
        <v>0</v>
      </c>
      <c r="AF110" s="478">
        <f>'Travel Output'!F6</f>
        <v>0</v>
      </c>
      <c r="AG110" s="478">
        <f>'Travel Output'!G6</f>
        <v>460</v>
      </c>
      <c r="AH110" s="478">
        <f>'Travel Output'!H6</f>
        <v>0</v>
      </c>
      <c r="AI110" s="478">
        <f>'Travel Output'!I6</f>
        <v>0</v>
      </c>
      <c r="AJ110" s="478">
        <f>'Travel Output'!J6</f>
        <v>0</v>
      </c>
      <c r="AK110" s="478">
        <f>'Travel Output'!K6</f>
        <v>0</v>
      </c>
      <c r="AL110" s="478">
        <f>'Travel Output'!L6</f>
        <v>460</v>
      </c>
      <c r="AM110" s="478">
        <f>'Travel Output'!M6</f>
        <v>0</v>
      </c>
      <c r="AN110" s="478">
        <f>'Travel Output'!N6</f>
        <v>0</v>
      </c>
    </row>
    <row r="111" spans="1:40" x14ac:dyDescent="0.25">
      <c r="A111" s="476" t="s">
        <v>529</v>
      </c>
      <c r="B111" s="479"/>
      <c r="C111" s="478">
        <f>107.94</f>
        <v>107.94</v>
      </c>
      <c r="D111" s="479"/>
      <c r="E111" s="478">
        <f>39.75</f>
        <v>39.75</v>
      </c>
      <c r="F111" s="479"/>
      <c r="G111" s="479"/>
      <c r="H111" s="479"/>
      <c r="I111" s="479"/>
      <c r="J111" s="479"/>
      <c r="K111" s="478">
        <f>308.89</f>
        <v>308.89</v>
      </c>
      <c r="L111" s="479"/>
      <c r="M111" s="478">
        <f>25.61</f>
        <v>25.61</v>
      </c>
      <c r="N111" s="478">
        <f>-25.61</f>
        <v>-25.61</v>
      </c>
      <c r="O111" s="479"/>
      <c r="P111" s="479"/>
      <c r="Q111" s="479"/>
      <c r="R111" s="479"/>
      <c r="S111" s="479"/>
      <c r="T111" s="479"/>
      <c r="U111" s="479"/>
      <c r="V111" s="479"/>
      <c r="W111" s="478">
        <f t="shared" si="101"/>
        <v>456.58</v>
      </c>
      <c r="X111" s="478">
        <f t="shared" si="123"/>
        <v>260.9028571428571</v>
      </c>
      <c r="Y111" s="478">
        <f t="shared" si="124"/>
        <v>482.19</v>
      </c>
      <c r="Z111" s="478">
        <f t="shared" si="127"/>
        <v>308.89</v>
      </c>
      <c r="AA111" s="478">
        <f>'Travel Output'!O10</f>
        <v>300</v>
      </c>
      <c r="AB111" s="37" t="str">
        <f t="shared" si="65"/>
        <v/>
      </c>
      <c r="AC111" s="478">
        <f>'Travel Output'!C10</f>
        <v>100</v>
      </c>
      <c r="AD111" s="478">
        <f>'Travel Output'!D10</f>
        <v>0</v>
      </c>
      <c r="AE111" s="478">
        <f>'Travel Output'!E10</f>
        <v>0</v>
      </c>
      <c r="AF111" s="478">
        <f>'Travel Output'!F10</f>
        <v>0</v>
      </c>
      <c r="AG111" s="478">
        <f>'Travel Output'!G10</f>
        <v>100</v>
      </c>
      <c r="AH111" s="478">
        <f>'Travel Output'!H10</f>
        <v>0</v>
      </c>
      <c r="AI111" s="478">
        <f>'Travel Output'!I10</f>
        <v>0</v>
      </c>
      <c r="AJ111" s="478">
        <f>'Travel Output'!J10</f>
        <v>0</v>
      </c>
      <c r="AK111" s="478">
        <f>'Travel Output'!K10</f>
        <v>0</v>
      </c>
      <c r="AL111" s="478">
        <f>'Travel Output'!L10</f>
        <v>100</v>
      </c>
      <c r="AM111" s="478">
        <f>'Travel Output'!M10</f>
        <v>0</v>
      </c>
      <c r="AN111" s="478">
        <f>'Travel Output'!N10</f>
        <v>0</v>
      </c>
    </row>
    <row r="112" spans="1:40" x14ac:dyDescent="0.25">
      <c r="A112" s="476" t="s">
        <v>530</v>
      </c>
      <c r="B112" s="479"/>
      <c r="C112" s="478">
        <f>585.04</f>
        <v>585.04</v>
      </c>
      <c r="D112" s="479"/>
      <c r="E112" s="479"/>
      <c r="F112" s="479"/>
      <c r="G112" s="479"/>
      <c r="H112" s="478">
        <f>179.56</f>
        <v>179.56</v>
      </c>
      <c r="I112" s="479"/>
      <c r="J112" s="479"/>
      <c r="K112" s="478">
        <f>193.44</f>
        <v>193.44</v>
      </c>
      <c r="L112" s="479"/>
      <c r="M112" s="478">
        <f>470.19</f>
        <v>470.19</v>
      </c>
      <c r="N112" s="478">
        <f>-457.04</f>
        <v>-457.04</v>
      </c>
      <c r="O112" s="479"/>
      <c r="P112" s="479"/>
      <c r="Q112" s="479"/>
      <c r="R112" s="479"/>
      <c r="S112" s="479"/>
      <c r="T112" s="479"/>
      <c r="U112" s="478">
        <f>10</f>
        <v>10</v>
      </c>
      <c r="V112" s="479"/>
      <c r="W112" s="478">
        <f t="shared" si="101"/>
        <v>981.19</v>
      </c>
      <c r="X112" s="478">
        <f t="shared" si="123"/>
        <v>560.68000000000006</v>
      </c>
      <c r="Y112" s="478">
        <f t="shared" si="124"/>
        <v>1428.23</v>
      </c>
      <c r="Z112" s="478">
        <f t="shared" si="127"/>
        <v>216.58999999999997</v>
      </c>
      <c r="AA112" s="478">
        <f>'Travel Output'!O7+'Travel Output'!O8+'Travel Output'!O11+'Travel Output'!O9</f>
        <v>510</v>
      </c>
      <c r="AB112" s="37" t="str">
        <f t="shared" ref="AB112:AB131" si="140">IF(ABS(AA112-SUM(AC112:AN112))&lt;1,"","ERROR")</f>
        <v/>
      </c>
      <c r="AC112" s="478">
        <f>'Travel Output'!C7+'Travel Output'!C8+'Travel Output'!C11+'Travel Output'!C9</f>
        <v>170</v>
      </c>
      <c r="AD112" s="478">
        <f>'Travel Output'!D7+'Travel Output'!D8+'Travel Output'!D11+'Travel Output'!D9</f>
        <v>0</v>
      </c>
      <c r="AE112" s="478">
        <f>'Travel Output'!E7+'Travel Output'!E8+'Travel Output'!E11+'Travel Output'!E9</f>
        <v>0</v>
      </c>
      <c r="AF112" s="478">
        <f>'Travel Output'!F7+'Travel Output'!F8+'Travel Output'!F11+'Travel Output'!F9</f>
        <v>0</v>
      </c>
      <c r="AG112" s="478">
        <f>'Travel Output'!G7+'Travel Output'!G8+'Travel Output'!G11+'Travel Output'!G9</f>
        <v>170</v>
      </c>
      <c r="AH112" s="478">
        <f>'Travel Output'!H7+'Travel Output'!H8+'Travel Output'!H11+'Travel Output'!H9</f>
        <v>0</v>
      </c>
      <c r="AI112" s="478">
        <f>'Travel Output'!I7+'Travel Output'!I8+'Travel Output'!I11+'Travel Output'!I9</f>
        <v>0</v>
      </c>
      <c r="AJ112" s="478">
        <f>'Travel Output'!J7+'Travel Output'!J8+'Travel Output'!J11+'Travel Output'!J9</f>
        <v>0</v>
      </c>
      <c r="AK112" s="478">
        <f>'Travel Output'!K7+'Travel Output'!K8+'Travel Output'!K11+'Travel Output'!K9</f>
        <v>0</v>
      </c>
      <c r="AL112" s="478">
        <f>'Travel Output'!L7+'Travel Output'!L8+'Travel Output'!L11+'Travel Output'!L9</f>
        <v>170</v>
      </c>
      <c r="AM112" s="478">
        <f>'Travel Output'!M7+'Travel Output'!M8+'Travel Output'!M11+'Travel Output'!M9</f>
        <v>0</v>
      </c>
      <c r="AN112" s="478">
        <f>'Travel Output'!N7+'Travel Output'!N8+'Travel Output'!N11+'Travel Output'!N9</f>
        <v>0</v>
      </c>
    </row>
    <row r="113" spans="1:40" x14ac:dyDescent="0.25">
      <c r="A113" s="476" t="s">
        <v>653</v>
      </c>
      <c r="B113" s="480">
        <f t="shared" ref="B113:V113" si="141">((((B108)+(B109))+(B110))+(B111))+(B112)</f>
        <v>1354.07</v>
      </c>
      <c r="C113" s="480">
        <f t="shared" si="141"/>
        <v>1109.95</v>
      </c>
      <c r="D113" s="480">
        <f t="shared" si="141"/>
        <v>0</v>
      </c>
      <c r="E113" s="480">
        <f t="shared" si="141"/>
        <v>39.75</v>
      </c>
      <c r="F113" s="480">
        <f t="shared" si="141"/>
        <v>0</v>
      </c>
      <c r="G113" s="480">
        <f t="shared" si="141"/>
        <v>0</v>
      </c>
      <c r="H113" s="480">
        <f t="shared" si="141"/>
        <v>906.2</v>
      </c>
      <c r="I113" s="480">
        <f t="shared" si="141"/>
        <v>0</v>
      </c>
      <c r="J113" s="480">
        <f t="shared" si="141"/>
        <v>0</v>
      </c>
      <c r="K113" s="480">
        <f t="shared" si="141"/>
        <v>1686.4099999999999</v>
      </c>
      <c r="L113" s="480">
        <f t="shared" si="141"/>
        <v>0</v>
      </c>
      <c r="M113" s="480">
        <f t="shared" si="141"/>
        <v>1703.7</v>
      </c>
      <c r="N113" s="480">
        <f t="shared" si="141"/>
        <v>-1172.33</v>
      </c>
      <c r="O113" s="480">
        <f t="shared" si="141"/>
        <v>0</v>
      </c>
      <c r="P113" s="480">
        <f t="shared" si="141"/>
        <v>0</v>
      </c>
      <c r="Q113" s="480">
        <f t="shared" si="141"/>
        <v>0</v>
      </c>
      <c r="R113" s="480">
        <f t="shared" si="141"/>
        <v>0</v>
      </c>
      <c r="S113" s="480">
        <f t="shared" si="141"/>
        <v>0</v>
      </c>
      <c r="T113" s="480">
        <f t="shared" si="141"/>
        <v>0</v>
      </c>
      <c r="U113" s="480">
        <f t="shared" si="141"/>
        <v>18</v>
      </c>
      <c r="V113" s="480">
        <f t="shared" si="141"/>
        <v>0</v>
      </c>
      <c r="W113" s="480">
        <f t="shared" si="101"/>
        <v>5645.75</v>
      </c>
      <c r="X113" s="480">
        <f t="shared" si="123"/>
        <v>3226.1428571428569</v>
      </c>
      <c r="Y113" s="480">
        <f t="shared" si="124"/>
        <v>6800.08</v>
      </c>
      <c r="Z113" s="480">
        <f>SUM(K113:M113,N113:V113)</f>
        <v>2235.7799999999997</v>
      </c>
      <c r="AA113" s="480">
        <f t="shared" ref="AA113" si="142">((((AA108)+(AA109))+(AA110))+(AA111))+(AA112)</f>
        <v>3435</v>
      </c>
      <c r="AB113" s="37" t="str">
        <f t="shared" si="140"/>
        <v/>
      </c>
      <c r="AC113" s="480">
        <f>SUM(AC108:AC112)</f>
        <v>1145</v>
      </c>
      <c r="AD113" s="480">
        <f t="shared" ref="AD113:AN113" si="143">SUM(AD108:AD112)</f>
        <v>0</v>
      </c>
      <c r="AE113" s="480">
        <f t="shared" si="143"/>
        <v>0</v>
      </c>
      <c r="AF113" s="480">
        <f t="shared" si="143"/>
        <v>0</v>
      </c>
      <c r="AG113" s="480">
        <f t="shared" si="143"/>
        <v>1145</v>
      </c>
      <c r="AH113" s="480">
        <f t="shared" si="143"/>
        <v>0</v>
      </c>
      <c r="AI113" s="480">
        <f t="shared" si="143"/>
        <v>0</v>
      </c>
      <c r="AJ113" s="480">
        <f t="shared" si="143"/>
        <v>0</v>
      </c>
      <c r="AK113" s="480">
        <f t="shared" si="143"/>
        <v>0</v>
      </c>
      <c r="AL113" s="480">
        <f t="shared" si="143"/>
        <v>1145</v>
      </c>
      <c r="AM113" s="480">
        <f t="shared" si="143"/>
        <v>0</v>
      </c>
      <c r="AN113" s="480">
        <f t="shared" si="143"/>
        <v>0</v>
      </c>
    </row>
    <row r="114" spans="1:40" x14ac:dyDescent="0.25">
      <c r="A114" s="476" t="s">
        <v>654</v>
      </c>
      <c r="B114" s="479"/>
      <c r="C114" s="479"/>
      <c r="D114" s="478">
        <f>85</f>
        <v>85</v>
      </c>
      <c r="E114" s="479"/>
      <c r="F114" s="479"/>
      <c r="G114" s="479"/>
      <c r="H114" s="479"/>
      <c r="I114" s="479"/>
      <c r="J114" s="479"/>
      <c r="K114" s="479"/>
      <c r="L114" s="479"/>
      <c r="M114" s="479"/>
      <c r="N114" s="479"/>
      <c r="O114" s="479"/>
      <c r="P114" s="478">
        <f>0</f>
        <v>0</v>
      </c>
      <c r="Q114" s="479"/>
      <c r="R114" s="479"/>
      <c r="S114" s="479"/>
      <c r="T114" s="479"/>
      <c r="U114" s="479"/>
      <c r="V114" s="479"/>
      <c r="W114" s="478">
        <f t="shared" si="101"/>
        <v>85</v>
      </c>
      <c r="X114" s="478">
        <f t="shared" si="123"/>
        <v>48.571428571428569</v>
      </c>
      <c r="Y114" s="478">
        <f t="shared" si="124"/>
        <v>85</v>
      </c>
      <c r="Z114" s="478">
        <f t="shared" ref="Z114:Z116" si="144">SUM(K114:M114,N114:V114)</f>
        <v>0</v>
      </c>
      <c r="AA114" s="478"/>
      <c r="AB114" s="37" t="str">
        <f t="shared" si="140"/>
        <v/>
      </c>
      <c r="AC114" s="478"/>
      <c r="AD114" s="478"/>
      <c r="AE114" s="478"/>
      <c r="AF114" s="478"/>
      <c r="AG114" s="478"/>
      <c r="AH114" s="478"/>
      <c r="AI114" s="478"/>
      <c r="AJ114" s="478"/>
      <c r="AK114" s="478"/>
      <c r="AL114" s="478"/>
      <c r="AM114" s="478"/>
      <c r="AN114" s="478"/>
    </row>
    <row r="115" spans="1:40" x14ac:dyDescent="0.25">
      <c r="A115" s="476" t="s">
        <v>211</v>
      </c>
      <c r="B115" s="479"/>
      <c r="C115" s="478">
        <f>24.48</f>
        <v>24.48</v>
      </c>
      <c r="D115" s="479"/>
      <c r="E115" s="478">
        <f>35</f>
        <v>35</v>
      </c>
      <c r="F115" s="479"/>
      <c r="G115" s="479"/>
      <c r="H115" s="479"/>
      <c r="I115" s="479"/>
      <c r="J115" s="479"/>
      <c r="K115" s="478">
        <f>92.82</f>
        <v>92.82</v>
      </c>
      <c r="L115" s="479"/>
      <c r="M115" s="479"/>
      <c r="N115" s="479"/>
      <c r="O115" s="478">
        <f>92.76</f>
        <v>92.76</v>
      </c>
      <c r="P115" s="479"/>
      <c r="Q115" s="479"/>
      <c r="R115" s="479"/>
      <c r="S115" s="479"/>
      <c r="T115" s="479"/>
      <c r="U115" s="479"/>
      <c r="V115" s="479"/>
      <c r="W115" s="478">
        <f t="shared" si="101"/>
        <v>245.06</v>
      </c>
      <c r="X115" s="478">
        <f t="shared" si="123"/>
        <v>140.03428571428572</v>
      </c>
      <c r="Y115" s="478">
        <f t="shared" si="124"/>
        <v>152.30000000000001</v>
      </c>
      <c r="Z115" s="478">
        <f t="shared" si="144"/>
        <v>185.57999999999998</v>
      </c>
      <c r="AA115" s="478">
        <v>150</v>
      </c>
      <c r="AB115" s="37" t="str">
        <f t="shared" si="140"/>
        <v/>
      </c>
      <c r="AC115" s="478">
        <f t="shared" ref="AC115:AC116" si="145">N115/$Z115*$AA115</f>
        <v>0</v>
      </c>
      <c r="AD115" s="478">
        <f t="shared" ref="AD115:AD116" si="146">O115/$Z115*$AA115</f>
        <v>74.975751697381199</v>
      </c>
      <c r="AE115" s="478">
        <f t="shared" ref="AE115:AE116" si="147">P115/$Z115*$AA115</f>
        <v>0</v>
      </c>
      <c r="AF115" s="478">
        <f t="shared" ref="AF115:AF116" si="148">Q115/$Z115*$AA115</f>
        <v>0</v>
      </c>
      <c r="AG115" s="478">
        <f t="shared" ref="AG115:AG116" si="149">R115/$Z115*$AA115</f>
        <v>0</v>
      </c>
      <c r="AH115" s="478">
        <f t="shared" ref="AH115:AH116" si="150">S115/$Z115*$AA115</f>
        <v>0</v>
      </c>
      <c r="AI115" s="478">
        <f t="shared" ref="AI115:AI116" si="151">T115/$Z115*$AA115</f>
        <v>0</v>
      </c>
      <c r="AJ115" s="488">
        <f t="shared" ref="AJ115:AJ116" si="152">U115/$Z115*$AA115</f>
        <v>0</v>
      </c>
      <c r="AK115" s="478">
        <f t="shared" ref="AK115:AK116" si="153">V115/$Z115*$AA115</f>
        <v>0</v>
      </c>
      <c r="AL115" s="478">
        <f t="shared" ref="AL115:AL116" si="154">K115/$Z115*$AA115</f>
        <v>75.02424830261883</v>
      </c>
      <c r="AM115" s="478">
        <f t="shared" ref="AM115:AM116" si="155">L115/$Z115*$AA115</f>
        <v>0</v>
      </c>
      <c r="AN115" s="478">
        <f t="shared" ref="AN115:AN116" si="156">M115/$Z115*$AA115</f>
        <v>0</v>
      </c>
    </row>
    <row r="116" spans="1:40" x14ac:dyDescent="0.25">
      <c r="A116" s="476" t="s">
        <v>655</v>
      </c>
      <c r="B116" s="479"/>
      <c r="C116" s="479"/>
      <c r="D116" s="479"/>
      <c r="E116" s="478">
        <f>176.33</f>
        <v>176.33</v>
      </c>
      <c r="F116" s="479"/>
      <c r="G116" s="479"/>
      <c r="H116" s="479"/>
      <c r="I116" s="478">
        <f>529.43</f>
        <v>529.42999999999995</v>
      </c>
      <c r="J116" s="479"/>
      <c r="K116" s="479"/>
      <c r="L116" s="478">
        <f>1041.68</f>
        <v>1041.68</v>
      </c>
      <c r="M116" s="479"/>
      <c r="N116" s="479"/>
      <c r="O116" s="479"/>
      <c r="P116" s="479"/>
      <c r="Q116" s="478">
        <f>61.14</f>
        <v>61.14</v>
      </c>
      <c r="R116" s="479"/>
      <c r="S116" s="478">
        <f>29.63</f>
        <v>29.63</v>
      </c>
      <c r="T116" s="479"/>
      <c r="U116" s="479"/>
      <c r="V116" s="478">
        <f>1172</f>
        <v>1172</v>
      </c>
      <c r="W116" s="478">
        <f t="shared" si="101"/>
        <v>3010.21</v>
      </c>
      <c r="X116" s="478">
        <f t="shared" si="123"/>
        <v>1720.12</v>
      </c>
      <c r="Y116" s="478">
        <f t="shared" si="124"/>
        <v>1747.44</v>
      </c>
      <c r="Z116" s="478">
        <f t="shared" si="144"/>
        <v>2304.4500000000003</v>
      </c>
      <c r="AA116" s="478">
        <v>1800</v>
      </c>
      <c r="AB116" s="37" t="str">
        <f t="shared" si="140"/>
        <v/>
      </c>
      <c r="AC116" s="478">
        <f t="shared" si="145"/>
        <v>0</v>
      </c>
      <c r="AD116" s="478">
        <f t="shared" si="146"/>
        <v>0</v>
      </c>
      <c r="AE116" s="478">
        <f t="shared" si="147"/>
        <v>0</v>
      </c>
      <c r="AF116" s="478">
        <f t="shared" si="148"/>
        <v>47.756297598125357</v>
      </c>
      <c r="AG116" s="478">
        <f t="shared" si="149"/>
        <v>0</v>
      </c>
      <c r="AH116" s="478">
        <f t="shared" si="150"/>
        <v>23.143917203671155</v>
      </c>
      <c r="AI116" s="478">
        <f t="shared" si="151"/>
        <v>0</v>
      </c>
      <c r="AJ116" s="488">
        <f t="shared" si="152"/>
        <v>0</v>
      </c>
      <c r="AK116" s="478">
        <f t="shared" si="153"/>
        <v>915.44620191368858</v>
      </c>
      <c r="AL116" s="478">
        <f t="shared" si="154"/>
        <v>0</v>
      </c>
      <c r="AM116" s="478">
        <f t="shared" si="155"/>
        <v>813.65358328451464</v>
      </c>
      <c r="AN116" s="478">
        <f t="shared" si="156"/>
        <v>0</v>
      </c>
    </row>
    <row r="117" spans="1:40" x14ac:dyDescent="0.25">
      <c r="A117" s="476" t="s">
        <v>656</v>
      </c>
      <c r="B117" s="480">
        <f t="shared" ref="B117:V117" si="157">(B115)+(B116)</f>
        <v>0</v>
      </c>
      <c r="C117" s="480">
        <f t="shared" si="157"/>
        <v>24.48</v>
      </c>
      <c r="D117" s="480">
        <f t="shared" si="157"/>
        <v>0</v>
      </c>
      <c r="E117" s="480">
        <f t="shared" si="157"/>
        <v>211.33</v>
      </c>
      <c r="F117" s="480">
        <f t="shared" si="157"/>
        <v>0</v>
      </c>
      <c r="G117" s="480">
        <f t="shared" si="157"/>
        <v>0</v>
      </c>
      <c r="H117" s="480">
        <f t="shared" si="157"/>
        <v>0</v>
      </c>
      <c r="I117" s="480">
        <f t="shared" si="157"/>
        <v>529.42999999999995</v>
      </c>
      <c r="J117" s="480">
        <f t="shared" si="157"/>
        <v>0</v>
      </c>
      <c r="K117" s="480">
        <f t="shared" si="157"/>
        <v>92.82</v>
      </c>
      <c r="L117" s="480">
        <f t="shared" si="157"/>
        <v>1041.68</v>
      </c>
      <c r="M117" s="480">
        <f t="shared" si="157"/>
        <v>0</v>
      </c>
      <c r="N117" s="480">
        <f t="shared" si="157"/>
        <v>0</v>
      </c>
      <c r="O117" s="480">
        <f t="shared" si="157"/>
        <v>92.76</v>
      </c>
      <c r="P117" s="480">
        <f t="shared" si="157"/>
        <v>0</v>
      </c>
      <c r="Q117" s="480">
        <f t="shared" si="157"/>
        <v>61.14</v>
      </c>
      <c r="R117" s="480">
        <f t="shared" si="157"/>
        <v>0</v>
      </c>
      <c r="S117" s="480">
        <f t="shared" si="157"/>
        <v>29.63</v>
      </c>
      <c r="T117" s="480">
        <f t="shared" si="157"/>
        <v>0</v>
      </c>
      <c r="U117" s="480">
        <f t="shared" si="157"/>
        <v>0</v>
      </c>
      <c r="V117" s="480">
        <f t="shared" si="157"/>
        <v>1172</v>
      </c>
      <c r="W117" s="480">
        <f t="shared" si="101"/>
        <v>3255.27</v>
      </c>
      <c r="X117" s="480">
        <f t="shared" si="123"/>
        <v>1860.1542857142858</v>
      </c>
      <c r="Y117" s="480">
        <f t="shared" si="124"/>
        <v>1899.74</v>
      </c>
      <c r="Z117" s="480">
        <f>SUM(K117:M117,N117:V117)</f>
        <v>2490.0300000000002</v>
      </c>
      <c r="AA117" s="480">
        <f t="shared" ref="AA117" si="158">(AA115)+(AA116)</f>
        <v>1950</v>
      </c>
      <c r="AB117" s="37" t="str">
        <f t="shared" si="140"/>
        <v/>
      </c>
      <c r="AC117" s="480">
        <f>SUM(AC115:AC116)</f>
        <v>0</v>
      </c>
      <c r="AD117" s="480">
        <f t="shared" ref="AD117:AN117" si="159">SUM(AD115:AD116)</f>
        <v>74.975751697381199</v>
      </c>
      <c r="AE117" s="480">
        <f t="shared" si="159"/>
        <v>0</v>
      </c>
      <c r="AF117" s="480">
        <f t="shared" si="159"/>
        <v>47.756297598125357</v>
      </c>
      <c r="AG117" s="480">
        <f t="shared" si="159"/>
        <v>0</v>
      </c>
      <c r="AH117" s="480">
        <f t="shared" si="159"/>
        <v>23.143917203671155</v>
      </c>
      <c r="AI117" s="480">
        <f t="shared" si="159"/>
        <v>0</v>
      </c>
      <c r="AJ117" s="480">
        <f t="shared" si="159"/>
        <v>0</v>
      </c>
      <c r="AK117" s="480">
        <f t="shared" si="159"/>
        <v>915.44620191368858</v>
      </c>
      <c r="AL117" s="480">
        <f t="shared" si="159"/>
        <v>75.02424830261883</v>
      </c>
      <c r="AM117" s="480">
        <f t="shared" si="159"/>
        <v>813.65358328451464</v>
      </c>
      <c r="AN117" s="480">
        <f t="shared" si="159"/>
        <v>0</v>
      </c>
    </row>
    <row r="118" spans="1:40" x14ac:dyDescent="0.25">
      <c r="A118" s="476" t="s">
        <v>212</v>
      </c>
      <c r="B118" s="478">
        <f>600</f>
        <v>600</v>
      </c>
      <c r="C118" s="479"/>
      <c r="D118" s="479"/>
      <c r="E118" s="479"/>
      <c r="F118" s="479"/>
      <c r="G118" s="479"/>
      <c r="H118" s="479"/>
      <c r="I118" s="479"/>
      <c r="J118" s="479"/>
      <c r="K118" s="479"/>
      <c r="L118" s="479"/>
      <c r="M118" s="479"/>
      <c r="N118" s="478">
        <f>600</f>
        <v>600</v>
      </c>
      <c r="O118" s="479"/>
      <c r="P118" s="479"/>
      <c r="Q118" s="479"/>
      <c r="R118" s="479"/>
      <c r="S118" s="479"/>
      <c r="T118" s="479"/>
      <c r="U118" s="479"/>
      <c r="V118" s="479"/>
      <c r="W118" s="478">
        <f t="shared" si="101"/>
        <v>1200</v>
      </c>
      <c r="X118" s="478">
        <f t="shared" si="123"/>
        <v>685.71428571428578</v>
      </c>
      <c r="Y118" s="478">
        <f t="shared" si="124"/>
        <v>600</v>
      </c>
      <c r="Z118" s="478">
        <f>SUM(K118:M118,N118:V118)</f>
        <v>600</v>
      </c>
      <c r="AA118" s="478">
        <v>600</v>
      </c>
      <c r="AB118" s="37" t="str">
        <f t="shared" si="140"/>
        <v/>
      </c>
      <c r="AC118" s="478">
        <f t="shared" ref="AC118" si="160">N118/$Z118*$AA118</f>
        <v>600</v>
      </c>
      <c r="AD118" s="478">
        <f t="shared" ref="AD118" si="161">O118/$Z118*$AA118</f>
        <v>0</v>
      </c>
      <c r="AE118" s="478">
        <f t="shared" ref="AE118" si="162">P118/$Z118*$AA118</f>
        <v>0</v>
      </c>
      <c r="AF118" s="478">
        <f t="shared" ref="AF118" si="163">Q118/$Z118*$AA118</f>
        <v>0</v>
      </c>
      <c r="AG118" s="478">
        <f t="shared" ref="AG118" si="164">R118/$Z118*$AA118</f>
        <v>0</v>
      </c>
      <c r="AH118" s="478">
        <f t="shared" ref="AH118" si="165">S118/$Z118*$AA118</f>
        <v>0</v>
      </c>
      <c r="AI118" s="478">
        <f t="shared" ref="AI118" si="166">T118/$Z118*$AA118</f>
        <v>0</v>
      </c>
      <c r="AJ118" s="488">
        <f t="shared" ref="AJ118" si="167">U118/$Z118*$AA118</f>
        <v>0</v>
      </c>
      <c r="AK118" s="478">
        <f t="shared" ref="AK118" si="168">V118/$Z118*$AA118</f>
        <v>0</v>
      </c>
      <c r="AL118" s="478">
        <f t="shared" ref="AL118" si="169">K118/$Z118*$AA118</f>
        <v>0</v>
      </c>
      <c r="AM118" s="478">
        <f t="shared" ref="AM118" si="170">L118/$Z118*$AA118</f>
        <v>0</v>
      </c>
      <c r="AN118" s="478">
        <f t="shared" ref="AN118" si="171">M118/$Z118*$AA118</f>
        <v>0</v>
      </c>
    </row>
    <row r="119" spans="1:40" s="528" customFormat="1" x14ac:dyDescent="0.25">
      <c r="A119" s="529" t="s">
        <v>1289</v>
      </c>
      <c r="B119" s="478"/>
      <c r="C119" s="479"/>
      <c r="D119" s="479"/>
      <c r="E119" s="479"/>
      <c r="F119" s="479"/>
      <c r="G119" s="479"/>
      <c r="H119" s="479"/>
      <c r="I119" s="479"/>
      <c r="J119" s="479"/>
      <c r="K119" s="479"/>
      <c r="L119" s="479"/>
      <c r="M119" s="479"/>
      <c r="N119" s="478"/>
      <c r="O119" s="479"/>
      <c r="P119" s="479"/>
      <c r="Q119" s="479"/>
      <c r="R119" s="479"/>
      <c r="S119" s="479"/>
      <c r="T119" s="479"/>
      <c r="U119" s="479"/>
      <c r="V119" s="479"/>
      <c r="W119" s="478"/>
      <c r="X119" s="478"/>
      <c r="Y119" s="478"/>
      <c r="Z119" s="478"/>
      <c r="AA119" s="478">
        <v>2000</v>
      </c>
      <c r="AB119" s="37"/>
      <c r="AC119" s="478"/>
      <c r="AD119" s="478"/>
      <c r="AE119" s="478"/>
      <c r="AF119" s="478"/>
      <c r="AG119" s="478"/>
      <c r="AH119" s="478">
        <v>2000</v>
      </c>
      <c r="AI119" s="478"/>
      <c r="AJ119" s="488"/>
      <c r="AK119" s="478"/>
      <c r="AL119" s="478"/>
      <c r="AM119" s="478"/>
      <c r="AN119" s="478"/>
    </row>
    <row r="120" spans="1:40" x14ac:dyDescent="0.25">
      <c r="A120" s="476" t="s">
        <v>213</v>
      </c>
      <c r="B120" s="480">
        <f t="shared" ref="B120:V120" si="172">(((((((((((((((((((((((((((((((((((((B69)+(B70))+(B71))+(B72))+(B73))+(B74))+(B75))+(B76))+(B77))+(B78))+(B79))+(B80))+(B81))+(B82))+(B83))+(B84))+(B90))+(B91))+(B92))+(B93))+(B94))+(B95))+(B96))+(B97))+(B98))+(B99))+(B100))+(B101))+(B102))+(B103))+(B104))+(B105))+(B106))+(B107))+(B113))+(B114))+(B117))+(B118)</f>
        <v>18102.38</v>
      </c>
      <c r="C120" s="480">
        <f t="shared" si="172"/>
        <v>23209.14</v>
      </c>
      <c r="D120" s="480">
        <f t="shared" si="172"/>
        <v>28930.880000000005</v>
      </c>
      <c r="E120" s="480">
        <f t="shared" si="172"/>
        <v>16859.140000000003</v>
      </c>
      <c r="F120" s="480">
        <f t="shared" si="172"/>
        <v>19032.759999999998</v>
      </c>
      <c r="G120" s="480">
        <f t="shared" si="172"/>
        <v>18963.93</v>
      </c>
      <c r="H120" s="480">
        <f t="shared" si="172"/>
        <v>23099.649999999998</v>
      </c>
      <c r="I120" s="480">
        <f t="shared" si="172"/>
        <v>21214.430000000008</v>
      </c>
      <c r="J120" s="480">
        <f t="shared" si="172"/>
        <v>23958.699999999993</v>
      </c>
      <c r="K120" s="480">
        <f t="shared" si="172"/>
        <v>34505.17</v>
      </c>
      <c r="L120" s="480">
        <f t="shared" si="172"/>
        <v>27042.730000000003</v>
      </c>
      <c r="M120" s="480">
        <f t="shared" si="172"/>
        <v>25907.490000000005</v>
      </c>
      <c r="N120" s="480">
        <f t="shared" si="172"/>
        <v>21777.929999999993</v>
      </c>
      <c r="O120" s="480">
        <f t="shared" si="172"/>
        <v>23151.999999999996</v>
      </c>
      <c r="P120" s="480">
        <f t="shared" si="172"/>
        <v>18866.440000000006</v>
      </c>
      <c r="Q120" s="480">
        <f t="shared" si="172"/>
        <v>21894.190000000006</v>
      </c>
      <c r="R120" s="480">
        <f t="shared" si="172"/>
        <v>20916.919999999995</v>
      </c>
      <c r="S120" s="480">
        <f t="shared" si="172"/>
        <v>20981.400000000009</v>
      </c>
      <c r="T120" s="480">
        <f t="shared" si="172"/>
        <v>20961.760000000006</v>
      </c>
      <c r="U120" s="480">
        <f t="shared" si="172"/>
        <v>27665.740000000005</v>
      </c>
      <c r="V120" s="480">
        <f t="shared" si="172"/>
        <v>20026.18</v>
      </c>
      <c r="W120" s="480">
        <f t="shared" si="101"/>
        <v>477068.96</v>
      </c>
      <c r="X120" s="480">
        <f t="shared" si="123"/>
        <v>272610.83428571431</v>
      </c>
      <c r="Y120" s="480">
        <f t="shared" si="124"/>
        <v>280826.40000000002</v>
      </c>
      <c r="Z120" s="480">
        <f t="shared" ref="Z120:Z121" si="173">SUM(K120:M120,N120:V120)</f>
        <v>283697.95</v>
      </c>
      <c r="AA120" s="480">
        <f>(((((((((((((((((((((((((((((((((((((AA69)+(AA70))+(AA71))+(AA72))+(AA73))+(AA74))+(AA75))+(AA76))+(AA77))+(AA78))+(AA79))+(AA80))+(AA81))+(AA82))+(AA83))+(AA84))+(AA90))+(AA91))+(AA92))+(AA93))+(AA94))+(AA95))+(AA96))+(AA97))+(AA98))+(AA99))+(AA100))+(AA101))+(AA102))+(AA103))+(AA104))+(AA105))+(AA106))+(AA107))+(AA113))+(AA114))+(AA117))+(AA118)+AA119</f>
        <v>298875.07170104003</v>
      </c>
      <c r="AB120" s="37" t="str">
        <f t="shared" si="140"/>
        <v/>
      </c>
      <c r="AC120" s="480">
        <f>AC118+AC117+AC114+AC113+SUM(AC90:AC107)+SUM(AC69:AC84)+AC119</f>
        <v>24416.771967443998</v>
      </c>
      <c r="AD120" s="480">
        <f t="shared" ref="AD120:AN120" si="174">AD118+AD117+AD114+AD113+SUM(AD90:AD107)+SUM(AD69:AD84)+AD119</f>
        <v>25039.735111082373</v>
      </c>
      <c r="AE120" s="480">
        <f t="shared" si="174"/>
        <v>20172.635215232563</v>
      </c>
      <c r="AF120" s="480">
        <f t="shared" si="174"/>
        <v>22541.863683110987</v>
      </c>
      <c r="AG120" s="480">
        <f t="shared" si="174"/>
        <v>21379.477115891343</v>
      </c>
      <c r="AH120" s="480">
        <f t="shared" si="174"/>
        <v>23675.505169337604</v>
      </c>
      <c r="AI120" s="480">
        <f t="shared" si="174"/>
        <v>20405.963495019259</v>
      </c>
      <c r="AJ120" s="480">
        <f t="shared" si="174"/>
        <v>27776.569134420526</v>
      </c>
      <c r="AK120" s="480">
        <f t="shared" si="174"/>
        <v>22444.304645605407</v>
      </c>
      <c r="AL120" s="480">
        <f t="shared" si="174"/>
        <v>38067.967973489831</v>
      </c>
      <c r="AM120" s="480">
        <f t="shared" si="174"/>
        <v>22575.325170531229</v>
      </c>
      <c r="AN120" s="480">
        <f t="shared" si="174"/>
        <v>30378.953019874883</v>
      </c>
    </row>
    <row r="121" spans="1:40" x14ac:dyDescent="0.25">
      <c r="A121" s="476" t="s">
        <v>214</v>
      </c>
      <c r="B121" s="480">
        <f t="shared" ref="B121:V121" si="175">(B62)-(B120)</f>
        <v>-13558.240000000002</v>
      </c>
      <c r="C121" s="480">
        <f t="shared" si="175"/>
        <v>-10110.43</v>
      </c>
      <c r="D121" s="480">
        <f t="shared" si="175"/>
        <v>-13504.350000000004</v>
      </c>
      <c r="E121" s="480">
        <f t="shared" si="175"/>
        <v>-14189.920000000002</v>
      </c>
      <c r="F121" s="480">
        <f t="shared" si="175"/>
        <v>15157.210000000003</v>
      </c>
      <c r="G121" s="480">
        <f t="shared" si="175"/>
        <v>-23520.67</v>
      </c>
      <c r="H121" s="480">
        <f t="shared" si="175"/>
        <v>-23336.659999999996</v>
      </c>
      <c r="I121" s="480">
        <f t="shared" si="175"/>
        <v>-4838.6300000000119</v>
      </c>
      <c r="J121" s="480">
        <f t="shared" si="175"/>
        <v>-3418.9099999999926</v>
      </c>
      <c r="K121" s="480">
        <f t="shared" si="175"/>
        <v>106768.45</v>
      </c>
      <c r="L121" s="480">
        <f t="shared" si="175"/>
        <v>-28037.210000000003</v>
      </c>
      <c r="M121" s="480">
        <f t="shared" si="175"/>
        <v>106029.19999999997</v>
      </c>
      <c r="N121" s="480">
        <f t="shared" si="175"/>
        <v>-3181.8199999999961</v>
      </c>
      <c r="O121" s="480">
        <f t="shared" si="175"/>
        <v>-18057.049999999996</v>
      </c>
      <c r="P121" s="480">
        <f t="shared" si="175"/>
        <v>-23122.04</v>
      </c>
      <c r="Q121" s="480">
        <f t="shared" si="175"/>
        <v>-19376.220000000005</v>
      </c>
      <c r="R121" s="480">
        <f t="shared" si="175"/>
        <v>-17078.309999999994</v>
      </c>
      <c r="S121" s="480">
        <f t="shared" si="175"/>
        <v>-18765.510000000009</v>
      </c>
      <c r="T121" s="480">
        <f t="shared" si="175"/>
        <v>1516.8499999999913</v>
      </c>
      <c r="U121" s="480">
        <f t="shared" si="175"/>
        <v>-9424.3800000000047</v>
      </c>
      <c r="V121" s="480">
        <f t="shared" si="175"/>
        <v>5251.18</v>
      </c>
      <c r="W121" s="480">
        <f t="shared" si="101"/>
        <v>-8797.4600000000501</v>
      </c>
      <c r="X121" s="480">
        <f t="shared" si="123"/>
        <v>-5027.120000000029</v>
      </c>
      <c r="Y121" s="480">
        <f t="shared" si="124"/>
        <v>93439.839999999967</v>
      </c>
      <c r="Z121" s="480">
        <f t="shared" si="173"/>
        <v>82523.139999999927</v>
      </c>
      <c r="AA121" s="480">
        <f>(AA62)-(AA120)</f>
        <v>58961.458298960002</v>
      </c>
      <c r="AB121" s="37" t="str">
        <f t="shared" si="140"/>
        <v/>
      </c>
      <c r="AC121" s="480">
        <f t="shared" ref="AC121:AN121" si="176">AC62-AC120</f>
        <v>-16485.67466054024</v>
      </c>
      <c r="AD121" s="480">
        <f t="shared" si="176"/>
        <v>19394.641942184964</v>
      </c>
      <c r="AE121" s="480">
        <f t="shared" si="176"/>
        <v>-34721.425614911088</v>
      </c>
      <c r="AF121" s="480">
        <f t="shared" si="176"/>
        <v>-29927.143679531349</v>
      </c>
      <c r="AG121" s="480">
        <f t="shared" si="176"/>
        <v>1356.6001337284251</v>
      </c>
      <c r="AH121" s="480">
        <f t="shared" si="176"/>
        <v>-6232.3280891111681</v>
      </c>
      <c r="AI121" s="480">
        <f t="shared" si="176"/>
        <v>-2071.2103291963213</v>
      </c>
      <c r="AJ121" s="480">
        <f t="shared" si="176"/>
        <v>1164.1206862019899</v>
      </c>
      <c r="AK121" s="480">
        <f t="shared" si="176"/>
        <v>18957.801128466606</v>
      </c>
      <c r="AL121" s="480">
        <f t="shared" si="176"/>
        <v>106259.19318302118</v>
      </c>
      <c r="AM121" s="480">
        <f t="shared" si="176"/>
        <v>168.74340438289073</v>
      </c>
      <c r="AN121" s="480">
        <f t="shared" si="176"/>
        <v>1098.1401942640805</v>
      </c>
    </row>
    <row r="122" spans="1:40" x14ac:dyDescent="0.25">
      <c r="A122" s="476" t="s">
        <v>215</v>
      </c>
      <c r="B122" s="479"/>
      <c r="C122" s="479"/>
      <c r="D122" s="479"/>
      <c r="E122" s="479"/>
      <c r="F122" s="479"/>
      <c r="G122" s="479"/>
      <c r="H122" s="479"/>
      <c r="I122" s="479"/>
      <c r="J122" s="479"/>
      <c r="K122" s="479"/>
      <c r="L122" s="479"/>
      <c r="M122" s="479"/>
      <c r="N122" s="479"/>
      <c r="O122" s="479"/>
      <c r="P122" s="479"/>
      <c r="Q122" s="479"/>
      <c r="R122" s="479"/>
      <c r="S122" s="479"/>
      <c r="T122" s="479"/>
      <c r="U122" s="479"/>
      <c r="V122" s="479"/>
      <c r="W122" s="479"/>
      <c r="X122" s="479">
        <f t="shared" si="123"/>
        <v>0</v>
      </c>
      <c r="Y122" s="479">
        <f t="shared" si="124"/>
        <v>0</v>
      </c>
      <c r="Z122" s="479">
        <f t="shared" ref="Z122:Z124" si="177">SUM(K122:M122,N122:V122)</f>
        <v>0</v>
      </c>
      <c r="AA122" s="479"/>
      <c r="AB122" s="37" t="str">
        <f t="shared" si="140"/>
        <v/>
      </c>
      <c r="AC122" s="479"/>
      <c r="AD122" s="479"/>
      <c r="AE122" s="479"/>
      <c r="AF122" s="479"/>
      <c r="AG122" s="479"/>
      <c r="AH122" s="479"/>
      <c r="AI122" s="479"/>
      <c r="AJ122" s="479"/>
      <c r="AK122" s="479"/>
      <c r="AL122" s="479"/>
      <c r="AM122" s="479"/>
      <c r="AN122" s="479"/>
    </row>
    <row r="123" spans="1:40" x14ac:dyDescent="0.25">
      <c r="A123" s="476" t="s">
        <v>216</v>
      </c>
      <c r="B123" s="479"/>
      <c r="C123" s="479"/>
      <c r="D123" s="478">
        <f>3.57</f>
        <v>3.57</v>
      </c>
      <c r="E123" s="479"/>
      <c r="F123" s="479"/>
      <c r="G123" s="478">
        <f>3.65</f>
        <v>3.65</v>
      </c>
      <c r="H123" s="478">
        <f>0.56</f>
        <v>0.56000000000000005</v>
      </c>
      <c r="I123" s="479"/>
      <c r="J123" s="478">
        <f>1.78</f>
        <v>1.78</v>
      </c>
      <c r="K123" s="479"/>
      <c r="L123" s="479"/>
      <c r="M123" s="478">
        <f>2.82</f>
        <v>2.82</v>
      </c>
      <c r="N123" s="479"/>
      <c r="O123" s="479"/>
      <c r="P123" s="478">
        <f>2.8</f>
        <v>2.8</v>
      </c>
      <c r="Q123" s="479"/>
      <c r="R123" s="479"/>
      <c r="S123" s="478">
        <f>2.71</f>
        <v>2.71</v>
      </c>
      <c r="T123" s="479"/>
      <c r="U123" s="479"/>
      <c r="V123" s="478">
        <f>2.73</f>
        <v>2.73</v>
      </c>
      <c r="W123" s="478">
        <f>((((((((((((((((((((B123)+(C123))+(D123))+(E123))+(F123))+(G123))+(H123))+(I123))+(J123))+(K123))+(L123))+(M123))+(N123))+(O123))+(P123))+(Q123))+(R123))+(S123))+(T123))+(U123))+(V123)</f>
        <v>20.62</v>
      </c>
      <c r="X123" s="478">
        <f t="shared" si="123"/>
        <v>11.782857142857143</v>
      </c>
      <c r="Y123" s="478">
        <f t="shared" si="124"/>
        <v>12.379999999999999</v>
      </c>
      <c r="Z123" s="478">
        <f t="shared" si="177"/>
        <v>11.059999999999999</v>
      </c>
      <c r="AA123" s="478">
        <v>12</v>
      </c>
      <c r="AB123" s="37" t="str">
        <f t="shared" si="140"/>
        <v/>
      </c>
      <c r="AC123" s="478">
        <f t="shared" ref="AC123" si="178">N123/$Z123*$AA123</f>
        <v>0</v>
      </c>
      <c r="AD123" s="478">
        <f t="shared" ref="AD123" si="179">O123/$Z123*$AA123</f>
        <v>0</v>
      </c>
      <c r="AE123" s="478">
        <f t="shared" ref="AE123" si="180">P123/$Z123*$AA123</f>
        <v>3.037974683544304</v>
      </c>
      <c r="AF123" s="478">
        <f t="shared" ref="AF123" si="181">Q123/$Z123*$AA123</f>
        <v>0</v>
      </c>
      <c r="AG123" s="478">
        <f t="shared" ref="AG123" si="182">R123/$Z123*$AA123</f>
        <v>0</v>
      </c>
      <c r="AH123" s="478">
        <f t="shared" ref="AH123" si="183">S123/$Z123*$AA123</f>
        <v>2.9403254972875228</v>
      </c>
      <c r="AI123" s="478">
        <f t="shared" ref="AI123" si="184">T123/$Z123*$AA123</f>
        <v>0</v>
      </c>
      <c r="AJ123" s="488">
        <f t="shared" ref="AJ123" si="185">U123/$Z123*$AA123</f>
        <v>0</v>
      </c>
      <c r="AK123" s="478">
        <f t="shared" ref="AK123" si="186">V123/$Z123*$AA123</f>
        <v>2.9620253164556969</v>
      </c>
      <c r="AL123" s="478">
        <f t="shared" ref="AL123" si="187">K123/$Z123*$AA123</f>
        <v>0</v>
      </c>
      <c r="AM123" s="478">
        <f t="shared" ref="AM123" si="188">L123/$Z123*$AA123</f>
        <v>0</v>
      </c>
      <c r="AN123" s="478">
        <f t="shared" ref="AN123" si="189">M123/$Z123*$AA123</f>
        <v>3.0596745027124772</v>
      </c>
    </row>
    <row r="124" spans="1:40" x14ac:dyDescent="0.25">
      <c r="A124" s="476" t="s">
        <v>1197</v>
      </c>
      <c r="B124" s="479"/>
      <c r="C124" s="479"/>
      <c r="D124" s="479"/>
      <c r="E124" s="479"/>
      <c r="F124" s="479"/>
      <c r="G124" s="479"/>
      <c r="H124" s="479"/>
      <c r="I124" s="479"/>
      <c r="J124" s="479"/>
      <c r="K124" s="479"/>
      <c r="L124" s="479"/>
      <c r="M124" s="479"/>
      <c r="N124" s="479"/>
      <c r="O124" s="479"/>
      <c r="P124" s="479"/>
      <c r="Q124" s="479"/>
      <c r="R124" s="479"/>
      <c r="S124" s="479"/>
      <c r="T124" s="479"/>
      <c r="U124" s="478">
        <f>1.55</f>
        <v>1.55</v>
      </c>
      <c r="V124" s="479"/>
      <c r="W124" s="478">
        <f>((((((((((((((((((((B124)+(C124))+(D124))+(E124))+(F124))+(G124))+(H124))+(I124))+(J124))+(K124))+(L124))+(M124))+(N124))+(O124))+(P124))+(Q124))+(R124))+(S124))+(T124))+(U124))+(V124)</f>
        <v>1.55</v>
      </c>
      <c r="X124" s="478">
        <f t="shared" si="123"/>
        <v>0.88571428571428568</v>
      </c>
      <c r="Y124" s="478">
        <f t="shared" si="124"/>
        <v>0</v>
      </c>
      <c r="Z124" s="478">
        <f t="shared" si="177"/>
        <v>1.55</v>
      </c>
      <c r="AA124" s="479"/>
      <c r="AB124" s="37" t="str">
        <f t="shared" si="140"/>
        <v/>
      </c>
      <c r="AC124" s="478"/>
      <c r="AD124" s="478"/>
      <c r="AE124" s="478"/>
      <c r="AF124" s="478"/>
      <c r="AG124" s="478"/>
      <c r="AH124" s="478"/>
      <c r="AI124" s="478"/>
      <c r="AJ124" s="478"/>
      <c r="AK124" s="478"/>
      <c r="AL124" s="478"/>
      <c r="AM124" s="478"/>
      <c r="AN124" s="478"/>
    </row>
    <row r="125" spans="1:40" x14ac:dyDescent="0.25">
      <c r="A125" s="476" t="s">
        <v>217</v>
      </c>
      <c r="B125" s="480">
        <f t="shared" ref="B125:V125" si="190">(B123)+(B124)</f>
        <v>0</v>
      </c>
      <c r="C125" s="480">
        <f t="shared" si="190"/>
        <v>0</v>
      </c>
      <c r="D125" s="480">
        <f t="shared" si="190"/>
        <v>3.57</v>
      </c>
      <c r="E125" s="480">
        <f t="shared" si="190"/>
        <v>0</v>
      </c>
      <c r="F125" s="480">
        <f t="shared" si="190"/>
        <v>0</v>
      </c>
      <c r="G125" s="480">
        <f t="shared" si="190"/>
        <v>3.65</v>
      </c>
      <c r="H125" s="480">
        <f t="shared" si="190"/>
        <v>0.56000000000000005</v>
      </c>
      <c r="I125" s="480">
        <f t="shared" si="190"/>
        <v>0</v>
      </c>
      <c r="J125" s="480">
        <f t="shared" si="190"/>
        <v>1.78</v>
      </c>
      <c r="K125" s="480">
        <f t="shared" si="190"/>
        <v>0</v>
      </c>
      <c r="L125" s="480">
        <f t="shared" si="190"/>
        <v>0</v>
      </c>
      <c r="M125" s="480">
        <f t="shared" si="190"/>
        <v>2.82</v>
      </c>
      <c r="N125" s="480">
        <f t="shared" si="190"/>
        <v>0</v>
      </c>
      <c r="O125" s="480">
        <f t="shared" si="190"/>
        <v>0</v>
      </c>
      <c r="P125" s="480">
        <f t="shared" si="190"/>
        <v>2.8</v>
      </c>
      <c r="Q125" s="480">
        <f t="shared" si="190"/>
        <v>0</v>
      </c>
      <c r="R125" s="480">
        <f t="shared" si="190"/>
        <v>0</v>
      </c>
      <c r="S125" s="480">
        <f t="shared" si="190"/>
        <v>2.71</v>
      </c>
      <c r="T125" s="480">
        <f t="shared" si="190"/>
        <v>0</v>
      </c>
      <c r="U125" s="480">
        <f t="shared" si="190"/>
        <v>1.55</v>
      </c>
      <c r="V125" s="480">
        <f t="shared" si="190"/>
        <v>2.73</v>
      </c>
      <c r="W125" s="480">
        <f>((((((((((((((((((((B125)+(C125))+(D125))+(E125))+(F125))+(G125))+(H125))+(I125))+(J125))+(K125))+(L125))+(M125))+(N125))+(O125))+(P125))+(Q125))+(R125))+(S125))+(T125))+(U125))+(V125)</f>
        <v>22.17</v>
      </c>
      <c r="X125" s="480">
        <f t="shared" si="123"/>
        <v>12.668571428571429</v>
      </c>
      <c r="Y125" s="480">
        <f t="shared" si="124"/>
        <v>12.379999999999999</v>
      </c>
      <c r="Z125" s="480">
        <f>SUM(K125:M125,N125:V125)</f>
        <v>12.61</v>
      </c>
      <c r="AA125" s="480">
        <f t="shared" ref="AA125:AN125" si="191">(AA123)+(AA124)</f>
        <v>12</v>
      </c>
      <c r="AB125" s="37" t="str">
        <f t="shared" si="140"/>
        <v/>
      </c>
      <c r="AC125" s="480">
        <f t="shared" si="191"/>
        <v>0</v>
      </c>
      <c r="AD125" s="480">
        <f t="shared" si="191"/>
        <v>0</v>
      </c>
      <c r="AE125" s="480">
        <f t="shared" si="191"/>
        <v>3.037974683544304</v>
      </c>
      <c r="AF125" s="480">
        <f t="shared" si="191"/>
        <v>0</v>
      </c>
      <c r="AG125" s="480">
        <f t="shared" si="191"/>
        <v>0</v>
      </c>
      <c r="AH125" s="480">
        <f t="shared" si="191"/>
        <v>2.9403254972875228</v>
      </c>
      <c r="AI125" s="480">
        <f t="shared" si="191"/>
        <v>0</v>
      </c>
      <c r="AJ125" s="480">
        <f t="shared" si="191"/>
        <v>0</v>
      </c>
      <c r="AK125" s="480">
        <f t="shared" si="191"/>
        <v>2.9620253164556969</v>
      </c>
      <c r="AL125" s="480">
        <f t="shared" si="191"/>
        <v>0</v>
      </c>
      <c r="AM125" s="480">
        <f t="shared" si="191"/>
        <v>0</v>
      </c>
      <c r="AN125" s="480">
        <f t="shared" si="191"/>
        <v>3.0596745027124772</v>
      </c>
    </row>
    <row r="126" spans="1:40" x14ac:dyDescent="0.25">
      <c r="A126" s="476" t="s">
        <v>218</v>
      </c>
      <c r="B126" s="479"/>
      <c r="C126" s="479"/>
      <c r="D126" s="479"/>
      <c r="E126" s="479"/>
      <c r="F126" s="479"/>
      <c r="G126" s="479"/>
      <c r="H126" s="479"/>
      <c r="I126" s="479"/>
      <c r="J126" s="479"/>
      <c r="K126" s="479"/>
      <c r="L126" s="479"/>
      <c r="M126" s="479"/>
      <c r="N126" s="479"/>
      <c r="O126" s="479"/>
      <c r="P126" s="479"/>
      <c r="Q126" s="479"/>
      <c r="R126" s="479"/>
      <c r="S126" s="479"/>
      <c r="T126" s="479"/>
      <c r="U126" s="479"/>
      <c r="V126" s="479"/>
      <c r="W126" s="479"/>
      <c r="X126" s="479">
        <f t="shared" si="123"/>
        <v>0</v>
      </c>
      <c r="Y126" s="479">
        <f t="shared" si="124"/>
        <v>0</v>
      </c>
      <c r="Z126" s="479">
        <f t="shared" ref="Z126:Z130" si="192">SUM(K126:M126,N126:V126)</f>
        <v>0</v>
      </c>
      <c r="AA126" s="479"/>
      <c r="AB126" s="37" t="str">
        <f t="shared" si="140"/>
        <v/>
      </c>
      <c r="AC126" s="479"/>
      <c r="AD126" s="479"/>
      <c r="AE126" s="479"/>
      <c r="AF126" s="479"/>
      <c r="AG126" s="479"/>
      <c r="AH126" s="479"/>
      <c r="AI126" s="479"/>
      <c r="AJ126" s="479"/>
      <c r="AK126" s="479"/>
      <c r="AL126" s="479"/>
      <c r="AM126" s="479"/>
      <c r="AN126" s="479"/>
    </row>
    <row r="127" spans="1:40" x14ac:dyDescent="0.25">
      <c r="A127" s="476" t="s">
        <v>446</v>
      </c>
      <c r="B127" s="479"/>
      <c r="C127" s="479"/>
      <c r="D127" s="479"/>
      <c r="E127" s="479"/>
      <c r="F127" s="479"/>
      <c r="G127" s="479"/>
      <c r="H127" s="479"/>
      <c r="I127" s="479"/>
      <c r="J127" s="479"/>
      <c r="K127" s="479"/>
      <c r="L127" s="479"/>
      <c r="M127" s="479"/>
      <c r="N127" s="479"/>
      <c r="O127" s="479"/>
      <c r="P127" s="479"/>
      <c r="Q127" s="479"/>
      <c r="R127" s="479"/>
      <c r="S127" s="478">
        <f>42817</f>
        <v>42817</v>
      </c>
      <c r="T127" s="479"/>
      <c r="U127" s="479"/>
      <c r="V127" s="479"/>
      <c r="W127" s="478">
        <f>((((((((((((((((((((B127)+(C127))+(D127))+(E127))+(F127))+(G127))+(H127))+(I127))+(J127))+(K127))+(L127))+(M127))+(N127))+(O127))+(P127))+(Q127))+(R127))+(S127))+(T127))+(U127))+(V127)</f>
        <v>42817</v>
      </c>
      <c r="X127" s="478">
        <f t="shared" si="123"/>
        <v>24466.857142857145</v>
      </c>
      <c r="Y127" s="478">
        <f t="shared" si="124"/>
        <v>0</v>
      </c>
      <c r="Z127" s="478">
        <f t="shared" si="192"/>
        <v>42817</v>
      </c>
      <c r="AA127" s="479">
        <f>803.85*12</f>
        <v>9646.2000000000007</v>
      </c>
      <c r="AB127" s="37" t="str">
        <f t="shared" si="140"/>
        <v/>
      </c>
      <c r="AC127" s="478">
        <f>803.85</f>
        <v>803.85</v>
      </c>
      <c r="AD127" s="478">
        <f>AC127</f>
        <v>803.85</v>
      </c>
      <c r="AE127" s="478">
        <f t="shared" ref="AE127:AN127" si="193">AD127</f>
        <v>803.85</v>
      </c>
      <c r="AF127" s="478">
        <f t="shared" si="193"/>
        <v>803.85</v>
      </c>
      <c r="AG127" s="478">
        <f t="shared" si="193"/>
        <v>803.85</v>
      </c>
      <c r="AH127" s="478">
        <f t="shared" si="193"/>
        <v>803.85</v>
      </c>
      <c r="AI127" s="478">
        <f t="shared" si="193"/>
        <v>803.85</v>
      </c>
      <c r="AJ127" s="478">
        <f t="shared" si="193"/>
        <v>803.85</v>
      </c>
      <c r="AK127" s="478">
        <f t="shared" si="193"/>
        <v>803.85</v>
      </c>
      <c r="AL127" s="478">
        <f t="shared" si="193"/>
        <v>803.85</v>
      </c>
      <c r="AM127" s="478">
        <f t="shared" si="193"/>
        <v>803.85</v>
      </c>
      <c r="AN127" s="478">
        <f t="shared" si="193"/>
        <v>803.85</v>
      </c>
    </row>
    <row r="128" spans="1:40" x14ac:dyDescent="0.25">
      <c r="A128" s="476" t="s">
        <v>657</v>
      </c>
      <c r="B128" s="479"/>
      <c r="C128" s="479"/>
      <c r="D128" s="479"/>
      <c r="E128" s="479"/>
      <c r="F128" s="479"/>
      <c r="G128" s="479"/>
      <c r="H128" s="479"/>
      <c r="I128" s="479"/>
      <c r="J128" s="479"/>
      <c r="K128" s="478">
        <f>263.1</f>
        <v>263.10000000000002</v>
      </c>
      <c r="L128" s="479"/>
      <c r="M128" s="479"/>
      <c r="N128" s="478">
        <f>30</f>
        <v>30</v>
      </c>
      <c r="O128" s="479"/>
      <c r="P128" s="479"/>
      <c r="Q128" s="479"/>
      <c r="R128" s="479"/>
      <c r="S128" s="478">
        <f>0</f>
        <v>0</v>
      </c>
      <c r="T128" s="479"/>
      <c r="U128" s="479"/>
      <c r="V128" s="479"/>
      <c r="W128" s="478">
        <f>((((((((((((((((((((B128)+(C128))+(D128))+(E128))+(F128))+(G128))+(H128))+(I128))+(J128))+(K128))+(L128))+(M128))+(N128))+(O128))+(P128))+(Q128))+(R128))+(S128))+(T128))+(U128))+(V128)</f>
        <v>293.10000000000002</v>
      </c>
      <c r="X128" s="478">
        <f t="shared" si="123"/>
        <v>167.48571428571432</v>
      </c>
      <c r="Y128" s="478">
        <f t="shared" si="124"/>
        <v>263.10000000000002</v>
      </c>
      <c r="Z128" s="478">
        <f t="shared" si="192"/>
        <v>293.10000000000002</v>
      </c>
      <c r="AA128" s="479">
        <v>300</v>
      </c>
      <c r="AB128" s="37" t="str">
        <f t="shared" si="140"/>
        <v/>
      </c>
      <c r="AC128" s="478">
        <f t="shared" ref="AC128" si="194">N128/$Z128*$AA128</f>
        <v>30.706243602865914</v>
      </c>
      <c r="AD128" s="478">
        <f t="shared" ref="AD128" si="195">O128/$Z128*$AA128</f>
        <v>0</v>
      </c>
      <c r="AE128" s="478">
        <f t="shared" ref="AE128" si="196">P128/$Z128*$AA128</f>
        <v>0</v>
      </c>
      <c r="AF128" s="478">
        <f t="shared" ref="AF128" si="197">Q128/$Z128*$AA128</f>
        <v>0</v>
      </c>
      <c r="AG128" s="478">
        <f t="shared" ref="AG128" si="198">R128/$Z128*$AA128</f>
        <v>0</v>
      </c>
      <c r="AH128" s="478">
        <f t="shared" ref="AH128" si="199">S128/$Z128*$AA128</f>
        <v>0</v>
      </c>
      <c r="AI128" s="478">
        <f t="shared" ref="AI128" si="200">T128/$Z128*$AA128</f>
        <v>0</v>
      </c>
      <c r="AJ128" s="488">
        <f t="shared" ref="AJ128" si="201">U128/$Z128*$AA128</f>
        <v>0</v>
      </c>
      <c r="AK128" s="478">
        <f t="shared" ref="AK128" si="202">V128/$Z128*$AA128</f>
        <v>0</v>
      </c>
      <c r="AL128" s="478">
        <f t="shared" ref="AL128" si="203">K128/$Z128*$AA128</f>
        <v>269.29375639713408</v>
      </c>
      <c r="AM128" s="478">
        <f t="shared" ref="AM128" si="204">L128/$Z128*$AA128</f>
        <v>0</v>
      </c>
      <c r="AN128" s="478">
        <f t="shared" ref="AN128" si="205">M128/$Z128*$AA128</f>
        <v>0</v>
      </c>
    </row>
    <row r="129" spans="1:40" x14ac:dyDescent="0.25">
      <c r="A129" s="476" t="s">
        <v>220</v>
      </c>
      <c r="B129" s="480">
        <f t="shared" ref="B129:V129" si="206">(B127)+(B128)</f>
        <v>0</v>
      </c>
      <c r="C129" s="480">
        <f t="shared" si="206"/>
        <v>0</v>
      </c>
      <c r="D129" s="480">
        <f t="shared" si="206"/>
        <v>0</v>
      </c>
      <c r="E129" s="480">
        <f t="shared" si="206"/>
        <v>0</v>
      </c>
      <c r="F129" s="480">
        <f t="shared" si="206"/>
        <v>0</v>
      </c>
      <c r="G129" s="480">
        <f t="shared" si="206"/>
        <v>0</v>
      </c>
      <c r="H129" s="480">
        <f t="shared" si="206"/>
        <v>0</v>
      </c>
      <c r="I129" s="480">
        <f t="shared" si="206"/>
        <v>0</v>
      </c>
      <c r="J129" s="480">
        <f t="shared" si="206"/>
        <v>0</v>
      </c>
      <c r="K129" s="480">
        <f t="shared" si="206"/>
        <v>263.10000000000002</v>
      </c>
      <c r="L129" s="480">
        <f t="shared" si="206"/>
        <v>0</v>
      </c>
      <c r="M129" s="480">
        <f t="shared" si="206"/>
        <v>0</v>
      </c>
      <c r="N129" s="480">
        <f t="shared" si="206"/>
        <v>30</v>
      </c>
      <c r="O129" s="480">
        <f t="shared" si="206"/>
        <v>0</v>
      </c>
      <c r="P129" s="480">
        <f t="shared" si="206"/>
        <v>0</v>
      </c>
      <c r="Q129" s="480">
        <f t="shared" si="206"/>
        <v>0</v>
      </c>
      <c r="R129" s="480">
        <f t="shared" si="206"/>
        <v>0</v>
      </c>
      <c r="S129" s="480">
        <f t="shared" si="206"/>
        <v>42817</v>
      </c>
      <c r="T129" s="480">
        <f t="shared" si="206"/>
        <v>0</v>
      </c>
      <c r="U129" s="480">
        <f t="shared" si="206"/>
        <v>0</v>
      </c>
      <c r="V129" s="480">
        <f t="shared" si="206"/>
        <v>0</v>
      </c>
      <c r="W129" s="480">
        <f>((((((((((((((((((((B129)+(C129))+(D129))+(E129))+(F129))+(G129))+(H129))+(I129))+(J129))+(K129))+(L129))+(M129))+(N129))+(O129))+(P129))+(Q129))+(R129))+(S129))+(T129))+(U129))+(V129)</f>
        <v>43110.1</v>
      </c>
      <c r="X129" s="480">
        <f t="shared" si="123"/>
        <v>24634.342857142852</v>
      </c>
      <c r="Y129" s="480">
        <f t="shared" si="124"/>
        <v>263.10000000000002</v>
      </c>
      <c r="Z129" s="480">
        <f t="shared" si="192"/>
        <v>43110.1</v>
      </c>
      <c r="AA129" s="480">
        <f t="shared" ref="AA129:AC129" si="207">(AA127)+(AA128)</f>
        <v>9946.2000000000007</v>
      </c>
      <c r="AB129" s="37" t="str">
        <f t="shared" si="140"/>
        <v/>
      </c>
      <c r="AC129" s="480">
        <f t="shared" si="207"/>
        <v>834.55624360286595</v>
      </c>
      <c r="AD129" s="480">
        <f t="shared" ref="AD129:AN129" si="208">(AD127)+(AD128)</f>
        <v>803.85</v>
      </c>
      <c r="AE129" s="480">
        <f t="shared" si="208"/>
        <v>803.85</v>
      </c>
      <c r="AF129" s="480">
        <f t="shared" si="208"/>
        <v>803.85</v>
      </c>
      <c r="AG129" s="480">
        <f t="shared" si="208"/>
        <v>803.85</v>
      </c>
      <c r="AH129" s="480">
        <f t="shared" si="208"/>
        <v>803.85</v>
      </c>
      <c r="AI129" s="480">
        <f t="shared" si="208"/>
        <v>803.85</v>
      </c>
      <c r="AJ129" s="480">
        <f t="shared" si="208"/>
        <v>803.85</v>
      </c>
      <c r="AK129" s="480">
        <f t="shared" si="208"/>
        <v>803.85</v>
      </c>
      <c r="AL129" s="480">
        <f t="shared" si="208"/>
        <v>1073.143756397134</v>
      </c>
      <c r="AM129" s="480">
        <f t="shared" si="208"/>
        <v>803.85</v>
      </c>
      <c r="AN129" s="480">
        <f t="shared" si="208"/>
        <v>803.85</v>
      </c>
    </row>
    <row r="130" spans="1:40" x14ac:dyDescent="0.25">
      <c r="A130" s="476" t="s">
        <v>221</v>
      </c>
      <c r="B130" s="480">
        <f t="shared" ref="B130:V130" si="209">(B125)-(B129)</f>
        <v>0</v>
      </c>
      <c r="C130" s="480">
        <f t="shared" si="209"/>
        <v>0</v>
      </c>
      <c r="D130" s="480">
        <f t="shared" si="209"/>
        <v>3.57</v>
      </c>
      <c r="E130" s="480">
        <f t="shared" si="209"/>
        <v>0</v>
      </c>
      <c r="F130" s="480">
        <f t="shared" si="209"/>
        <v>0</v>
      </c>
      <c r="G130" s="480">
        <f t="shared" si="209"/>
        <v>3.65</v>
      </c>
      <c r="H130" s="480">
        <f t="shared" si="209"/>
        <v>0.56000000000000005</v>
      </c>
      <c r="I130" s="480">
        <f t="shared" si="209"/>
        <v>0</v>
      </c>
      <c r="J130" s="480">
        <f t="shared" si="209"/>
        <v>1.78</v>
      </c>
      <c r="K130" s="480">
        <f t="shared" si="209"/>
        <v>-263.10000000000002</v>
      </c>
      <c r="L130" s="480">
        <f t="shared" si="209"/>
        <v>0</v>
      </c>
      <c r="M130" s="480">
        <f t="shared" si="209"/>
        <v>2.82</v>
      </c>
      <c r="N130" s="480">
        <f t="shared" si="209"/>
        <v>-30</v>
      </c>
      <c r="O130" s="480">
        <f t="shared" si="209"/>
        <v>0</v>
      </c>
      <c r="P130" s="480">
        <f t="shared" si="209"/>
        <v>2.8</v>
      </c>
      <c r="Q130" s="480">
        <f t="shared" si="209"/>
        <v>0</v>
      </c>
      <c r="R130" s="480">
        <f t="shared" si="209"/>
        <v>0</v>
      </c>
      <c r="S130" s="480">
        <f t="shared" si="209"/>
        <v>-42814.29</v>
      </c>
      <c r="T130" s="480">
        <f t="shared" si="209"/>
        <v>0</v>
      </c>
      <c r="U130" s="480">
        <f t="shared" si="209"/>
        <v>1.55</v>
      </c>
      <c r="V130" s="480">
        <f t="shared" si="209"/>
        <v>2.73</v>
      </c>
      <c r="W130" s="480">
        <f>((((((((((((((((((((B130)+(C130))+(D130))+(E130))+(F130))+(G130))+(H130))+(I130))+(J130))+(K130))+(L130))+(M130))+(N130))+(O130))+(P130))+(Q130))+(R130))+(S130))+(T130))+(U130))+(V130)</f>
        <v>-43087.929999999993</v>
      </c>
      <c r="X130" s="480">
        <f t="shared" si="123"/>
        <v>-24621.674285714282</v>
      </c>
      <c r="Y130" s="480">
        <f t="shared" si="124"/>
        <v>-250.72000000000003</v>
      </c>
      <c r="Z130" s="480">
        <f t="shared" si="192"/>
        <v>-43097.49</v>
      </c>
      <c r="AA130" s="480">
        <f t="shared" ref="AA130:AC130" si="210">(AA125)-(AA129)</f>
        <v>-9934.2000000000007</v>
      </c>
      <c r="AB130" s="37" t="str">
        <f t="shared" si="140"/>
        <v/>
      </c>
      <c r="AC130" s="480">
        <f t="shared" si="210"/>
        <v>-834.55624360286595</v>
      </c>
      <c r="AD130" s="480">
        <f t="shared" ref="AD130:AN130" si="211">(AD125)-(AD129)</f>
        <v>-803.85</v>
      </c>
      <c r="AE130" s="480">
        <f t="shared" si="211"/>
        <v>-800.81202531645567</v>
      </c>
      <c r="AF130" s="480">
        <f t="shared" si="211"/>
        <v>-803.85</v>
      </c>
      <c r="AG130" s="480">
        <f t="shared" si="211"/>
        <v>-803.85</v>
      </c>
      <c r="AH130" s="480">
        <f t="shared" si="211"/>
        <v>-800.90967450271251</v>
      </c>
      <c r="AI130" s="480">
        <f t="shared" si="211"/>
        <v>-803.85</v>
      </c>
      <c r="AJ130" s="480">
        <f t="shared" si="211"/>
        <v>-803.85</v>
      </c>
      <c r="AK130" s="480">
        <f t="shared" si="211"/>
        <v>-800.88797468354437</v>
      </c>
      <c r="AL130" s="480">
        <f t="shared" si="211"/>
        <v>-1073.143756397134</v>
      </c>
      <c r="AM130" s="480">
        <f t="shared" si="211"/>
        <v>-803.85</v>
      </c>
      <c r="AN130" s="480">
        <f t="shared" si="211"/>
        <v>-800.79032549728754</v>
      </c>
    </row>
    <row r="131" spans="1:40" x14ac:dyDescent="0.25">
      <c r="A131" s="476" t="s">
        <v>222</v>
      </c>
      <c r="B131" s="480">
        <f t="shared" ref="B131:V131" si="212">(B121)+(B130)</f>
        <v>-13558.240000000002</v>
      </c>
      <c r="C131" s="480">
        <f t="shared" si="212"/>
        <v>-10110.43</v>
      </c>
      <c r="D131" s="480">
        <f t="shared" si="212"/>
        <v>-13500.780000000004</v>
      </c>
      <c r="E131" s="480">
        <f t="shared" si="212"/>
        <v>-14189.920000000002</v>
      </c>
      <c r="F131" s="480">
        <f t="shared" si="212"/>
        <v>15157.210000000003</v>
      </c>
      <c r="G131" s="480">
        <f t="shared" si="212"/>
        <v>-23517.019999999997</v>
      </c>
      <c r="H131" s="480">
        <f t="shared" si="212"/>
        <v>-23336.099999999995</v>
      </c>
      <c r="I131" s="480">
        <f t="shared" si="212"/>
        <v>-4838.6300000000119</v>
      </c>
      <c r="J131" s="480">
        <f t="shared" si="212"/>
        <v>-3417.1299999999924</v>
      </c>
      <c r="K131" s="480">
        <f t="shared" si="212"/>
        <v>106505.34999999999</v>
      </c>
      <c r="L131" s="480">
        <f t="shared" si="212"/>
        <v>-28037.210000000003</v>
      </c>
      <c r="M131" s="480">
        <f t="shared" si="212"/>
        <v>106032.01999999997</v>
      </c>
      <c r="N131" s="480">
        <f t="shared" si="212"/>
        <v>-3211.8199999999961</v>
      </c>
      <c r="O131" s="480">
        <f t="shared" si="212"/>
        <v>-18057.049999999996</v>
      </c>
      <c r="P131" s="480">
        <f t="shared" si="212"/>
        <v>-23119.24</v>
      </c>
      <c r="Q131" s="480">
        <f t="shared" si="212"/>
        <v>-19376.220000000005</v>
      </c>
      <c r="R131" s="480">
        <f t="shared" si="212"/>
        <v>-17078.309999999994</v>
      </c>
      <c r="S131" s="480">
        <f t="shared" si="212"/>
        <v>-61579.80000000001</v>
      </c>
      <c r="T131" s="480">
        <f t="shared" si="212"/>
        <v>1516.8499999999913</v>
      </c>
      <c r="U131" s="480">
        <f t="shared" si="212"/>
        <v>-9422.8300000000054</v>
      </c>
      <c r="V131" s="480">
        <f t="shared" si="212"/>
        <v>5253.91</v>
      </c>
      <c r="W131" s="480">
        <f>((((((((((((((((((((B131)+(C131))+(D131))+(E131))+(F131))+(G131))+(H131))+(I131))+(J131))+(K131))+(L131))+(M131))+(N131))+(O131))+(P131))+(Q131))+(R131))+(S131))+(T131))+(U131))+(V131)</f>
        <v>-51885.390000000058</v>
      </c>
      <c r="X131" s="480">
        <f t="shared" si="123"/>
        <v>-29648.794285714317</v>
      </c>
      <c r="Y131" s="480">
        <f t="shared" si="124"/>
        <v>93189.119999999966</v>
      </c>
      <c r="Z131" s="480">
        <f>SUM(K131:M131,N131:V131)</f>
        <v>39425.649999999965</v>
      </c>
      <c r="AA131" s="480">
        <f t="shared" ref="AA131:AC131" si="213">(AA121)+(AA130)</f>
        <v>49027.258298960005</v>
      </c>
      <c r="AB131" s="37" t="str">
        <f t="shared" si="140"/>
        <v/>
      </c>
      <c r="AC131" s="480">
        <f t="shared" si="213"/>
        <v>-17320.230904143107</v>
      </c>
      <c r="AD131" s="480">
        <f t="shared" ref="AD131:AN131" si="214">(AD121)+(AD130)</f>
        <v>18590.791942184966</v>
      </c>
      <c r="AE131" s="480">
        <f t="shared" si="214"/>
        <v>-35522.23764022754</v>
      </c>
      <c r="AF131" s="480">
        <f t="shared" si="214"/>
        <v>-30730.993679531348</v>
      </c>
      <c r="AG131" s="480">
        <f t="shared" si="214"/>
        <v>552.75013372842511</v>
      </c>
      <c r="AH131" s="480">
        <f t="shared" si="214"/>
        <v>-7033.2377636138808</v>
      </c>
      <c r="AI131" s="480">
        <f t="shared" si="214"/>
        <v>-2875.0603291963212</v>
      </c>
      <c r="AJ131" s="480">
        <f t="shared" si="214"/>
        <v>360.27068620198986</v>
      </c>
      <c r="AK131" s="480">
        <f t="shared" si="214"/>
        <v>18156.913153783062</v>
      </c>
      <c r="AL131" s="480">
        <f t="shared" si="214"/>
        <v>105186.04942662406</v>
      </c>
      <c r="AM131" s="480">
        <f t="shared" si="214"/>
        <v>-635.10659561710929</v>
      </c>
      <c r="AN131" s="480">
        <f t="shared" si="214"/>
        <v>297.34986876679295</v>
      </c>
    </row>
    <row r="132" spans="1:40" x14ac:dyDescent="0.25">
      <c r="A132" s="476"/>
      <c r="B132" s="477"/>
      <c r="C132" s="477"/>
      <c r="D132" s="477"/>
      <c r="E132" s="477"/>
      <c r="F132" s="477"/>
      <c r="G132" s="477"/>
      <c r="H132" s="477"/>
      <c r="I132" s="477"/>
      <c r="J132" s="477"/>
      <c r="K132" s="477"/>
      <c r="L132" s="477"/>
      <c r="M132" s="477"/>
      <c r="N132" s="477"/>
      <c r="O132" s="477"/>
      <c r="P132" s="477"/>
      <c r="Q132" s="477"/>
      <c r="R132" s="477"/>
      <c r="S132" s="477"/>
      <c r="T132" s="477"/>
      <c r="U132" s="477"/>
      <c r="V132" s="477"/>
      <c r="W132" s="477"/>
      <c r="X132" s="482" t="s">
        <v>1201</v>
      </c>
      <c r="Y132" s="479">
        <f>Overview!D18</f>
        <v>93188.979999999981</v>
      </c>
      <c r="Z132" s="479">
        <f>Overview!E18</f>
        <v>39425.649999999965</v>
      </c>
      <c r="AA132" s="479">
        <f>Overview!F18</f>
        <v>49027.25829895999</v>
      </c>
      <c r="AC132" s="479"/>
      <c r="AD132" s="479"/>
      <c r="AE132" s="479"/>
      <c r="AF132" s="479"/>
      <c r="AG132" s="479"/>
      <c r="AH132" s="479"/>
      <c r="AI132" s="479"/>
      <c r="AJ132" s="479"/>
      <c r="AK132" s="479"/>
      <c r="AL132" s="479"/>
      <c r="AM132" s="479"/>
      <c r="AN132" s="479"/>
    </row>
    <row r="133" spans="1:40" x14ac:dyDescent="0.25">
      <c r="X133" s="418" t="s">
        <v>1200</v>
      </c>
      <c r="Y133" s="479">
        <f>Y131-Y132</f>
        <v>0.13999999998486601</v>
      </c>
      <c r="Z133" s="479">
        <f t="shared" ref="Z133:AA133" si="215">Z131-Z132</f>
        <v>0</v>
      </c>
      <c r="AA133" s="479">
        <f t="shared" si="215"/>
        <v>0</v>
      </c>
      <c r="AC133" s="479"/>
      <c r="AD133" s="479"/>
      <c r="AE133" s="479"/>
      <c r="AF133" s="479"/>
      <c r="AG133" s="479"/>
      <c r="AH133" s="479"/>
      <c r="AI133" s="479"/>
      <c r="AJ133" s="479"/>
      <c r="AK133" s="479"/>
      <c r="AL133" s="479"/>
      <c r="AM133" s="479"/>
      <c r="AN133" s="479"/>
    </row>
    <row r="134" spans="1:40" x14ac:dyDescent="0.25">
      <c r="Z134" s="322"/>
    </row>
    <row r="135" spans="1:40" x14ac:dyDescent="0.25">
      <c r="A135" s="543" t="s">
        <v>1198</v>
      </c>
      <c r="B135" s="541"/>
      <c r="C135" s="541"/>
      <c r="D135" s="541"/>
      <c r="E135" s="541"/>
      <c r="F135" s="541"/>
      <c r="G135" s="541"/>
      <c r="H135" s="541"/>
      <c r="I135" s="541"/>
      <c r="J135" s="541"/>
      <c r="K135" s="541"/>
      <c r="L135" s="541"/>
      <c r="M135" s="541"/>
      <c r="N135" s="541"/>
      <c r="O135" s="541"/>
      <c r="P135" s="541"/>
      <c r="Q135" s="541"/>
      <c r="R135" s="541"/>
      <c r="S135" s="541"/>
      <c r="T135" s="541"/>
      <c r="U135" s="541"/>
      <c r="V135" s="541"/>
      <c r="W135" s="541"/>
      <c r="AA135" s="418"/>
    </row>
  </sheetData>
  <mergeCells count="4">
    <mergeCell ref="A1:W1"/>
    <mergeCell ref="A2:W2"/>
    <mergeCell ref="A3:W3"/>
    <mergeCell ref="A135:W135"/>
  </mergeCells>
  <pageMargins left="0.7" right="0.7" top="0.75" bottom="0.75" header="0.3" footer="0.3"/>
  <ignoredErrors>
    <ignoredError sqref="M7 AB11 Z15 AB15 AK22 AB23 AB36 AB46 AC57:AN57 M59 O59 AB60 L84 N84 Q84 AB90:AN90 D97 Q97 J100 AC117:AE117" formula="1"/>
  </ignoredErrors>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zoomScaleNormal="100" workbookViewId="0">
      <pane xSplit="1" ySplit="6" topLeftCell="B56" activePane="bottomRight" state="frozen"/>
      <selection activeCell="A19" sqref="A19:G19"/>
      <selection pane="topRight" activeCell="A19" sqref="A19:G19"/>
      <selection pane="bottomLeft" activeCell="A19" sqref="A19:G19"/>
      <selection pane="bottomRight" activeCell="N67" sqref="N67"/>
    </sheetView>
  </sheetViews>
  <sheetFormatPr defaultColWidth="11" defaultRowHeight="15.75" outlineLevelRow="1" outlineLevelCol="1" x14ac:dyDescent="0.25"/>
  <cols>
    <col min="1" max="1" width="7.625" style="31" customWidth="1"/>
    <col min="2" max="2" width="18.875" customWidth="1"/>
    <col min="3" max="3" width="8.25" customWidth="1"/>
    <col min="4" max="4" width="9.25" customWidth="1"/>
    <col min="5" max="5" width="9.375" bestFit="1" customWidth="1" outlineLevel="1"/>
    <col min="6" max="6" width="6.375" customWidth="1" outlineLevel="1"/>
    <col min="7" max="7" width="10.125" customWidth="1" outlineLevel="1"/>
    <col min="8" max="8" width="8.5" customWidth="1" outlineLevel="1"/>
    <col min="9" max="9" width="9.5" customWidth="1" outlineLevel="1"/>
    <col min="10" max="10" width="3.5" customWidth="1" outlineLevel="1"/>
    <col min="11" max="14" width="8.625" customWidth="1"/>
    <col min="15" max="15" width="10.625" customWidth="1"/>
    <col min="16" max="17" width="8.625" customWidth="1"/>
  </cols>
  <sheetData>
    <row r="1" spans="1:19" x14ac:dyDescent="0.25">
      <c r="A1" s="356"/>
      <c r="B1" s="355"/>
      <c r="C1" s="355"/>
      <c r="D1" s="355"/>
      <c r="E1" s="355"/>
      <c r="F1" s="355"/>
      <c r="G1" s="355"/>
      <c r="H1" s="355"/>
      <c r="I1" s="355"/>
      <c r="J1" s="355"/>
      <c r="K1" s="355"/>
      <c r="L1" s="355"/>
      <c r="M1" s="355"/>
      <c r="N1" s="355"/>
      <c r="O1" s="355"/>
      <c r="P1" s="355"/>
      <c r="Q1" s="355"/>
    </row>
    <row r="2" spans="1:19" ht="43.7" customHeight="1" x14ac:dyDescent="0.25">
      <c r="A2" s="356"/>
      <c r="B2" s="355"/>
      <c r="C2" s="355"/>
      <c r="D2" s="355"/>
      <c r="E2" s="355"/>
      <c r="F2" s="355"/>
      <c r="G2" s="355"/>
      <c r="H2" s="355"/>
      <c r="I2" s="355"/>
      <c r="J2" s="355"/>
      <c r="K2" s="355"/>
      <c r="L2" s="355"/>
      <c r="M2" s="355"/>
      <c r="N2" s="355"/>
      <c r="O2" s="355"/>
      <c r="P2" s="355"/>
      <c r="Q2" s="355"/>
    </row>
    <row r="3" spans="1:19" ht="22.7" customHeight="1" x14ac:dyDescent="0.25">
      <c r="A3" s="356"/>
      <c r="B3" s="355"/>
      <c r="C3" s="355"/>
      <c r="D3" s="355"/>
      <c r="E3" s="355"/>
      <c r="F3" s="355"/>
      <c r="G3" s="355"/>
      <c r="H3" s="355"/>
      <c r="I3" s="355"/>
      <c r="J3" s="355"/>
      <c r="K3" s="355"/>
      <c r="L3" s="355"/>
      <c r="M3" s="355"/>
      <c r="N3" s="355"/>
      <c r="O3" s="355"/>
      <c r="P3" s="355"/>
      <c r="Q3" s="355"/>
    </row>
    <row r="4" spans="1:19" ht="23.25" x14ac:dyDescent="0.35">
      <c r="A4" s="356"/>
      <c r="B4" s="544" t="s">
        <v>0</v>
      </c>
      <c r="C4" s="544"/>
      <c r="D4" s="544"/>
      <c r="E4" s="544"/>
      <c r="F4" s="544"/>
      <c r="G4" s="544"/>
      <c r="H4" s="544"/>
      <c r="I4" s="544"/>
      <c r="K4" s="544" t="s">
        <v>412</v>
      </c>
      <c r="L4" s="544"/>
      <c r="M4" s="544"/>
      <c r="N4" s="544"/>
      <c r="O4" s="544"/>
      <c r="P4" s="544"/>
      <c r="Q4" s="544"/>
    </row>
    <row r="5" spans="1:19" s="325" customFormat="1" ht="12" hidden="1" customHeight="1" outlineLevel="1" x14ac:dyDescent="0.25">
      <c r="A5" s="326"/>
      <c r="H5" s="497">
        <v>0.1</v>
      </c>
      <c r="O5" s="353"/>
    </row>
    <row r="6" spans="1:19" s="325" customFormat="1" ht="32.25" customHeight="1" collapsed="1" x14ac:dyDescent="0.25">
      <c r="A6" s="334" t="s">
        <v>1288</v>
      </c>
      <c r="B6" s="334" t="s">
        <v>9</v>
      </c>
      <c r="C6" s="334" t="s">
        <v>1216</v>
      </c>
      <c r="D6" s="334" t="s">
        <v>1217</v>
      </c>
      <c r="E6" s="334" t="s">
        <v>410</v>
      </c>
      <c r="F6" s="526" t="s">
        <v>13</v>
      </c>
      <c r="G6" s="526" t="s">
        <v>14</v>
      </c>
      <c r="H6" s="526" t="s">
        <v>11</v>
      </c>
      <c r="I6" s="334" t="s">
        <v>10</v>
      </c>
      <c r="K6" s="334" t="s">
        <v>410</v>
      </c>
      <c r="L6" s="334" t="s">
        <v>411</v>
      </c>
      <c r="M6" s="334" t="s">
        <v>492</v>
      </c>
      <c r="N6" s="334" t="s">
        <v>495</v>
      </c>
      <c r="O6" s="354" t="s">
        <v>508</v>
      </c>
      <c r="P6" s="334" t="s">
        <v>413</v>
      </c>
      <c r="Q6" s="334" t="s">
        <v>414</v>
      </c>
    </row>
    <row r="7" spans="1:19" s="325" customFormat="1" ht="15" x14ac:dyDescent="0.25">
      <c r="A7" s="496" t="s">
        <v>110</v>
      </c>
      <c r="B7" s="495" t="s">
        <v>1</v>
      </c>
      <c r="C7" s="496">
        <v>4800</v>
      </c>
      <c r="D7" s="525">
        <v>6.5000000000000002E-2</v>
      </c>
      <c r="E7" s="498">
        <f t="shared" ref="E7:E8" si="0">C7*D7</f>
        <v>312</v>
      </c>
      <c r="F7" s="366">
        <v>0</v>
      </c>
      <c r="G7" s="336">
        <f t="shared" ref="G7:G31" si="1">E7*F7</f>
        <v>0</v>
      </c>
      <c r="H7" s="336">
        <f>$H$5*G7</f>
        <v>0</v>
      </c>
      <c r="I7" s="336">
        <f>G7-H7</f>
        <v>0</v>
      </c>
      <c r="K7" s="337">
        <f t="shared" ref="K7:K32" si="2">E7</f>
        <v>312</v>
      </c>
      <c r="L7" s="337">
        <f t="shared" ref="L7:L32" si="3">H7</f>
        <v>0</v>
      </c>
      <c r="M7" s="337">
        <f>K7-L7</f>
        <v>312</v>
      </c>
      <c r="N7" s="337">
        <f>COGS!C4</f>
        <v>4</v>
      </c>
      <c r="O7" s="337">
        <f>IF(E7&lt;1,0,K7-L7-N7)</f>
        <v>308</v>
      </c>
      <c r="P7" s="337">
        <f t="shared" ref="P7:P32" si="4">E7-G7</f>
        <v>312</v>
      </c>
      <c r="Q7" s="337">
        <f>O7-P7</f>
        <v>-4</v>
      </c>
      <c r="S7" s="336"/>
    </row>
    <row r="8" spans="1:19" s="325" customFormat="1" ht="15" x14ac:dyDescent="0.25">
      <c r="A8" s="496" t="s">
        <v>110</v>
      </c>
      <c r="B8" s="495" t="s">
        <v>1227</v>
      </c>
      <c r="C8" s="496">
        <v>4800</v>
      </c>
      <c r="D8" s="525">
        <v>6.5000000000000002E-2</v>
      </c>
      <c r="E8" s="498">
        <f t="shared" si="0"/>
        <v>312</v>
      </c>
      <c r="F8" s="366">
        <v>0</v>
      </c>
      <c r="G8" s="336">
        <f t="shared" si="1"/>
        <v>0</v>
      </c>
      <c r="H8" s="336">
        <f t="shared" ref="H8:H39" si="5">$H$5*G8</f>
        <v>0</v>
      </c>
      <c r="I8" s="336">
        <f t="shared" ref="I8:I31" si="6">G8-H8</f>
        <v>0</v>
      </c>
      <c r="K8" s="337">
        <f t="shared" si="2"/>
        <v>312</v>
      </c>
      <c r="L8" s="337">
        <f t="shared" si="3"/>
        <v>0</v>
      </c>
      <c r="M8" s="337">
        <f t="shared" ref="M8:M32" si="7">K8-L8</f>
        <v>312</v>
      </c>
      <c r="N8" s="337">
        <f>COGS!C5</f>
        <v>5</v>
      </c>
      <c r="O8" s="337">
        <f>IF(E8&lt;1,0,K8-L8-N8)</f>
        <v>307</v>
      </c>
      <c r="P8" s="337">
        <f t="shared" si="4"/>
        <v>312</v>
      </c>
      <c r="Q8" s="337">
        <f t="shared" ref="Q8:Q32" si="8">O8-P8</f>
        <v>-5</v>
      </c>
      <c r="S8" s="336"/>
    </row>
    <row r="9" spans="1:19" s="325" customFormat="1" ht="15" hidden="1" outlineLevel="1" x14ac:dyDescent="0.25">
      <c r="A9" s="326" t="s">
        <v>109</v>
      </c>
      <c r="B9" s="335"/>
      <c r="C9" s="496"/>
      <c r="D9" s="525"/>
      <c r="E9" s="498">
        <f t="shared" ref="E9" si="9">C9*D9</f>
        <v>0</v>
      </c>
      <c r="F9" s="366">
        <v>0.5</v>
      </c>
      <c r="G9" s="336">
        <f t="shared" si="1"/>
        <v>0</v>
      </c>
      <c r="H9" s="336">
        <f t="shared" si="5"/>
        <v>0</v>
      </c>
      <c r="I9" s="336">
        <f t="shared" si="6"/>
        <v>0</v>
      </c>
      <c r="K9" s="337">
        <f t="shared" si="2"/>
        <v>0</v>
      </c>
      <c r="L9" s="337">
        <f t="shared" si="3"/>
        <v>0</v>
      </c>
      <c r="M9" s="337">
        <f t="shared" si="7"/>
        <v>0</v>
      </c>
      <c r="N9" s="337">
        <f>COGS!C6</f>
        <v>0</v>
      </c>
      <c r="O9" s="337">
        <f t="shared" ref="O9:O39" si="10">IF(E9&lt;1,0,K9-L9-N9)</f>
        <v>0</v>
      </c>
      <c r="P9" s="337">
        <f t="shared" si="4"/>
        <v>0</v>
      </c>
      <c r="Q9" s="337">
        <f t="shared" si="8"/>
        <v>0</v>
      </c>
      <c r="S9" s="336"/>
    </row>
    <row r="10" spans="1:19" s="325" customFormat="1" ht="15" collapsed="1" x14ac:dyDescent="0.25">
      <c r="A10" s="326" t="s">
        <v>109</v>
      </c>
      <c r="B10" s="335" t="s">
        <v>6</v>
      </c>
      <c r="C10" s="496">
        <v>2160</v>
      </c>
      <c r="D10" s="525">
        <v>1</v>
      </c>
      <c r="E10" s="498">
        <f>C10*D10</f>
        <v>2160</v>
      </c>
      <c r="F10" s="366">
        <v>0.5</v>
      </c>
      <c r="G10" s="336">
        <f t="shared" si="1"/>
        <v>1080</v>
      </c>
      <c r="H10" s="336">
        <f t="shared" si="5"/>
        <v>108</v>
      </c>
      <c r="I10" s="336">
        <f t="shared" si="6"/>
        <v>972</v>
      </c>
      <c r="K10" s="337">
        <f t="shared" si="2"/>
        <v>2160</v>
      </c>
      <c r="L10" s="337">
        <f t="shared" si="3"/>
        <v>108</v>
      </c>
      <c r="M10" s="337">
        <f t="shared" si="7"/>
        <v>2052</v>
      </c>
      <c r="N10" s="337">
        <f>COGS!C7</f>
        <v>40</v>
      </c>
      <c r="O10" s="337">
        <f t="shared" si="10"/>
        <v>2012</v>
      </c>
      <c r="P10" s="337">
        <f t="shared" si="4"/>
        <v>1080</v>
      </c>
      <c r="Q10" s="337">
        <f t="shared" si="8"/>
        <v>932</v>
      </c>
      <c r="S10" s="336"/>
    </row>
    <row r="11" spans="1:19" s="325" customFormat="1" ht="15" x14ac:dyDescent="0.25">
      <c r="A11" s="496" t="s">
        <v>1231</v>
      </c>
      <c r="B11" s="495" t="s">
        <v>1229</v>
      </c>
      <c r="C11" s="496">
        <v>9000</v>
      </c>
      <c r="D11" s="525">
        <v>0.9</v>
      </c>
      <c r="E11" s="498">
        <f t="shared" ref="E11" si="11">C11*D11</f>
        <v>8100</v>
      </c>
      <c r="F11" s="366">
        <v>0</v>
      </c>
      <c r="G11" s="336">
        <f t="shared" si="1"/>
        <v>0</v>
      </c>
      <c r="H11" s="336">
        <f t="shared" si="5"/>
        <v>0</v>
      </c>
      <c r="I11" s="336">
        <f t="shared" si="6"/>
        <v>0</v>
      </c>
      <c r="K11" s="337">
        <f t="shared" si="2"/>
        <v>8100</v>
      </c>
      <c r="L11" s="337">
        <f t="shared" si="3"/>
        <v>0</v>
      </c>
      <c r="M11" s="337">
        <f t="shared" si="7"/>
        <v>8100</v>
      </c>
      <c r="N11" s="337">
        <f>COGS!C8</f>
        <v>141</v>
      </c>
      <c r="O11" s="337">
        <f t="shared" si="10"/>
        <v>7959</v>
      </c>
      <c r="P11" s="337">
        <f t="shared" si="4"/>
        <v>8100</v>
      </c>
      <c r="Q11" s="337">
        <f t="shared" si="8"/>
        <v>-141</v>
      </c>
      <c r="S11" s="336"/>
    </row>
    <row r="12" spans="1:19" s="325" customFormat="1" ht="15" x14ac:dyDescent="0.25">
      <c r="A12" s="326" t="s">
        <v>109</v>
      </c>
      <c r="B12" s="495" t="s">
        <v>1218</v>
      </c>
      <c r="C12" s="496">
        <v>9000</v>
      </c>
      <c r="D12" s="525">
        <v>0.9</v>
      </c>
      <c r="E12" s="498">
        <f t="shared" ref="E12:E39" si="12">C12*D12</f>
        <v>8100</v>
      </c>
      <c r="F12" s="366">
        <v>0.5</v>
      </c>
      <c r="G12" s="336">
        <f t="shared" si="1"/>
        <v>4050</v>
      </c>
      <c r="H12" s="336">
        <f t="shared" si="5"/>
        <v>405</v>
      </c>
      <c r="I12" s="336">
        <f t="shared" si="6"/>
        <v>3645</v>
      </c>
      <c r="K12" s="337">
        <f t="shared" si="2"/>
        <v>8100</v>
      </c>
      <c r="L12" s="337">
        <f t="shared" si="3"/>
        <v>405</v>
      </c>
      <c r="M12" s="337">
        <f t="shared" si="7"/>
        <v>7695</v>
      </c>
      <c r="N12" s="337">
        <f>COGS!C9</f>
        <v>141</v>
      </c>
      <c r="O12" s="337">
        <f t="shared" si="10"/>
        <v>7554</v>
      </c>
      <c r="P12" s="337">
        <f t="shared" si="4"/>
        <v>4050</v>
      </c>
      <c r="Q12" s="337">
        <f t="shared" si="8"/>
        <v>3504</v>
      </c>
      <c r="S12" s="336"/>
    </row>
    <row r="13" spans="1:19" s="325" customFormat="1" ht="15" x14ac:dyDescent="0.25">
      <c r="A13" s="326" t="s">
        <v>109</v>
      </c>
      <c r="B13" s="335" t="s">
        <v>3</v>
      </c>
      <c r="C13" s="496">
        <v>900</v>
      </c>
      <c r="D13" s="525">
        <v>0.45</v>
      </c>
      <c r="E13" s="498">
        <f t="shared" si="12"/>
        <v>405</v>
      </c>
      <c r="F13" s="366">
        <v>0.5</v>
      </c>
      <c r="G13" s="336">
        <f t="shared" si="1"/>
        <v>202.5</v>
      </c>
      <c r="H13" s="336">
        <f t="shared" si="5"/>
        <v>20.25</v>
      </c>
      <c r="I13" s="336">
        <f t="shared" si="6"/>
        <v>182.25</v>
      </c>
      <c r="K13" s="337">
        <f t="shared" si="2"/>
        <v>405</v>
      </c>
      <c r="L13" s="337">
        <f t="shared" si="3"/>
        <v>20.25</v>
      </c>
      <c r="M13" s="337">
        <f t="shared" si="7"/>
        <v>384.75</v>
      </c>
      <c r="N13" s="337">
        <f>COGS!C10</f>
        <v>6</v>
      </c>
      <c r="O13" s="337">
        <f t="shared" si="10"/>
        <v>378.75</v>
      </c>
      <c r="P13" s="337">
        <f t="shared" si="4"/>
        <v>202.5</v>
      </c>
      <c r="Q13" s="337">
        <f t="shared" si="8"/>
        <v>176.25</v>
      </c>
      <c r="S13" s="336"/>
    </row>
    <row r="14" spans="1:19" s="325" customFormat="1" ht="15" hidden="1" outlineLevel="1" x14ac:dyDescent="0.25">
      <c r="A14" s="326" t="s">
        <v>109</v>
      </c>
      <c r="B14" s="335" t="s">
        <v>7</v>
      </c>
      <c r="C14" s="496"/>
      <c r="D14" s="525"/>
      <c r="E14" s="498">
        <f t="shared" si="12"/>
        <v>0</v>
      </c>
      <c r="F14" s="366">
        <v>0.5</v>
      </c>
      <c r="G14" s="336">
        <f t="shared" si="1"/>
        <v>0</v>
      </c>
      <c r="H14" s="336">
        <f t="shared" si="5"/>
        <v>0</v>
      </c>
      <c r="I14" s="336">
        <f t="shared" si="6"/>
        <v>0</v>
      </c>
      <c r="K14" s="337">
        <f t="shared" si="2"/>
        <v>0</v>
      </c>
      <c r="L14" s="337">
        <f t="shared" si="3"/>
        <v>0</v>
      </c>
      <c r="M14" s="337">
        <f t="shared" si="7"/>
        <v>0</v>
      </c>
      <c r="N14" s="337">
        <f>COGS!C11</f>
        <v>0</v>
      </c>
      <c r="O14" s="337">
        <f t="shared" si="10"/>
        <v>0</v>
      </c>
      <c r="P14" s="337">
        <f t="shared" si="4"/>
        <v>0</v>
      </c>
      <c r="Q14" s="337">
        <f t="shared" si="8"/>
        <v>0</v>
      </c>
      <c r="S14" s="336"/>
    </row>
    <row r="15" spans="1:19" s="325" customFormat="1" ht="15" collapsed="1" x14ac:dyDescent="0.25">
      <c r="A15" s="326" t="s">
        <v>109</v>
      </c>
      <c r="B15" s="495" t="s">
        <v>1228</v>
      </c>
      <c r="C15" s="496">
        <v>840</v>
      </c>
      <c r="D15" s="525">
        <v>3</v>
      </c>
      <c r="E15" s="498">
        <f t="shared" ref="E15" si="13">C15*D15</f>
        <v>2520</v>
      </c>
      <c r="F15" s="366">
        <v>0</v>
      </c>
      <c r="G15" s="336">
        <f t="shared" si="1"/>
        <v>0</v>
      </c>
      <c r="H15" s="336">
        <f t="shared" si="5"/>
        <v>0</v>
      </c>
      <c r="I15" s="336">
        <f t="shared" si="6"/>
        <v>0</v>
      </c>
      <c r="K15" s="337">
        <f t="shared" si="2"/>
        <v>2520</v>
      </c>
      <c r="L15" s="337">
        <f t="shared" si="3"/>
        <v>0</v>
      </c>
      <c r="M15" s="337">
        <f t="shared" si="7"/>
        <v>2520</v>
      </c>
      <c r="N15" s="337">
        <f>COGS!C12</f>
        <v>60</v>
      </c>
      <c r="O15" s="337">
        <f t="shared" si="10"/>
        <v>2460</v>
      </c>
      <c r="P15" s="337">
        <f t="shared" si="4"/>
        <v>2520</v>
      </c>
      <c r="Q15" s="337">
        <f t="shared" si="8"/>
        <v>-60</v>
      </c>
      <c r="S15" s="336"/>
    </row>
    <row r="16" spans="1:19" s="325" customFormat="1" ht="15" x14ac:dyDescent="0.25">
      <c r="A16" s="326" t="s">
        <v>110</v>
      </c>
      <c r="B16" s="335" t="s">
        <v>5</v>
      </c>
      <c r="C16" s="496">
        <v>1920</v>
      </c>
      <c r="D16" s="525">
        <v>0.62</v>
      </c>
      <c r="E16" s="498">
        <f t="shared" si="12"/>
        <v>1190.4000000000001</v>
      </c>
      <c r="F16" s="366">
        <v>0.5</v>
      </c>
      <c r="G16" s="336">
        <f t="shared" si="1"/>
        <v>595.20000000000005</v>
      </c>
      <c r="H16" s="336">
        <f t="shared" si="5"/>
        <v>59.52000000000001</v>
      </c>
      <c r="I16" s="336">
        <f t="shared" si="6"/>
        <v>535.68000000000006</v>
      </c>
      <c r="K16" s="337">
        <f t="shared" si="2"/>
        <v>1190.4000000000001</v>
      </c>
      <c r="L16" s="337">
        <f t="shared" si="3"/>
        <v>59.52000000000001</v>
      </c>
      <c r="M16" s="337">
        <f t="shared" si="7"/>
        <v>1130.8800000000001</v>
      </c>
      <c r="N16" s="337">
        <f>COGS!C13</f>
        <v>91</v>
      </c>
      <c r="O16" s="337">
        <f t="shared" si="10"/>
        <v>1039.8800000000001</v>
      </c>
      <c r="P16" s="337">
        <f t="shared" si="4"/>
        <v>595.20000000000005</v>
      </c>
      <c r="Q16" s="337">
        <f t="shared" si="8"/>
        <v>444.68000000000006</v>
      </c>
      <c r="S16" s="336"/>
    </row>
    <row r="17" spans="1:19" s="325" customFormat="1" ht="15" x14ac:dyDescent="0.25">
      <c r="A17" s="326" t="s">
        <v>109</v>
      </c>
      <c r="B17" s="495" t="s">
        <v>1226</v>
      </c>
      <c r="C17" s="496">
        <v>200</v>
      </c>
      <c r="D17" s="525">
        <v>0.9</v>
      </c>
      <c r="E17" s="498">
        <f t="shared" si="12"/>
        <v>180</v>
      </c>
      <c r="F17" s="366">
        <v>0.5</v>
      </c>
      <c r="G17" s="336">
        <f t="shared" si="1"/>
        <v>90</v>
      </c>
      <c r="H17" s="336">
        <f t="shared" si="5"/>
        <v>9</v>
      </c>
      <c r="I17" s="336">
        <f t="shared" si="6"/>
        <v>81</v>
      </c>
      <c r="K17" s="337">
        <f t="shared" si="2"/>
        <v>180</v>
      </c>
      <c r="L17" s="337">
        <f t="shared" si="3"/>
        <v>9</v>
      </c>
      <c r="M17" s="337">
        <f t="shared" si="7"/>
        <v>171</v>
      </c>
      <c r="N17" s="337">
        <f>COGS!C14</f>
        <v>39</v>
      </c>
      <c r="O17" s="337">
        <f t="shared" si="10"/>
        <v>132</v>
      </c>
      <c r="P17" s="337">
        <f t="shared" si="4"/>
        <v>90</v>
      </c>
      <c r="Q17" s="337">
        <f t="shared" si="8"/>
        <v>42</v>
      </c>
      <c r="S17" s="336"/>
    </row>
    <row r="18" spans="1:19" s="325" customFormat="1" ht="15" x14ac:dyDescent="0.25">
      <c r="A18" s="326" t="s">
        <v>109</v>
      </c>
      <c r="B18" s="335" t="s">
        <v>22</v>
      </c>
      <c r="C18" s="496">
        <v>300</v>
      </c>
      <c r="D18" s="525">
        <v>1</v>
      </c>
      <c r="E18" s="498">
        <f t="shared" si="12"/>
        <v>300</v>
      </c>
      <c r="F18" s="366">
        <v>0.5</v>
      </c>
      <c r="G18" s="336">
        <f t="shared" si="1"/>
        <v>150</v>
      </c>
      <c r="H18" s="336">
        <f t="shared" si="5"/>
        <v>15</v>
      </c>
      <c r="I18" s="336">
        <f t="shared" si="6"/>
        <v>135</v>
      </c>
      <c r="K18" s="337">
        <f t="shared" si="2"/>
        <v>300</v>
      </c>
      <c r="L18" s="337">
        <f t="shared" si="3"/>
        <v>15</v>
      </c>
      <c r="M18" s="337">
        <f t="shared" si="7"/>
        <v>285</v>
      </c>
      <c r="N18" s="337">
        <f>COGS!C15</f>
        <v>13</v>
      </c>
      <c r="O18" s="337">
        <f t="shared" si="10"/>
        <v>272</v>
      </c>
      <c r="P18" s="337">
        <f t="shared" si="4"/>
        <v>150</v>
      </c>
      <c r="Q18" s="337">
        <f t="shared" si="8"/>
        <v>122</v>
      </c>
      <c r="S18" s="336"/>
    </row>
    <row r="19" spans="1:19" s="325" customFormat="1" ht="15" x14ac:dyDescent="0.25">
      <c r="A19" s="496" t="s">
        <v>110</v>
      </c>
      <c r="B19" s="495" t="s">
        <v>1220</v>
      </c>
      <c r="C19" s="496">
        <v>2560</v>
      </c>
      <c r="D19" s="525">
        <v>0.75</v>
      </c>
      <c r="E19" s="498">
        <f t="shared" si="12"/>
        <v>1920</v>
      </c>
      <c r="F19" s="366">
        <v>0.5</v>
      </c>
      <c r="G19" s="336">
        <f t="shared" si="1"/>
        <v>960</v>
      </c>
      <c r="H19" s="336">
        <f t="shared" si="5"/>
        <v>96</v>
      </c>
      <c r="I19" s="336">
        <f t="shared" si="6"/>
        <v>864</v>
      </c>
      <c r="K19" s="337">
        <f t="shared" si="2"/>
        <v>1920</v>
      </c>
      <c r="L19" s="337">
        <f t="shared" si="3"/>
        <v>96</v>
      </c>
      <c r="M19" s="337">
        <f t="shared" si="7"/>
        <v>1824</v>
      </c>
      <c r="N19" s="337">
        <f>COGS!C16</f>
        <v>100</v>
      </c>
      <c r="O19" s="337">
        <f t="shared" si="10"/>
        <v>1724</v>
      </c>
      <c r="P19" s="337">
        <f t="shared" si="4"/>
        <v>960</v>
      </c>
      <c r="Q19" s="337">
        <f t="shared" si="8"/>
        <v>764</v>
      </c>
      <c r="S19" s="336"/>
    </row>
    <row r="20" spans="1:19" s="325" customFormat="1" ht="15" x14ac:dyDescent="0.25">
      <c r="A20" s="326" t="s">
        <v>109</v>
      </c>
      <c r="B20" s="495" t="s">
        <v>1225</v>
      </c>
      <c r="C20" s="496">
        <v>120</v>
      </c>
      <c r="D20" s="525">
        <v>1.2</v>
      </c>
      <c r="E20" s="498">
        <f t="shared" si="12"/>
        <v>144</v>
      </c>
      <c r="F20" s="366">
        <v>0.5</v>
      </c>
      <c r="G20" s="336">
        <f t="shared" si="1"/>
        <v>72</v>
      </c>
      <c r="H20" s="336">
        <f t="shared" si="5"/>
        <v>7.2</v>
      </c>
      <c r="I20" s="336">
        <f t="shared" si="6"/>
        <v>64.8</v>
      </c>
      <c r="K20" s="337">
        <f t="shared" si="2"/>
        <v>144</v>
      </c>
      <c r="L20" s="337">
        <f t="shared" si="3"/>
        <v>7.2</v>
      </c>
      <c r="M20" s="337">
        <f t="shared" si="7"/>
        <v>136.80000000000001</v>
      </c>
      <c r="N20" s="337">
        <f>COGS!C17</f>
        <v>27</v>
      </c>
      <c r="O20" s="337">
        <f t="shared" si="10"/>
        <v>109.80000000000001</v>
      </c>
      <c r="P20" s="337">
        <f t="shared" si="4"/>
        <v>72</v>
      </c>
      <c r="Q20" s="337">
        <f t="shared" si="8"/>
        <v>37.800000000000011</v>
      </c>
      <c r="S20" s="336"/>
    </row>
    <row r="21" spans="1:19" s="325" customFormat="1" ht="15" x14ac:dyDescent="0.25">
      <c r="A21" s="326" t="s">
        <v>109</v>
      </c>
      <c r="B21" s="495" t="s">
        <v>1224</v>
      </c>
      <c r="C21" s="496">
        <v>210</v>
      </c>
      <c r="D21" s="525">
        <v>1.5</v>
      </c>
      <c r="E21" s="498">
        <f t="shared" si="12"/>
        <v>315</v>
      </c>
      <c r="F21" s="366">
        <v>0.5</v>
      </c>
      <c r="G21" s="336">
        <f t="shared" si="1"/>
        <v>157.5</v>
      </c>
      <c r="H21" s="336">
        <f t="shared" si="5"/>
        <v>15.75</v>
      </c>
      <c r="I21" s="336">
        <f t="shared" si="6"/>
        <v>141.75</v>
      </c>
      <c r="K21" s="337">
        <f t="shared" si="2"/>
        <v>315</v>
      </c>
      <c r="L21" s="337">
        <f t="shared" si="3"/>
        <v>15.75</v>
      </c>
      <c r="M21" s="337">
        <f t="shared" si="7"/>
        <v>299.25</v>
      </c>
      <c r="N21" s="337">
        <f>COGS!C18</f>
        <v>8</v>
      </c>
      <c r="O21" s="337">
        <f t="shared" si="10"/>
        <v>291.25</v>
      </c>
      <c r="P21" s="337">
        <f t="shared" si="4"/>
        <v>157.5</v>
      </c>
      <c r="Q21" s="337">
        <f t="shared" si="8"/>
        <v>133.75</v>
      </c>
      <c r="S21" s="336"/>
    </row>
    <row r="22" spans="1:19" s="325" customFormat="1" ht="15" x14ac:dyDescent="0.25">
      <c r="A22" s="326" t="s">
        <v>109</v>
      </c>
      <c r="B22" s="495" t="s">
        <v>1223</v>
      </c>
      <c r="C22" s="496">
        <v>420</v>
      </c>
      <c r="D22" s="525">
        <v>1.2</v>
      </c>
      <c r="E22" s="498">
        <f t="shared" si="12"/>
        <v>504</v>
      </c>
      <c r="F22" s="366">
        <v>0.5</v>
      </c>
      <c r="G22" s="336">
        <f t="shared" si="1"/>
        <v>252</v>
      </c>
      <c r="H22" s="336">
        <f t="shared" si="5"/>
        <v>25.200000000000003</v>
      </c>
      <c r="I22" s="336">
        <f t="shared" si="6"/>
        <v>226.8</v>
      </c>
      <c r="K22" s="337">
        <f t="shared" si="2"/>
        <v>504</v>
      </c>
      <c r="L22" s="337">
        <f t="shared" si="3"/>
        <v>25.200000000000003</v>
      </c>
      <c r="M22" s="337">
        <f t="shared" si="7"/>
        <v>478.8</v>
      </c>
      <c r="N22" s="337">
        <f>COGS!C19</f>
        <v>8</v>
      </c>
      <c r="O22" s="337">
        <f t="shared" si="10"/>
        <v>470.8</v>
      </c>
      <c r="P22" s="337">
        <f t="shared" si="4"/>
        <v>252</v>
      </c>
      <c r="Q22" s="337">
        <f t="shared" si="8"/>
        <v>218.8</v>
      </c>
      <c r="S22" s="336"/>
    </row>
    <row r="23" spans="1:19" s="325" customFormat="1" ht="15" x14ac:dyDescent="0.25">
      <c r="A23" s="326" t="s">
        <v>109</v>
      </c>
      <c r="B23" s="495" t="s">
        <v>1222</v>
      </c>
      <c r="C23" s="496">
        <v>280</v>
      </c>
      <c r="D23" s="525">
        <v>1.2</v>
      </c>
      <c r="E23" s="498">
        <f t="shared" si="12"/>
        <v>336</v>
      </c>
      <c r="F23" s="366">
        <v>0.5</v>
      </c>
      <c r="G23" s="336">
        <f t="shared" si="1"/>
        <v>168</v>
      </c>
      <c r="H23" s="336">
        <f t="shared" si="5"/>
        <v>16.8</v>
      </c>
      <c r="I23" s="336">
        <f t="shared" si="6"/>
        <v>151.19999999999999</v>
      </c>
      <c r="K23" s="337">
        <f t="shared" si="2"/>
        <v>336</v>
      </c>
      <c r="L23" s="337">
        <f t="shared" si="3"/>
        <v>16.8</v>
      </c>
      <c r="M23" s="337">
        <f t="shared" si="7"/>
        <v>319.2</v>
      </c>
      <c r="N23" s="337">
        <f>COGS!C20</f>
        <v>10</v>
      </c>
      <c r="O23" s="337">
        <f t="shared" si="10"/>
        <v>309.2</v>
      </c>
      <c r="P23" s="337">
        <f t="shared" si="4"/>
        <v>168</v>
      </c>
      <c r="Q23" s="337">
        <f t="shared" si="8"/>
        <v>141.19999999999999</v>
      </c>
      <c r="S23" s="336"/>
    </row>
    <row r="24" spans="1:19" s="325" customFormat="1" ht="15" x14ac:dyDescent="0.25">
      <c r="A24" s="326" t="s">
        <v>109</v>
      </c>
      <c r="B24" s="495" t="s">
        <v>1221</v>
      </c>
      <c r="C24" s="496">
        <v>1680</v>
      </c>
      <c r="D24" s="525">
        <v>1.2</v>
      </c>
      <c r="E24" s="498">
        <f t="shared" si="12"/>
        <v>2016</v>
      </c>
      <c r="F24" s="366">
        <v>0.5</v>
      </c>
      <c r="G24" s="336">
        <f t="shared" si="1"/>
        <v>1008</v>
      </c>
      <c r="H24" s="336">
        <f t="shared" si="5"/>
        <v>100.80000000000001</v>
      </c>
      <c r="I24" s="336">
        <f t="shared" si="6"/>
        <v>907.2</v>
      </c>
      <c r="K24" s="337">
        <f t="shared" si="2"/>
        <v>2016</v>
      </c>
      <c r="L24" s="337">
        <f t="shared" si="3"/>
        <v>100.80000000000001</v>
      </c>
      <c r="M24" s="337">
        <f t="shared" si="7"/>
        <v>1915.2</v>
      </c>
      <c r="N24" s="337">
        <f>COGS!C21</f>
        <v>7</v>
      </c>
      <c r="O24" s="337">
        <f t="shared" si="10"/>
        <v>1908.2</v>
      </c>
      <c r="P24" s="337">
        <f t="shared" si="4"/>
        <v>1008</v>
      </c>
      <c r="Q24" s="337">
        <f t="shared" si="8"/>
        <v>900.2</v>
      </c>
      <c r="S24" s="336"/>
    </row>
    <row r="25" spans="1:19" s="325" customFormat="1" ht="15" x14ac:dyDescent="0.25">
      <c r="A25" s="496" t="s">
        <v>110</v>
      </c>
      <c r="B25" s="495" t="s">
        <v>1219</v>
      </c>
      <c r="C25" s="496">
        <v>2560</v>
      </c>
      <c r="D25" s="525">
        <v>1.2</v>
      </c>
      <c r="E25" s="498">
        <f t="shared" si="12"/>
        <v>3072</v>
      </c>
      <c r="F25" s="366">
        <v>0.5</v>
      </c>
      <c r="G25" s="336">
        <f t="shared" si="1"/>
        <v>1536</v>
      </c>
      <c r="H25" s="336">
        <f t="shared" si="5"/>
        <v>153.60000000000002</v>
      </c>
      <c r="I25" s="336">
        <f t="shared" si="6"/>
        <v>1382.4</v>
      </c>
      <c r="K25" s="337">
        <f t="shared" si="2"/>
        <v>3072</v>
      </c>
      <c r="L25" s="337">
        <f t="shared" si="3"/>
        <v>153.60000000000002</v>
      </c>
      <c r="M25" s="337">
        <f t="shared" si="7"/>
        <v>2918.4</v>
      </c>
      <c r="N25" s="337">
        <f>COGS!C22</f>
        <v>63</v>
      </c>
      <c r="O25" s="337">
        <f t="shared" si="10"/>
        <v>2855.4</v>
      </c>
      <c r="P25" s="337">
        <f t="shared" si="4"/>
        <v>1536</v>
      </c>
      <c r="Q25" s="337">
        <f t="shared" si="8"/>
        <v>1319.4</v>
      </c>
      <c r="S25" s="336"/>
    </row>
    <row r="26" spans="1:19" s="325" customFormat="1" ht="15" x14ac:dyDescent="0.25">
      <c r="A26" s="326" t="s">
        <v>109</v>
      </c>
      <c r="B26" s="335" t="s">
        <v>23</v>
      </c>
      <c r="C26" s="496">
        <v>10800</v>
      </c>
      <c r="D26" s="525">
        <v>0.56000000000000005</v>
      </c>
      <c r="E26" s="498">
        <f t="shared" si="12"/>
        <v>6048.0000000000009</v>
      </c>
      <c r="F26" s="366">
        <v>0.5</v>
      </c>
      <c r="G26" s="336">
        <f t="shared" si="1"/>
        <v>3024.0000000000005</v>
      </c>
      <c r="H26" s="336">
        <f t="shared" si="5"/>
        <v>302.40000000000003</v>
      </c>
      <c r="I26" s="336">
        <f t="shared" si="6"/>
        <v>2721.6000000000004</v>
      </c>
      <c r="K26" s="337">
        <f t="shared" si="2"/>
        <v>6048.0000000000009</v>
      </c>
      <c r="L26" s="337">
        <f t="shared" si="3"/>
        <v>302.40000000000003</v>
      </c>
      <c r="M26" s="337">
        <f t="shared" si="7"/>
        <v>5745.6000000000013</v>
      </c>
      <c r="N26" s="337">
        <f>COGS!C23</f>
        <v>600</v>
      </c>
      <c r="O26" s="337">
        <f t="shared" si="10"/>
        <v>5145.6000000000013</v>
      </c>
      <c r="P26" s="337">
        <f t="shared" si="4"/>
        <v>3024.0000000000005</v>
      </c>
      <c r="Q26" s="337">
        <f t="shared" si="8"/>
        <v>2121.6000000000008</v>
      </c>
      <c r="S26" s="336"/>
    </row>
    <row r="27" spans="1:19" s="325" customFormat="1" ht="15" hidden="1" outlineLevel="1" x14ac:dyDescent="0.25">
      <c r="A27" s="326" t="s">
        <v>110</v>
      </c>
      <c r="B27" s="335" t="s">
        <v>12</v>
      </c>
      <c r="C27" s="496"/>
      <c r="D27" s="525"/>
      <c r="E27" s="498">
        <f t="shared" si="12"/>
        <v>0</v>
      </c>
      <c r="F27" s="366">
        <v>0.5</v>
      </c>
      <c r="G27" s="336">
        <f t="shared" si="1"/>
        <v>0</v>
      </c>
      <c r="H27" s="336">
        <f t="shared" si="5"/>
        <v>0</v>
      </c>
      <c r="I27" s="336">
        <f t="shared" si="6"/>
        <v>0</v>
      </c>
      <c r="K27" s="337">
        <f t="shared" si="2"/>
        <v>0</v>
      </c>
      <c r="L27" s="337">
        <f t="shared" si="3"/>
        <v>0</v>
      </c>
      <c r="M27" s="337">
        <f t="shared" si="7"/>
        <v>0</v>
      </c>
      <c r="N27" s="337">
        <f>COGS!C24</f>
        <v>0</v>
      </c>
      <c r="O27" s="337">
        <f t="shared" si="10"/>
        <v>0</v>
      </c>
      <c r="P27" s="337">
        <f t="shared" si="4"/>
        <v>0</v>
      </c>
      <c r="Q27" s="337">
        <f t="shared" si="8"/>
        <v>0</v>
      </c>
      <c r="S27" s="336"/>
    </row>
    <row r="28" spans="1:19" s="325" customFormat="1" ht="15" hidden="1" outlineLevel="1" x14ac:dyDescent="0.25">
      <c r="A28" s="326" t="s">
        <v>109</v>
      </c>
      <c r="B28" s="335" t="s">
        <v>8</v>
      </c>
      <c r="C28" s="496"/>
      <c r="D28" s="525"/>
      <c r="E28" s="498">
        <f t="shared" si="12"/>
        <v>0</v>
      </c>
      <c r="F28" s="366">
        <v>0.5</v>
      </c>
      <c r="G28" s="336">
        <f t="shared" si="1"/>
        <v>0</v>
      </c>
      <c r="H28" s="336">
        <f t="shared" si="5"/>
        <v>0</v>
      </c>
      <c r="I28" s="336">
        <f t="shared" si="6"/>
        <v>0</v>
      </c>
      <c r="K28" s="337">
        <f t="shared" si="2"/>
        <v>0</v>
      </c>
      <c r="L28" s="337">
        <f t="shared" si="3"/>
        <v>0</v>
      </c>
      <c r="M28" s="337">
        <f t="shared" si="7"/>
        <v>0</v>
      </c>
      <c r="N28" s="337">
        <f>COGS!C25</f>
        <v>0</v>
      </c>
      <c r="O28" s="337">
        <f t="shared" si="10"/>
        <v>0</v>
      </c>
      <c r="P28" s="337">
        <f t="shared" si="4"/>
        <v>0</v>
      </c>
      <c r="Q28" s="337">
        <f t="shared" si="8"/>
        <v>0</v>
      </c>
      <c r="S28" s="336"/>
    </row>
    <row r="29" spans="1:19" s="325" customFormat="1" ht="15" hidden="1" outlineLevel="1" x14ac:dyDescent="0.25">
      <c r="A29" s="326" t="s">
        <v>109</v>
      </c>
      <c r="B29" s="335" t="s">
        <v>15</v>
      </c>
      <c r="C29" s="496"/>
      <c r="D29" s="525"/>
      <c r="E29" s="498">
        <f t="shared" si="12"/>
        <v>0</v>
      </c>
      <c r="F29" s="366">
        <v>0.5</v>
      </c>
      <c r="G29" s="336">
        <f t="shared" si="1"/>
        <v>0</v>
      </c>
      <c r="H29" s="336">
        <f t="shared" si="5"/>
        <v>0</v>
      </c>
      <c r="I29" s="336">
        <f t="shared" si="6"/>
        <v>0</v>
      </c>
      <c r="K29" s="337">
        <f t="shared" si="2"/>
        <v>0</v>
      </c>
      <c r="L29" s="337">
        <f t="shared" si="3"/>
        <v>0</v>
      </c>
      <c r="M29" s="337">
        <f t="shared" si="7"/>
        <v>0</v>
      </c>
      <c r="N29" s="337">
        <f>COGS!C26</f>
        <v>0</v>
      </c>
      <c r="O29" s="337">
        <f t="shared" si="10"/>
        <v>0</v>
      </c>
      <c r="P29" s="337">
        <f t="shared" si="4"/>
        <v>0</v>
      </c>
      <c r="Q29" s="337">
        <f t="shared" si="8"/>
        <v>0</v>
      </c>
      <c r="S29" s="336"/>
    </row>
    <row r="30" spans="1:19" s="325" customFormat="1" ht="15" collapsed="1" x14ac:dyDescent="0.25">
      <c r="A30" s="326" t="s">
        <v>109</v>
      </c>
      <c r="B30" s="335" t="s">
        <v>16</v>
      </c>
      <c r="C30" s="496">
        <v>4000</v>
      </c>
      <c r="D30" s="525">
        <v>1</v>
      </c>
      <c r="E30" s="498">
        <f t="shared" si="12"/>
        <v>4000</v>
      </c>
      <c r="F30" s="366">
        <v>0.5</v>
      </c>
      <c r="G30" s="336">
        <f t="shared" si="1"/>
        <v>2000</v>
      </c>
      <c r="H30" s="336">
        <f t="shared" si="5"/>
        <v>200</v>
      </c>
      <c r="I30" s="336">
        <f t="shared" si="6"/>
        <v>1800</v>
      </c>
      <c r="K30" s="337">
        <f t="shared" si="2"/>
        <v>4000</v>
      </c>
      <c r="L30" s="337">
        <f t="shared" si="3"/>
        <v>200</v>
      </c>
      <c r="M30" s="337">
        <f t="shared" si="7"/>
        <v>3800</v>
      </c>
      <c r="N30" s="337">
        <f>COGS!C27</f>
        <v>263</v>
      </c>
      <c r="O30" s="337">
        <f t="shared" si="10"/>
        <v>3537</v>
      </c>
      <c r="P30" s="337">
        <f t="shared" si="4"/>
        <v>2000</v>
      </c>
      <c r="Q30" s="337">
        <f t="shared" si="8"/>
        <v>1537</v>
      </c>
      <c r="S30" s="336"/>
    </row>
    <row r="31" spans="1:19" s="325" customFormat="1" ht="15" x14ac:dyDescent="0.25">
      <c r="A31" s="496" t="s">
        <v>110</v>
      </c>
      <c r="B31" s="335" t="s">
        <v>4</v>
      </c>
      <c r="C31" s="496">
        <v>4480</v>
      </c>
      <c r="D31" s="525">
        <v>0.9</v>
      </c>
      <c r="E31" s="498">
        <f t="shared" si="12"/>
        <v>4032</v>
      </c>
      <c r="F31" s="366">
        <v>0.5</v>
      </c>
      <c r="G31" s="336">
        <f t="shared" si="1"/>
        <v>2016</v>
      </c>
      <c r="H31" s="336">
        <f t="shared" si="5"/>
        <v>201.60000000000002</v>
      </c>
      <c r="I31" s="336">
        <f t="shared" si="6"/>
        <v>1814.4</v>
      </c>
      <c r="K31" s="337">
        <f t="shared" si="2"/>
        <v>4032</v>
      </c>
      <c r="L31" s="337">
        <f t="shared" si="3"/>
        <v>201.60000000000002</v>
      </c>
      <c r="M31" s="337">
        <f t="shared" si="7"/>
        <v>3830.4</v>
      </c>
      <c r="N31" s="337">
        <f>COGS!C28</f>
        <v>130</v>
      </c>
      <c r="O31" s="337">
        <f t="shared" si="10"/>
        <v>3700.4</v>
      </c>
      <c r="P31" s="337">
        <f t="shared" si="4"/>
        <v>2016</v>
      </c>
      <c r="Q31" s="337">
        <f t="shared" si="8"/>
        <v>1684.4</v>
      </c>
      <c r="S31" s="336"/>
    </row>
    <row r="32" spans="1:19" s="325" customFormat="1" ht="15" hidden="1" outlineLevel="1" x14ac:dyDescent="0.25">
      <c r="A32" s="326" t="s">
        <v>109</v>
      </c>
      <c r="B32" s="335" t="s">
        <v>409</v>
      </c>
      <c r="C32" s="496"/>
      <c r="D32" s="525"/>
      <c r="E32" s="498">
        <f t="shared" si="12"/>
        <v>0</v>
      </c>
      <c r="F32" s="366">
        <v>0.5</v>
      </c>
      <c r="G32" s="336"/>
      <c r="H32" s="336">
        <f t="shared" si="5"/>
        <v>0</v>
      </c>
      <c r="I32" s="336"/>
      <c r="K32" s="337">
        <f t="shared" si="2"/>
        <v>0</v>
      </c>
      <c r="L32" s="337">
        <f t="shared" si="3"/>
        <v>0</v>
      </c>
      <c r="M32" s="337">
        <f t="shared" si="7"/>
        <v>0</v>
      </c>
      <c r="N32" s="337">
        <f>COGS!C29</f>
        <v>0</v>
      </c>
      <c r="O32" s="337">
        <f t="shared" si="10"/>
        <v>0</v>
      </c>
      <c r="P32" s="337">
        <f t="shared" si="4"/>
        <v>0</v>
      </c>
      <c r="Q32" s="337">
        <f t="shared" si="8"/>
        <v>0</v>
      </c>
      <c r="S32" s="336"/>
    </row>
    <row r="33" spans="1:19" s="325" customFormat="1" ht="15" collapsed="1" x14ac:dyDescent="0.25">
      <c r="A33" s="435" t="s">
        <v>109</v>
      </c>
      <c r="B33" s="434" t="s">
        <v>663</v>
      </c>
      <c r="C33" s="496">
        <v>80</v>
      </c>
      <c r="D33" s="525">
        <v>1.2</v>
      </c>
      <c r="E33" s="498">
        <f t="shared" si="12"/>
        <v>96</v>
      </c>
      <c r="F33" s="366">
        <v>0.5</v>
      </c>
      <c r="G33" s="336">
        <f t="shared" ref="G33:G39" si="14">E33*F33</f>
        <v>48</v>
      </c>
      <c r="H33" s="336">
        <f t="shared" si="5"/>
        <v>4.8000000000000007</v>
      </c>
      <c r="I33" s="336">
        <f t="shared" ref="I33:I39" si="15">G33-H33</f>
        <v>43.2</v>
      </c>
      <c r="K33" s="337">
        <f t="shared" ref="K33:K39" si="16">E33</f>
        <v>96</v>
      </c>
      <c r="L33" s="337">
        <f t="shared" ref="L33:L39" si="17">H33</f>
        <v>4.8000000000000007</v>
      </c>
      <c r="M33" s="337">
        <f t="shared" ref="M33:M39" si="18">K33-L33</f>
        <v>91.2</v>
      </c>
      <c r="N33" s="337">
        <f>COGS!C30</f>
        <v>7</v>
      </c>
      <c r="O33" s="337">
        <f t="shared" si="10"/>
        <v>84.2</v>
      </c>
      <c r="P33" s="337">
        <f t="shared" ref="P33:P39" si="19">E33-G33</f>
        <v>48</v>
      </c>
      <c r="Q33" s="337">
        <f t="shared" ref="Q33:Q39" si="20">O33-P33</f>
        <v>36.200000000000003</v>
      </c>
      <c r="S33" s="336"/>
    </row>
    <row r="34" spans="1:19" s="325" customFormat="1" ht="15" x14ac:dyDescent="0.25">
      <c r="A34" s="435" t="s">
        <v>109</v>
      </c>
      <c r="B34" s="434" t="s">
        <v>664</v>
      </c>
      <c r="C34" s="496">
        <v>600</v>
      </c>
      <c r="D34" s="525">
        <v>1.5</v>
      </c>
      <c r="E34" s="498">
        <f t="shared" si="12"/>
        <v>900</v>
      </c>
      <c r="F34" s="366">
        <v>0.5</v>
      </c>
      <c r="G34" s="336">
        <f t="shared" si="14"/>
        <v>450</v>
      </c>
      <c r="H34" s="336">
        <f t="shared" si="5"/>
        <v>45</v>
      </c>
      <c r="I34" s="336">
        <f t="shared" si="15"/>
        <v>405</v>
      </c>
      <c r="K34" s="337">
        <f t="shared" si="16"/>
        <v>900</v>
      </c>
      <c r="L34" s="337">
        <f t="shared" si="17"/>
        <v>45</v>
      </c>
      <c r="M34" s="337">
        <f t="shared" si="18"/>
        <v>855</v>
      </c>
      <c r="N34" s="337">
        <f>COGS!C31</f>
        <v>5</v>
      </c>
      <c r="O34" s="337">
        <f t="shared" si="10"/>
        <v>850</v>
      </c>
      <c r="P34" s="337">
        <f t="shared" si="19"/>
        <v>450</v>
      </c>
      <c r="Q34" s="337">
        <f t="shared" si="20"/>
        <v>400</v>
      </c>
      <c r="S34" s="336"/>
    </row>
    <row r="35" spans="1:19" s="325" customFormat="1" ht="15" hidden="1" outlineLevel="1" x14ac:dyDescent="0.25">
      <c r="A35" s="435" t="s">
        <v>109</v>
      </c>
      <c r="B35" s="434" t="s">
        <v>665</v>
      </c>
      <c r="C35" s="496"/>
      <c r="D35" s="525"/>
      <c r="E35" s="498">
        <f t="shared" si="12"/>
        <v>0</v>
      </c>
      <c r="F35" s="366">
        <v>0.5</v>
      </c>
      <c r="G35" s="336">
        <f t="shared" si="14"/>
        <v>0</v>
      </c>
      <c r="H35" s="336">
        <f t="shared" si="5"/>
        <v>0</v>
      </c>
      <c r="I35" s="336">
        <f t="shared" si="15"/>
        <v>0</v>
      </c>
      <c r="K35" s="337">
        <f t="shared" si="16"/>
        <v>0</v>
      </c>
      <c r="L35" s="337">
        <f t="shared" si="17"/>
        <v>0</v>
      </c>
      <c r="M35" s="337">
        <f t="shared" si="18"/>
        <v>0</v>
      </c>
      <c r="N35" s="337">
        <f>COGS!C32</f>
        <v>0</v>
      </c>
      <c r="O35" s="337">
        <f t="shared" si="10"/>
        <v>0</v>
      </c>
      <c r="P35" s="337">
        <f t="shared" si="19"/>
        <v>0</v>
      </c>
      <c r="Q35" s="337">
        <f t="shared" si="20"/>
        <v>0</v>
      </c>
      <c r="S35" s="336"/>
    </row>
    <row r="36" spans="1:19" s="325" customFormat="1" ht="15" collapsed="1" x14ac:dyDescent="0.25">
      <c r="A36" s="435" t="s">
        <v>109</v>
      </c>
      <c r="B36" s="495" t="s">
        <v>668</v>
      </c>
      <c r="C36" s="496">
        <v>1800</v>
      </c>
      <c r="D36" s="525">
        <v>2</v>
      </c>
      <c r="E36" s="498">
        <f t="shared" si="12"/>
        <v>3600</v>
      </c>
      <c r="F36" s="366">
        <v>0</v>
      </c>
      <c r="G36" s="336">
        <f t="shared" si="14"/>
        <v>0</v>
      </c>
      <c r="H36" s="336">
        <f t="shared" si="5"/>
        <v>0</v>
      </c>
      <c r="I36" s="336">
        <f t="shared" si="15"/>
        <v>0</v>
      </c>
      <c r="K36" s="337">
        <f t="shared" si="16"/>
        <v>3600</v>
      </c>
      <c r="L36" s="337">
        <f t="shared" si="17"/>
        <v>0</v>
      </c>
      <c r="M36" s="337">
        <f t="shared" si="18"/>
        <v>3600</v>
      </c>
      <c r="N36" s="337">
        <f>COGS!C33</f>
        <v>122</v>
      </c>
      <c r="O36" s="337">
        <f t="shared" si="10"/>
        <v>3478</v>
      </c>
      <c r="P36" s="337">
        <f t="shared" si="19"/>
        <v>3600</v>
      </c>
      <c r="Q36" s="337">
        <f t="shared" si="20"/>
        <v>-122</v>
      </c>
      <c r="S36" s="336"/>
    </row>
    <row r="37" spans="1:19" s="325" customFormat="1" ht="15" x14ac:dyDescent="0.25">
      <c r="A37" s="435" t="s">
        <v>109</v>
      </c>
      <c r="B37" s="495" t="s">
        <v>666</v>
      </c>
      <c r="C37" s="496">
        <v>1500</v>
      </c>
      <c r="D37" s="525">
        <v>2.25</v>
      </c>
      <c r="E37" s="498">
        <f t="shared" ref="E37" si="21">C37*D37</f>
        <v>3375</v>
      </c>
      <c r="F37" s="366">
        <v>0</v>
      </c>
      <c r="G37" s="336">
        <f t="shared" si="14"/>
        <v>0</v>
      </c>
      <c r="H37" s="336">
        <f t="shared" si="5"/>
        <v>0</v>
      </c>
      <c r="I37" s="336">
        <f t="shared" si="15"/>
        <v>0</v>
      </c>
      <c r="K37" s="337">
        <f t="shared" si="16"/>
        <v>3375</v>
      </c>
      <c r="L37" s="337">
        <f t="shared" si="17"/>
        <v>0</v>
      </c>
      <c r="M37" s="337">
        <f t="shared" si="18"/>
        <v>3375</v>
      </c>
      <c r="N37" s="337">
        <f>COGS!C34</f>
        <v>401.3</v>
      </c>
      <c r="O37" s="337">
        <f t="shared" si="10"/>
        <v>2973.7</v>
      </c>
      <c r="P37" s="337">
        <f t="shared" si="19"/>
        <v>3375</v>
      </c>
      <c r="Q37" s="337">
        <f t="shared" si="20"/>
        <v>-401.30000000000018</v>
      </c>
      <c r="S37" s="336"/>
    </row>
    <row r="38" spans="1:19" s="325" customFormat="1" ht="15" x14ac:dyDescent="0.25">
      <c r="A38" s="435" t="s">
        <v>109</v>
      </c>
      <c r="B38" s="434" t="s">
        <v>667</v>
      </c>
      <c r="C38" s="496">
        <v>1500</v>
      </c>
      <c r="D38" s="525">
        <v>1.5</v>
      </c>
      <c r="E38" s="498">
        <f t="shared" si="12"/>
        <v>2250</v>
      </c>
      <c r="F38" s="366">
        <v>0.5</v>
      </c>
      <c r="G38" s="336">
        <f t="shared" si="14"/>
        <v>1125</v>
      </c>
      <c r="H38" s="336">
        <f t="shared" si="5"/>
        <v>112.5</v>
      </c>
      <c r="I38" s="336">
        <f t="shared" si="15"/>
        <v>1012.5</v>
      </c>
      <c r="K38" s="337">
        <f t="shared" si="16"/>
        <v>2250</v>
      </c>
      <c r="L38" s="337">
        <f t="shared" si="17"/>
        <v>112.5</v>
      </c>
      <c r="M38" s="337">
        <f t="shared" si="18"/>
        <v>2137.5</v>
      </c>
      <c r="N38" s="337">
        <f>COGS!C35</f>
        <v>20</v>
      </c>
      <c r="O38" s="337">
        <f t="shared" si="10"/>
        <v>2117.5</v>
      </c>
      <c r="P38" s="337">
        <f t="shared" si="19"/>
        <v>1125</v>
      </c>
      <c r="Q38" s="337">
        <f t="shared" si="20"/>
        <v>992.5</v>
      </c>
      <c r="S38" s="336"/>
    </row>
    <row r="39" spans="1:19" s="325" customFormat="1" ht="15" x14ac:dyDescent="0.25">
      <c r="A39" s="435" t="s">
        <v>109</v>
      </c>
      <c r="B39" s="495" t="s">
        <v>1215</v>
      </c>
      <c r="C39" s="496">
        <v>6750</v>
      </c>
      <c r="D39" s="525">
        <v>0.9</v>
      </c>
      <c r="E39" s="498">
        <f t="shared" si="12"/>
        <v>6075</v>
      </c>
      <c r="F39" s="366">
        <v>0.5</v>
      </c>
      <c r="G39" s="336">
        <f t="shared" si="14"/>
        <v>3037.5</v>
      </c>
      <c r="H39" s="336">
        <f t="shared" si="5"/>
        <v>303.75</v>
      </c>
      <c r="I39" s="336">
        <f t="shared" si="15"/>
        <v>2733.75</v>
      </c>
      <c r="K39" s="337">
        <f t="shared" si="16"/>
        <v>6075</v>
      </c>
      <c r="L39" s="337">
        <f t="shared" si="17"/>
        <v>303.75</v>
      </c>
      <c r="M39" s="337">
        <f t="shared" si="18"/>
        <v>5771.25</v>
      </c>
      <c r="N39" s="337">
        <f>COGS!C36</f>
        <v>120</v>
      </c>
      <c r="O39" s="337">
        <f t="shared" si="10"/>
        <v>5651.25</v>
      </c>
      <c r="P39" s="337">
        <f t="shared" si="19"/>
        <v>3037.5</v>
      </c>
      <c r="Q39" s="337">
        <f t="shared" si="20"/>
        <v>2613.75</v>
      </c>
      <c r="S39" s="336"/>
    </row>
    <row r="40" spans="1:19" s="325" customFormat="1" ht="15" x14ac:dyDescent="0.25">
      <c r="A40" s="326"/>
      <c r="B40" s="335"/>
      <c r="C40" s="335"/>
      <c r="D40" s="335"/>
      <c r="E40" s="365"/>
      <c r="F40" s="366"/>
      <c r="G40" s="336"/>
      <c r="H40" s="336"/>
      <c r="I40" s="336"/>
      <c r="K40" s="337"/>
      <c r="L40" s="337"/>
      <c r="M40" s="337"/>
      <c r="N40" s="337"/>
      <c r="O40" s="337"/>
      <c r="P40" s="337"/>
      <c r="Q40" s="337"/>
    </row>
    <row r="41" spans="1:19" s="325" customFormat="1" ht="15" x14ac:dyDescent="0.25">
      <c r="A41" s="326"/>
      <c r="B41" s="338" t="s">
        <v>18</v>
      </c>
      <c r="C41" s="338"/>
      <c r="D41" s="338"/>
      <c r="E41" s="339">
        <f>SUM(E7:E40)</f>
        <v>62262.400000000001</v>
      </c>
      <c r="F41" s="359"/>
      <c r="G41" s="339">
        <f>SUM(G7:G40)</f>
        <v>22021.7</v>
      </c>
      <c r="H41" s="339">
        <f>SUM(H7:H40)</f>
        <v>2202.17</v>
      </c>
      <c r="I41" s="339">
        <f>SUM(I7:I40)</f>
        <v>19819.53</v>
      </c>
      <c r="K41" s="339">
        <f t="shared" ref="K41:Q41" si="22">SUM(K7:K40)</f>
        <v>62262.400000000001</v>
      </c>
      <c r="L41" s="339">
        <f t="shared" si="22"/>
        <v>2202.17</v>
      </c>
      <c r="M41" s="339">
        <f t="shared" si="22"/>
        <v>60060.23</v>
      </c>
      <c r="N41" s="339">
        <f t="shared" si="22"/>
        <v>2431.3000000000002</v>
      </c>
      <c r="O41" s="339">
        <f t="shared" si="22"/>
        <v>57628.93</v>
      </c>
      <c r="P41" s="339">
        <f t="shared" si="22"/>
        <v>40240.699999999997</v>
      </c>
      <c r="Q41" s="339">
        <f t="shared" si="22"/>
        <v>17388.23</v>
      </c>
    </row>
    <row r="42" spans="1:19" s="325" customFormat="1" ht="15" x14ac:dyDescent="0.25">
      <c r="A42" s="326"/>
      <c r="E42" s="336"/>
      <c r="I42" s="332">
        <f>I41/M41</f>
        <v>0.32999424078129569</v>
      </c>
      <c r="P42" s="332">
        <f>P41/(P41+I41)</f>
        <v>0.67000575921870431</v>
      </c>
    </row>
    <row r="43" spans="1:19" s="325" customFormat="1" ht="15" x14ac:dyDescent="0.25">
      <c r="A43" s="326"/>
      <c r="B43" s="338" t="s">
        <v>225</v>
      </c>
      <c r="C43" s="338"/>
      <c r="D43" s="338"/>
      <c r="E43" s="336"/>
      <c r="I43" s="336"/>
    </row>
    <row r="44" spans="1:19" s="325" customFormat="1" ht="15" x14ac:dyDescent="0.25">
      <c r="A44" s="326"/>
      <c r="B44" s="437" t="s">
        <v>669</v>
      </c>
      <c r="C44" s="437"/>
      <c r="D44" s="437"/>
      <c r="E44" s="336">
        <f t="shared" ref="E44:E47" si="23">$I$41*F44</f>
        <v>0</v>
      </c>
      <c r="F44" s="436">
        <v>0</v>
      </c>
      <c r="G44" s="485" t="s">
        <v>1205</v>
      </c>
      <c r="I44" s="336"/>
    </row>
    <row r="45" spans="1:19" s="325" customFormat="1" ht="15" x14ac:dyDescent="0.25">
      <c r="A45" s="326"/>
      <c r="B45" s="344" t="s">
        <v>149</v>
      </c>
      <c r="C45" s="344"/>
      <c r="D45" s="344"/>
      <c r="E45" s="336">
        <f t="shared" si="23"/>
        <v>0</v>
      </c>
      <c r="F45" s="436"/>
      <c r="I45" s="336"/>
    </row>
    <row r="46" spans="1:19" s="325" customFormat="1" ht="15" x14ac:dyDescent="0.25">
      <c r="A46" s="326"/>
      <c r="B46" s="344" t="s">
        <v>150</v>
      </c>
      <c r="C46" s="344"/>
      <c r="D46" s="344"/>
      <c r="E46" s="336">
        <f t="shared" si="23"/>
        <v>3963.9059999999999</v>
      </c>
      <c r="F46" s="436">
        <v>0.2</v>
      </c>
      <c r="I46" s="336"/>
    </row>
    <row r="47" spans="1:19" s="325" customFormat="1" ht="15" x14ac:dyDescent="0.25">
      <c r="A47" s="326"/>
      <c r="B47" s="344" t="s">
        <v>151</v>
      </c>
      <c r="C47" s="344"/>
      <c r="D47" s="344"/>
      <c r="E47" s="336">
        <f t="shared" si="23"/>
        <v>15855.624</v>
      </c>
      <c r="F47" s="436">
        <v>0.8</v>
      </c>
      <c r="I47" s="336"/>
    </row>
    <row r="48" spans="1:19" s="325" customFormat="1" ht="15" x14ac:dyDescent="0.25">
      <c r="A48" s="326"/>
      <c r="B48" s="340" t="s">
        <v>502</v>
      </c>
      <c r="C48" s="340"/>
      <c r="D48" s="340"/>
      <c r="E48" s="339">
        <f>SUM(E44:E47)</f>
        <v>19819.53</v>
      </c>
      <c r="F48" s="332">
        <f>SUM(F44:F47)</f>
        <v>1</v>
      </c>
      <c r="I48" s="336"/>
    </row>
    <row r="49" spans="1:13" s="325" customFormat="1" ht="15" x14ac:dyDescent="0.25">
      <c r="A49" s="326"/>
      <c r="E49" s="336"/>
      <c r="G49" s="336"/>
      <c r="I49" s="336"/>
    </row>
    <row r="50" spans="1:13" s="325" customFormat="1" ht="15" x14ac:dyDescent="0.25">
      <c r="A50" s="326"/>
      <c r="B50" s="347"/>
      <c r="C50" s="347"/>
      <c r="D50" s="347"/>
      <c r="E50" s="336"/>
      <c r="I50" s="336"/>
    </row>
    <row r="51" spans="1:13" s="325" customFormat="1" ht="15" x14ac:dyDescent="0.25">
      <c r="A51" s="326"/>
      <c r="B51" s="340" t="s">
        <v>152</v>
      </c>
      <c r="C51" s="340"/>
      <c r="D51" s="340"/>
      <c r="E51" s="339">
        <f>E48+E50</f>
        <v>19819.53</v>
      </c>
      <c r="I51" s="336"/>
    </row>
    <row r="52" spans="1:13" s="325" customFormat="1" ht="15" x14ac:dyDescent="0.25">
      <c r="A52" s="326"/>
      <c r="E52" s="336"/>
      <c r="I52" s="336"/>
    </row>
    <row r="53" spans="1:13" s="325" customFormat="1" ht="15" x14ac:dyDescent="0.25">
      <c r="A53" s="326"/>
      <c r="B53" s="340" t="s">
        <v>226</v>
      </c>
      <c r="C53" s="340"/>
      <c r="D53" s="340"/>
      <c r="E53" s="500">
        <f>HistoricalView!AA18</f>
        <v>1000</v>
      </c>
      <c r="I53" s="336"/>
    </row>
    <row r="54" spans="1:13" s="325" customFormat="1" ht="15" x14ac:dyDescent="0.25">
      <c r="A54" s="326"/>
      <c r="E54" s="501"/>
      <c r="I54" s="336"/>
    </row>
    <row r="55" spans="1:13" s="325" customFormat="1" ht="15" x14ac:dyDescent="0.25">
      <c r="A55" s="326"/>
      <c r="B55" s="338" t="s">
        <v>17</v>
      </c>
      <c r="C55" s="338"/>
      <c r="D55" s="338"/>
      <c r="E55" s="501"/>
    </row>
    <row r="56" spans="1:13" s="325" customFormat="1" ht="15" x14ac:dyDescent="0.25">
      <c r="A56" s="326"/>
      <c r="B56" s="344" t="s">
        <v>496</v>
      </c>
      <c r="C56" s="344"/>
      <c r="D56" s="344"/>
      <c r="E56" s="501">
        <f>HistoricalView!AA13</f>
        <v>75000</v>
      </c>
    </row>
    <row r="57" spans="1:13" s="325" customFormat="1" ht="15" x14ac:dyDescent="0.25">
      <c r="A57" s="326"/>
      <c r="B57" s="325" t="s">
        <v>73</v>
      </c>
      <c r="E57" s="501">
        <f>HistoricalView!AA12</f>
        <v>130000</v>
      </c>
    </row>
    <row r="58" spans="1:13" s="325" customFormat="1" ht="15" x14ac:dyDescent="0.25">
      <c r="A58" s="326"/>
      <c r="B58" s="325" t="s">
        <v>229</v>
      </c>
      <c r="E58" s="501">
        <f>HistoricalView!AA9</f>
        <v>150000</v>
      </c>
    </row>
    <row r="59" spans="1:13" s="325" customFormat="1" ht="15" x14ac:dyDescent="0.25">
      <c r="A59" s="326"/>
      <c r="B59" s="325" t="s">
        <v>415</v>
      </c>
      <c r="E59" s="501">
        <f>HistoricalView!AA14+HistoricalView!AA17</f>
        <v>1000</v>
      </c>
    </row>
    <row r="60" spans="1:13" s="325" customFormat="1" ht="15" x14ac:dyDescent="0.25">
      <c r="A60" s="326"/>
      <c r="E60" s="336"/>
    </row>
    <row r="61" spans="1:13" s="325" customFormat="1" ht="15" x14ac:dyDescent="0.25">
      <c r="A61" s="326"/>
      <c r="B61" s="340" t="s">
        <v>74</v>
      </c>
      <c r="C61" s="340"/>
      <c r="D61" s="340"/>
      <c r="E61" s="339">
        <f>SUM(E56:E60)</f>
        <v>356000</v>
      </c>
      <c r="F61" s="336"/>
    </row>
    <row r="62" spans="1:13" s="325" customFormat="1" ht="15" x14ac:dyDescent="0.25">
      <c r="A62" s="326"/>
      <c r="B62" s="340"/>
      <c r="C62" s="340"/>
      <c r="D62" s="340"/>
      <c r="E62" s="336"/>
    </row>
    <row r="63" spans="1:13" s="325" customFormat="1" ht="15" x14ac:dyDescent="0.25">
      <c r="A63" s="326"/>
      <c r="B63" s="328" t="s">
        <v>223</v>
      </c>
      <c r="C63" s="328"/>
      <c r="D63" s="328"/>
      <c r="E63" s="503"/>
    </row>
    <row r="64" spans="1:13" s="325" customFormat="1" ht="15" x14ac:dyDescent="0.25">
      <c r="A64" s="326"/>
      <c r="B64" s="507" t="s">
        <v>1257</v>
      </c>
      <c r="C64" s="364"/>
      <c r="D64" s="364"/>
      <c r="E64" s="503">
        <f>42000+7050</f>
        <v>49050</v>
      </c>
      <c r="F64" s="514" t="s">
        <v>1258</v>
      </c>
      <c r="G64" s="515"/>
      <c r="H64" s="507" t="s">
        <v>1259</v>
      </c>
      <c r="M64" s="336"/>
    </row>
    <row r="65" spans="1:7" s="325" customFormat="1" ht="15" x14ac:dyDescent="0.25">
      <c r="A65" s="326"/>
      <c r="B65" s="453" t="s">
        <v>1162</v>
      </c>
      <c r="C65" s="453"/>
      <c r="D65" s="453"/>
      <c r="E65" s="503">
        <v>25000</v>
      </c>
      <c r="F65" s="502" t="s">
        <v>1250</v>
      </c>
    </row>
    <row r="66" spans="1:7" s="325" customFormat="1" ht="15" x14ac:dyDescent="0.25">
      <c r="A66" s="326"/>
      <c r="B66" s="453" t="s">
        <v>1163</v>
      </c>
      <c r="C66" s="453"/>
      <c r="D66" s="453"/>
      <c r="E66" s="503">
        <v>10000</v>
      </c>
      <c r="F66" s="454" t="s">
        <v>87</v>
      </c>
    </row>
    <row r="67" spans="1:7" s="325" customFormat="1" ht="15" x14ac:dyDescent="0.25">
      <c r="A67" s="326"/>
      <c r="B67" s="502" t="s">
        <v>1251</v>
      </c>
      <c r="C67" s="453"/>
      <c r="D67" s="453"/>
      <c r="E67" s="503">
        <v>1200</v>
      </c>
      <c r="F67" s="502" t="s">
        <v>78</v>
      </c>
    </row>
    <row r="68" spans="1:7" s="325" customFormat="1" ht="15" x14ac:dyDescent="0.25">
      <c r="A68" s="326"/>
      <c r="B68" s="502" t="s">
        <v>1136</v>
      </c>
      <c r="C68" s="453"/>
      <c r="D68" s="453"/>
      <c r="E68" s="503">
        <v>5000</v>
      </c>
      <c r="F68" s="502" t="s">
        <v>84</v>
      </c>
    </row>
    <row r="69" spans="1:7" s="325" customFormat="1" ht="15" x14ac:dyDescent="0.25">
      <c r="A69" s="326"/>
      <c r="B69" s="453" t="s">
        <v>1164</v>
      </c>
      <c r="C69" s="453"/>
      <c r="D69" s="453"/>
      <c r="E69" s="503">
        <v>10000</v>
      </c>
      <c r="F69" s="502" t="s">
        <v>239</v>
      </c>
    </row>
    <row r="70" spans="1:7" s="325" customFormat="1" ht="15" x14ac:dyDescent="0.25">
      <c r="A70" s="326"/>
      <c r="B70" s="340" t="s">
        <v>224</v>
      </c>
      <c r="C70" s="340"/>
      <c r="D70" s="340"/>
      <c r="E70" s="342">
        <f>SUM(E64:E69)</f>
        <v>100250</v>
      </c>
    </row>
    <row r="71" spans="1:7" s="325" customFormat="1" ht="15" x14ac:dyDescent="0.25">
      <c r="A71" s="326"/>
      <c r="E71" s="341"/>
    </row>
    <row r="72" spans="1:7" s="325" customFormat="1" ht="15" x14ac:dyDescent="0.25">
      <c r="A72" s="326"/>
      <c r="B72" s="507" t="s">
        <v>1261</v>
      </c>
      <c r="E72" s="341">
        <f>HistoricalView!AA26</f>
        <v>50000</v>
      </c>
    </row>
    <row r="73" spans="1:7" s="328" customFormat="1" ht="15" x14ac:dyDescent="0.25">
      <c r="A73" s="334"/>
      <c r="B73" s="328" t="s">
        <v>156</v>
      </c>
      <c r="E73" s="339">
        <f>E70+E61+E53+E51+E72</f>
        <v>527069.53</v>
      </c>
      <c r="F73" s="343" t="str">
        <f>IF(ABS(E73-HistoricalView!AA27)&lt;1,"  ","ERROR")</f>
        <v xml:space="preserve">  </v>
      </c>
      <c r="G73" s="455"/>
    </row>
    <row r="74" spans="1:7" s="325" customFormat="1" ht="15" x14ac:dyDescent="0.25">
      <c r="A74" s="326"/>
      <c r="E74" s="341"/>
    </row>
  </sheetData>
  <sortState ref="B4:F34">
    <sortCondition ref="B34"/>
  </sortState>
  <mergeCells count="2">
    <mergeCell ref="B4:I4"/>
    <mergeCell ref="K4:Q4"/>
  </mergeCells>
  <pageMargins left="0.25" right="0.25" top="0.5" bottom="0.25" header="0.5" footer="0.5"/>
  <pageSetup scale="80"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N39"/>
  <sheetViews>
    <sheetView view="pageLayout" topLeftCell="A6" zoomScaleNormal="100" workbookViewId="0">
      <selection activeCell="A19" sqref="A19:G19"/>
    </sheetView>
  </sheetViews>
  <sheetFormatPr defaultRowHeight="15.75" x14ac:dyDescent="0.25"/>
  <cols>
    <col min="2" max="2" width="9.875" bestFit="1" customWidth="1"/>
    <col min="3" max="3" width="8.375" customWidth="1"/>
    <col min="12" max="12" width="9.625" bestFit="1" customWidth="1"/>
    <col min="14" max="14" width="8.375" customWidth="1"/>
    <col min="17" max="17" width="3" customWidth="1"/>
  </cols>
  <sheetData>
    <row r="1" spans="1:14" x14ac:dyDescent="0.25">
      <c r="A1" s="545" t="s">
        <v>498</v>
      </c>
    </row>
    <row r="2" spans="1:14" x14ac:dyDescent="0.25">
      <c r="A2" s="545"/>
      <c r="C2" t="s">
        <v>78</v>
      </c>
      <c r="D2" t="s">
        <v>79</v>
      </c>
      <c r="E2" t="s">
        <v>80</v>
      </c>
      <c r="F2" t="s">
        <v>81</v>
      </c>
      <c r="G2" t="s">
        <v>82</v>
      </c>
      <c r="H2" t="s">
        <v>83</v>
      </c>
      <c r="I2" t="s">
        <v>84</v>
      </c>
      <c r="J2" t="s">
        <v>85</v>
      </c>
      <c r="K2" t="s">
        <v>86</v>
      </c>
      <c r="L2" t="s">
        <v>87</v>
      </c>
      <c r="M2" t="s">
        <v>88</v>
      </c>
      <c r="N2" t="s">
        <v>89</v>
      </c>
    </row>
    <row r="3" spans="1:14" x14ac:dyDescent="0.25">
      <c r="A3" s="545"/>
      <c r="B3" t="s">
        <v>496</v>
      </c>
      <c r="C3" s="9">
        <f>HistoricalView!AC13</f>
        <v>6250</v>
      </c>
      <c r="D3" s="9">
        <f>HistoricalView!AD13</f>
        <v>6250</v>
      </c>
      <c r="E3" s="9">
        <f>HistoricalView!AE13</f>
        <v>6250</v>
      </c>
      <c r="F3" s="9">
        <f>HistoricalView!AF13</f>
        <v>6250</v>
      </c>
      <c r="G3" s="9">
        <f>HistoricalView!AG13</f>
        <v>6250</v>
      </c>
      <c r="H3" s="9">
        <f>HistoricalView!AH13</f>
        <v>6250</v>
      </c>
      <c r="I3" s="9">
        <f>HistoricalView!AI13</f>
        <v>6250</v>
      </c>
      <c r="J3" s="9">
        <f>HistoricalView!AJ13</f>
        <v>6250</v>
      </c>
      <c r="K3" s="9">
        <f>HistoricalView!AK13</f>
        <v>6250</v>
      </c>
      <c r="L3" s="9">
        <f>HistoricalView!AL13</f>
        <v>6250</v>
      </c>
      <c r="M3" s="9">
        <f>HistoricalView!AM13</f>
        <v>6250</v>
      </c>
      <c r="N3" s="9">
        <f>HistoricalView!AN13</f>
        <v>6250</v>
      </c>
    </row>
    <row r="4" spans="1:14" x14ac:dyDescent="0.25">
      <c r="A4" s="545"/>
      <c r="B4" t="s">
        <v>107</v>
      </c>
      <c r="C4" s="9">
        <f>HistoricalView!AC9</f>
        <v>0</v>
      </c>
      <c r="D4" s="9">
        <f>HistoricalView!AD9</f>
        <v>0</v>
      </c>
      <c r="E4" s="9">
        <f>HistoricalView!AE9</f>
        <v>0</v>
      </c>
      <c r="F4" s="9">
        <f>HistoricalView!AF9</f>
        <v>0</v>
      </c>
      <c r="G4" s="9">
        <f>HistoricalView!AG9</f>
        <v>0</v>
      </c>
      <c r="H4" s="9">
        <f>HistoricalView!AH9</f>
        <v>0</v>
      </c>
      <c r="I4" s="9">
        <f>HistoricalView!AI9</f>
        <v>0</v>
      </c>
      <c r="J4" s="9">
        <f>HistoricalView!AJ9</f>
        <v>0</v>
      </c>
      <c r="K4" s="9">
        <f>HistoricalView!AK9</f>
        <v>10000</v>
      </c>
      <c r="L4" s="9">
        <f>HistoricalView!AL9</f>
        <v>127000</v>
      </c>
      <c r="M4" s="9">
        <f>HistoricalView!AM9</f>
        <v>8000</v>
      </c>
      <c r="N4" s="9">
        <f>HistoricalView!AN9</f>
        <v>5000</v>
      </c>
    </row>
    <row r="5" spans="1:14" x14ac:dyDescent="0.25">
      <c r="A5" s="545"/>
      <c r="B5" t="s">
        <v>108</v>
      </c>
      <c r="C5" s="9">
        <f>HistoricalView!AC12</f>
        <v>0</v>
      </c>
      <c r="D5" s="9">
        <f>HistoricalView!AD12</f>
        <v>0</v>
      </c>
      <c r="E5" s="9">
        <f>HistoricalView!AE12</f>
        <v>0</v>
      </c>
      <c r="F5" s="9">
        <f>HistoricalView!AF12</f>
        <v>10000</v>
      </c>
      <c r="G5" s="9">
        <f>HistoricalView!AG12</f>
        <v>20000</v>
      </c>
      <c r="H5" s="9">
        <f>HistoricalView!AH12</f>
        <v>20000</v>
      </c>
      <c r="I5" s="9">
        <f>HistoricalView!AI12</f>
        <v>20000</v>
      </c>
      <c r="J5" s="9">
        <f>HistoricalView!AJ12</f>
        <v>20000</v>
      </c>
      <c r="K5" s="9">
        <f>HistoricalView!AK12</f>
        <v>10000</v>
      </c>
      <c r="L5" s="9">
        <f>HistoricalView!AL12</f>
        <v>10000</v>
      </c>
      <c r="M5" s="9">
        <f>HistoricalView!AM12</f>
        <v>10000</v>
      </c>
      <c r="N5" s="9">
        <f>HistoricalView!AN12</f>
        <v>10000</v>
      </c>
    </row>
    <row r="6" spans="1:14" x14ac:dyDescent="0.25">
      <c r="A6" s="545"/>
      <c r="B6" t="s">
        <v>106</v>
      </c>
      <c r="C6" s="9">
        <f>HistoricalView!AC16</f>
        <v>11200</v>
      </c>
      <c r="D6" s="9">
        <f>HistoricalView!AD16</f>
        <v>0</v>
      </c>
      <c r="E6" s="9">
        <f>HistoricalView!AE16</f>
        <v>1800</v>
      </c>
      <c r="F6" s="9">
        <f>HistoricalView!AF16</f>
        <v>3600</v>
      </c>
      <c r="G6" s="9">
        <f>HistoricalView!AG16</f>
        <v>8600</v>
      </c>
      <c r="H6" s="9">
        <f>HistoricalView!AH16</f>
        <v>8500</v>
      </c>
      <c r="I6" s="9">
        <f>HistoricalView!AI16</f>
        <v>12200</v>
      </c>
      <c r="J6" s="9">
        <f>HistoricalView!AJ16</f>
        <v>9350</v>
      </c>
      <c r="K6" s="9">
        <f>HistoricalView!AK16</f>
        <v>20000</v>
      </c>
      <c r="L6" s="9">
        <f>HistoricalView!AL16</f>
        <v>10000</v>
      </c>
      <c r="M6" s="9">
        <f>HistoricalView!AM16</f>
        <v>5000</v>
      </c>
      <c r="N6" s="9">
        <f>HistoricalView!AN16</f>
        <v>10000</v>
      </c>
    </row>
    <row r="7" spans="1:14" x14ac:dyDescent="0.25">
      <c r="A7" s="545"/>
      <c r="B7" t="s">
        <v>9</v>
      </c>
      <c r="C7" s="9">
        <f>HistoricalView!AC23</f>
        <v>0</v>
      </c>
      <c r="D7" s="9">
        <f>HistoricalView!AD23</f>
        <v>0</v>
      </c>
      <c r="E7" s="9">
        <f>HistoricalView!AE23</f>
        <v>0</v>
      </c>
      <c r="F7" s="9">
        <f>HistoricalView!AF23</f>
        <v>0</v>
      </c>
      <c r="G7" s="9">
        <f>HistoricalView!AG23</f>
        <v>0</v>
      </c>
      <c r="H7" s="9">
        <f>HistoricalView!AH23</f>
        <v>1585.5624</v>
      </c>
      <c r="I7" s="9">
        <f>HistoricalView!AI23</f>
        <v>3963.9059999999999</v>
      </c>
      <c r="J7" s="9">
        <f>HistoricalView!AJ23</f>
        <v>4756.6872000000003</v>
      </c>
      <c r="K7" s="9">
        <f>HistoricalView!AK23</f>
        <v>4756.6871999999994</v>
      </c>
      <c r="L7" s="9">
        <f>HistoricalView!AL23</f>
        <v>3171.1248000000001</v>
      </c>
      <c r="M7" s="9">
        <f>HistoricalView!AM23</f>
        <v>1585.5624</v>
      </c>
      <c r="N7" s="9">
        <f>HistoricalView!AN23</f>
        <v>0</v>
      </c>
    </row>
    <row r="8" spans="1:14" x14ac:dyDescent="0.25">
      <c r="A8" s="545"/>
      <c r="B8" t="s">
        <v>497</v>
      </c>
      <c r="C8" s="9">
        <f>HistoricalView!AC18+HistoricalView!AC14</f>
        <v>0</v>
      </c>
      <c r="D8" s="9">
        <f>HistoricalView!AD18+HistoricalView!AD14</f>
        <v>0</v>
      </c>
      <c r="E8" s="9">
        <f>HistoricalView!AE18+HistoricalView!AE14</f>
        <v>0</v>
      </c>
      <c r="F8" s="9">
        <f>HistoricalView!AF18+HistoricalView!AF14</f>
        <v>200</v>
      </c>
      <c r="G8" s="9">
        <f>HistoricalView!AG18+HistoricalView!AG14</f>
        <v>1000</v>
      </c>
      <c r="H8" s="9">
        <f>HistoricalView!AH18+HistoricalView!AH14</f>
        <v>0</v>
      </c>
      <c r="I8" s="9">
        <f>HistoricalView!AI18+HistoricalView!AI14</f>
        <v>400</v>
      </c>
      <c r="J8" s="9">
        <f>HistoricalView!AJ18+HistoricalView!AJ14</f>
        <v>0</v>
      </c>
      <c r="K8" s="9">
        <f>HistoricalView!AK18+HistoricalView!AK14</f>
        <v>0</v>
      </c>
      <c r="L8" s="9">
        <f>HistoricalView!AL18+HistoricalView!AL14</f>
        <v>0</v>
      </c>
      <c r="M8" s="9">
        <f>HistoricalView!AM18+HistoricalView!AM14</f>
        <v>0</v>
      </c>
      <c r="N8" s="9">
        <f>HistoricalView!AN18+HistoricalView!AN14</f>
        <v>400</v>
      </c>
    </row>
    <row r="9" spans="1:14" x14ac:dyDescent="0.25">
      <c r="A9" s="545"/>
      <c r="C9" s="12">
        <f>SUM(C3:C8)</f>
        <v>17450</v>
      </c>
      <c r="D9" s="12">
        <f t="shared" ref="D9:N9" si="0">SUM(D3:D8)</f>
        <v>6250</v>
      </c>
      <c r="E9" s="12">
        <f t="shared" si="0"/>
        <v>8050</v>
      </c>
      <c r="F9" s="12">
        <f t="shared" si="0"/>
        <v>20050</v>
      </c>
      <c r="G9" s="12">
        <f t="shared" si="0"/>
        <v>35850</v>
      </c>
      <c r="H9" s="12">
        <f t="shared" si="0"/>
        <v>36335.562400000003</v>
      </c>
      <c r="I9" s="12">
        <f t="shared" si="0"/>
        <v>42813.906000000003</v>
      </c>
      <c r="J9" s="12">
        <f t="shared" si="0"/>
        <v>40356.6872</v>
      </c>
      <c r="K9" s="12">
        <f t="shared" si="0"/>
        <v>51006.6872</v>
      </c>
      <c r="L9" s="12">
        <f t="shared" si="0"/>
        <v>156421.12479999999</v>
      </c>
      <c r="M9" s="12">
        <f t="shared" si="0"/>
        <v>30835.562399999999</v>
      </c>
      <c r="N9" s="12">
        <f t="shared" si="0"/>
        <v>31650</v>
      </c>
    </row>
    <row r="10" spans="1:14" x14ac:dyDescent="0.25">
      <c r="A10" s="545"/>
      <c r="B10" s="355"/>
      <c r="C10" s="355"/>
      <c r="D10" s="355"/>
      <c r="E10" s="355"/>
      <c r="F10" s="355"/>
      <c r="G10" s="355"/>
      <c r="H10" s="355"/>
      <c r="I10" s="355"/>
      <c r="J10" s="355"/>
      <c r="K10" s="355"/>
      <c r="L10" s="355"/>
      <c r="M10" s="355"/>
      <c r="N10" s="355"/>
    </row>
    <row r="11" spans="1:14" x14ac:dyDescent="0.25">
      <c r="A11" s="545"/>
      <c r="B11" s="355"/>
      <c r="C11" s="355"/>
      <c r="D11" s="355"/>
      <c r="E11" s="355"/>
      <c r="F11" s="355"/>
      <c r="G11" s="355"/>
      <c r="H11" s="355"/>
      <c r="I11" s="355"/>
      <c r="J11" s="355"/>
      <c r="K11" s="355"/>
      <c r="L11" s="355"/>
      <c r="M11" s="355"/>
      <c r="N11" s="355"/>
    </row>
    <row r="12" spans="1:14" x14ac:dyDescent="0.25">
      <c r="A12" s="545"/>
      <c r="B12" s="355"/>
      <c r="C12" s="355"/>
      <c r="D12" s="355"/>
      <c r="E12" s="355"/>
      <c r="F12" s="355"/>
      <c r="G12" s="355"/>
      <c r="H12" s="355"/>
      <c r="I12" s="355"/>
      <c r="J12" s="355"/>
      <c r="K12" s="355"/>
      <c r="L12" s="355"/>
      <c r="M12" s="355"/>
      <c r="N12" s="355"/>
    </row>
    <row r="13" spans="1:14" x14ac:dyDescent="0.25">
      <c r="A13" s="545"/>
      <c r="B13" s="355"/>
      <c r="C13" s="355"/>
      <c r="D13" s="355"/>
      <c r="E13" s="355"/>
      <c r="F13" s="355"/>
      <c r="G13" s="355"/>
      <c r="H13" s="355"/>
      <c r="I13" s="355"/>
      <c r="J13" s="355"/>
      <c r="K13" s="355"/>
      <c r="L13" s="355"/>
      <c r="M13" s="355"/>
      <c r="N13" s="355"/>
    </row>
    <row r="14" spans="1:14" x14ac:dyDescent="0.25">
      <c r="A14" s="545"/>
      <c r="B14" s="355"/>
      <c r="C14" s="355"/>
      <c r="D14" s="355"/>
      <c r="E14" s="355"/>
      <c r="F14" s="355"/>
      <c r="G14" s="355"/>
      <c r="H14" s="355"/>
      <c r="I14" s="355"/>
      <c r="J14" s="355"/>
      <c r="K14" s="355"/>
      <c r="L14" s="355"/>
      <c r="M14" s="355"/>
      <c r="N14" s="355"/>
    </row>
    <row r="15" spans="1:14" x14ac:dyDescent="0.25">
      <c r="A15" s="545"/>
      <c r="B15" s="355"/>
      <c r="C15" s="355"/>
      <c r="D15" s="355"/>
      <c r="E15" s="355"/>
      <c r="F15" s="355"/>
      <c r="G15" s="355"/>
      <c r="H15" s="355"/>
      <c r="I15" s="355"/>
      <c r="J15" s="355"/>
      <c r="K15" s="355"/>
      <c r="L15" s="355"/>
      <c r="M15" s="355"/>
      <c r="N15" s="355"/>
    </row>
    <row r="16" spans="1:14" x14ac:dyDescent="0.25">
      <c r="A16" s="545"/>
      <c r="B16" s="355"/>
      <c r="C16" s="355"/>
      <c r="D16" s="355"/>
      <c r="E16" s="355"/>
      <c r="F16" s="355"/>
      <c r="G16" s="355"/>
      <c r="H16" s="355"/>
      <c r="I16" s="355"/>
      <c r="J16" s="355"/>
      <c r="K16" s="355"/>
      <c r="L16" s="355"/>
      <c r="M16" s="355"/>
      <c r="N16" s="355"/>
    </row>
    <row r="17" spans="2:14" x14ac:dyDescent="0.25">
      <c r="B17" s="355"/>
      <c r="C17" s="355"/>
      <c r="D17" s="355"/>
      <c r="E17" s="355"/>
      <c r="F17" s="355"/>
      <c r="G17" s="355"/>
      <c r="H17" s="355"/>
      <c r="I17" s="355"/>
      <c r="J17" s="355"/>
      <c r="K17" s="355"/>
      <c r="L17" s="355"/>
      <c r="M17" s="355"/>
      <c r="N17" s="355"/>
    </row>
    <row r="18" spans="2:14" x14ac:dyDescent="0.25">
      <c r="B18" s="355"/>
      <c r="C18" s="355"/>
      <c r="D18" s="355"/>
      <c r="E18" s="355"/>
      <c r="F18" s="355"/>
      <c r="G18" s="355"/>
      <c r="H18" s="355"/>
      <c r="I18" s="355"/>
      <c r="J18" s="355"/>
      <c r="K18" s="355"/>
      <c r="L18" s="355"/>
      <c r="M18" s="355"/>
      <c r="N18" s="355"/>
    </row>
    <row r="19" spans="2:14" x14ac:dyDescent="0.25">
      <c r="B19" s="355"/>
      <c r="C19" s="355"/>
      <c r="D19" s="355"/>
      <c r="E19" s="355"/>
      <c r="F19" s="355"/>
      <c r="G19" s="355"/>
      <c r="H19" s="355"/>
      <c r="I19" s="355"/>
      <c r="J19" s="355"/>
      <c r="K19" s="355"/>
      <c r="L19" s="355"/>
      <c r="M19" s="355"/>
      <c r="N19" s="355"/>
    </row>
    <row r="20" spans="2:14" x14ac:dyDescent="0.25">
      <c r="B20" s="355"/>
      <c r="C20" s="355"/>
      <c r="D20" s="355"/>
      <c r="E20" s="355"/>
      <c r="F20" s="355"/>
      <c r="G20" s="355"/>
      <c r="H20" s="355"/>
      <c r="I20" s="355"/>
      <c r="J20" s="355"/>
      <c r="K20" s="355"/>
      <c r="L20" s="355"/>
      <c r="M20" s="355"/>
      <c r="N20" s="355"/>
    </row>
    <row r="21" spans="2:14" x14ac:dyDescent="0.25">
      <c r="B21" s="355"/>
      <c r="C21" s="355"/>
      <c r="D21" s="355"/>
      <c r="E21" s="355"/>
      <c r="F21" s="355"/>
      <c r="G21" s="355"/>
      <c r="H21" s="355"/>
      <c r="I21" s="355"/>
      <c r="J21" s="355"/>
      <c r="K21" s="355"/>
      <c r="L21" s="355"/>
      <c r="M21" s="355"/>
      <c r="N21" s="355"/>
    </row>
    <row r="22" spans="2:14" x14ac:dyDescent="0.25">
      <c r="B22" s="355"/>
      <c r="C22" s="355"/>
      <c r="D22" s="355"/>
      <c r="E22" s="355"/>
      <c r="F22" s="355"/>
      <c r="G22" s="355"/>
      <c r="H22" s="355"/>
      <c r="I22" s="355"/>
      <c r="J22" s="355"/>
      <c r="K22" s="355"/>
      <c r="L22" s="355"/>
      <c r="M22" s="355"/>
      <c r="N22" s="355"/>
    </row>
    <row r="23" spans="2:14" x14ac:dyDescent="0.25">
      <c r="B23" s="355"/>
      <c r="C23" s="355"/>
      <c r="D23" s="355"/>
      <c r="E23" s="355"/>
      <c r="F23" s="355"/>
      <c r="G23" s="355"/>
      <c r="H23" s="355"/>
      <c r="I23" s="355"/>
      <c r="J23" s="355"/>
      <c r="K23" s="355"/>
      <c r="L23" s="355"/>
      <c r="M23" s="355"/>
      <c r="N23" s="355"/>
    </row>
    <row r="24" spans="2:14" x14ac:dyDescent="0.25">
      <c r="B24" s="355"/>
      <c r="C24" s="355"/>
      <c r="D24" s="355"/>
      <c r="E24" s="355"/>
      <c r="F24" s="355"/>
      <c r="G24" s="355"/>
      <c r="H24" s="355"/>
      <c r="I24" s="355"/>
      <c r="J24" s="355"/>
      <c r="K24" s="355"/>
      <c r="L24" s="355"/>
      <c r="M24" s="355"/>
      <c r="N24" s="355"/>
    </row>
    <row r="25" spans="2:14" x14ac:dyDescent="0.25">
      <c r="B25" s="355"/>
      <c r="C25" s="355"/>
      <c r="D25" s="355"/>
      <c r="E25" s="355"/>
      <c r="F25" s="355"/>
      <c r="G25" s="355"/>
      <c r="H25" s="355"/>
      <c r="I25" s="355"/>
      <c r="J25" s="355"/>
      <c r="K25" s="355"/>
      <c r="L25" s="355"/>
      <c r="M25" s="355"/>
      <c r="N25" s="355"/>
    </row>
    <row r="26" spans="2:14" x14ac:dyDescent="0.25">
      <c r="B26" s="355"/>
      <c r="C26" s="355"/>
      <c r="D26" s="355"/>
      <c r="E26" s="355"/>
      <c r="F26" s="355"/>
      <c r="G26" s="355"/>
      <c r="H26" s="355"/>
      <c r="I26" s="355"/>
      <c r="J26" s="355"/>
      <c r="K26" s="355"/>
      <c r="L26" s="355"/>
      <c r="M26" s="355"/>
      <c r="N26" s="355"/>
    </row>
    <row r="27" spans="2:14" x14ac:dyDescent="0.25">
      <c r="B27" s="355"/>
      <c r="C27" s="355"/>
      <c r="D27" s="355"/>
      <c r="E27" s="355"/>
      <c r="F27" s="355"/>
      <c r="G27" s="355"/>
      <c r="H27" s="355"/>
      <c r="I27" s="355"/>
      <c r="J27" s="355"/>
      <c r="K27" s="355"/>
      <c r="L27" s="355"/>
      <c r="M27" s="355"/>
      <c r="N27" s="355"/>
    </row>
    <row r="28" spans="2:14" x14ac:dyDescent="0.25">
      <c r="B28" s="355"/>
      <c r="C28" s="355"/>
      <c r="D28" s="355"/>
      <c r="E28" s="355"/>
      <c r="F28" s="355"/>
      <c r="G28" s="355"/>
      <c r="H28" s="355"/>
      <c r="I28" s="355"/>
      <c r="J28" s="355"/>
      <c r="K28" s="355"/>
      <c r="L28" s="355"/>
      <c r="M28" s="355"/>
      <c r="N28" s="355"/>
    </row>
    <row r="29" spans="2:14" x14ac:dyDescent="0.25">
      <c r="B29" s="355"/>
      <c r="C29" s="355"/>
      <c r="D29" s="355"/>
      <c r="E29" s="355"/>
      <c r="F29" s="355"/>
      <c r="G29" s="355"/>
      <c r="H29" s="355"/>
      <c r="I29" s="355"/>
      <c r="J29" s="355"/>
      <c r="K29" s="355"/>
      <c r="L29" s="355"/>
      <c r="M29" s="355"/>
      <c r="N29" s="355"/>
    </row>
    <row r="30" spans="2:14" x14ac:dyDescent="0.25">
      <c r="B30" s="355"/>
      <c r="C30" s="355"/>
      <c r="D30" s="355"/>
      <c r="E30" s="355"/>
      <c r="F30" s="355"/>
      <c r="G30" s="355"/>
      <c r="H30" s="355"/>
      <c r="I30" s="355"/>
      <c r="J30" s="355"/>
      <c r="K30" s="355"/>
      <c r="L30" s="355"/>
      <c r="M30" s="355"/>
      <c r="N30" s="355"/>
    </row>
    <row r="31" spans="2:14" x14ac:dyDescent="0.25">
      <c r="B31" s="355"/>
      <c r="C31" s="355"/>
      <c r="D31" s="355"/>
      <c r="E31" s="355"/>
      <c r="F31" s="355"/>
      <c r="G31" s="355"/>
      <c r="H31" s="355"/>
      <c r="I31" s="355"/>
      <c r="J31" s="355"/>
      <c r="K31" s="355"/>
      <c r="L31" s="355"/>
      <c r="M31" s="355"/>
      <c r="N31" s="355"/>
    </row>
    <row r="32" spans="2:14" x14ac:dyDescent="0.25">
      <c r="B32" s="355"/>
      <c r="C32" s="355"/>
      <c r="D32" s="355"/>
      <c r="E32" s="355"/>
      <c r="F32" s="355"/>
      <c r="G32" s="355"/>
      <c r="H32" s="355"/>
      <c r="I32" s="355"/>
      <c r="J32" s="355"/>
      <c r="K32" s="355"/>
      <c r="L32" s="355"/>
      <c r="M32" s="355"/>
      <c r="N32" s="355"/>
    </row>
    <row r="33" spans="2:14" x14ac:dyDescent="0.25">
      <c r="B33" s="355"/>
      <c r="C33" s="355"/>
      <c r="D33" s="355"/>
      <c r="E33" s="355"/>
      <c r="F33" s="355"/>
      <c r="G33" s="355"/>
      <c r="H33" s="355"/>
      <c r="I33" s="355"/>
      <c r="J33" s="355"/>
      <c r="K33" s="355"/>
      <c r="L33" s="355"/>
      <c r="M33" s="355"/>
      <c r="N33" s="355"/>
    </row>
    <row r="34" spans="2:14" x14ac:dyDescent="0.25">
      <c r="B34" s="355"/>
      <c r="C34" s="355"/>
      <c r="D34" s="355"/>
      <c r="E34" s="355"/>
      <c r="F34" s="355"/>
      <c r="G34" s="355"/>
      <c r="H34" s="355"/>
      <c r="I34" s="355"/>
      <c r="J34" s="355"/>
      <c r="K34" s="355"/>
      <c r="L34" s="355"/>
      <c r="M34" s="355"/>
      <c r="N34" s="355"/>
    </row>
    <row r="35" spans="2:14" x14ac:dyDescent="0.25">
      <c r="B35" s="355"/>
      <c r="C35" s="355"/>
      <c r="D35" s="355"/>
      <c r="E35" s="355"/>
      <c r="F35" s="355"/>
      <c r="G35" s="355"/>
      <c r="H35" s="355"/>
      <c r="I35" s="355"/>
      <c r="J35" s="355"/>
      <c r="K35" s="355"/>
      <c r="L35" s="355"/>
      <c r="M35" s="355"/>
      <c r="N35" s="355"/>
    </row>
    <row r="36" spans="2:14" x14ac:dyDescent="0.25">
      <c r="B36" s="355"/>
      <c r="C36" s="355"/>
      <c r="D36" s="355"/>
      <c r="E36" s="355"/>
      <c r="F36" s="355"/>
      <c r="G36" s="355"/>
      <c r="H36" s="355"/>
      <c r="I36" s="355"/>
      <c r="J36" s="355"/>
      <c r="K36" s="355"/>
      <c r="L36" s="355"/>
      <c r="M36" s="355"/>
      <c r="N36" s="355"/>
    </row>
    <row r="37" spans="2:14" x14ac:dyDescent="0.25">
      <c r="B37" s="355"/>
      <c r="C37" s="355"/>
      <c r="D37" s="355"/>
      <c r="E37" s="355"/>
      <c r="F37" s="355"/>
      <c r="G37" s="355"/>
      <c r="H37" s="355"/>
      <c r="I37" s="355"/>
      <c r="J37" s="355"/>
      <c r="K37" s="355"/>
      <c r="L37" s="355"/>
      <c r="M37" s="355"/>
      <c r="N37" s="355"/>
    </row>
    <row r="38" spans="2:14" x14ac:dyDescent="0.25">
      <c r="B38" s="355"/>
      <c r="C38" s="355"/>
      <c r="D38" s="355"/>
      <c r="E38" s="355"/>
      <c r="F38" s="355"/>
      <c r="G38" s="355"/>
      <c r="H38" s="355"/>
      <c r="I38" s="355"/>
      <c r="J38" s="355"/>
      <c r="K38" s="355"/>
      <c r="L38" s="355"/>
      <c r="M38" s="355"/>
      <c r="N38" s="355"/>
    </row>
    <row r="39" spans="2:14" x14ac:dyDescent="0.25">
      <c r="B39" s="355"/>
      <c r="C39" s="355"/>
      <c r="D39" s="355"/>
      <c r="E39" s="355"/>
      <c r="F39" s="355"/>
      <c r="G39" s="355"/>
      <c r="H39" s="355"/>
      <c r="I39" s="355"/>
      <c r="J39" s="355"/>
      <c r="K39" s="355"/>
      <c r="L39" s="355"/>
      <c r="M39" s="355"/>
      <c r="N39" s="355"/>
    </row>
  </sheetData>
  <mergeCells count="1">
    <mergeCell ref="A1:A16"/>
  </mergeCells>
  <printOptions horizontalCentered="1" verticalCentered="1"/>
  <pageMargins left="0.7" right="0.7" top="0.75" bottom="0.75" header="0.3" footer="0.3"/>
  <pageSetup scale="9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opLeftCell="A9" zoomScale="121" zoomScaleNormal="102" workbookViewId="0">
      <selection activeCell="E14" sqref="E14"/>
    </sheetView>
  </sheetViews>
  <sheetFormatPr defaultRowHeight="15.75" outlineLevelRow="1" outlineLevelCol="1" x14ac:dyDescent="0.25"/>
  <cols>
    <col min="1" max="1" width="4.125" customWidth="1"/>
    <col min="2" max="2" width="20.375" customWidth="1"/>
    <col min="3" max="3" width="5" customWidth="1"/>
    <col min="4" max="4" width="11.875" customWidth="1"/>
    <col min="5" max="5" width="7.75" customWidth="1" outlineLevel="1"/>
    <col min="6" max="6" width="9.125" customWidth="1"/>
    <col min="7" max="7" width="9.625" bestFit="1" customWidth="1"/>
    <col min="8" max="8" width="8.375" customWidth="1" outlineLevel="1"/>
    <col min="9" max="9" width="9.375" customWidth="1"/>
    <col min="10" max="10" width="9.375" bestFit="1" customWidth="1"/>
    <col min="12" max="12" width="26.75" customWidth="1"/>
  </cols>
  <sheetData>
    <row r="1" spans="1:14" ht="21" x14ac:dyDescent="0.35">
      <c r="A1" s="539" t="s">
        <v>489</v>
      </c>
      <c r="B1" s="539"/>
      <c r="C1" s="539"/>
      <c r="D1" s="539"/>
      <c r="E1" s="539"/>
      <c r="F1" s="539"/>
      <c r="G1" s="539"/>
      <c r="H1" s="539"/>
      <c r="I1" s="539"/>
      <c r="J1" s="539"/>
    </row>
    <row r="2" spans="1:14" x14ac:dyDescent="0.25">
      <c r="A2" s="325"/>
      <c r="B2" s="325"/>
      <c r="C2" s="546" t="s">
        <v>406</v>
      </c>
      <c r="D2" s="546"/>
      <c r="E2" s="546"/>
      <c r="F2" s="326"/>
      <c r="G2" s="326"/>
      <c r="H2" s="326"/>
      <c r="I2" s="325"/>
      <c r="J2" s="325"/>
    </row>
    <row r="3" spans="1:14" ht="18" x14ac:dyDescent="0.4">
      <c r="A3" s="325"/>
      <c r="B3" s="325"/>
      <c r="C3" s="327" t="s">
        <v>109</v>
      </c>
      <c r="D3" s="327" t="s">
        <v>110</v>
      </c>
      <c r="E3" s="327" t="s">
        <v>1231</v>
      </c>
      <c r="F3" s="327" t="s">
        <v>243</v>
      </c>
      <c r="G3" s="327" t="s">
        <v>244</v>
      </c>
      <c r="H3" s="327" t="s">
        <v>1230</v>
      </c>
      <c r="I3" s="327" t="s">
        <v>245</v>
      </c>
      <c r="J3" s="327" t="s">
        <v>26</v>
      </c>
    </row>
    <row r="4" spans="1:14" s="1" customFormat="1" x14ac:dyDescent="0.25">
      <c r="A4" s="328" t="s">
        <v>0</v>
      </c>
      <c r="B4" s="328"/>
      <c r="C4" s="328"/>
      <c r="D4" s="328"/>
      <c r="E4" s="328"/>
      <c r="F4" s="328"/>
      <c r="G4" s="328"/>
      <c r="H4" s="328"/>
      <c r="I4" s="328"/>
      <c r="J4" s="328"/>
    </row>
    <row r="5" spans="1:14" x14ac:dyDescent="0.25">
      <c r="A5" s="325" t="s">
        <v>405</v>
      </c>
      <c r="B5" s="325"/>
      <c r="C5" s="325"/>
      <c r="D5" s="325"/>
      <c r="E5" s="325"/>
      <c r="F5" s="329"/>
      <c r="G5" s="329"/>
      <c r="H5" s="329"/>
      <c r="I5" s="329">
        <f>Overview!F5+Overview!F6</f>
        <v>356000</v>
      </c>
      <c r="J5" s="329">
        <f>SUM(F5:I5)</f>
        <v>356000</v>
      </c>
    </row>
    <row r="6" spans="1:14" x14ac:dyDescent="0.25">
      <c r="A6" s="325" t="s">
        <v>485</v>
      </c>
      <c r="B6" s="325"/>
      <c r="C6" s="325"/>
      <c r="D6" s="325"/>
      <c r="E6" s="325"/>
      <c r="F6" s="330">
        <f ca="1">SUMIF(Revenue!$A$7:$I$39,C3,Revenue!$I$7:$I$39)-F7</f>
        <v>41632.550000000003</v>
      </c>
      <c r="G6" s="330">
        <f ca="1">SUMIF(Revenue!$A$7:$I$39,D3,Revenue!$I$7:$I$39)-G7</f>
        <v>10327.68</v>
      </c>
      <c r="H6" s="330">
        <f ca="1">SUMIF(Revenue!$A$7:$I$39,E3,Revenue!$I$7:$I$39)-H7</f>
        <v>8100</v>
      </c>
      <c r="I6" s="329"/>
      <c r="J6" s="329">
        <f ca="1">SUM(F6:I6)</f>
        <v>60060.23</v>
      </c>
      <c r="K6" s="24"/>
    </row>
    <row r="7" spans="1:14" x14ac:dyDescent="0.25">
      <c r="A7" s="325" t="s">
        <v>491</v>
      </c>
      <c r="B7" s="325"/>
      <c r="C7" s="325"/>
      <c r="D7" s="325"/>
      <c r="E7" s="325"/>
      <c r="F7" s="330">
        <f ca="1">-SUMIF(Revenue!$A$7:$P$39,C3,Revenue!$P$7:$P$39)</f>
        <v>-26409.5</v>
      </c>
      <c r="G7" s="330">
        <f ca="1">-SUMIF(Revenue!$A$7:$P$39,D3,Revenue!$P$7:$P$39)</f>
        <v>-5731.2</v>
      </c>
      <c r="H7" s="330">
        <f ca="1">-SUMIF(Revenue!$A$7:$P$39,E3,Revenue!$P$7:$P$39)</f>
        <v>-8100</v>
      </c>
      <c r="I7" s="329"/>
      <c r="J7" s="329">
        <f ca="1">SUM(F7:I7)</f>
        <v>-40240.699999999997</v>
      </c>
      <c r="K7" s="24"/>
    </row>
    <row r="8" spans="1:14" x14ac:dyDescent="0.25">
      <c r="A8" s="325" t="s">
        <v>404</v>
      </c>
      <c r="B8" s="325"/>
      <c r="C8" s="325"/>
      <c r="D8" s="325"/>
      <c r="E8" s="325"/>
      <c r="F8" s="329"/>
      <c r="G8" s="329"/>
      <c r="H8" s="329"/>
      <c r="I8" s="329">
        <f>Overview!F7+Overview!F9</f>
        <v>101250</v>
      </c>
      <c r="J8" s="329">
        <f>SUM(F8:I8)</f>
        <v>101250</v>
      </c>
    </row>
    <row r="9" spans="1:14" x14ac:dyDescent="0.25">
      <c r="A9" s="325"/>
      <c r="B9" s="325"/>
      <c r="C9" s="325"/>
      <c r="D9" s="325"/>
      <c r="E9" s="325"/>
      <c r="F9" s="325"/>
      <c r="G9" s="329"/>
      <c r="H9" s="329"/>
      <c r="I9" s="329"/>
      <c r="J9" s="329"/>
      <c r="N9" s="31"/>
    </row>
    <row r="10" spans="1:14" s="1" customFormat="1" x14ac:dyDescent="0.25">
      <c r="A10" s="328"/>
      <c r="B10" s="328" t="s">
        <v>156</v>
      </c>
      <c r="C10" s="328"/>
      <c r="D10" s="328"/>
      <c r="E10" s="328"/>
      <c r="F10" s="331">
        <f ca="1">SUM(F5:F8)</f>
        <v>15223.050000000003</v>
      </c>
      <c r="G10" s="331">
        <f t="shared" ref="G10:J10" ca="1" si="0">SUM(G5:G8)</f>
        <v>4596.4800000000005</v>
      </c>
      <c r="H10" s="331">
        <f t="shared" ca="1" si="0"/>
        <v>0</v>
      </c>
      <c r="I10" s="331">
        <f t="shared" si="0"/>
        <v>457250</v>
      </c>
      <c r="J10" s="331">
        <f t="shared" ca="1" si="0"/>
        <v>477069.52999999997</v>
      </c>
    </row>
    <row r="11" spans="1:14" x14ac:dyDescent="0.25">
      <c r="A11" s="325"/>
      <c r="B11" s="325"/>
      <c r="C11" s="325"/>
      <c r="D11" s="325"/>
      <c r="E11" s="325"/>
      <c r="F11" s="329"/>
      <c r="G11" s="329"/>
      <c r="H11" s="329"/>
      <c r="I11" s="329"/>
      <c r="J11" s="329"/>
    </row>
    <row r="12" spans="1:14" s="1" customFormat="1" x14ac:dyDescent="0.25">
      <c r="A12" s="328" t="s">
        <v>228</v>
      </c>
      <c r="B12" s="328"/>
      <c r="C12" s="328"/>
      <c r="D12" s="328"/>
      <c r="E12" s="328"/>
      <c r="F12" s="331"/>
      <c r="G12" s="331"/>
      <c r="H12" s="331"/>
      <c r="I12" s="331"/>
      <c r="J12" s="331"/>
    </row>
    <row r="13" spans="1:14" x14ac:dyDescent="0.25">
      <c r="A13" s="325" t="str">
        <f>HistoricalView!A33</f>
        <v xml:space="preserve">   Cost of labor - COS</v>
      </c>
      <c r="B13" s="325"/>
      <c r="C13" s="332">
        <v>0.45</v>
      </c>
      <c r="D13" s="332">
        <v>0.5</v>
      </c>
      <c r="E13" s="332">
        <v>0.05</v>
      </c>
      <c r="F13" s="329">
        <f>C13*(Wages!F29-Wages!F25)</f>
        <v>40435.200000000004</v>
      </c>
      <c r="G13" s="329">
        <f>D13*(Wages!F29-Wages!F25)</f>
        <v>44928</v>
      </c>
      <c r="H13" s="329">
        <f>E13*(Wages!F29-Wages!F25)</f>
        <v>4492.8</v>
      </c>
      <c r="I13" s="329"/>
      <c r="J13" s="329">
        <f t="shared" ref="J13:J19" si="1">SUM(F13:I13)</f>
        <v>89856.000000000015</v>
      </c>
      <c r="K13" s="9"/>
    </row>
    <row r="14" spans="1:14" x14ac:dyDescent="0.25">
      <c r="A14" s="325" t="str">
        <f>HistoricalView!A36</f>
        <v xml:space="preserve">   Total Electricity</v>
      </c>
      <c r="B14" s="325"/>
      <c r="C14" s="332">
        <v>0.1</v>
      </c>
      <c r="D14" s="332">
        <v>0.9</v>
      </c>
      <c r="E14" s="332"/>
      <c r="F14" s="329">
        <f>HistoricalView!AA36*C14</f>
        <v>850</v>
      </c>
      <c r="G14" s="329">
        <f>HistoricalView!AA36*D14</f>
        <v>7650</v>
      </c>
      <c r="H14" s="329">
        <f>E14*(Wages!F30-Wages!F26)</f>
        <v>0</v>
      </c>
      <c r="I14" s="329"/>
      <c r="J14" s="329">
        <f t="shared" si="1"/>
        <v>8500</v>
      </c>
      <c r="K14" s="9"/>
    </row>
    <row r="15" spans="1:14" x14ac:dyDescent="0.25">
      <c r="A15" s="325" t="str">
        <f>HistoricalView!A38</f>
        <v xml:space="preserve">   Equipment Hire</v>
      </c>
      <c r="B15" s="325"/>
      <c r="C15" s="332">
        <v>0.85</v>
      </c>
      <c r="D15" s="332">
        <v>0.15</v>
      </c>
      <c r="E15" s="332">
        <v>0</v>
      </c>
      <c r="F15" s="329">
        <f>HistoricalView!AA38*C15</f>
        <v>850</v>
      </c>
      <c r="G15" s="329">
        <f>HistoricalView!AA38*D15</f>
        <v>150</v>
      </c>
      <c r="H15" s="329">
        <f>E15*(Wages!F31-Wages!F27)</f>
        <v>0</v>
      </c>
      <c r="I15" s="329"/>
      <c r="J15" s="329">
        <f t="shared" si="1"/>
        <v>1000</v>
      </c>
      <c r="K15" s="9"/>
    </row>
    <row r="16" spans="1:14" x14ac:dyDescent="0.25">
      <c r="A16" s="325" t="str">
        <f>HistoricalView!A39</f>
        <v xml:space="preserve">   Farm Tools &amp; Machinery</v>
      </c>
      <c r="B16" s="325"/>
      <c r="C16" s="332">
        <v>0.85</v>
      </c>
      <c r="D16" s="332">
        <v>0.15</v>
      </c>
      <c r="E16" s="332">
        <v>0</v>
      </c>
      <c r="F16" s="329">
        <f>HistoricalView!AA39*C16</f>
        <v>1700</v>
      </c>
      <c r="G16" s="329">
        <f>HistoricalView!AA39*D16</f>
        <v>300</v>
      </c>
      <c r="H16" s="329">
        <f>E16*(Wages!F32-Wages!F28)</f>
        <v>0</v>
      </c>
      <c r="I16" s="329"/>
      <c r="J16" s="329">
        <f t="shared" si="1"/>
        <v>2000</v>
      </c>
      <c r="K16" s="9"/>
    </row>
    <row r="17" spans="1:12" x14ac:dyDescent="0.25">
      <c r="A17" s="325" t="str">
        <f>HistoricalView!A40</f>
        <v xml:space="preserve">   Fencing</v>
      </c>
      <c r="B17" s="325"/>
      <c r="C17" s="332">
        <v>0.85</v>
      </c>
      <c r="D17" s="332">
        <v>0.15</v>
      </c>
      <c r="E17" s="332">
        <v>0</v>
      </c>
      <c r="F17" s="329">
        <f>HistoricalView!AA40*C17</f>
        <v>2125</v>
      </c>
      <c r="G17" s="329">
        <f>HistoricalView!AA40*D17</f>
        <v>375</v>
      </c>
      <c r="H17" s="329">
        <f>E17*(Wages!F33-Wages!F29)</f>
        <v>0</v>
      </c>
      <c r="I17" s="329"/>
      <c r="J17" s="329">
        <f t="shared" si="1"/>
        <v>2500</v>
      </c>
      <c r="K17" s="9"/>
    </row>
    <row r="18" spans="1:12" x14ac:dyDescent="0.25">
      <c r="A18" s="325" t="str">
        <f>HistoricalView!A41</f>
        <v xml:space="preserve">   Fertilizer</v>
      </c>
      <c r="B18" s="325"/>
      <c r="C18" s="332">
        <v>0.2</v>
      </c>
      <c r="D18" s="332">
        <v>0.8</v>
      </c>
      <c r="E18" s="332"/>
      <c r="F18" s="329">
        <f>HistoricalView!AA41*C18</f>
        <v>200</v>
      </c>
      <c r="G18" s="329">
        <f>HistoricalView!AA41*D18</f>
        <v>800</v>
      </c>
      <c r="H18" s="329">
        <f>E18*(Wages!F34-Wages!F30)</f>
        <v>0</v>
      </c>
      <c r="I18" s="329"/>
      <c r="J18" s="329">
        <f t="shared" si="1"/>
        <v>1000</v>
      </c>
      <c r="K18" s="9"/>
      <c r="L18" t="s">
        <v>1263</v>
      </c>
    </row>
    <row r="19" spans="1:12" x14ac:dyDescent="0.25">
      <c r="A19" s="325" t="str">
        <f>HistoricalView!A42</f>
        <v xml:space="preserve">   Freight &amp; delivery - COS</v>
      </c>
      <c r="B19" s="325"/>
      <c r="C19" s="332">
        <v>0.85</v>
      </c>
      <c r="D19" s="332">
        <v>0.15</v>
      </c>
      <c r="E19" s="332">
        <v>0</v>
      </c>
      <c r="F19" s="329">
        <f>HistoricalView!AA42*C19</f>
        <v>637.5</v>
      </c>
      <c r="G19" s="329">
        <f>HistoricalView!AA42*D19</f>
        <v>112.5</v>
      </c>
      <c r="H19" s="329">
        <f>E19*(Wages!F35-Wages!F31)</f>
        <v>0</v>
      </c>
      <c r="I19" s="329"/>
      <c r="J19" s="329">
        <f t="shared" si="1"/>
        <v>750</v>
      </c>
      <c r="K19" s="9"/>
    </row>
    <row r="20" spans="1:12" x14ac:dyDescent="0.25">
      <c r="A20" s="325" t="str">
        <f>HistoricalView!A43</f>
        <v xml:space="preserve">   Fuel</v>
      </c>
      <c r="B20" s="325"/>
      <c r="C20" s="332"/>
      <c r="D20" s="332"/>
      <c r="E20" s="332"/>
      <c r="F20" s="329"/>
      <c r="G20" s="329"/>
      <c r="H20" s="329">
        <f>E20*(Wages!F36-Wages!F32)</f>
        <v>0</v>
      </c>
      <c r="I20" s="329"/>
      <c r="J20" s="329"/>
      <c r="K20" s="9"/>
    </row>
    <row r="21" spans="1:12" x14ac:dyDescent="0.25">
      <c r="A21" s="325" t="str">
        <f>HistoricalView!A44</f>
        <v xml:space="preserve">      Fuel for Farm Equipment</v>
      </c>
      <c r="B21" s="325"/>
      <c r="C21" s="332">
        <v>1</v>
      </c>
      <c r="D21" s="332"/>
      <c r="E21" s="332"/>
      <c r="F21" s="329">
        <f>HistoricalView!AA44*C21</f>
        <v>425</v>
      </c>
      <c r="G21" s="329">
        <f>HistoricalView!AA44*D21</f>
        <v>0</v>
      </c>
      <c r="H21" s="329">
        <f>E21*(Wages!F37-Wages!F33)</f>
        <v>0</v>
      </c>
      <c r="I21" s="329"/>
      <c r="J21" s="329">
        <f>SUM(F21:I21)</f>
        <v>425</v>
      </c>
      <c r="K21" s="9"/>
    </row>
    <row r="22" spans="1:12" x14ac:dyDescent="0.25">
      <c r="A22" s="325" t="str">
        <f>HistoricalView!A45</f>
        <v xml:space="preserve">      Fuel for Vehicles</v>
      </c>
      <c r="B22" s="325"/>
      <c r="C22" s="332">
        <v>0.6</v>
      </c>
      <c r="D22" s="332">
        <v>0.4</v>
      </c>
      <c r="E22" s="332"/>
      <c r="F22" s="329">
        <f>HistoricalView!AA45*C22</f>
        <v>840</v>
      </c>
      <c r="G22" s="329">
        <f>HistoricalView!AA45*D22</f>
        <v>560</v>
      </c>
      <c r="H22" s="329">
        <f>E22*(Wages!F38-Wages!F34)</f>
        <v>0</v>
      </c>
      <c r="I22" s="329"/>
      <c r="J22" s="329">
        <f>SUM(F22:I22)</f>
        <v>1400</v>
      </c>
      <c r="K22" s="9"/>
    </row>
    <row r="23" spans="1:12" outlineLevel="1" x14ac:dyDescent="0.25">
      <c r="A23" s="325" t="str">
        <f>HistoricalView!A46</f>
        <v xml:space="preserve">   Total Fuel</v>
      </c>
      <c r="B23" s="325"/>
      <c r="C23" s="332"/>
      <c r="D23" s="332"/>
      <c r="E23" s="332"/>
      <c r="F23" s="329"/>
      <c r="G23" s="329"/>
      <c r="H23" s="329">
        <f>E23*(Wages!F39-Wages!F35)</f>
        <v>0</v>
      </c>
      <c r="I23" s="329"/>
      <c r="J23" s="329"/>
      <c r="K23" s="9"/>
    </row>
    <row r="24" spans="1:12" x14ac:dyDescent="0.25">
      <c r="A24" s="325" t="str">
        <f>HistoricalView!A47</f>
        <v xml:space="preserve">   Greenhouse Building Materials</v>
      </c>
      <c r="B24" s="325"/>
      <c r="C24" s="332">
        <v>0</v>
      </c>
      <c r="D24" s="332">
        <v>1</v>
      </c>
      <c r="E24" s="332">
        <v>0</v>
      </c>
      <c r="F24" s="329">
        <f>HistoricalView!AA47*C24</f>
        <v>0</v>
      </c>
      <c r="G24" s="329">
        <f>HistoricalView!AA47*D24</f>
        <v>6000</v>
      </c>
      <c r="H24" s="329">
        <f>E24*(Wages!F40-Wages!F36)</f>
        <v>0</v>
      </c>
      <c r="I24" s="329"/>
      <c r="J24" s="329">
        <f t="shared" ref="J24:J33" si="2">SUM(F24:I24)</f>
        <v>6000</v>
      </c>
      <c r="K24" s="9"/>
    </row>
    <row r="25" spans="1:12" x14ac:dyDescent="0.25">
      <c r="A25" s="325" t="str">
        <f>HistoricalView!A48</f>
        <v xml:space="preserve">   Growing medium</v>
      </c>
      <c r="B25" s="325"/>
      <c r="C25" s="332">
        <v>0.1</v>
      </c>
      <c r="D25" s="332">
        <v>0.9</v>
      </c>
      <c r="E25" s="332"/>
      <c r="F25" s="329">
        <f>HistoricalView!AA48*C25</f>
        <v>320</v>
      </c>
      <c r="G25" s="329">
        <f>HistoricalView!AA48*D25</f>
        <v>2880</v>
      </c>
      <c r="H25" s="329">
        <f>E25*(Wages!F41-Wages!F37)</f>
        <v>0</v>
      </c>
      <c r="I25" s="329"/>
      <c r="J25" s="329">
        <f t="shared" si="2"/>
        <v>3200</v>
      </c>
      <c r="K25" s="9"/>
      <c r="L25" s="476"/>
    </row>
    <row r="26" spans="1:12" x14ac:dyDescent="0.25">
      <c r="A26" s="325" t="str">
        <f>HistoricalView!A49</f>
        <v xml:space="preserve">   Insecticide</v>
      </c>
      <c r="B26" s="325"/>
      <c r="C26" s="332">
        <v>0.4</v>
      </c>
      <c r="D26" s="332">
        <v>0.6</v>
      </c>
      <c r="E26" s="332">
        <v>0</v>
      </c>
      <c r="F26" s="329">
        <f>HistoricalView!AA49*C26</f>
        <v>960</v>
      </c>
      <c r="G26" s="329">
        <f>HistoricalView!AA49*D26</f>
        <v>1440</v>
      </c>
      <c r="H26" s="329">
        <f>E26*(Wages!F42-Wages!F38)</f>
        <v>0</v>
      </c>
      <c r="I26" s="329"/>
      <c r="J26" s="329">
        <f t="shared" si="2"/>
        <v>2400</v>
      </c>
      <c r="K26" s="9"/>
      <c r="L26" s="476"/>
    </row>
    <row r="27" spans="1:12" x14ac:dyDescent="0.25">
      <c r="A27" s="325" t="str">
        <f>HistoricalView!A50</f>
        <v xml:space="preserve">   Irrigation Supplies</v>
      </c>
      <c r="B27" s="325"/>
      <c r="C27" s="332">
        <v>0.4</v>
      </c>
      <c r="D27" s="332">
        <v>0.6</v>
      </c>
      <c r="E27" s="332">
        <v>0</v>
      </c>
      <c r="F27" s="329">
        <f>HistoricalView!AA50*C27</f>
        <v>2800</v>
      </c>
      <c r="G27" s="329">
        <f>HistoricalView!AA50*D27</f>
        <v>4200</v>
      </c>
      <c r="H27" s="329">
        <f>E27*(Wages!F43-Wages!F39)</f>
        <v>0</v>
      </c>
      <c r="I27" s="329"/>
      <c r="J27" s="329">
        <f t="shared" si="2"/>
        <v>7000</v>
      </c>
      <c r="K27" s="9"/>
      <c r="L27" s="476"/>
    </row>
    <row r="28" spans="1:12" x14ac:dyDescent="0.25">
      <c r="A28" s="325" t="str">
        <f>HistoricalView!A51</f>
        <v xml:space="preserve">   Packaging</v>
      </c>
      <c r="B28" s="325"/>
      <c r="C28" s="332">
        <v>0.5</v>
      </c>
      <c r="D28" s="332">
        <v>0.5</v>
      </c>
      <c r="E28" s="332">
        <v>0</v>
      </c>
      <c r="F28" s="329">
        <f>HistoricalView!AA51*C28</f>
        <v>1250</v>
      </c>
      <c r="G28" s="329">
        <f>HistoricalView!AA51*D28</f>
        <v>1250</v>
      </c>
      <c r="H28" s="329">
        <f>E28*(Wages!F44-Wages!F40)</f>
        <v>0</v>
      </c>
      <c r="I28" s="329"/>
      <c r="J28" s="329">
        <f t="shared" si="2"/>
        <v>2500</v>
      </c>
      <c r="K28" s="9"/>
      <c r="L28" s="476"/>
    </row>
    <row r="29" spans="1:12" x14ac:dyDescent="0.25">
      <c r="A29" s="325" t="str">
        <f>HistoricalView!A52</f>
        <v xml:space="preserve">   Propane</v>
      </c>
      <c r="B29" s="325"/>
      <c r="C29" s="332">
        <v>0</v>
      </c>
      <c r="D29" s="332">
        <v>1</v>
      </c>
      <c r="E29" s="332">
        <v>0</v>
      </c>
      <c r="F29" s="329">
        <f>HistoricalView!AA52*C29</f>
        <v>0</v>
      </c>
      <c r="G29" s="329">
        <f>HistoricalView!AA52*D29</f>
        <v>2600</v>
      </c>
      <c r="H29" s="329">
        <f>E29*(Wages!F45-Wages!F41)</f>
        <v>0</v>
      </c>
      <c r="I29" s="329"/>
      <c r="J29" s="329">
        <f t="shared" si="2"/>
        <v>2600</v>
      </c>
      <c r="K29" s="9"/>
      <c r="L29" s="476"/>
    </row>
    <row r="30" spans="1:12" x14ac:dyDescent="0.25">
      <c r="A30" s="325" t="str">
        <f>HistoricalView!A53</f>
        <v xml:space="preserve">   Pumps &amp; Piping</v>
      </c>
      <c r="B30" s="325"/>
      <c r="C30" s="491">
        <v>0.8</v>
      </c>
      <c r="D30" s="491">
        <v>0.2</v>
      </c>
      <c r="E30" s="491"/>
      <c r="F30" s="329">
        <f>HistoricalView!AA53*C30</f>
        <v>120</v>
      </c>
      <c r="G30" s="329">
        <f>HistoricalView!AA53*D30</f>
        <v>30</v>
      </c>
      <c r="H30" s="329">
        <f>E30*(Wages!F46-Wages!F42)</f>
        <v>0</v>
      </c>
      <c r="I30" s="329"/>
      <c r="J30" s="329">
        <f t="shared" si="2"/>
        <v>150</v>
      </c>
      <c r="K30" s="9"/>
      <c r="L30" s="476"/>
    </row>
    <row r="31" spans="1:12" x14ac:dyDescent="0.25">
      <c r="A31" s="325" t="str">
        <f>HistoricalView!A54</f>
        <v xml:space="preserve">   Repairs &amp; Maintenance</v>
      </c>
      <c r="B31" s="325"/>
      <c r="C31" s="332">
        <v>0.2</v>
      </c>
      <c r="D31" s="332">
        <v>0.8</v>
      </c>
      <c r="E31" s="332"/>
      <c r="F31" s="329">
        <f>HistoricalView!AA54*C31</f>
        <v>5780</v>
      </c>
      <c r="G31" s="329">
        <f>HistoricalView!AA54*D31</f>
        <v>23120</v>
      </c>
      <c r="H31" s="329">
        <f>E31*(Wages!F47-Wages!F43)</f>
        <v>0</v>
      </c>
      <c r="I31" s="329"/>
      <c r="J31" s="329">
        <f t="shared" si="2"/>
        <v>28900</v>
      </c>
      <c r="K31" s="9"/>
      <c r="L31" s="476"/>
    </row>
    <row r="32" spans="1:12" x14ac:dyDescent="0.25">
      <c r="A32" s="325" t="str">
        <f>HistoricalView!A55</f>
        <v xml:space="preserve">   Seeds</v>
      </c>
      <c r="B32" s="325"/>
      <c r="C32" s="332">
        <v>0.7</v>
      </c>
      <c r="D32" s="332">
        <v>0.3</v>
      </c>
      <c r="E32" s="332"/>
      <c r="F32" s="329">
        <f>HistoricalView!AA55*C32</f>
        <v>1237.5999999999999</v>
      </c>
      <c r="G32" s="329">
        <f>HistoricalView!AA55*D32</f>
        <v>530.4</v>
      </c>
      <c r="H32" s="329">
        <f>E32*(Wages!F48-Wages!F44)</f>
        <v>0</v>
      </c>
      <c r="I32" s="329"/>
      <c r="J32" s="329">
        <f t="shared" si="2"/>
        <v>1768</v>
      </c>
      <c r="K32" s="9"/>
    </row>
    <row r="33" spans="1:12" x14ac:dyDescent="0.25">
      <c r="A33" s="325" t="str">
        <f>HistoricalView!A56</f>
        <v xml:space="preserve">      Seedlings</v>
      </c>
      <c r="B33" s="325"/>
      <c r="C33" s="332">
        <v>0.7</v>
      </c>
      <c r="D33" s="332">
        <v>0.3</v>
      </c>
      <c r="E33" s="332"/>
      <c r="F33" s="329">
        <f>HistoricalView!AA56*C33</f>
        <v>1400</v>
      </c>
      <c r="G33" s="329">
        <f>HistoricalView!AA56*D33</f>
        <v>600</v>
      </c>
      <c r="H33" s="329">
        <f>E33*(Wages!F49-Wages!F45)</f>
        <v>0</v>
      </c>
      <c r="I33" s="329"/>
      <c r="J33" s="329">
        <f t="shared" si="2"/>
        <v>2000</v>
      </c>
      <c r="K33" s="9"/>
    </row>
    <row r="34" spans="1:12" x14ac:dyDescent="0.25">
      <c r="A34" s="325" t="str">
        <f>HistoricalView!A57</f>
        <v xml:space="preserve">   Total Seeds</v>
      </c>
      <c r="B34" s="325"/>
      <c r="C34" s="332"/>
      <c r="D34" s="332"/>
      <c r="E34" s="332"/>
      <c r="F34" s="329"/>
      <c r="G34" s="329"/>
      <c r="H34" s="329">
        <f>E34*(Wages!F50-Wages!F46)</f>
        <v>0</v>
      </c>
      <c r="I34" s="329"/>
      <c r="J34" s="329"/>
      <c r="K34" s="9"/>
    </row>
    <row r="35" spans="1:12" x14ac:dyDescent="0.25">
      <c r="A35" s="325" t="str">
        <f>HistoricalView!A58</f>
        <v xml:space="preserve">   Telephone</v>
      </c>
      <c r="B35" s="325"/>
      <c r="C35" s="332">
        <v>0.5</v>
      </c>
      <c r="D35" s="332">
        <v>0.5</v>
      </c>
      <c r="E35" s="332"/>
      <c r="F35" s="329">
        <f>HistoricalView!AA58*C35</f>
        <v>90</v>
      </c>
      <c r="G35" s="329">
        <f>HistoricalView!AA58*D35</f>
        <v>90</v>
      </c>
      <c r="H35" s="329">
        <f>E35*(Wages!F51-Wages!F47)</f>
        <v>0</v>
      </c>
      <c r="I35" s="329"/>
      <c r="J35" s="329">
        <f t="shared" ref="J35" si="3">SUM(F35:I35)</f>
        <v>180</v>
      </c>
      <c r="K35" s="9"/>
      <c r="L35" s="325"/>
    </row>
    <row r="36" spans="1:12" x14ac:dyDescent="0.25">
      <c r="A36" s="325" t="str">
        <f>HistoricalView!A59</f>
        <v xml:space="preserve">      Internet</v>
      </c>
      <c r="B36" s="325"/>
      <c r="C36" s="332">
        <v>0.5</v>
      </c>
      <c r="D36" s="332">
        <f>100%-C36</f>
        <v>0.5</v>
      </c>
      <c r="E36" s="332">
        <v>0</v>
      </c>
      <c r="F36" s="329">
        <f>HistoricalView!AA59*C36</f>
        <v>702</v>
      </c>
      <c r="G36" s="329">
        <f>HistoricalView!AA59*D36</f>
        <v>702</v>
      </c>
      <c r="H36" s="329">
        <f>E36*(Wages!F52-Wages!F48)</f>
        <v>0</v>
      </c>
      <c r="I36" s="329"/>
      <c r="J36" s="329">
        <f t="shared" ref="J36" si="4">SUM(F36:I36)</f>
        <v>1404</v>
      </c>
      <c r="K36" s="9"/>
      <c r="L36" s="325"/>
    </row>
    <row r="37" spans="1:12" x14ac:dyDescent="0.25">
      <c r="A37" s="325"/>
      <c r="B37" s="325"/>
      <c r="C37" s="332"/>
      <c r="D37" s="332"/>
      <c r="E37" s="332"/>
      <c r="F37" s="329"/>
      <c r="G37" s="329"/>
      <c r="H37" s="329"/>
      <c r="I37" s="329"/>
      <c r="J37" s="329"/>
    </row>
    <row r="38" spans="1:12" s="1" customFormat="1" x14ac:dyDescent="0.25">
      <c r="A38" s="328" t="s">
        <v>174</v>
      </c>
      <c r="B38" s="328"/>
      <c r="C38" s="328"/>
      <c r="D38" s="328"/>
      <c r="E38" s="328"/>
      <c r="F38" s="331">
        <f>SUM(F13:F36)</f>
        <v>62722.3</v>
      </c>
      <c r="G38" s="331">
        <f>SUM(G13:G36)</f>
        <v>98317.9</v>
      </c>
      <c r="H38" s="331">
        <f>SUM(H13:H36)</f>
        <v>4492.8</v>
      </c>
      <c r="I38" s="331">
        <f>SUM(I13:I36)</f>
        <v>0</v>
      </c>
      <c r="J38" s="331">
        <f>SUM(J13:J36)</f>
        <v>165533</v>
      </c>
      <c r="L38" s="492" t="str">
        <f>IF(J38=Overview!F13," ","ERROR")</f>
        <v>ERROR</v>
      </c>
    </row>
    <row r="39" spans="1:12" s="1" customFormat="1" x14ac:dyDescent="0.25">
      <c r="A39" s="328"/>
      <c r="B39" s="328"/>
      <c r="C39" s="328"/>
      <c r="D39" s="328"/>
      <c r="E39" s="328"/>
      <c r="F39" s="331"/>
      <c r="G39" s="331"/>
      <c r="H39" s="331"/>
      <c r="I39" s="331"/>
      <c r="J39" s="331"/>
    </row>
    <row r="40" spans="1:12" s="1" customFormat="1" x14ac:dyDescent="0.25">
      <c r="A40" s="328" t="s">
        <v>483</v>
      </c>
      <c r="B40" s="328"/>
      <c r="C40" s="328"/>
      <c r="D40" s="328"/>
      <c r="E40" s="328"/>
      <c r="F40" s="331">
        <f ca="1">F10-F38</f>
        <v>-47499.25</v>
      </c>
      <c r="G40" s="331">
        <f ca="1">G10-G38</f>
        <v>-93721.42</v>
      </c>
      <c r="H40" s="331">
        <f ca="1">H10-H38</f>
        <v>-4492.8</v>
      </c>
      <c r="I40" s="331">
        <f>I10-I38</f>
        <v>457250</v>
      </c>
      <c r="J40" s="331">
        <f ca="1">J10-J38</f>
        <v>311536.52999999997</v>
      </c>
    </row>
    <row r="41" spans="1:12" s="1" customFormat="1" x14ac:dyDescent="0.25">
      <c r="A41" s="328" t="s">
        <v>493</v>
      </c>
      <c r="B41" s="328"/>
      <c r="C41" s="328"/>
      <c r="D41" s="328"/>
      <c r="E41" s="328"/>
      <c r="F41" s="331">
        <f ca="1">F40-F7</f>
        <v>-21089.75</v>
      </c>
      <c r="G41" s="331">
        <f ca="1">G40-G7</f>
        <v>-87990.22</v>
      </c>
      <c r="H41" s="331">
        <f ca="1">H40-H7</f>
        <v>3607.2</v>
      </c>
      <c r="I41" s="331">
        <f>I40-I7</f>
        <v>457250</v>
      </c>
      <c r="J41" s="331">
        <f ca="1">J40-J7</f>
        <v>351777.23</v>
      </c>
      <c r="K41" s="21"/>
    </row>
    <row r="42" spans="1:12" ht="7.7" customHeight="1" x14ac:dyDescent="0.25">
      <c r="A42" s="325"/>
      <c r="B42" s="325"/>
      <c r="C42" s="325"/>
      <c r="D42" s="325"/>
      <c r="E42" s="325"/>
      <c r="F42" s="329"/>
      <c r="G42" s="329"/>
      <c r="H42" s="329"/>
      <c r="I42" s="329"/>
      <c r="J42" s="329"/>
    </row>
    <row r="43" spans="1:12" x14ac:dyDescent="0.25">
      <c r="A43" s="328" t="s">
        <v>423</v>
      </c>
      <c r="B43" s="325"/>
      <c r="C43" s="325"/>
      <c r="D43" s="325"/>
      <c r="E43" s="325"/>
      <c r="F43" s="329"/>
      <c r="G43" s="329"/>
      <c r="H43" s="329"/>
      <c r="I43" s="329"/>
      <c r="J43" s="329"/>
    </row>
    <row r="44" spans="1:12" x14ac:dyDescent="0.25">
      <c r="A44" s="325" t="str">
        <f>Overview!B20</f>
        <v>Capital &amp; Improvements - required</v>
      </c>
      <c r="B44" s="325"/>
      <c r="C44" s="325"/>
      <c r="D44" s="458">
        <f ca="1">SUMIF(CapEx!$A$6:$F$33,"B",CapEx!$F$6:$F$33)</f>
        <v>0</v>
      </c>
      <c r="E44" s="325"/>
      <c r="F44" s="329">
        <f ca="1">SUMIF(CapEx!$A$6:$F$33,Geographic!C3,CapEx!$F$6:$F$33)+D44/2</f>
        <v>11000</v>
      </c>
      <c r="G44" s="329">
        <f ca="1">SUMIF(CapEx!$A$6:$F$33,Geographic!D3,CapEx!$F$6:$F$33)+D44/2</f>
        <v>1450</v>
      </c>
      <c r="H44" s="329"/>
      <c r="I44" s="329"/>
      <c r="J44" s="329">
        <f ca="1">SUM(F44:I44)</f>
        <v>12450</v>
      </c>
      <c r="L44" s="12"/>
    </row>
    <row r="45" spans="1:12" ht="7.7" customHeight="1" x14ac:dyDescent="0.25">
      <c r="A45" s="325"/>
      <c r="B45" s="325"/>
      <c r="C45" s="325"/>
      <c r="D45" s="325"/>
      <c r="E45" s="325"/>
      <c r="F45" s="329"/>
      <c r="G45" s="329"/>
      <c r="H45" s="329"/>
      <c r="I45" s="329"/>
      <c r="J45" s="329"/>
    </row>
    <row r="46" spans="1:12" s="1" customFormat="1" x14ac:dyDescent="0.25">
      <c r="A46" s="328" t="s">
        <v>490</v>
      </c>
      <c r="B46" s="328"/>
      <c r="C46" s="328"/>
      <c r="D46" s="328"/>
      <c r="E46" s="328"/>
      <c r="F46" s="331">
        <f ca="1">F41-F44-F51</f>
        <v>-37089.75</v>
      </c>
      <c r="G46" s="331">
        <f ca="1">G41-G44-G51</f>
        <v>-90190.22</v>
      </c>
      <c r="H46" s="331">
        <f ca="1">H41-H44-H51</f>
        <v>3607.2</v>
      </c>
      <c r="I46" s="331">
        <f>I41-I44-I51</f>
        <v>457250</v>
      </c>
      <c r="J46" s="331">
        <f ca="1">J41-J44</f>
        <v>339327.23</v>
      </c>
    </row>
    <row r="47" spans="1:12" s="1" customFormat="1" x14ac:dyDescent="0.25">
      <c r="A47" s="328"/>
      <c r="B47" s="328"/>
      <c r="C47" s="328"/>
      <c r="D47" s="328"/>
      <c r="E47" s="328"/>
      <c r="F47" s="331"/>
      <c r="G47" s="331"/>
      <c r="H47" s="331"/>
      <c r="I47" s="331"/>
      <c r="J47" s="331"/>
    </row>
    <row r="48" spans="1:12" s="1" customFormat="1" x14ac:dyDescent="0.25">
      <c r="A48" s="328" t="s">
        <v>486</v>
      </c>
      <c r="B48" s="328"/>
      <c r="C48" s="328"/>
      <c r="D48" s="328"/>
      <c r="E48" s="328"/>
      <c r="F48" s="331"/>
      <c r="G48" s="331"/>
      <c r="H48" s="331"/>
      <c r="I48" s="331"/>
      <c r="J48" s="331"/>
    </row>
    <row r="49" spans="1:12" s="7" customFormat="1" x14ac:dyDescent="0.25">
      <c r="A49" s="325"/>
      <c r="B49" s="325" t="s">
        <v>487</v>
      </c>
      <c r="C49" s="325"/>
      <c r="D49" s="325"/>
      <c r="E49" s="325"/>
      <c r="F49" s="329"/>
      <c r="G49" s="329"/>
      <c r="H49" s="329"/>
      <c r="I49" s="329"/>
      <c r="J49" s="329">
        <f>Overview!F14+Overview!F16</f>
        <v>299163.07170104003</v>
      </c>
    </row>
    <row r="50" spans="1:12" s="7" customFormat="1" x14ac:dyDescent="0.25">
      <c r="A50" s="325"/>
      <c r="B50" s="325" t="s">
        <v>494</v>
      </c>
      <c r="C50" s="325"/>
      <c r="D50" s="325"/>
      <c r="E50" s="325"/>
      <c r="F50" s="329"/>
      <c r="G50" s="329"/>
      <c r="H50" s="329"/>
      <c r="I50" s="329"/>
      <c r="J50" s="329">
        <f ca="1">-J7</f>
        <v>40240.699999999997</v>
      </c>
    </row>
    <row r="51" spans="1:12" x14ac:dyDescent="0.25">
      <c r="A51" s="325" t="str">
        <f>Overview!B21</f>
        <v>Capital &amp; Improvements - other</v>
      </c>
      <c r="B51" s="325"/>
      <c r="C51" s="325"/>
      <c r="D51" s="333">
        <f ca="1">SUMIF(CapEx!$A$6:$E$33,"B",CapEx!$E$6:$E$33)</f>
        <v>0</v>
      </c>
      <c r="E51" s="325"/>
      <c r="F51" s="329">
        <f ca="1">SUMIF(CapEx!$A$6:$E$33,Geographic!C3,CapEx!$E$6:$E$33)+D51/2</f>
        <v>5000</v>
      </c>
      <c r="G51" s="329">
        <f ca="1">SUMIF(CapEx!$A$6:$E$33,Geographic!D3,CapEx!$E$6:$E$33)+D51/2</f>
        <v>750</v>
      </c>
      <c r="H51" s="329"/>
      <c r="I51" s="329"/>
      <c r="J51" s="329">
        <f ca="1">SUM(F51:I51)</f>
        <v>5750</v>
      </c>
    </row>
    <row r="52" spans="1:12" s="7" customFormat="1" x14ac:dyDescent="0.25">
      <c r="A52" s="325"/>
      <c r="B52" s="325" t="s">
        <v>488</v>
      </c>
      <c r="C52" s="325"/>
      <c r="D52" s="325"/>
      <c r="E52" s="325"/>
      <c r="F52" s="329"/>
      <c r="G52" s="329"/>
      <c r="H52" s="329"/>
      <c r="I52" s="329"/>
      <c r="J52" s="329">
        <f ca="1">J46-J49-J50-J51</f>
        <v>-5826.5417010400415</v>
      </c>
    </row>
    <row r="53" spans="1:12" s="1" customFormat="1" x14ac:dyDescent="0.25">
      <c r="A53" s="328"/>
      <c r="B53" s="328" t="s">
        <v>1157</v>
      </c>
      <c r="C53" s="328"/>
      <c r="D53" s="328"/>
      <c r="E53" s="328"/>
      <c r="F53" s="331"/>
      <c r="G53" s="331"/>
      <c r="H53" s="331"/>
      <c r="I53" s="331"/>
      <c r="J53" s="331">
        <f>Overview!F24</f>
        <v>30827.25829895999</v>
      </c>
      <c r="K53" s="21"/>
      <c r="L53" s="506" t="str">
        <f ca="1">IF((ABS(J52)-ABS(J53))&gt;1,"ERROR","  ")</f>
        <v xml:space="preserve">  </v>
      </c>
    </row>
    <row r="54" spans="1:12" x14ac:dyDescent="0.25">
      <c r="F54" s="324"/>
      <c r="G54" s="9"/>
      <c r="H54" s="9"/>
      <c r="I54" s="9"/>
      <c r="J54" s="9"/>
    </row>
    <row r="55" spans="1:12" x14ac:dyDescent="0.25">
      <c r="A55" s="24" t="s">
        <v>501</v>
      </c>
      <c r="F55" s="9"/>
      <c r="G55" s="9"/>
      <c r="H55" s="9"/>
      <c r="I55" s="9"/>
      <c r="J55" s="505">
        <f ca="1">J53-J52</f>
        <v>36653.800000000032</v>
      </c>
    </row>
    <row r="56" spans="1:12" x14ac:dyDescent="0.25">
      <c r="F56" s="9"/>
      <c r="G56" s="9"/>
      <c r="H56" s="9"/>
      <c r="I56" s="9"/>
      <c r="J56" s="9"/>
    </row>
    <row r="57" spans="1:12" x14ac:dyDescent="0.25">
      <c r="F57" s="9"/>
      <c r="G57" s="9"/>
      <c r="H57" s="9"/>
      <c r="I57" s="9"/>
      <c r="J57" s="9"/>
    </row>
    <row r="58" spans="1:12" x14ac:dyDescent="0.25">
      <c r="F58" s="9"/>
      <c r="G58" s="9"/>
      <c r="H58" s="9"/>
      <c r="I58" s="9"/>
      <c r="J58" s="9"/>
    </row>
    <row r="59" spans="1:12" x14ac:dyDescent="0.25">
      <c r="F59" s="9"/>
      <c r="G59" s="9"/>
      <c r="H59" s="9"/>
      <c r="I59" s="9"/>
      <c r="J59" s="9"/>
    </row>
    <row r="60" spans="1:12" x14ac:dyDescent="0.25">
      <c r="F60" s="9"/>
      <c r="G60" s="9"/>
      <c r="H60" s="9"/>
      <c r="I60" s="9"/>
      <c r="J60" s="9"/>
    </row>
    <row r="61" spans="1:12" x14ac:dyDescent="0.25">
      <c r="F61" s="9"/>
      <c r="G61" s="9"/>
      <c r="H61" s="9"/>
      <c r="I61" s="9"/>
      <c r="J61" s="9"/>
    </row>
    <row r="62" spans="1:12" x14ac:dyDescent="0.25">
      <c r="F62" s="9"/>
      <c r="G62" s="9"/>
      <c r="H62" s="9"/>
      <c r="I62" s="9"/>
      <c r="J62" s="9"/>
    </row>
  </sheetData>
  <mergeCells count="2">
    <mergeCell ref="C2:E2"/>
    <mergeCell ref="A1:J1"/>
  </mergeCells>
  <printOptions horizontalCentered="1"/>
  <pageMargins left="0.5" right="0.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4" zoomScale="181" workbookViewId="0">
      <selection activeCell="E6" sqref="E6"/>
    </sheetView>
  </sheetViews>
  <sheetFormatPr defaultRowHeight="15.75" x14ac:dyDescent="0.25"/>
  <cols>
    <col min="1" max="1" width="20.125" customWidth="1"/>
    <col min="3" max="3" width="11.125" bestFit="1" customWidth="1"/>
    <col min="9" max="9" width="12.125" bestFit="1" customWidth="1"/>
    <col min="10" max="10" width="10.125" bestFit="1" customWidth="1"/>
    <col min="12" max="13" width="11.125" bestFit="1" customWidth="1"/>
  </cols>
  <sheetData>
    <row r="1" spans="1:13" ht="60" customHeight="1" x14ac:dyDescent="0.25"/>
    <row r="2" spans="1:13" ht="15" customHeight="1" x14ac:dyDescent="0.25">
      <c r="A2" s="547" t="s">
        <v>1319</v>
      </c>
      <c r="B2" s="547"/>
      <c r="C2" s="547"/>
      <c r="D2" s="547"/>
      <c r="E2" s="547"/>
      <c r="F2" s="547"/>
      <c r="L2" t="s">
        <v>1313</v>
      </c>
      <c r="M2" t="s">
        <v>1312</v>
      </c>
    </row>
    <row r="3" spans="1:13" ht="57" customHeight="1" x14ac:dyDescent="0.25">
      <c r="A3" t="s">
        <v>1303</v>
      </c>
      <c r="C3" s="9">
        <v>8500</v>
      </c>
      <c r="D3" t="s">
        <v>1310</v>
      </c>
      <c r="I3" t="s">
        <v>1311</v>
      </c>
      <c r="L3" s="509">
        <f>40000</f>
        <v>40000</v>
      </c>
      <c r="M3" s="509">
        <f>SUM(Revenue!C7:C39)</f>
        <v>73260</v>
      </c>
    </row>
    <row r="4" spans="1:13" x14ac:dyDescent="0.25">
      <c r="A4" t="s">
        <v>1306</v>
      </c>
      <c r="C4" s="9">
        <f>1250*8</f>
        <v>10000</v>
      </c>
      <c r="D4" t="s">
        <v>1307</v>
      </c>
      <c r="L4" s="12">
        <f>C3/50%</f>
        <v>17000</v>
      </c>
      <c r="M4" s="6">
        <f>Revenue!G41/50%</f>
        <v>44043.4</v>
      </c>
    </row>
    <row r="5" spans="1:13" ht="18" x14ac:dyDescent="0.4">
      <c r="A5" t="s">
        <v>1297</v>
      </c>
      <c r="C5" s="531">
        <f>1875*8</f>
        <v>15000</v>
      </c>
      <c r="D5" t="s">
        <v>1308</v>
      </c>
      <c r="L5">
        <f>L4/L3</f>
        <v>0.42499999999999999</v>
      </c>
      <c r="M5">
        <f>M4/M3</f>
        <v>0.60119301119301116</v>
      </c>
    </row>
    <row r="6" spans="1:13" x14ac:dyDescent="0.25">
      <c r="A6" t="s">
        <v>156</v>
      </c>
      <c r="C6" s="9">
        <f>SUM(C3:C5)</f>
        <v>33500</v>
      </c>
    </row>
    <row r="8" spans="1:13" x14ac:dyDescent="0.25">
      <c r="A8" t="s">
        <v>1291</v>
      </c>
      <c r="C8" s="509">
        <f>-1560*15</f>
        <v>-23400</v>
      </c>
      <c r="D8" t="s">
        <v>1317</v>
      </c>
      <c r="G8" t="s">
        <v>1318</v>
      </c>
      <c r="I8" s="6"/>
      <c r="J8" s="11"/>
    </row>
    <row r="9" spans="1:13" x14ac:dyDescent="0.25">
      <c r="A9" t="s">
        <v>526</v>
      </c>
      <c r="C9" s="509">
        <f>-9*Wages!E19*2*3*8</f>
        <v>-5184</v>
      </c>
      <c r="D9" s="24"/>
    </row>
    <row r="10" spans="1:13" x14ac:dyDescent="0.25">
      <c r="A10" t="s">
        <v>1299</v>
      </c>
      <c r="C10" s="509">
        <v>-3000</v>
      </c>
      <c r="D10" s="24"/>
    </row>
    <row r="11" spans="1:13" x14ac:dyDescent="0.25">
      <c r="A11" t="s">
        <v>1300</v>
      </c>
      <c r="C11" s="509">
        <v>-1500</v>
      </c>
      <c r="D11" s="24"/>
    </row>
    <row r="12" spans="1:13" x14ac:dyDescent="0.25">
      <c r="A12" t="s">
        <v>1301</v>
      </c>
      <c r="C12" s="509">
        <v>-1000</v>
      </c>
      <c r="D12" s="24"/>
    </row>
    <row r="13" spans="1:13" ht="18" x14ac:dyDescent="0.4">
      <c r="A13" t="s">
        <v>497</v>
      </c>
      <c r="C13" s="531">
        <v>-2500</v>
      </c>
      <c r="D13" s="24"/>
    </row>
    <row r="14" spans="1:13" x14ac:dyDescent="0.25">
      <c r="A14" t="s">
        <v>1302</v>
      </c>
      <c r="C14" s="532">
        <f>SUM(C6:C13)</f>
        <v>-3084</v>
      </c>
    </row>
    <row r="15" spans="1:13" ht="18" x14ac:dyDescent="0.4">
      <c r="A15" t="s">
        <v>1304</v>
      </c>
      <c r="C15" s="530">
        <f>Wages!F26+Wages!F27+Wages!F28</f>
        <v>3456</v>
      </c>
    </row>
    <row r="16" spans="1:13" x14ac:dyDescent="0.25">
      <c r="A16" t="s">
        <v>1305</v>
      </c>
      <c r="C16" s="532">
        <f>C14+C15</f>
        <v>372</v>
      </c>
    </row>
    <row r="18" spans="1:3" x14ac:dyDescent="0.25">
      <c r="A18" t="s">
        <v>1320</v>
      </c>
    </row>
    <row r="20" spans="1:3" x14ac:dyDescent="0.25">
      <c r="A20" t="s">
        <v>1309</v>
      </c>
      <c r="C20" s="9">
        <v>5000</v>
      </c>
    </row>
    <row r="23" spans="1:3" x14ac:dyDescent="0.25">
      <c r="A23" t="s">
        <v>1298</v>
      </c>
    </row>
    <row r="24" spans="1:3" x14ac:dyDescent="0.25">
      <c r="B24" s="6">
        <v>12</v>
      </c>
      <c r="C24" t="s">
        <v>1292</v>
      </c>
    </row>
    <row r="25" spans="1:3" x14ac:dyDescent="0.25">
      <c r="B25">
        <v>2</v>
      </c>
      <c r="C25" t="s">
        <v>1293</v>
      </c>
    </row>
    <row r="26" spans="1:3" x14ac:dyDescent="0.25">
      <c r="B26">
        <v>8</v>
      </c>
      <c r="C26" t="s">
        <v>1295</v>
      </c>
    </row>
    <row r="27" spans="1:3" x14ac:dyDescent="0.25">
      <c r="B27">
        <v>3</v>
      </c>
      <c r="C27" t="s">
        <v>1294</v>
      </c>
    </row>
    <row r="28" spans="1:3" x14ac:dyDescent="0.25">
      <c r="B28">
        <v>9</v>
      </c>
      <c r="C28" t="s">
        <v>1296</v>
      </c>
    </row>
    <row r="29" spans="1:3" x14ac:dyDescent="0.25">
      <c r="B29" s="49">
        <f>B24*B25*B26*B27*B28</f>
        <v>5184</v>
      </c>
    </row>
  </sheetData>
  <mergeCells count="1">
    <mergeCell ref="A2:F2"/>
  </mergeCells>
  <printOptions horizontalCentered="1"/>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V47"/>
  <sheetViews>
    <sheetView zoomScale="93" workbookViewId="0">
      <selection activeCell="A19" sqref="A19:G19"/>
    </sheetView>
  </sheetViews>
  <sheetFormatPr defaultColWidth="11" defaultRowHeight="15.75" outlineLevelRow="1" x14ac:dyDescent="0.25"/>
  <cols>
    <col min="1" max="1" width="8.125" customWidth="1"/>
    <col min="2" max="2" width="29" customWidth="1"/>
    <col min="3" max="3" width="12.25" customWidth="1"/>
    <col min="4" max="4" width="6.125" customWidth="1"/>
    <col min="5" max="5" width="12.375" customWidth="1"/>
    <col min="6" max="6" width="11.625" bestFit="1" customWidth="1"/>
    <col min="8" max="8" width="11.375" customWidth="1"/>
  </cols>
  <sheetData>
    <row r="1" spans="1:22" ht="59.45" customHeight="1" x14ac:dyDescent="0.35">
      <c r="A1" s="358"/>
      <c r="B1" s="358"/>
      <c r="C1" s="358"/>
      <c r="D1" s="358"/>
      <c r="E1" s="358"/>
      <c r="F1" s="358"/>
    </row>
    <row r="2" spans="1:22" ht="23.25" hidden="1" outlineLevel="1" x14ac:dyDescent="0.35">
      <c r="A2" s="345"/>
      <c r="B2" s="544" t="s">
        <v>19</v>
      </c>
      <c r="C2" s="544"/>
      <c r="D2" s="544"/>
      <c r="E2" s="544"/>
      <c r="F2" s="544"/>
    </row>
    <row r="3" spans="1:22" ht="23.25" collapsed="1" x14ac:dyDescent="0.35">
      <c r="A3" s="51"/>
      <c r="B3" s="544" t="s">
        <v>509</v>
      </c>
      <c r="C3" s="544"/>
      <c r="D3" s="544"/>
      <c r="E3" s="544"/>
      <c r="F3" s="544"/>
    </row>
    <row r="4" spans="1:22" x14ac:dyDescent="0.25">
      <c r="A4" t="s">
        <v>1288</v>
      </c>
    </row>
    <row r="5" spans="1:22" x14ac:dyDescent="0.25">
      <c r="A5" s="1" t="s">
        <v>28</v>
      </c>
      <c r="C5" s="3" t="s">
        <v>26</v>
      </c>
      <c r="E5" s="3" t="s">
        <v>1158</v>
      </c>
      <c r="F5" s="3" t="s">
        <v>77</v>
      </c>
      <c r="G5" s="31" t="s">
        <v>78</v>
      </c>
      <c r="H5" s="31" t="s">
        <v>79</v>
      </c>
      <c r="I5" s="31" t="s">
        <v>80</v>
      </c>
      <c r="J5" s="31" t="s">
        <v>81</v>
      </c>
      <c r="K5" s="31" t="s">
        <v>82</v>
      </c>
      <c r="L5" s="31" t="s">
        <v>83</v>
      </c>
      <c r="M5" s="31" t="s">
        <v>84</v>
      </c>
      <c r="N5" s="31" t="s">
        <v>85</v>
      </c>
      <c r="O5" s="31" t="s">
        <v>86</v>
      </c>
      <c r="P5" s="31" t="s">
        <v>87</v>
      </c>
      <c r="Q5" s="31" t="s">
        <v>88</v>
      </c>
      <c r="R5" s="31" t="s">
        <v>89</v>
      </c>
      <c r="S5" s="31" t="s">
        <v>26</v>
      </c>
    </row>
    <row r="6" spans="1:22" x14ac:dyDescent="0.25">
      <c r="A6" s="527" t="s">
        <v>109</v>
      </c>
      <c r="B6" s="462" t="s">
        <v>1232</v>
      </c>
      <c r="C6" s="460">
        <v>750</v>
      </c>
      <c r="D6" s="513" t="s">
        <v>1160</v>
      </c>
      <c r="E6" s="461"/>
      <c r="F6" s="461">
        <v>750</v>
      </c>
      <c r="G6" s="449"/>
      <c r="H6" s="449">
        <v>750</v>
      </c>
      <c r="I6" s="449"/>
      <c r="J6" s="449"/>
      <c r="K6" s="450"/>
      <c r="L6" s="450"/>
      <c r="M6" s="450"/>
      <c r="N6" s="450"/>
      <c r="O6" s="450"/>
      <c r="P6" s="450"/>
      <c r="Q6" s="9"/>
      <c r="R6" s="9"/>
      <c r="S6" s="12">
        <f t="shared" ref="S6:S33" si="0">SUM(G6:R6)</f>
        <v>750</v>
      </c>
      <c r="T6" s="32">
        <f>SUM(G6:R6)-C6</f>
        <v>0</v>
      </c>
      <c r="U6" s="12">
        <f>C6-SUM(E6:F6)</f>
        <v>0</v>
      </c>
      <c r="V6" s="12">
        <f>C6-SUM(G6:R6)</f>
        <v>0</v>
      </c>
    </row>
    <row r="7" spans="1:22" x14ac:dyDescent="0.25">
      <c r="A7" s="527" t="s">
        <v>110</v>
      </c>
      <c r="B7" s="462" t="s">
        <v>1232</v>
      </c>
      <c r="C7" s="460">
        <v>750</v>
      </c>
      <c r="D7" s="513" t="s">
        <v>1159</v>
      </c>
      <c r="E7" s="461">
        <v>750</v>
      </c>
      <c r="F7" s="461"/>
      <c r="G7" s="449"/>
      <c r="H7" s="449"/>
      <c r="I7" s="449">
        <v>750</v>
      </c>
      <c r="J7" s="449"/>
      <c r="K7" s="450"/>
      <c r="L7" s="450"/>
      <c r="M7" s="450"/>
      <c r="N7" s="450"/>
      <c r="O7" s="450"/>
      <c r="P7" s="450"/>
      <c r="Q7" s="9"/>
      <c r="R7" s="9"/>
      <c r="S7" s="12">
        <f t="shared" si="0"/>
        <v>750</v>
      </c>
      <c r="T7" s="32">
        <f t="shared" ref="T7:T28" si="1">SUM(G7:R7)-C7</f>
        <v>0</v>
      </c>
      <c r="U7" s="12">
        <f t="shared" ref="U7:U34" si="2">C7-SUM(E7:F7)</f>
        <v>0</v>
      </c>
      <c r="V7" s="12">
        <f t="shared" ref="V7:V34" si="3">C7-SUM(G7:R7)</f>
        <v>0</v>
      </c>
    </row>
    <row r="8" spans="1:22" hidden="1" outlineLevel="1" x14ac:dyDescent="0.25">
      <c r="A8" s="527" t="s">
        <v>110</v>
      </c>
      <c r="B8" s="462" t="s">
        <v>1233</v>
      </c>
      <c r="C8" s="460"/>
      <c r="D8" s="513"/>
      <c r="E8" s="461"/>
      <c r="F8" s="461"/>
      <c r="G8" s="449"/>
      <c r="H8" s="449"/>
      <c r="I8" s="449"/>
      <c r="J8" s="449"/>
      <c r="K8" s="450"/>
      <c r="L8" s="450"/>
      <c r="M8" s="450"/>
      <c r="N8" s="450"/>
      <c r="O8" s="450"/>
      <c r="P8" s="450"/>
      <c r="Q8" s="9"/>
      <c r="R8" s="9"/>
      <c r="S8" s="12">
        <f t="shared" si="0"/>
        <v>0</v>
      </c>
      <c r="T8" s="32">
        <f t="shared" si="1"/>
        <v>0</v>
      </c>
      <c r="U8" s="12">
        <f t="shared" si="2"/>
        <v>0</v>
      </c>
      <c r="V8" s="12">
        <f t="shared" si="3"/>
        <v>0</v>
      </c>
    </row>
    <row r="9" spans="1:22" hidden="1" outlineLevel="1" x14ac:dyDescent="0.25">
      <c r="A9" s="527" t="s">
        <v>110</v>
      </c>
      <c r="B9" s="462" t="s">
        <v>1234</v>
      </c>
      <c r="C9" s="460"/>
      <c r="D9" s="513"/>
      <c r="E9" s="461"/>
      <c r="F9" s="461"/>
      <c r="G9" s="449"/>
      <c r="I9" s="449"/>
      <c r="J9" s="449"/>
      <c r="K9" s="450"/>
      <c r="L9" s="450"/>
      <c r="M9" s="450"/>
      <c r="N9" s="450"/>
      <c r="O9" s="450"/>
      <c r="P9" s="450"/>
      <c r="Q9" s="9"/>
      <c r="R9" s="9"/>
      <c r="S9" s="12">
        <f t="shared" si="0"/>
        <v>0</v>
      </c>
      <c r="T9" s="32">
        <f t="shared" si="1"/>
        <v>0</v>
      </c>
      <c r="U9" s="12">
        <f t="shared" si="2"/>
        <v>0</v>
      </c>
      <c r="V9" s="12">
        <f t="shared" si="3"/>
        <v>0</v>
      </c>
    </row>
    <row r="10" spans="1:22" hidden="1" outlineLevel="1" x14ac:dyDescent="0.25">
      <c r="A10" s="527" t="s">
        <v>110</v>
      </c>
      <c r="B10" s="462" t="s">
        <v>1235</v>
      </c>
      <c r="C10" s="460"/>
      <c r="D10" s="513"/>
      <c r="E10" s="461"/>
      <c r="F10" s="461"/>
      <c r="G10" s="449"/>
      <c r="H10" s="449"/>
      <c r="I10" s="449"/>
      <c r="J10" s="449"/>
      <c r="K10" s="450"/>
      <c r="L10" s="450"/>
      <c r="M10" s="450"/>
      <c r="N10" s="450"/>
      <c r="O10" s="450"/>
      <c r="P10" s="450"/>
      <c r="Q10" s="9"/>
      <c r="R10" s="9"/>
      <c r="S10" s="12">
        <f t="shared" si="0"/>
        <v>0</v>
      </c>
      <c r="T10" s="32">
        <f t="shared" si="1"/>
        <v>0</v>
      </c>
      <c r="U10" s="12">
        <f t="shared" si="2"/>
        <v>0</v>
      </c>
      <c r="V10" s="12">
        <f t="shared" si="3"/>
        <v>0</v>
      </c>
    </row>
    <row r="11" spans="1:22" collapsed="1" x14ac:dyDescent="0.25">
      <c r="A11" s="527" t="s">
        <v>109</v>
      </c>
      <c r="B11" s="462" t="s">
        <v>1236</v>
      </c>
      <c r="C11" s="460">
        <v>750</v>
      </c>
      <c r="D11" s="513" t="s">
        <v>1159</v>
      </c>
      <c r="E11" s="461">
        <v>0</v>
      </c>
      <c r="F11" s="461">
        <v>750</v>
      </c>
      <c r="G11" s="449"/>
      <c r="H11" s="449"/>
      <c r="I11" s="449"/>
      <c r="J11" s="449"/>
      <c r="K11" s="450"/>
      <c r="L11" s="450"/>
      <c r="M11" s="450"/>
      <c r="N11" s="450"/>
      <c r="O11" s="450"/>
      <c r="P11" s="450">
        <v>750</v>
      </c>
      <c r="Q11" s="9"/>
      <c r="R11" s="9"/>
      <c r="S11" s="12">
        <f t="shared" si="0"/>
        <v>750</v>
      </c>
      <c r="T11" s="32">
        <f t="shared" si="1"/>
        <v>0</v>
      </c>
      <c r="U11" s="12">
        <f t="shared" si="2"/>
        <v>0</v>
      </c>
      <c r="V11" s="12">
        <f t="shared" si="3"/>
        <v>0</v>
      </c>
    </row>
    <row r="12" spans="1:22" x14ac:dyDescent="0.25">
      <c r="A12" s="527" t="s">
        <v>109</v>
      </c>
      <c r="B12" s="462" t="s">
        <v>1237</v>
      </c>
      <c r="C12" s="460">
        <v>1000</v>
      </c>
      <c r="D12" s="513" t="s">
        <v>1159</v>
      </c>
      <c r="E12" s="461">
        <v>0</v>
      </c>
      <c r="F12" s="461">
        <v>1000</v>
      </c>
      <c r="G12" s="449"/>
      <c r="H12" s="449">
        <v>1000</v>
      </c>
      <c r="I12" s="449"/>
      <c r="J12" s="450"/>
      <c r="K12" s="450"/>
      <c r="L12" s="450"/>
      <c r="M12" s="450"/>
      <c r="N12" s="450"/>
      <c r="O12" s="450"/>
      <c r="P12" s="450"/>
      <c r="Q12" s="9"/>
      <c r="R12" s="9"/>
      <c r="S12" s="12">
        <f t="shared" si="0"/>
        <v>1000</v>
      </c>
      <c r="T12" s="32">
        <f t="shared" si="1"/>
        <v>0</v>
      </c>
      <c r="U12" s="12">
        <f t="shared" si="2"/>
        <v>0</v>
      </c>
      <c r="V12" s="12">
        <f t="shared" si="3"/>
        <v>0</v>
      </c>
    </row>
    <row r="13" spans="1:22" x14ac:dyDescent="0.25">
      <c r="A13" s="527" t="s">
        <v>109</v>
      </c>
      <c r="B13" s="462" t="s">
        <v>1238</v>
      </c>
      <c r="C13" s="460">
        <v>5000</v>
      </c>
      <c r="D13" s="513" t="s">
        <v>1159</v>
      </c>
      <c r="E13" s="461">
        <v>0</v>
      </c>
      <c r="F13" s="461">
        <v>5000</v>
      </c>
      <c r="G13" s="449"/>
      <c r="H13" s="449">
        <v>5000</v>
      </c>
      <c r="I13" s="449"/>
      <c r="J13" s="450"/>
      <c r="K13" s="450"/>
      <c r="L13" s="450"/>
      <c r="M13" s="450"/>
      <c r="N13" s="450"/>
      <c r="O13" s="450"/>
      <c r="P13" s="450"/>
      <c r="Q13" s="9"/>
      <c r="R13" s="9"/>
      <c r="S13" s="12">
        <f t="shared" si="0"/>
        <v>5000</v>
      </c>
      <c r="T13" s="32">
        <f t="shared" si="1"/>
        <v>0</v>
      </c>
      <c r="U13" s="12">
        <f t="shared" si="2"/>
        <v>0</v>
      </c>
      <c r="V13" s="12">
        <f t="shared" si="3"/>
        <v>0</v>
      </c>
    </row>
    <row r="14" spans="1:22" x14ac:dyDescent="0.25">
      <c r="A14" s="527" t="s">
        <v>109</v>
      </c>
      <c r="B14" s="462" t="s">
        <v>1239</v>
      </c>
      <c r="C14" s="460">
        <v>2500</v>
      </c>
      <c r="D14" s="513" t="s">
        <v>1159</v>
      </c>
      <c r="E14" s="461">
        <v>0</v>
      </c>
      <c r="F14" s="461">
        <v>2500</v>
      </c>
      <c r="G14" s="449"/>
      <c r="H14" s="449"/>
      <c r="I14" s="449">
        <v>2500</v>
      </c>
      <c r="J14" s="450"/>
      <c r="K14" s="450"/>
      <c r="L14" s="450"/>
      <c r="M14" s="450"/>
      <c r="N14" s="450"/>
      <c r="O14" s="450"/>
      <c r="P14" s="450"/>
      <c r="Q14" s="9"/>
      <c r="R14" s="9"/>
      <c r="S14" s="12">
        <f t="shared" si="0"/>
        <v>2500</v>
      </c>
      <c r="T14" s="32">
        <f t="shared" si="1"/>
        <v>0</v>
      </c>
      <c r="U14" s="12">
        <f t="shared" si="2"/>
        <v>0</v>
      </c>
      <c r="V14" s="12">
        <f t="shared" si="3"/>
        <v>0</v>
      </c>
    </row>
    <row r="15" spans="1:22" hidden="1" outlineLevel="1" x14ac:dyDescent="0.25">
      <c r="A15" s="527" t="s">
        <v>109</v>
      </c>
      <c r="B15" s="462" t="s">
        <v>1276</v>
      </c>
      <c r="C15" s="460"/>
      <c r="D15" s="513"/>
      <c r="E15" s="461"/>
      <c r="F15" s="461"/>
      <c r="G15" s="449"/>
      <c r="H15" s="449"/>
      <c r="I15" s="449"/>
      <c r="J15" s="450"/>
      <c r="K15" s="450"/>
      <c r="L15" s="450"/>
      <c r="M15" s="450"/>
      <c r="N15" s="450"/>
      <c r="O15" s="450"/>
      <c r="P15" s="450"/>
      <c r="Q15" s="9"/>
      <c r="R15" s="9"/>
      <c r="S15" s="12">
        <f t="shared" si="0"/>
        <v>0</v>
      </c>
      <c r="T15" s="32">
        <f t="shared" si="1"/>
        <v>0</v>
      </c>
      <c r="U15" s="12">
        <f t="shared" si="2"/>
        <v>0</v>
      </c>
      <c r="V15" s="12">
        <f t="shared" si="3"/>
        <v>0</v>
      </c>
    </row>
    <row r="16" spans="1:22" hidden="1" outlineLevel="1" x14ac:dyDescent="0.25">
      <c r="A16" s="527" t="s">
        <v>110</v>
      </c>
      <c r="B16" s="462" t="s">
        <v>1240</v>
      </c>
      <c r="C16" s="460"/>
      <c r="D16" s="513"/>
      <c r="E16" s="461"/>
      <c r="F16" s="461"/>
      <c r="G16" s="450"/>
      <c r="H16" s="450"/>
      <c r="I16" s="450"/>
      <c r="J16" s="450"/>
      <c r="K16" s="450"/>
      <c r="L16" s="450"/>
      <c r="M16" s="450"/>
      <c r="N16" s="450"/>
      <c r="O16" s="450"/>
      <c r="P16" s="450"/>
      <c r="Q16" s="9"/>
      <c r="R16" s="9"/>
      <c r="S16" s="12">
        <f t="shared" si="0"/>
        <v>0</v>
      </c>
      <c r="T16" s="32">
        <f t="shared" si="1"/>
        <v>0</v>
      </c>
      <c r="U16" s="12">
        <f t="shared" si="2"/>
        <v>0</v>
      </c>
      <c r="V16" s="12">
        <f t="shared" si="3"/>
        <v>0</v>
      </c>
    </row>
    <row r="17" spans="1:22" hidden="1" outlineLevel="1" x14ac:dyDescent="0.25">
      <c r="A17" s="527" t="s">
        <v>109</v>
      </c>
      <c r="B17" s="462" t="s">
        <v>1241</v>
      </c>
      <c r="C17" s="460"/>
      <c r="D17" s="513"/>
      <c r="E17" s="461"/>
      <c r="F17" s="461"/>
      <c r="G17" s="450"/>
      <c r="H17" s="450"/>
      <c r="I17" s="450"/>
      <c r="J17" s="450"/>
      <c r="K17" s="450"/>
      <c r="L17" s="450"/>
      <c r="M17" s="450"/>
      <c r="N17" s="450"/>
      <c r="O17" s="450"/>
      <c r="P17" s="450"/>
      <c r="Q17" s="9"/>
      <c r="R17" s="9"/>
      <c r="S17" s="12">
        <f t="shared" si="0"/>
        <v>0</v>
      </c>
      <c r="T17" s="32">
        <f t="shared" si="1"/>
        <v>0</v>
      </c>
      <c r="U17" s="12">
        <f t="shared" si="2"/>
        <v>0</v>
      </c>
      <c r="V17" s="12">
        <f t="shared" si="3"/>
        <v>0</v>
      </c>
    </row>
    <row r="18" spans="1:22" collapsed="1" x14ac:dyDescent="0.25">
      <c r="A18" s="527" t="s">
        <v>109</v>
      </c>
      <c r="B18" s="462" t="s">
        <v>1242</v>
      </c>
      <c r="C18" s="460">
        <v>1000</v>
      </c>
      <c r="D18" s="513" t="s">
        <v>1159</v>
      </c>
      <c r="E18" s="461">
        <v>0</v>
      </c>
      <c r="F18" s="461">
        <v>1000</v>
      </c>
      <c r="G18" s="449"/>
      <c r="H18" s="450"/>
      <c r="I18" s="450"/>
      <c r="J18" s="450"/>
      <c r="K18" s="450"/>
      <c r="L18" s="450"/>
      <c r="M18" s="450">
        <v>1000</v>
      </c>
      <c r="N18" s="450"/>
      <c r="O18" s="450"/>
      <c r="P18" s="450"/>
      <c r="Q18" s="9"/>
      <c r="R18" s="9"/>
      <c r="S18" s="12">
        <f t="shared" si="0"/>
        <v>1000</v>
      </c>
      <c r="T18" s="32">
        <f t="shared" si="1"/>
        <v>0</v>
      </c>
      <c r="U18" s="12">
        <f t="shared" si="2"/>
        <v>0</v>
      </c>
      <c r="V18" s="12">
        <f t="shared" si="3"/>
        <v>0</v>
      </c>
    </row>
    <row r="19" spans="1:22" x14ac:dyDescent="0.25">
      <c r="A19" s="527" t="s">
        <v>109</v>
      </c>
      <c r="B19" s="462" t="s">
        <v>1243</v>
      </c>
      <c r="C19" s="460">
        <v>3500</v>
      </c>
      <c r="D19" s="513" t="s">
        <v>1160</v>
      </c>
      <c r="E19" s="461">
        <v>3500</v>
      </c>
      <c r="F19" s="461">
        <v>0</v>
      </c>
      <c r="H19" s="450"/>
      <c r="I19" s="449">
        <v>3500</v>
      </c>
      <c r="K19" s="449"/>
      <c r="L19" s="449"/>
      <c r="M19" s="449"/>
      <c r="N19" s="450"/>
      <c r="O19" s="450"/>
      <c r="P19" s="450"/>
      <c r="Q19" s="9"/>
      <c r="R19" s="9"/>
      <c r="S19" s="12">
        <f t="shared" si="0"/>
        <v>3500</v>
      </c>
      <c r="T19" s="32">
        <f t="shared" si="1"/>
        <v>0</v>
      </c>
      <c r="U19" s="12">
        <f t="shared" si="2"/>
        <v>0</v>
      </c>
      <c r="V19" s="12">
        <f t="shared" si="3"/>
        <v>0</v>
      </c>
    </row>
    <row r="20" spans="1:22" x14ac:dyDescent="0.25">
      <c r="A20" s="527" t="s">
        <v>110</v>
      </c>
      <c r="B20" s="462" t="s">
        <v>1244</v>
      </c>
      <c r="C20" s="460">
        <v>700</v>
      </c>
      <c r="D20" s="513" t="s">
        <v>1159</v>
      </c>
      <c r="E20" s="461">
        <v>0</v>
      </c>
      <c r="F20" s="461">
        <v>700</v>
      </c>
      <c r="G20" s="450"/>
      <c r="H20" s="450"/>
      <c r="I20" s="449"/>
      <c r="J20" s="449"/>
      <c r="K20" s="449">
        <v>700</v>
      </c>
      <c r="L20" s="449"/>
      <c r="M20" s="449"/>
      <c r="N20" s="450"/>
      <c r="O20" s="450"/>
      <c r="P20" s="450"/>
      <c r="Q20" s="9"/>
      <c r="R20" s="9"/>
      <c r="S20" s="12">
        <f t="shared" si="0"/>
        <v>700</v>
      </c>
      <c r="T20" s="32">
        <f t="shared" si="1"/>
        <v>0</v>
      </c>
      <c r="U20" s="12">
        <f t="shared" si="2"/>
        <v>0</v>
      </c>
      <c r="V20" s="12">
        <f t="shared" si="3"/>
        <v>0</v>
      </c>
    </row>
    <row r="21" spans="1:22" hidden="1" outlineLevel="1" x14ac:dyDescent="0.25">
      <c r="A21" s="527" t="s">
        <v>110</v>
      </c>
      <c r="B21" s="462" t="s">
        <v>1245</v>
      </c>
      <c r="C21" s="460"/>
      <c r="D21" s="513"/>
      <c r="E21" s="461"/>
      <c r="F21" s="461"/>
      <c r="G21" s="450"/>
      <c r="H21" s="450"/>
      <c r="I21" s="449"/>
      <c r="J21" s="449"/>
      <c r="K21" s="449"/>
      <c r="L21" s="449"/>
      <c r="M21" s="449"/>
      <c r="N21" s="450"/>
      <c r="O21" s="450"/>
      <c r="P21" s="450"/>
      <c r="Q21" s="9"/>
      <c r="R21" s="9"/>
      <c r="S21" s="12">
        <f t="shared" si="0"/>
        <v>0</v>
      </c>
      <c r="T21" s="32">
        <f t="shared" si="1"/>
        <v>0</v>
      </c>
      <c r="U21" s="12">
        <f t="shared" si="2"/>
        <v>0</v>
      </c>
      <c r="V21" s="12">
        <f t="shared" si="3"/>
        <v>0</v>
      </c>
    </row>
    <row r="22" spans="1:22" hidden="1" outlineLevel="1" x14ac:dyDescent="0.25">
      <c r="A22" s="527" t="s">
        <v>109</v>
      </c>
      <c r="B22" s="499" t="s">
        <v>1246</v>
      </c>
      <c r="C22" s="460"/>
      <c r="D22" s="513"/>
      <c r="E22" s="461"/>
      <c r="F22" s="461"/>
      <c r="G22" s="450"/>
      <c r="H22" s="450"/>
      <c r="I22" s="449"/>
      <c r="J22" s="449"/>
      <c r="K22" s="449"/>
      <c r="L22" s="449"/>
      <c r="M22" s="449"/>
      <c r="N22" s="450"/>
      <c r="O22" s="450"/>
      <c r="P22" s="450"/>
      <c r="Q22" s="9"/>
      <c r="R22" s="9"/>
      <c r="S22" s="12">
        <f t="shared" si="0"/>
        <v>0</v>
      </c>
      <c r="T22" s="32">
        <f t="shared" si="1"/>
        <v>0</v>
      </c>
      <c r="U22" s="12">
        <f t="shared" si="2"/>
        <v>0</v>
      </c>
      <c r="V22" s="12">
        <f t="shared" si="3"/>
        <v>0</v>
      </c>
    </row>
    <row r="23" spans="1:22" hidden="1" outlineLevel="1" x14ac:dyDescent="0.25">
      <c r="A23" s="527" t="s">
        <v>110</v>
      </c>
      <c r="B23" s="462" t="s">
        <v>1247</v>
      </c>
      <c r="C23" s="460"/>
      <c r="D23" s="513"/>
      <c r="E23" s="461"/>
      <c r="F23" s="461"/>
      <c r="G23" s="450"/>
      <c r="H23" s="450"/>
      <c r="I23" s="449"/>
      <c r="J23" s="449"/>
      <c r="K23" s="449"/>
      <c r="L23" s="449"/>
      <c r="M23" s="449"/>
      <c r="N23" s="450"/>
      <c r="O23" s="450"/>
      <c r="P23" s="450"/>
      <c r="Q23" s="9"/>
      <c r="R23" s="9"/>
      <c r="S23" s="12">
        <f t="shared" si="0"/>
        <v>0</v>
      </c>
      <c r="T23" s="32">
        <f t="shared" si="1"/>
        <v>0</v>
      </c>
      <c r="U23" s="12">
        <f t="shared" si="2"/>
        <v>0</v>
      </c>
      <c r="V23" s="12">
        <f t="shared" si="3"/>
        <v>0</v>
      </c>
    </row>
    <row r="24" spans="1:22" hidden="1" outlineLevel="1" x14ac:dyDescent="0.25">
      <c r="A24" s="527" t="s">
        <v>109</v>
      </c>
      <c r="B24" s="462" t="s">
        <v>1248</v>
      </c>
      <c r="C24" s="460"/>
      <c r="D24" s="513"/>
      <c r="E24" s="461"/>
      <c r="F24" s="461"/>
      <c r="G24" s="450"/>
      <c r="H24" s="450"/>
      <c r="I24" s="449"/>
      <c r="J24" s="449"/>
      <c r="K24" s="449"/>
      <c r="L24" s="449"/>
      <c r="M24" s="449"/>
      <c r="N24" s="450"/>
      <c r="O24" s="450"/>
      <c r="P24" s="450"/>
      <c r="Q24" s="9"/>
      <c r="R24" s="9"/>
      <c r="S24" s="12">
        <f t="shared" si="0"/>
        <v>0</v>
      </c>
      <c r="T24" s="32">
        <f t="shared" si="1"/>
        <v>0</v>
      </c>
      <c r="U24" s="12">
        <f t="shared" si="2"/>
        <v>0</v>
      </c>
      <c r="V24" s="12">
        <f t="shared" si="3"/>
        <v>0</v>
      </c>
    </row>
    <row r="25" spans="1:22" collapsed="1" x14ac:dyDescent="0.25">
      <c r="A25" s="527" t="s">
        <v>110</v>
      </c>
      <c r="B25" s="462" t="s">
        <v>1274</v>
      </c>
      <c r="C25" s="460">
        <v>750</v>
      </c>
      <c r="D25" s="513" t="s">
        <v>1159</v>
      </c>
      <c r="E25" s="461"/>
      <c r="F25" s="461">
        <v>750</v>
      </c>
      <c r="G25" s="450"/>
      <c r="H25" s="450"/>
      <c r="I25" s="449">
        <v>750</v>
      </c>
      <c r="J25" s="449"/>
      <c r="K25" s="449"/>
      <c r="L25" s="449"/>
      <c r="M25" s="449"/>
      <c r="N25" s="450"/>
      <c r="O25" s="450"/>
      <c r="P25" s="450"/>
      <c r="Q25" s="9"/>
      <c r="R25" s="9"/>
      <c r="S25" s="12">
        <f t="shared" si="0"/>
        <v>750</v>
      </c>
      <c r="T25" s="32">
        <f t="shared" si="1"/>
        <v>0</v>
      </c>
      <c r="U25" s="12">
        <f t="shared" si="2"/>
        <v>0</v>
      </c>
      <c r="V25" s="12">
        <f t="shared" si="3"/>
        <v>0</v>
      </c>
    </row>
    <row r="26" spans="1:22" x14ac:dyDescent="0.25">
      <c r="A26" s="527" t="s">
        <v>109</v>
      </c>
      <c r="B26" s="462" t="s">
        <v>1275</v>
      </c>
      <c r="C26" s="460">
        <v>1500</v>
      </c>
      <c r="D26" s="513" t="s">
        <v>1160</v>
      </c>
      <c r="E26" s="461">
        <v>1500</v>
      </c>
      <c r="F26" s="461"/>
      <c r="G26" s="450"/>
      <c r="H26" s="450">
        <v>1500</v>
      </c>
      <c r="I26" s="449"/>
      <c r="J26" s="449"/>
      <c r="K26" s="449"/>
      <c r="L26" s="449"/>
      <c r="M26" s="449"/>
      <c r="N26" s="450"/>
      <c r="O26" s="450"/>
      <c r="P26" s="450"/>
      <c r="Q26" s="9"/>
      <c r="R26" s="9"/>
      <c r="S26" s="12">
        <f t="shared" si="0"/>
        <v>1500</v>
      </c>
      <c r="T26" s="32"/>
      <c r="U26" s="12"/>
      <c r="V26" s="12"/>
    </row>
    <row r="27" spans="1:22" ht="18" hidden="1" outlineLevel="1" x14ac:dyDescent="0.4">
      <c r="A27" s="327" t="s">
        <v>109</v>
      </c>
      <c r="B27" s="462" t="s">
        <v>1249</v>
      </c>
      <c r="C27" s="460"/>
      <c r="D27" s="513"/>
      <c r="E27" s="461"/>
      <c r="F27" s="461"/>
      <c r="G27" s="450"/>
      <c r="H27" s="450"/>
      <c r="I27" s="449"/>
      <c r="J27" s="449"/>
      <c r="K27" s="449"/>
      <c r="L27" s="449"/>
      <c r="M27" s="449"/>
      <c r="N27" s="450"/>
      <c r="O27" s="450"/>
      <c r="P27" s="450"/>
      <c r="Q27" s="9"/>
      <c r="R27" s="9"/>
      <c r="S27" s="12">
        <f t="shared" si="0"/>
        <v>0</v>
      </c>
      <c r="T27" s="32">
        <f t="shared" si="1"/>
        <v>0</v>
      </c>
      <c r="U27" s="12">
        <f t="shared" si="2"/>
        <v>0</v>
      </c>
      <c r="V27" s="12">
        <f t="shared" si="3"/>
        <v>0</v>
      </c>
    </row>
    <row r="28" spans="1:22" ht="18" hidden="1" outlineLevel="1" x14ac:dyDescent="0.4">
      <c r="A28" s="327" t="s">
        <v>109</v>
      </c>
      <c r="B28" s="462"/>
      <c r="C28" s="460"/>
      <c r="D28" s="513"/>
      <c r="E28" s="461"/>
      <c r="F28" s="461"/>
      <c r="G28" s="450"/>
      <c r="H28" s="450"/>
      <c r="I28" s="449"/>
      <c r="J28" s="449"/>
      <c r="K28" s="449"/>
      <c r="L28" s="449"/>
      <c r="M28" s="449"/>
      <c r="N28" s="450"/>
      <c r="O28" s="450"/>
      <c r="P28" s="450"/>
      <c r="Q28" s="9"/>
      <c r="R28" s="9"/>
      <c r="S28" s="12">
        <f t="shared" si="0"/>
        <v>0</v>
      </c>
      <c r="T28" s="32">
        <f t="shared" si="1"/>
        <v>0</v>
      </c>
      <c r="U28" s="12">
        <f t="shared" si="2"/>
        <v>0</v>
      </c>
      <c r="V28" s="12">
        <f t="shared" si="3"/>
        <v>0</v>
      </c>
    </row>
    <row r="29" spans="1:22" hidden="1" outlineLevel="1" x14ac:dyDescent="0.25">
      <c r="B29" s="459"/>
      <c r="C29" s="460"/>
      <c r="D29" s="461"/>
      <c r="E29" s="461"/>
      <c r="F29" s="461"/>
      <c r="G29" s="450"/>
      <c r="H29" s="450"/>
      <c r="I29" s="450"/>
      <c r="J29" s="450"/>
      <c r="K29" s="450"/>
      <c r="L29" s="450"/>
      <c r="M29" s="450"/>
      <c r="N29" s="450"/>
      <c r="O29" s="450"/>
      <c r="P29" s="450"/>
      <c r="Q29" s="9"/>
      <c r="R29" s="9"/>
      <c r="S29" s="12">
        <f t="shared" si="0"/>
        <v>0</v>
      </c>
      <c r="T29" s="32">
        <f>SUM(G28:R28)-C28</f>
        <v>0</v>
      </c>
      <c r="U29" s="12">
        <f t="shared" si="2"/>
        <v>0</v>
      </c>
      <c r="V29" s="12">
        <f t="shared" si="3"/>
        <v>0</v>
      </c>
    </row>
    <row r="30" spans="1:22" hidden="1" outlineLevel="1" x14ac:dyDescent="0.25">
      <c r="B30" s="459"/>
      <c r="C30" s="460"/>
      <c r="D30" s="461"/>
      <c r="E30" s="461"/>
      <c r="F30" s="461"/>
      <c r="G30" s="450"/>
      <c r="H30" s="450"/>
      <c r="I30" s="450"/>
      <c r="J30" s="450"/>
      <c r="K30" s="450"/>
      <c r="L30" s="450"/>
      <c r="M30" s="450"/>
      <c r="N30" s="450"/>
      <c r="O30" s="450"/>
      <c r="P30" s="450"/>
      <c r="Q30" s="9"/>
      <c r="R30" s="9"/>
      <c r="S30" s="12">
        <f t="shared" si="0"/>
        <v>0</v>
      </c>
      <c r="T30" s="32"/>
      <c r="U30" s="12">
        <f t="shared" si="2"/>
        <v>0</v>
      </c>
      <c r="V30" s="12">
        <f t="shared" si="3"/>
        <v>0</v>
      </c>
    </row>
    <row r="31" spans="1:22" hidden="1" outlineLevel="1" x14ac:dyDescent="0.25">
      <c r="B31" s="459"/>
      <c r="C31" s="460"/>
      <c r="D31" s="461"/>
      <c r="E31" s="461"/>
      <c r="F31" s="461"/>
      <c r="G31" s="9"/>
      <c r="H31" s="9"/>
      <c r="I31" s="9"/>
      <c r="J31" s="9"/>
      <c r="K31" s="9"/>
      <c r="L31" s="9"/>
      <c r="M31" s="9"/>
      <c r="N31" s="9"/>
      <c r="O31" s="9"/>
      <c r="P31" s="9"/>
      <c r="Q31" s="9"/>
      <c r="R31" s="9"/>
      <c r="S31" s="12">
        <f t="shared" si="0"/>
        <v>0</v>
      </c>
      <c r="T31" s="32"/>
      <c r="U31" s="12">
        <f t="shared" si="2"/>
        <v>0</v>
      </c>
      <c r="V31" s="12">
        <f t="shared" si="3"/>
        <v>0</v>
      </c>
    </row>
    <row r="32" spans="1:22" hidden="1" outlineLevel="1" x14ac:dyDescent="0.25">
      <c r="B32" s="462"/>
      <c r="C32" s="460"/>
      <c r="D32" s="461"/>
      <c r="E32" s="461"/>
      <c r="F32" s="461"/>
      <c r="G32" s="9"/>
      <c r="H32" s="9"/>
      <c r="I32" s="450"/>
      <c r="J32" s="9"/>
      <c r="K32" s="9"/>
      <c r="L32" s="9"/>
      <c r="M32" s="9"/>
      <c r="N32" s="9"/>
      <c r="O32" s="9"/>
      <c r="P32" s="9"/>
      <c r="Q32" s="9"/>
      <c r="R32" s="9"/>
      <c r="S32" s="12">
        <f t="shared" si="0"/>
        <v>0</v>
      </c>
      <c r="T32" s="32"/>
      <c r="U32" s="12">
        <f t="shared" si="2"/>
        <v>0</v>
      </c>
      <c r="V32" s="12">
        <f t="shared" si="3"/>
        <v>0</v>
      </c>
    </row>
    <row r="33" spans="2:22" collapsed="1" x14ac:dyDescent="0.25">
      <c r="B33" s="462"/>
      <c r="C33" s="460"/>
      <c r="D33" s="461"/>
      <c r="E33" s="461"/>
      <c r="F33" s="461"/>
      <c r="G33" s="9"/>
      <c r="H33" s="9"/>
      <c r="I33" s="450"/>
      <c r="J33" s="9"/>
      <c r="K33" s="9"/>
      <c r="L33" s="9"/>
      <c r="M33" s="9"/>
      <c r="N33" s="9"/>
      <c r="O33" s="9"/>
      <c r="P33" s="9"/>
      <c r="Q33" s="9"/>
      <c r="R33" s="9"/>
      <c r="S33" s="12">
        <f t="shared" si="0"/>
        <v>0</v>
      </c>
      <c r="T33" s="32"/>
      <c r="U33" s="12">
        <f t="shared" si="2"/>
        <v>0</v>
      </c>
      <c r="V33" s="12">
        <f t="shared" si="3"/>
        <v>0</v>
      </c>
    </row>
    <row r="34" spans="2:22" x14ac:dyDescent="0.25">
      <c r="B34" s="463" t="s">
        <v>26</v>
      </c>
      <c r="C34" s="464">
        <f>SUM(C6:C33)</f>
        <v>18200</v>
      </c>
      <c r="D34" s="461"/>
      <c r="E34" s="465">
        <f>SUM(E6:E33)</f>
        <v>5750</v>
      </c>
      <c r="F34" s="465">
        <f t="shared" ref="F34:R34" si="4">SUM(F6:F33)</f>
        <v>12450</v>
      </c>
      <c r="G34" s="21">
        <f t="shared" si="4"/>
        <v>0</v>
      </c>
      <c r="H34" s="21">
        <f t="shared" si="4"/>
        <v>8250</v>
      </c>
      <c r="I34" s="21">
        <f t="shared" si="4"/>
        <v>7500</v>
      </c>
      <c r="J34" s="21">
        <f t="shared" si="4"/>
        <v>0</v>
      </c>
      <c r="K34" s="21">
        <f t="shared" si="4"/>
        <v>700</v>
      </c>
      <c r="L34" s="21">
        <f t="shared" si="4"/>
        <v>0</v>
      </c>
      <c r="M34" s="21">
        <f t="shared" si="4"/>
        <v>1000</v>
      </c>
      <c r="N34" s="21">
        <f t="shared" si="4"/>
        <v>0</v>
      </c>
      <c r="O34" s="21">
        <f t="shared" si="4"/>
        <v>0</v>
      </c>
      <c r="P34" s="21">
        <f t="shared" si="4"/>
        <v>750</v>
      </c>
      <c r="Q34" s="21">
        <f t="shared" si="4"/>
        <v>0</v>
      </c>
      <c r="R34" s="21">
        <f t="shared" si="4"/>
        <v>0</v>
      </c>
      <c r="S34" s="504">
        <f>SUM(G34:R34)</f>
        <v>18200</v>
      </c>
      <c r="T34" s="32"/>
      <c r="U34" s="12">
        <f t="shared" si="2"/>
        <v>0</v>
      </c>
      <c r="V34" s="12">
        <f t="shared" si="3"/>
        <v>0</v>
      </c>
    </row>
    <row r="35" spans="2:22" x14ac:dyDescent="0.25">
      <c r="B35" s="1"/>
      <c r="C35" s="10"/>
      <c r="D35" s="12"/>
      <c r="E35" s="21"/>
      <c r="F35" s="451" t="s">
        <v>77</v>
      </c>
      <c r="G35" s="21">
        <f>SUMIF($D$6:$D$33,"R",G6:G33)</f>
        <v>0</v>
      </c>
      <c r="H35" s="21">
        <f t="shared" ref="H35:R35" si="5">SUMIF($D$6:$D$33,"R",H6:H33)</f>
        <v>6000</v>
      </c>
      <c r="I35" s="21">
        <f t="shared" si="5"/>
        <v>4000</v>
      </c>
      <c r="J35" s="21">
        <f t="shared" si="5"/>
        <v>0</v>
      </c>
      <c r="K35" s="21">
        <f t="shared" si="5"/>
        <v>700</v>
      </c>
      <c r="L35" s="21">
        <f t="shared" si="5"/>
        <v>0</v>
      </c>
      <c r="M35" s="21">
        <f t="shared" si="5"/>
        <v>1000</v>
      </c>
      <c r="N35" s="21">
        <f t="shared" si="5"/>
        <v>0</v>
      </c>
      <c r="O35" s="21">
        <f t="shared" si="5"/>
        <v>0</v>
      </c>
      <c r="P35" s="21">
        <f t="shared" si="5"/>
        <v>750</v>
      </c>
      <c r="Q35" s="21">
        <f t="shared" si="5"/>
        <v>0</v>
      </c>
      <c r="R35" s="21">
        <f t="shared" si="5"/>
        <v>0</v>
      </c>
      <c r="S35" s="504">
        <f t="shared" ref="S35" si="6">SUMIF($D$6:$D$33,"R",S6:S33)</f>
        <v>12450</v>
      </c>
      <c r="T35" s="32"/>
    </row>
    <row r="36" spans="2:22" x14ac:dyDescent="0.25">
      <c r="F36" s="452" t="s">
        <v>1158</v>
      </c>
      <c r="G36" s="21">
        <f>SUMIF($D$6:$D$33,"N",G6:G33)</f>
        <v>0</v>
      </c>
      <c r="H36" s="21">
        <f>SUMIF($D$6:$D$33,"N",H6:H33)</f>
        <v>2250</v>
      </c>
      <c r="I36" s="21">
        <f t="shared" ref="I36:R36" si="7">SUMIF($D$6:$D$33,"N",I6:I33)</f>
        <v>3500</v>
      </c>
      <c r="J36" s="21">
        <f t="shared" si="7"/>
        <v>0</v>
      </c>
      <c r="K36" s="21">
        <f t="shared" si="7"/>
        <v>0</v>
      </c>
      <c r="L36" s="21">
        <f t="shared" si="7"/>
        <v>0</v>
      </c>
      <c r="M36" s="21">
        <f t="shared" si="7"/>
        <v>0</v>
      </c>
      <c r="N36" s="21">
        <f t="shared" si="7"/>
        <v>0</v>
      </c>
      <c r="O36" s="21">
        <f t="shared" si="7"/>
        <v>0</v>
      </c>
      <c r="P36" s="21">
        <f t="shared" si="7"/>
        <v>0</v>
      </c>
      <c r="Q36" s="21">
        <f t="shared" si="7"/>
        <v>0</v>
      </c>
      <c r="R36" s="21">
        <f t="shared" si="7"/>
        <v>0</v>
      </c>
      <c r="S36" s="504">
        <f t="shared" ref="S36" si="8">SUMIF($D$6:$D$33,"N",S6:S33)</f>
        <v>5750</v>
      </c>
    </row>
    <row r="47" spans="2:22" x14ac:dyDescent="0.25">
      <c r="C47" s="12"/>
      <c r="J47" s="466"/>
    </row>
  </sheetData>
  <mergeCells count="2">
    <mergeCell ref="B3:F3"/>
    <mergeCell ref="B2:F2"/>
  </mergeCells>
  <printOptions horizontalCentered="1"/>
  <pageMargins left="0.75" right="0.75" top="1" bottom="1" header="0.5" footer="0.5"/>
  <pageSetup orientation="portrait" r:id="rId1"/>
  <rowBreaks count="1" manualBreakCount="1">
    <brk id="46" max="16383" man="1"/>
  </row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1</vt:i4>
      </vt:variant>
      <vt:variant>
        <vt:lpstr>Named Ranges</vt:lpstr>
      </vt:variant>
      <vt:variant>
        <vt:i4>8</vt:i4>
      </vt:variant>
    </vt:vector>
  </HeadingPairs>
  <TitlesOfParts>
    <vt:vector size="33" baseType="lpstr">
      <vt:lpstr>Cover</vt:lpstr>
      <vt:lpstr>Notes Open</vt:lpstr>
      <vt:lpstr>Overview</vt:lpstr>
      <vt:lpstr>HistoricalView</vt:lpstr>
      <vt:lpstr>Revenue</vt:lpstr>
      <vt:lpstr>Rev Trend</vt:lpstr>
      <vt:lpstr>Geographic</vt:lpstr>
      <vt:lpstr>RCC</vt:lpstr>
      <vt:lpstr>CapEx</vt:lpstr>
      <vt:lpstr>Wages</vt:lpstr>
      <vt:lpstr>COGS</vt:lpstr>
      <vt:lpstr>Taxes</vt:lpstr>
      <vt:lpstr>Travel Input</vt:lpstr>
      <vt:lpstr>Travel Output</vt:lpstr>
      <vt:lpstr>Insurance</vt:lpstr>
      <vt:lpstr>Cash Bal</vt:lpstr>
      <vt:lpstr>GRAPHS</vt:lpstr>
      <vt:lpstr>HISTORICAL</vt:lpstr>
      <vt:lpstr>Sept 2019 TTM</vt:lpstr>
      <vt:lpstr>TTM Oct 2019</vt:lpstr>
      <vt:lpstr>Rev Detail TTM Oct 2019</vt:lpstr>
      <vt:lpstr>Oct TTM</vt:lpstr>
      <vt:lpstr>Oct CF</vt:lpstr>
      <vt:lpstr>CropBox</vt:lpstr>
      <vt:lpstr>Cash Balance</vt:lpstr>
      <vt:lpstr>CapEx!Print_Area</vt:lpstr>
      <vt:lpstr>Cover!Print_Area</vt:lpstr>
      <vt:lpstr>Geographic!Print_Area</vt:lpstr>
      <vt:lpstr>Overview!Print_Area</vt:lpstr>
      <vt:lpstr>RCC!Print_Area</vt:lpstr>
      <vt:lpstr>'Rev Trend'!Print_Area</vt:lpstr>
      <vt:lpstr>Revenue!Print_Area</vt:lpstr>
      <vt:lpstr>CapEx!Print_Titles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Brian Pope</cp:lastModifiedBy>
  <cp:lastPrinted>2021-02-21T18:44:32Z</cp:lastPrinted>
  <dcterms:created xsi:type="dcterms:W3CDTF">2017-08-30T18:51:53Z</dcterms:created>
  <dcterms:modified xsi:type="dcterms:W3CDTF">2021-02-24T15:59:01Z</dcterms:modified>
</cp:coreProperties>
</file>