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evelopment\Grants\Community Foundation\"/>
    </mc:Choice>
  </mc:AlternateContent>
  <xr:revisionPtr revIDLastSave="0" documentId="8_{40E95CC8-BDE5-444B-91B6-960BF1475C6D}" xr6:coauthVersionLast="47" xr6:coauthVersionMax="47" xr10:uidLastSave="{00000000-0000-0000-0000-000000000000}"/>
  <bookViews>
    <workbookView xWindow="11916" yWindow="348" windowWidth="11760" windowHeight="11904" tabRatio="830" xr2:uid="{00000000-000D-0000-FFFF-FFFF00000000}"/>
  </bookViews>
  <sheets>
    <sheet name="Budget" sheetId="6" r:id="rId1"/>
    <sheet name="P&amp;L by Month" sheetId="17" state="hidden" r:id="rId2"/>
    <sheet name="BVA" sheetId="18" state="hidden" r:id="rId3"/>
  </sheets>
  <definedNames>
    <definedName name="_xlnm.Print_Area" localSheetId="0">Budget!$A$1:$O$47</definedName>
    <definedName name="_xlnm.Print_Area" localSheetId="2">BVA!$A$1:$BC$48</definedName>
    <definedName name="_xlnm.Print_Titles" localSheetId="0">Budget!$A:$A</definedName>
    <definedName name="_xlnm.Print_Titles" localSheetId="2">BVA!$A:$A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9" i="18" l="1"/>
  <c r="BB36" i="18"/>
  <c r="BB24" i="18"/>
  <c r="AX39" i="18"/>
  <c r="AZ39" i="18" s="1"/>
  <c r="AX36" i="18"/>
  <c r="AX24" i="18"/>
  <c r="AT39" i="18"/>
  <c r="AV39" i="18" s="1"/>
  <c r="AT24" i="18"/>
  <c r="AD39" i="18"/>
  <c r="AF39" i="18" s="1"/>
  <c r="R39" i="18"/>
  <c r="T39" i="18" s="1"/>
  <c r="BB38" i="18"/>
  <c r="BB37" i="18"/>
  <c r="BB35" i="18"/>
  <c r="BB34" i="18"/>
  <c r="BB32" i="18"/>
  <c r="BB31" i="18"/>
  <c r="BB29" i="18"/>
  <c r="BB28" i="18"/>
  <c r="BB26" i="18"/>
  <c r="BB25" i="18"/>
  <c r="BD39" i="18"/>
  <c r="AX38" i="18"/>
  <c r="AX37" i="18"/>
  <c r="AX35" i="18"/>
  <c r="AX34" i="18"/>
  <c r="AX32" i="18"/>
  <c r="AX31" i="18"/>
  <c r="AX29" i="18"/>
  <c r="AX28" i="18"/>
  <c r="AX26" i="18"/>
  <c r="AX25" i="18"/>
  <c r="AT38" i="18"/>
  <c r="AT37" i="18"/>
  <c r="AT35" i="18"/>
  <c r="AT32" i="18"/>
  <c r="AT29" i="18"/>
  <c r="AT28" i="18"/>
  <c r="AT26" i="18"/>
  <c r="AT25" i="18"/>
  <c r="AP29" i="18"/>
  <c r="AD28" i="18"/>
  <c r="Z25" i="18"/>
  <c r="V29" i="18"/>
  <c r="R25" i="18"/>
  <c r="G39" i="18"/>
  <c r="N39" i="18"/>
  <c r="P39" i="18" s="1"/>
  <c r="N38" i="18"/>
  <c r="N32" i="18"/>
  <c r="N29" i="18"/>
  <c r="J39" i="18"/>
  <c r="L39" i="18" s="1"/>
  <c r="J38" i="18"/>
  <c r="J32" i="18"/>
  <c r="J28" i="18"/>
  <c r="BC27" i="18"/>
  <c r="BD27" i="18" s="1"/>
  <c r="BC36" i="18"/>
  <c r="BC37" i="18"/>
  <c r="BC38" i="18"/>
  <c r="AY27" i="18"/>
  <c r="AZ27" i="18" s="1"/>
  <c r="AY36" i="18"/>
  <c r="AY37" i="18"/>
  <c r="BB17" i="18"/>
  <c r="BB16" i="18"/>
  <c r="BB15" i="18"/>
  <c r="AX17" i="18"/>
  <c r="AX16" i="18"/>
  <c r="AX15" i="18"/>
  <c r="AU27" i="18"/>
  <c r="AV27" i="18" s="1"/>
  <c r="AU36" i="18"/>
  <c r="AU37" i="18"/>
  <c r="AU38" i="18"/>
  <c r="AT17" i="18"/>
  <c r="AT16" i="18"/>
  <c r="AT15" i="18"/>
  <c r="AQ27" i="18"/>
  <c r="AR27" i="18" s="1"/>
  <c r="AQ36" i="18"/>
  <c r="AQ37" i="18"/>
  <c r="AQ38" i="18"/>
  <c r="AM27" i="18"/>
  <c r="AN27" i="18" s="1"/>
  <c r="AM36" i="18"/>
  <c r="AM37" i="18"/>
  <c r="AM38" i="18"/>
  <c r="AI27" i="18"/>
  <c r="AJ27" i="18" s="1"/>
  <c r="AI36" i="18"/>
  <c r="AI37" i="18"/>
  <c r="AE27" i="18"/>
  <c r="AF27" i="18" s="1"/>
  <c r="AE36" i="18"/>
  <c r="AE37" i="18"/>
  <c r="AE38" i="18"/>
  <c r="AA27" i="18"/>
  <c r="AB27" i="18" s="1"/>
  <c r="AA36" i="18"/>
  <c r="AA37" i="18"/>
  <c r="W27" i="18"/>
  <c r="X27" i="18" s="1"/>
  <c r="W36" i="18"/>
  <c r="W37" i="18"/>
  <c r="W38" i="18"/>
  <c r="S27" i="18"/>
  <c r="T27" i="18" s="1"/>
  <c r="S36" i="18"/>
  <c r="S37" i="18"/>
  <c r="O27" i="18"/>
  <c r="P27" i="18" s="1"/>
  <c r="O36" i="18"/>
  <c r="O37" i="18"/>
  <c r="O38" i="18"/>
  <c r="K27" i="18"/>
  <c r="L27" i="18" s="1"/>
  <c r="K36" i="18"/>
  <c r="K37" i="18"/>
  <c r="K38" i="18"/>
  <c r="BB8" i="18"/>
  <c r="BB9" i="18"/>
  <c r="BB10" i="18"/>
  <c r="BB11" i="18"/>
  <c r="BD11" i="18" s="1"/>
  <c r="BB7" i="18"/>
  <c r="BB6" i="18"/>
  <c r="AX8" i="18"/>
  <c r="AX9" i="18"/>
  <c r="AX10" i="18"/>
  <c r="AX11" i="18"/>
  <c r="AZ11" i="18" s="1"/>
  <c r="AX7" i="18"/>
  <c r="AX6" i="18"/>
  <c r="AT8" i="18"/>
  <c r="AT10" i="18"/>
  <c r="AT11" i="18"/>
  <c r="AV11" i="18" s="1"/>
  <c r="AT7" i="18"/>
  <c r="AP10" i="18"/>
  <c r="AP7" i="18"/>
  <c r="AL7" i="18"/>
  <c r="BC9" i="18"/>
  <c r="AU9" i="18"/>
  <c r="AQ9" i="18"/>
  <c r="AM9" i="18"/>
  <c r="AE9" i="18"/>
  <c r="W9" i="18"/>
  <c r="O9" i="18"/>
  <c r="K9" i="18"/>
  <c r="AD8" i="18"/>
  <c r="AD7" i="18"/>
  <c r="Z8" i="18"/>
  <c r="Z9" i="18"/>
  <c r="V8" i="18"/>
  <c r="V9" i="18"/>
  <c r="V10" i="18"/>
  <c r="R8" i="18"/>
  <c r="N7" i="18"/>
  <c r="J7" i="18"/>
  <c r="M12" i="18"/>
  <c r="Q12" i="18"/>
  <c r="U12" i="18"/>
  <c r="Y12" i="18"/>
  <c r="AC12" i="18"/>
  <c r="AG12" i="18"/>
  <c r="AK12" i="18"/>
  <c r="AO12" i="18"/>
  <c r="AS12" i="18"/>
  <c r="AW12" i="18"/>
  <c r="BA12" i="18"/>
  <c r="F27" i="18"/>
  <c r="M103" i="17"/>
  <c r="L103" i="17"/>
  <c r="J102" i="17"/>
  <c r="I102" i="17"/>
  <c r="H102" i="17"/>
  <c r="G102" i="17"/>
  <c r="F102" i="17"/>
  <c r="E102" i="17"/>
  <c r="C102" i="17"/>
  <c r="B102" i="17"/>
  <c r="I101" i="17"/>
  <c r="H101" i="17"/>
  <c r="G101" i="17"/>
  <c r="F101" i="17"/>
  <c r="E101" i="17"/>
  <c r="C101" i="17"/>
  <c r="B101" i="17"/>
  <c r="K100" i="17"/>
  <c r="J100" i="17"/>
  <c r="K99" i="17"/>
  <c r="J99" i="17"/>
  <c r="I99" i="17"/>
  <c r="H99" i="17"/>
  <c r="G99" i="17"/>
  <c r="F99" i="17"/>
  <c r="E99" i="17"/>
  <c r="D99" i="17"/>
  <c r="C99" i="17"/>
  <c r="B99" i="17"/>
  <c r="J98" i="17"/>
  <c r="G98" i="17"/>
  <c r="F98" i="17"/>
  <c r="D98" i="17"/>
  <c r="C98" i="17"/>
  <c r="B98" i="17"/>
  <c r="H97" i="17"/>
  <c r="M95" i="17"/>
  <c r="M104" i="17" s="1"/>
  <c r="L95" i="17"/>
  <c r="L104" i="17" s="1"/>
  <c r="K95" i="17"/>
  <c r="J94" i="17"/>
  <c r="J95" i="17" s="1"/>
  <c r="I94" i="17"/>
  <c r="I95" i="17" s="1"/>
  <c r="H94" i="17"/>
  <c r="H95" i="17" s="1"/>
  <c r="G94" i="17"/>
  <c r="G95" i="17" s="1"/>
  <c r="F94" i="17"/>
  <c r="F95" i="17" s="1"/>
  <c r="E94" i="17"/>
  <c r="E95" i="17" s="1"/>
  <c r="D94" i="17"/>
  <c r="D95" i="17" s="1"/>
  <c r="C94" i="17"/>
  <c r="B94" i="17"/>
  <c r="B95" i="17" s="1"/>
  <c r="J90" i="17"/>
  <c r="AP37" i="18" s="1"/>
  <c r="I90" i="17"/>
  <c r="AL37" i="18" s="1"/>
  <c r="H90" i="17"/>
  <c r="AH37" i="18" s="1"/>
  <c r="G90" i="17"/>
  <c r="AD37" i="18" s="1"/>
  <c r="F90" i="17"/>
  <c r="Z37" i="18" s="1"/>
  <c r="E90" i="17"/>
  <c r="V37" i="18" s="1"/>
  <c r="D90" i="17"/>
  <c r="R37" i="18" s="1"/>
  <c r="C90" i="17"/>
  <c r="B90" i="17"/>
  <c r="J37" i="18" s="1"/>
  <c r="M89" i="17"/>
  <c r="L89" i="17"/>
  <c r="I88" i="17"/>
  <c r="N88" i="17" s="1"/>
  <c r="J87" i="17"/>
  <c r="AP39" i="18" s="1"/>
  <c r="AR39" i="18" s="1"/>
  <c r="I87" i="17"/>
  <c r="H87" i="17"/>
  <c r="AH39" i="18" s="1"/>
  <c r="AJ39" i="18" s="1"/>
  <c r="F87" i="17"/>
  <c r="E87" i="17"/>
  <c r="V39" i="18" s="1"/>
  <c r="X39" i="18" s="1"/>
  <c r="J86" i="17"/>
  <c r="I86" i="17"/>
  <c r="H86" i="17"/>
  <c r="G86" i="17"/>
  <c r="F86" i="17"/>
  <c r="E86" i="17"/>
  <c r="D86" i="17"/>
  <c r="C86" i="17"/>
  <c r="B86" i="17"/>
  <c r="J85" i="17"/>
  <c r="AP26" i="18" s="1"/>
  <c r="I85" i="17"/>
  <c r="AL26" i="18" s="1"/>
  <c r="H85" i="17"/>
  <c r="AH26" i="18" s="1"/>
  <c r="G85" i="17"/>
  <c r="AD26" i="18" s="1"/>
  <c r="F85" i="17"/>
  <c r="Z26" i="18" s="1"/>
  <c r="E85" i="17"/>
  <c r="D85" i="17"/>
  <c r="R26" i="18" s="1"/>
  <c r="C85" i="17"/>
  <c r="B85" i="17"/>
  <c r="J26" i="18" s="1"/>
  <c r="J84" i="17"/>
  <c r="AP28" i="18" s="1"/>
  <c r="I84" i="17"/>
  <c r="AL28" i="18" s="1"/>
  <c r="H84" i="17"/>
  <c r="AH28" i="18" s="1"/>
  <c r="F84" i="17"/>
  <c r="Z28" i="18" s="1"/>
  <c r="E84" i="17"/>
  <c r="V28" i="18" s="1"/>
  <c r="D84" i="17"/>
  <c r="R28" i="18" s="1"/>
  <c r="C84" i="17"/>
  <c r="J83" i="17"/>
  <c r="AP35" i="18" s="1"/>
  <c r="I83" i="17"/>
  <c r="AL35" i="18" s="1"/>
  <c r="H83" i="17"/>
  <c r="AH35" i="18" s="1"/>
  <c r="G83" i="17"/>
  <c r="AD35" i="18" s="1"/>
  <c r="F83" i="17"/>
  <c r="Z35" i="18" s="1"/>
  <c r="E83" i="17"/>
  <c r="V35" i="18" s="1"/>
  <c r="D83" i="17"/>
  <c r="R35" i="18" s="1"/>
  <c r="C83" i="17"/>
  <c r="B83" i="17"/>
  <c r="J35" i="18" s="1"/>
  <c r="J82" i="17"/>
  <c r="AP25" i="18" s="1"/>
  <c r="I82" i="17"/>
  <c r="AL25" i="18" s="1"/>
  <c r="H82" i="17"/>
  <c r="AH25" i="18" s="1"/>
  <c r="G82" i="17"/>
  <c r="AD25" i="18" s="1"/>
  <c r="E82" i="17"/>
  <c r="V25" i="18" s="1"/>
  <c r="C82" i="17"/>
  <c r="N25" i="18" s="1"/>
  <c r="B82" i="17"/>
  <c r="I81" i="17"/>
  <c r="AL29" i="18" s="1"/>
  <c r="H81" i="17"/>
  <c r="AH29" i="18" s="1"/>
  <c r="G81" i="17"/>
  <c r="AD29" i="18" s="1"/>
  <c r="F81" i="17"/>
  <c r="Z29" i="18" s="1"/>
  <c r="D81" i="17"/>
  <c r="R29" i="18" s="1"/>
  <c r="B81" i="17"/>
  <c r="J80" i="17"/>
  <c r="I80" i="17"/>
  <c r="H80" i="17"/>
  <c r="G80" i="17"/>
  <c r="F80" i="17"/>
  <c r="E80" i="17"/>
  <c r="D80" i="17"/>
  <c r="J79" i="17"/>
  <c r="I79" i="17"/>
  <c r="H79" i="17"/>
  <c r="G79" i="17"/>
  <c r="F79" i="17"/>
  <c r="E79" i="17"/>
  <c r="D79" i="17"/>
  <c r="C79" i="17"/>
  <c r="N24" i="18" s="1"/>
  <c r="B79" i="17"/>
  <c r="J24" i="18" s="1"/>
  <c r="K78" i="17"/>
  <c r="K89" i="17" s="1"/>
  <c r="J78" i="17"/>
  <c r="I78" i="17"/>
  <c r="H78" i="17"/>
  <c r="AH36" i="18" s="1"/>
  <c r="G78" i="17"/>
  <c r="F78" i="17"/>
  <c r="E78" i="17"/>
  <c r="V36" i="18" s="1"/>
  <c r="D78" i="17"/>
  <c r="C78" i="17"/>
  <c r="B78" i="17"/>
  <c r="J77" i="17"/>
  <c r="I77" i="17"/>
  <c r="G77" i="17"/>
  <c r="F77" i="17"/>
  <c r="D77" i="17"/>
  <c r="C77" i="17"/>
  <c r="N76" i="17"/>
  <c r="M75" i="17"/>
  <c r="BB33" i="18" s="1"/>
  <c r="L75" i="17"/>
  <c r="AX33" i="18" s="1"/>
  <c r="J74" i="17"/>
  <c r="AP32" i="18" s="1"/>
  <c r="I74" i="17"/>
  <c r="AL32" i="18" s="1"/>
  <c r="H74" i="17"/>
  <c r="AH32" i="18" s="1"/>
  <c r="G74" i="17"/>
  <c r="AD32" i="18" s="1"/>
  <c r="F74" i="17"/>
  <c r="Z32" i="18" s="1"/>
  <c r="E74" i="17"/>
  <c r="V32" i="18" s="1"/>
  <c r="D74" i="17"/>
  <c r="R32" i="18" s="1"/>
  <c r="J73" i="17"/>
  <c r="H73" i="17"/>
  <c r="G73" i="17"/>
  <c r="F73" i="17"/>
  <c r="E73" i="17"/>
  <c r="D73" i="17"/>
  <c r="C73" i="17"/>
  <c r="J72" i="17"/>
  <c r="I72" i="17"/>
  <c r="G72" i="17"/>
  <c r="F72" i="17"/>
  <c r="E72" i="17"/>
  <c r="D72" i="17"/>
  <c r="C72" i="17"/>
  <c r="B72" i="17"/>
  <c r="K71" i="17"/>
  <c r="N71" i="17" s="1"/>
  <c r="J70" i="17"/>
  <c r="I70" i="17"/>
  <c r="H70" i="17"/>
  <c r="G70" i="17"/>
  <c r="E70" i="17"/>
  <c r="D70" i="17"/>
  <c r="C70" i="17"/>
  <c r="K69" i="17"/>
  <c r="AT34" i="18" s="1"/>
  <c r="J69" i="17"/>
  <c r="AP34" i="18" s="1"/>
  <c r="I69" i="17"/>
  <c r="AL34" i="18" s="1"/>
  <c r="H69" i="17"/>
  <c r="AH34" i="18" s="1"/>
  <c r="G69" i="17"/>
  <c r="AD34" i="18" s="1"/>
  <c r="F69" i="17"/>
  <c r="Z34" i="18" s="1"/>
  <c r="E69" i="17"/>
  <c r="V34" i="18" s="1"/>
  <c r="D69" i="17"/>
  <c r="R34" i="18" s="1"/>
  <c r="C69" i="17"/>
  <c r="N34" i="18" s="1"/>
  <c r="B69" i="17"/>
  <c r="J34" i="18" s="1"/>
  <c r="J68" i="17"/>
  <c r="I68" i="17"/>
  <c r="H68" i="17"/>
  <c r="G68" i="17"/>
  <c r="F68" i="17"/>
  <c r="E68" i="17"/>
  <c r="K67" i="17"/>
  <c r="AT31" i="18" s="1"/>
  <c r="J67" i="17"/>
  <c r="AP31" i="18" s="1"/>
  <c r="I67" i="17"/>
  <c r="AL31" i="18" s="1"/>
  <c r="H67" i="17"/>
  <c r="G67" i="17"/>
  <c r="AD31" i="18" s="1"/>
  <c r="F67" i="17"/>
  <c r="Z31" i="18" s="1"/>
  <c r="E67" i="17"/>
  <c r="V31" i="18" s="1"/>
  <c r="D67" i="17"/>
  <c r="C67" i="17"/>
  <c r="N31" i="18" s="1"/>
  <c r="B67" i="17"/>
  <c r="J31" i="18" s="1"/>
  <c r="G66" i="17"/>
  <c r="C66" i="17"/>
  <c r="K65" i="17"/>
  <c r="J65" i="17"/>
  <c r="I65" i="17"/>
  <c r="H65" i="17"/>
  <c r="G65" i="17"/>
  <c r="F65" i="17"/>
  <c r="E65" i="17"/>
  <c r="D65" i="17"/>
  <c r="C65" i="17"/>
  <c r="B65" i="17"/>
  <c r="J64" i="17"/>
  <c r="I64" i="17"/>
  <c r="G64" i="17"/>
  <c r="F64" i="17"/>
  <c r="E64" i="17"/>
  <c r="C64" i="17"/>
  <c r="B64" i="17"/>
  <c r="K63" i="17"/>
  <c r="J63" i="17"/>
  <c r="I63" i="17"/>
  <c r="D63" i="17"/>
  <c r="C63" i="17"/>
  <c r="B63" i="17"/>
  <c r="J62" i="17"/>
  <c r="I62" i="17"/>
  <c r="H62" i="17"/>
  <c r="G62" i="17"/>
  <c r="F62" i="17"/>
  <c r="E62" i="17"/>
  <c r="D62" i="17"/>
  <c r="C62" i="17"/>
  <c r="B62" i="17"/>
  <c r="E61" i="17"/>
  <c r="N61" i="17" s="1"/>
  <c r="M59" i="17"/>
  <c r="BB23" i="18" s="1"/>
  <c r="L59" i="17"/>
  <c r="AX23" i="18" s="1"/>
  <c r="K59" i="17"/>
  <c r="AT23" i="18" s="1"/>
  <c r="I58" i="17"/>
  <c r="G58" i="17"/>
  <c r="D58" i="17"/>
  <c r="J57" i="17"/>
  <c r="I57" i="17"/>
  <c r="E57" i="17"/>
  <c r="D57" i="17"/>
  <c r="J56" i="17"/>
  <c r="B56" i="17"/>
  <c r="J55" i="17"/>
  <c r="I55" i="17"/>
  <c r="H55" i="17"/>
  <c r="G55" i="17"/>
  <c r="F55" i="17"/>
  <c r="E55" i="17"/>
  <c r="D55" i="17"/>
  <c r="C55" i="17"/>
  <c r="B55" i="17"/>
  <c r="J54" i="17"/>
  <c r="H54" i="17"/>
  <c r="H59" i="17" s="1"/>
  <c r="AH23" i="18" s="1"/>
  <c r="G54" i="17"/>
  <c r="F54" i="17"/>
  <c r="F59" i="17" s="1"/>
  <c r="Z23" i="18" s="1"/>
  <c r="E54" i="17"/>
  <c r="D54" i="17"/>
  <c r="C54" i="17"/>
  <c r="C59" i="17" s="1"/>
  <c r="N23" i="18" s="1"/>
  <c r="B54" i="17"/>
  <c r="N53" i="17"/>
  <c r="M52" i="17"/>
  <c r="L52" i="17"/>
  <c r="K52" i="17"/>
  <c r="AT22" i="18" s="1"/>
  <c r="I51" i="17"/>
  <c r="H51" i="17"/>
  <c r="G51" i="17"/>
  <c r="D51" i="17"/>
  <c r="C51" i="17"/>
  <c r="B51" i="17"/>
  <c r="J50" i="17"/>
  <c r="H50" i="17"/>
  <c r="G50" i="17"/>
  <c r="F50" i="17"/>
  <c r="F52" i="17" s="1"/>
  <c r="E50" i="17"/>
  <c r="E52" i="17" s="1"/>
  <c r="V22" i="18" s="1"/>
  <c r="D50" i="17"/>
  <c r="D52" i="17" s="1"/>
  <c r="C50" i="17"/>
  <c r="C52" i="17" s="1"/>
  <c r="N22" i="18" s="1"/>
  <c r="B50" i="17"/>
  <c r="B49" i="17"/>
  <c r="J48" i="17"/>
  <c r="I48" i="17"/>
  <c r="N47" i="17"/>
  <c r="N46" i="17"/>
  <c r="M45" i="17"/>
  <c r="BB30" i="18" s="1"/>
  <c r="L45" i="17"/>
  <c r="AX30" i="18" s="1"/>
  <c r="J44" i="17"/>
  <c r="F44" i="17"/>
  <c r="E44" i="17"/>
  <c r="K43" i="17"/>
  <c r="K45" i="17" s="1"/>
  <c r="AT30" i="18" s="1"/>
  <c r="G43" i="17"/>
  <c r="F43" i="17"/>
  <c r="J42" i="17"/>
  <c r="I42" i="17"/>
  <c r="H42" i="17"/>
  <c r="G42" i="17"/>
  <c r="F42" i="17"/>
  <c r="E42" i="17"/>
  <c r="D42" i="17"/>
  <c r="C42" i="17"/>
  <c r="C45" i="17" s="1"/>
  <c r="B42" i="17"/>
  <c r="J41" i="17"/>
  <c r="I41" i="17"/>
  <c r="AL38" i="18" s="1"/>
  <c r="H41" i="17"/>
  <c r="G41" i="17"/>
  <c r="F41" i="17"/>
  <c r="E41" i="17"/>
  <c r="D41" i="17"/>
  <c r="G40" i="17"/>
  <c r="N40" i="17" s="1"/>
  <c r="N39" i="17"/>
  <c r="M38" i="17"/>
  <c r="BB21" i="18" s="1"/>
  <c r="L38" i="17"/>
  <c r="AX21" i="18" s="1"/>
  <c r="K37" i="17"/>
  <c r="N37" i="17" s="1"/>
  <c r="J36" i="17"/>
  <c r="H36" i="17"/>
  <c r="C36" i="17"/>
  <c r="B36" i="17"/>
  <c r="K35" i="17"/>
  <c r="J35" i="17"/>
  <c r="I35" i="17"/>
  <c r="H35" i="17"/>
  <c r="G35" i="17"/>
  <c r="F35" i="17"/>
  <c r="E35" i="17"/>
  <c r="D35" i="17"/>
  <c r="C35" i="17"/>
  <c r="B35" i="17"/>
  <c r="J34" i="17"/>
  <c r="I34" i="17"/>
  <c r="H34" i="17"/>
  <c r="G34" i="17"/>
  <c r="F34" i="17"/>
  <c r="E34" i="17"/>
  <c r="D34" i="17"/>
  <c r="C34" i="17"/>
  <c r="B34" i="17"/>
  <c r="J33" i="17"/>
  <c r="B33" i="17"/>
  <c r="I32" i="17"/>
  <c r="G32" i="17"/>
  <c r="C32" i="17"/>
  <c r="N31" i="17"/>
  <c r="M30" i="17"/>
  <c r="L30" i="17"/>
  <c r="K30" i="17"/>
  <c r="J29" i="17"/>
  <c r="AP17" i="18" s="1"/>
  <c r="I29" i="17"/>
  <c r="H29" i="17"/>
  <c r="G29" i="17"/>
  <c r="AD17" i="18" s="1"/>
  <c r="F29" i="17"/>
  <c r="F30" i="17" s="1"/>
  <c r="E29" i="17"/>
  <c r="D29" i="17"/>
  <c r="C29" i="17"/>
  <c r="N17" i="18" s="1"/>
  <c r="B29" i="17"/>
  <c r="J17" i="18" s="1"/>
  <c r="N28" i="17"/>
  <c r="M27" i="17"/>
  <c r="L27" i="17"/>
  <c r="K27" i="17"/>
  <c r="J26" i="17"/>
  <c r="AP16" i="18" s="1"/>
  <c r="I26" i="17"/>
  <c r="AL16" i="18" s="1"/>
  <c r="H26" i="17"/>
  <c r="AH16" i="18" s="1"/>
  <c r="G26" i="17"/>
  <c r="AD16" i="18" s="1"/>
  <c r="F26" i="17"/>
  <c r="Z16" i="18" s="1"/>
  <c r="E26" i="17"/>
  <c r="V16" i="18" s="1"/>
  <c r="D26" i="17"/>
  <c r="R16" i="18" s="1"/>
  <c r="C26" i="17"/>
  <c r="N16" i="18" s="1"/>
  <c r="B26" i="17"/>
  <c r="J16" i="18" s="1"/>
  <c r="J25" i="17"/>
  <c r="I25" i="17"/>
  <c r="H25" i="17"/>
  <c r="G25" i="17"/>
  <c r="AD15" i="18" s="1"/>
  <c r="F25" i="17"/>
  <c r="E25" i="17"/>
  <c r="D25" i="17"/>
  <c r="C25" i="17"/>
  <c r="B25" i="17"/>
  <c r="N24" i="17"/>
  <c r="M20" i="17"/>
  <c r="L20" i="17"/>
  <c r="K20" i="17"/>
  <c r="J19" i="17"/>
  <c r="AP11" i="18" s="1"/>
  <c r="AR11" i="18" s="1"/>
  <c r="I19" i="17"/>
  <c r="H19" i="17"/>
  <c r="G19" i="17"/>
  <c r="AD11" i="18" s="1"/>
  <c r="AF11" i="18" s="1"/>
  <c r="F19" i="17"/>
  <c r="Z11" i="18" s="1"/>
  <c r="AB11" i="18" s="1"/>
  <c r="E19" i="17"/>
  <c r="D19" i="17"/>
  <c r="C19" i="17"/>
  <c r="N11" i="18" s="1"/>
  <c r="P11" i="18" s="1"/>
  <c r="B19" i="17"/>
  <c r="B20" i="17" s="1"/>
  <c r="N18" i="17"/>
  <c r="J17" i="17"/>
  <c r="AP8" i="18" s="1"/>
  <c r="I17" i="17"/>
  <c r="AL8" i="18" s="1"/>
  <c r="H17" i="17"/>
  <c r="AH8" i="18" s="1"/>
  <c r="C17" i="17"/>
  <c r="N8" i="18" s="1"/>
  <c r="B17" i="17"/>
  <c r="J8" i="18" s="1"/>
  <c r="M16" i="17"/>
  <c r="L16" i="17"/>
  <c r="K16" i="17"/>
  <c r="J16" i="17"/>
  <c r="E16" i="17"/>
  <c r="I15" i="17"/>
  <c r="AL10" i="18" s="1"/>
  <c r="H15" i="17"/>
  <c r="AH10" i="18" s="1"/>
  <c r="G15" i="17"/>
  <c r="G16" i="17" s="1"/>
  <c r="F15" i="17"/>
  <c r="D15" i="17"/>
  <c r="C15" i="17"/>
  <c r="C16" i="17" s="1"/>
  <c r="B15" i="17"/>
  <c r="N14" i="17"/>
  <c r="M13" i="17"/>
  <c r="L13" i="17"/>
  <c r="H12" i="17"/>
  <c r="G12" i="17"/>
  <c r="F12" i="17"/>
  <c r="E12" i="17"/>
  <c r="J11" i="17"/>
  <c r="I11" i="17"/>
  <c r="H11" i="17"/>
  <c r="G11" i="17"/>
  <c r="F11" i="17"/>
  <c r="K10" i="17"/>
  <c r="AT6" i="18" s="1"/>
  <c r="J10" i="17"/>
  <c r="I10" i="17"/>
  <c r="H10" i="17"/>
  <c r="G10" i="17"/>
  <c r="F10" i="17"/>
  <c r="E10" i="17"/>
  <c r="V6" i="18" s="1"/>
  <c r="D10" i="17"/>
  <c r="C10" i="17"/>
  <c r="N6" i="18" s="1"/>
  <c r="B10" i="17"/>
  <c r="J6" i="18" s="1"/>
  <c r="H9" i="17"/>
  <c r="AH7" i="18" s="1"/>
  <c r="F9" i="17"/>
  <c r="Z7" i="18" s="1"/>
  <c r="E9" i="17"/>
  <c r="V7" i="18" s="1"/>
  <c r="D9" i="17"/>
  <c r="K8" i="17"/>
  <c r="AT9" i="18" s="1"/>
  <c r="J8" i="17"/>
  <c r="AP9" i="18" s="1"/>
  <c r="I8" i="17"/>
  <c r="AL9" i="18" s="1"/>
  <c r="H8" i="17"/>
  <c r="G8" i="17"/>
  <c r="AD9" i="18" s="1"/>
  <c r="D8" i="17"/>
  <c r="R9" i="18" s="1"/>
  <c r="C8" i="17"/>
  <c r="N9" i="18" s="1"/>
  <c r="B8" i="17"/>
  <c r="N7" i="17"/>
  <c r="AZ36" i="18" l="1"/>
  <c r="H52" i="17"/>
  <c r="P38" i="18"/>
  <c r="N30" i="18"/>
  <c r="AL39" i="18"/>
  <c r="AN39" i="18" s="1"/>
  <c r="H16" i="17"/>
  <c r="J27" i="17"/>
  <c r="D45" i="17"/>
  <c r="R30" i="18" s="1"/>
  <c r="H45" i="17"/>
  <c r="AH30" i="18" s="1"/>
  <c r="C103" i="17"/>
  <c r="D38" i="17"/>
  <c r="R21" i="18" s="1"/>
  <c r="K38" i="17"/>
  <c r="AT21" i="18" s="1"/>
  <c r="R36" i="18"/>
  <c r="T36" i="18" s="1"/>
  <c r="AN38" i="18"/>
  <c r="AP15" i="18"/>
  <c r="AP18" i="18" s="1"/>
  <c r="G52" i="17"/>
  <c r="AD22" i="18" s="1"/>
  <c r="J52" i="17"/>
  <c r="AP22" i="18" s="1"/>
  <c r="B59" i="17"/>
  <c r="J23" i="18" s="1"/>
  <c r="G59" i="17"/>
  <c r="AD23" i="18" s="1"/>
  <c r="K75" i="17"/>
  <c r="AT33" i="18" s="1"/>
  <c r="AD24" i="18"/>
  <c r="B103" i="17"/>
  <c r="B104" i="17" s="1"/>
  <c r="G103" i="17"/>
  <c r="G104" i="17" s="1"/>
  <c r="K13" i="17"/>
  <c r="K21" i="17" s="1"/>
  <c r="K22" i="17" s="1"/>
  <c r="N9" i="17"/>
  <c r="Z6" i="18"/>
  <c r="AP6" i="18"/>
  <c r="AP12" i="18" s="1"/>
  <c r="V24" i="18"/>
  <c r="AL24" i="18"/>
  <c r="C30" i="17"/>
  <c r="I38" i="17"/>
  <c r="AL21" i="18" s="1"/>
  <c r="N48" i="17"/>
  <c r="N55" i="17"/>
  <c r="Z24" i="18"/>
  <c r="G30" i="17"/>
  <c r="B38" i="17"/>
  <c r="J21" i="18" s="1"/>
  <c r="F45" i="17"/>
  <c r="Z30" i="18" s="1"/>
  <c r="D103" i="17"/>
  <c r="D104" i="17" s="1"/>
  <c r="AZ37" i="18"/>
  <c r="C20" i="17"/>
  <c r="Z17" i="18"/>
  <c r="AH38" i="18"/>
  <c r="G20" i="17"/>
  <c r="AP24" i="18"/>
  <c r="N100" i="17"/>
  <c r="L38" i="18"/>
  <c r="AL6" i="18"/>
  <c r="C13" i="17"/>
  <c r="C38" i="17"/>
  <c r="N21" i="18" s="1"/>
  <c r="E38" i="17"/>
  <c r="V21" i="18" s="1"/>
  <c r="F60" i="17"/>
  <c r="M60" i="17"/>
  <c r="M91" i="17" s="1"/>
  <c r="D59" i="17"/>
  <c r="R23" i="18" s="1"/>
  <c r="B75" i="17"/>
  <c r="J33" i="18" s="1"/>
  <c r="F75" i="17"/>
  <c r="Z33" i="18" s="1"/>
  <c r="J75" i="17"/>
  <c r="AP33" i="18" s="1"/>
  <c r="N66" i="17"/>
  <c r="N70" i="17"/>
  <c r="R24" i="18"/>
  <c r="AH24" i="18"/>
  <c r="N83" i="17"/>
  <c r="H103" i="17"/>
  <c r="H104" i="17" s="1"/>
  <c r="AR9" i="18"/>
  <c r="BD38" i="18"/>
  <c r="B16" i="17"/>
  <c r="J10" i="18"/>
  <c r="D27" i="17"/>
  <c r="R15" i="18"/>
  <c r="H27" i="17"/>
  <c r="AH15" i="18"/>
  <c r="D30" i="17"/>
  <c r="R17" i="18"/>
  <c r="H30" i="17"/>
  <c r="AH17" i="18"/>
  <c r="R7" i="18"/>
  <c r="F7" i="18" s="1"/>
  <c r="AD6" i="18"/>
  <c r="G13" i="17"/>
  <c r="L21" i="17"/>
  <c r="L22" i="17" s="1"/>
  <c r="I16" i="17"/>
  <c r="M21" i="17"/>
  <c r="M22" i="17" s="1"/>
  <c r="J20" i="17"/>
  <c r="E27" i="17"/>
  <c r="V15" i="18"/>
  <c r="I27" i="17"/>
  <c r="AL15" i="18"/>
  <c r="G27" i="17"/>
  <c r="E30" i="17"/>
  <c r="V17" i="18"/>
  <c r="I30" i="17"/>
  <c r="AL17" i="18"/>
  <c r="G38" i="17"/>
  <c r="AD21" i="18" s="1"/>
  <c r="H60" i="17"/>
  <c r="AH22" i="18"/>
  <c r="J103" i="17"/>
  <c r="J104" i="17" s="1"/>
  <c r="E103" i="17"/>
  <c r="E104" i="17" s="1"/>
  <c r="I103" i="17"/>
  <c r="AD10" i="18"/>
  <c r="AB37" i="18"/>
  <c r="AF37" i="18"/>
  <c r="B13" i="17"/>
  <c r="J9" i="18"/>
  <c r="L9" i="18" s="1"/>
  <c r="H13" i="17"/>
  <c r="AH9" i="18"/>
  <c r="N10" i="17"/>
  <c r="R6" i="18"/>
  <c r="AH6" i="18"/>
  <c r="J13" i="17"/>
  <c r="D16" i="17"/>
  <c r="R10" i="18"/>
  <c r="D20" i="17"/>
  <c r="R11" i="18"/>
  <c r="T11" i="18" s="1"/>
  <c r="H20" i="17"/>
  <c r="AH11" i="18"/>
  <c r="AJ11" i="18" s="1"/>
  <c r="B27" i="17"/>
  <c r="J15" i="18"/>
  <c r="J18" i="18" s="1"/>
  <c r="F27" i="17"/>
  <c r="Z15" i="18"/>
  <c r="N33" i="17"/>
  <c r="J45" i="17"/>
  <c r="AP30" i="18" s="1"/>
  <c r="AP38" i="18"/>
  <c r="AR38" i="18" s="1"/>
  <c r="N90" i="17"/>
  <c r="N37" i="18"/>
  <c r="F37" i="18" s="1"/>
  <c r="N35" i="18"/>
  <c r="F35" i="18" s="1"/>
  <c r="R22" i="18"/>
  <c r="Z38" i="18"/>
  <c r="N19" i="17"/>
  <c r="J11" i="18"/>
  <c r="L11" i="18" s="1"/>
  <c r="C27" i="17"/>
  <c r="N12" i="17"/>
  <c r="F16" i="17"/>
  <c r="Z10" i="18"/>
  <c r="E20" i="17"/>
  <c r="V11" i="18"/>
  <c r="X11" i="18" s="1"/>
  <c r="I20" i="17"/>
  <c r="AL11" i="18"/>
  <c r="AN11" i="18" s="1"/>
  <c r="F20" i="17"/>
  <c r="N25" i="17"/>
  <c r="N15" i="18"/>
  <c r="N26" i="17"/>
  <c r="B30" i="17"/>
  <c r="J30" i="17"/>
  <c r="N32" i="17"/>
  <c r="N34" i="17"/>
  <c r="D75" i="17"/>
  <c r="R33" i="18" s="1"/>
  <c r="R31" i="18"/>
  <c r="H75" i="17"/>
  <c r="AH33" i="18" s="1"/>
  <c r="AH31" i="18"/>
  <c r="F89" i="17"/>
  <c r="Z36" i="18"/>
  <c r="AB36" i="18" s="1"/>
  <c r="B89" i="17"/>
  <c r="J36" i="18"/>
  <c r="L36" i="18" s="1"/>
  <c r="N82" i="17"/>
  <c r="J25" i="18"/>
  <c r="F25" i="18" s="1"/>
  <c r="N84" i="17"/>
  <c r="N28" i="18"/>
  <c r="F28" i="18" s="1"/>
  <c r="I104" i="17"/>
  <c r="N10" i="18"/>
  <c r="N12" i="18" s="1"/>
  <c r="H38" i="17"/>
  <c r="AH21" i="18" s="1"/>
  <c r="G45" i="17"/>
  <c r="AD30" i="18" s="1"/>
  <c r="L60" i="17"/>
  <c r="L91" i="17" s="1"/>
  <c r="N56" i="17"/>
  <c r="C75" i="17"/>
  <c r="N33" i="18" s="1"/>
  <c r="G89" i="17"/>
  <c r="N85" i="17"/>
  <c r="N94" i="17"/>
  <c r="N102" i="17"/>
  <c r="X37" i="18"/>
  <c r="AN37" i="18"/>
  <c r="BD36" i="18"/>
  <c r="Z22" i="18"/>
  <c r="BB22" i="18"/>
  <c r="BB40" i="18" s="1"/>
  <c r="AD36" i="18"/>
  <c r="AF36" i="18" s="1"/>
  <c r="N35" i="17"/>
  <c r="N36" i="17"/>
  <c r="N41" i="17"/>
  <c r="N65" i="17"/>
  <c r="N68" i="17"/>
  <c r="N69" i="17"/>
  <c r="N73" i="17"/>
  <c r="C89" i="17"/>
  <c r="I89" i="17"/>
  <c r="H89" i="17"/>
  <c r="N81" i="17"/>
  <c r="N86" i="17"/>
  <c r="N97" i="17"/>
  <c r="F103" i="17"/>
  <c r="F104" i="17" s="1"/>
  <c r="K103" i="17"/>
  <c r="K104" i="17" s="1"/>
  <c r="N101" i="17"/>
  <c r="AJ37" i="18"/>
  <c r="AX18" i="18"/>
  <c r="N26" i="18"/>
  <c r="R38" i="18"/>
  <c r="AD38" i="18"/>
  <c r="AF38" i="18" s="1"/>
  <c r="AX22" i="18"/>
  <c r="AX40" i="18" s="1"/>
  <c r="AX42" i="18" s="1"/>
  <c r="AT36" i="18"/>
  <c r="AV36" i="18" s="1"/>
  <c r="F38" i="17"/>
  <c r="Z21" i="18" s="1"/>
  <c r="J38" i="17"/>
  <c r="AP21" i="18" s="1"/>
  <c r="E45" i="17"/>
  <c r="V30" i="18" s="1"/>
  <c r="I45" i="17"/>
  <c r="AL30" i="18" s="1"/>
  <c r="C60" i="17"/>
  <c r="J59" i="17"/>
  <c r="AP23" i="18" s="1"/>
  <c r="N63" i="17"/>
  <c r="N64" i="17"/>
  <c r="D89" i="17"/>
  <c r="J89" i="17"/>
  <c r="N79" i="17"/>
  <c r="N80" i="17"/>
  <c r="E89" i="17"/>
  <c r="N87" i="17"/>
  <c r="N99" i="17"/>
  <c r="L37" i="18"/>
  <c r="J29" i="18"/>
  <c r="F29" i="18" s="1"/>
  <c r="N36" i="18"/>
  <c r="P36" i="18" s="1"/>
  <c r="V26" i="18"/>
  <c r="V38" i="18"/>
  <c r="X38" i="18" s="1"/>
  <c r="Z39" i="18"/>
  <c r="AB39" i="18" s="1"/>
  <c r="AL36" i="18"/>
  <c r="AP36" i="18"/>
  <c r="BD9" i="18"/>
  <c r="AJ36" i="18"/>
  <c r="AV37" i="18"/>
  <c r="AN9" i="18"/>
  <c r="AV9" i="18"/>
  <c r="X9" i="18"/>
  <c r="BD37" i="18"/>
  <c r="X36" i="18"/>
  <c r="AR37" i="18"/>
  <c r="F32" i="18"/>
  <c r="AV38" i="18"/>
  <c r="F34" i="18"/>
  <c r="T37" i="18"/>
  <c r="F8" i="18"/>
  <c r="AF9" i="18"/>
  <c r="P9" i="18"/>
  <c r="AD18" i="18"/>
  <c r="AT18" i="18"/>
  <c r="BB18" i="18"/>
  <c r="F16" i="18"/>
  <c r="G36" i="18"/>
  <c r="G27" i="18"/>
  <c r="H27" i="18" s="1"/>
  <c r="G37" i="18"/>
  <c r="BB12" i="18"/>
  <c r="AX12" i="18"/>
  <c r="AT12" i="18"/>
  <c r="G11" i="18"/>
  <c r="F13" i="17"/>
  <c r="N11" i="17"/>
  <c r="B45" i="17"/>
  <c r="N42" i="17"/>
  <c r="I13" i="17"/>
  <c r="E13" i="17"/>
  <c r="N15" i="17"/>
  <c r="N29" i="17"/>
  <c r="N44" i="17"/>
  <c r="B52" i="17"/>
  <c r="J22" i="18" s="1"/>
  <c r="N49" i="17"/>
  <c r="E59" i="17"/>
  <c r="V23" i="18" s="1"/>
  <c r="G75" i="17"/>
  <c r="N62" i="17"/>
  <c r="N67" i="17"/>
  <c r="D13" i="17"/>
  <c r="N17" i="17"/>
  <c r="N43" i="17"/>
  <c r="I52" i="17"/>
  <c r="AL22" i="18" s="1"/>
  <c r="N50" i="17"/>
  <c r="N51" i="17"/>
  <c r="K60" i="17"/>
  <c r="N54" i="17"/>
  <c r="I59" i="17"/>
  <c r="N57" i="17"/>
  <c r="N58" i="17"/>
  <c r="I75" i="17"/>
  <c r="AL33" i="18" s="1"/>
  <c r="N72" i="17"/>
  <c r="N74" i="17"/>
  <c r="E75" i="17"/>
  <c r="N78" i="17"/>
  <c r="C95" i="17"/>
  <c r="N98" i="17"/>
  <c r="N77" i="17"/>
  <c r="N8" i="17"/>
  <c r="C104" i="17" l="1"/>
  <c r="K91" i="17"/>
  <c r="K92" i="17" s="1"/>
  <c r="V18" i="18"/>
  <c r="R18" i="18"/>
  <c r="Z18" i="18"/>
  <c r="F26" i="18"/>
  <c r="Z12" i="18"/>
  <c r="B21" i="17"/>
  <c r="B22" i="17" s="1"/>
  <c r="F36" i="18"/>
  <c r="F24" i="18"/>
  <c r="V12" i="18"/>
  <c r="F6" i="18"/>
  <c r="AL18" i="18"/>
  <c r="AX44" i="18"/>
  <c r="Z40" i="18"/>
  <c r="AL12" i="18"/>
  <c r="C21" i="17"/>
  <c r="C22" i="17" s="1"/>
  <c r="AD12" i="18"/>
  <c r="N30" i="17"/>
  <c r="R12" i="18"/>
  <c r="F22" i="18"/>
  <c r="E21" i="17"/>
  <c r="E22" i="17" s="1"/>
  <c r="G60" i="17"/>
  <c r="G91" i="17" s="1"/>
  <c r="P37" i="18"/>
  <c r="F39" i="18"/>
  <c r="H39" i="18" s="1"/>
  <c r="N89" i="17"/>
  <c r="F31" i="18"/>
  <c r="G21" i="17"/>
  <c r="G22" i="17" s="1"/>
  <c r="N16" i="17"/>
  <c r="N95" i="17"/>
  <c r="BB42" i="18"/>
  <c r="BB44" i="18" s="1"/>
  <c r="AH12" i="18"/>
  <c r="N40" i="18"/>
  <c r="N27" i="17"/>
  <c r="L92" i="17"/>
  <c r="L105" i="17" s="1"/>
  <c r="F17" i="18"/>
  <c r="AH18" i="18"/>
  <c r="F10" i="18"/>
  <c r="N103" i="17"/>
  <c r="F21" i="17"/>
  <c r="F22" i="17" s="1"/>
  <c r="AT40" i="18"/>
  <c r="AT42" i="18" s="1"/>
  <c r="AT44" i="18" s="1"/>
  <c r="F91" i="17"/>
  <c r="N20" i="17"/>
  <c r="D60" i="17"/>
  <c r="D91" i="17" s="1"/>
  <c r="H21" i="17"/>
  <c r="H22" i="17" s="1"/>
  <c r="J12" i="18"/>
  <c r="F15" i="18"/>
  <c r="J21" i="17"/>
  <c r="J22" i="17" s="1"/>
  <c r="M92" i="17"/>
  <c r="M105" i="17" s="1"/>
  <c r="F9" i="18"/>
  <c r="AN36" i="18"/>
  <c r="AP40" i="18"/>
  <c r="AP42" i="18" s="1"/>
  <c r="AP44" i="18" s="1"/>
  <c r="J60" i="17"/>
  <c r="J91" i="17" s="1"/>
  <c r="F21" i="18"/>
  <c r="R40" i="18"/>
  <c r="R42" i="18" s="1"/>
  <c r="R44" i="18" s="1"/>
  <c r="AH40" i="18"/>
  <c r="AH42" i="18" s="1"/>
  <c r="AR36" i="18"/>
  <c r="I21" i="17"/>
  <c r="I22" i="17" s="1"/>
  <c r="F11" i="18"/>
  <c r="H91" i="17"/>
  <c r="AD33" i="18"/>
  <c r="AD40" i="18" s="1"/>
  <c r="AD42" i="18" s="1"/>
  <c r="AD44" i="18" s="1"/>
  <c r="K105" i="17"/>
  <c r="E60" i="17"/>
  <c r="E91" i="17" s="1"/>
  <c r="E92" i="17" s="1"/>
  <c r="E105" i="17" s="1"/>
  <c r="N38" i="17"/>
  <c r="N18" i="18"/>
  <c r="F38" i="18"/>
  <c r="N59" i="17"/>
  <c r="AL23" i="18"/>
  <c r="AL40" i="18" s="1"/>
  <c r="AL42" i="18" s="1"/>
  <c r="N45" i="17"/>
  <c r="J30" i="18"/>
  <c r="F30" i="18" s="1"/>
  <c r="D21" i="17"/>
  <c r="D22" i="17" s="1"/>
  <c r="N75" i="17"/>
  <c r="V33" i="18"/>
  <c r="C91" i="17"/>
  <c r="H36" i="18"/>
  <c r="H37" i="18"/>
  <c r="H11" i="18"/>
  <c r="N52" i="17"/>
  <c r="B60" i="17"/>
  <c r="N13" i="17"/>
  <c r="N104" i="17"/>
  <c r="I60" i="17"/>
  <c r="I91" i="17" s="1"/>
  <c r="C92" i="17" l="1"/>
  <c r="C105" i="17" s="1"/>
  <c r="Z42" i="18"/>
  <c r="Z44" i="18" s="1"/>
  <c r="N42" i="18"/>
  <c r="N44" i="18" s="1"/>
  <c r="AL44" i="18"/>
  <c r="G92" i="17"/>
  <c r="G105" i="17" s="1"/>
  <c r="AH44" i="18"/>
  <c r="H92" i="17"/>
  <c r="H105" i="17" s="1"/>
  <c r="F12" i="18"/>
  <c r="F92" i="17"/>
  <c r="F105" i="17" s="1"/>
  <c r="F18" i="18"/>
  <c r="D92" i="17"/>
  <c r="D105" i="17" s="1"/>
  <c r="N22" i="17"/>
  <c r="J92" i="17"/>
  <c r="J105" i="17" s="1"/>
  <c r="F23" i="18"/>
  <c r="I92" i="17"/>
  <c r="I105" i="17" s="1"/>
  <c r="N21" i="17"/>
  <c r="F33" i="18"/>
  <c r="V40" i="18"/>
  <c r="V42" i="18" s="1"/>
  <c r="V44" i="18" s="1"/>
  <c r="J40" i="18"/>
  <c r="J42" i="18" s="1"/>
  <c r="J44" i="18" s="1"/>
  <c r="N60" i="17"/>
  <c r="B91" i="17"/>
  <c r="AM26" i="18"/>
  <c r="AN26" i="18" s="1"/>
  <c r="AQ26" i="18"/>
  <c r="AR26" i="18" s="1"/>
  <c r="AU26" i="18"/>
  <c r="AV26" i="18" s="1"/>
  <c r="AY26" i="18"/>
  <c r="AZ26" i="18" s="1"/>
  <c r="BC26" i="18"/>
  <c r="BD26" i="18" s="1"/>
  <c r="AI26" i="18"/>
  <c r="AJ26" i="18" s="1"/>
  <c r="O26" i="18"/>
  <c r="P26" i="18" s="1"/>
  <c r="S26" i="18"/>
  <c r="T26" i="18" s="1"/>
  <c r="W26" i="18"/>
  <c r="X26" i="18" s="1"/>
  <c r="AA26" i="18"/>
  <c r="AB26" i="18" s="1"/>
  <c r="AE26" i="18"/>
  <c r="AF26" i="18" s="1"/>
  <c r="K26" i="18"/>
  <c r="AM34" i="18"/>
  <c r="AN34" i="18" s="1"/>
  <c r="AQ34" i="18"/>
  <c r="AR34" i="18" s="1"/>
  <c r="AU34" i="18"/>
  <c r="AV34" i="18" s="1"/>
  <c r="AY34" i="18"/>
  <c r="AZ34" i="18" s="1"/>
  <c r="BC34" i="18"/>
  <c r="BD34" i="18" s="1"/>
  <c r="O34" i="18"/>
  <c r="P34" i="18" s="1"/>
  <c r="S34" i="18"/>
  <c r="T34" i="18" s="1"/>
  <c r="W34" i="18"/>
  <c r="X34" i="18" s="1"/>
  <c r="AA34" i="18"/>
  <c r="AB34" i="18" s="1"/>
  <c r="AE34" i="18"/>
  <c r="AF34" i="18" s="1"/>
  <c r="AM24" i="18"/>
  <c r="AN24" i="18" s="1"/>
  <c r="AQ24" i="18"/>
  <c r="AR24" i="18" s="1"/>
  <c r="AU24" i="18"/>
  <c r="AV24" i="18" s="1"/>
  <c r="AY24" i="18"/>
  <c r="AZ24" i="18" s="1"/>
  <c r="BC24" i="18"/>
  <c r="BD24" i="18" s="1"/>
  <c r="AI24" i="18"/>
  <c r="AJ24" i="18" s="1"/>
  <c r="O24" i="18"/>
  <c r="P24" i="18" s="1"/>
  <c r="S24" i="18"/>
  <c r="T24" i="18" s="1"/>
  <c r="AA24" i="18"/>
  <c r="AB24" i="18" s="1"/>
  <c r="AE24" i="18"/>
  <c r="AF24" i="18" s="1"/>
  <c r="K24" i="18"/>
  <c r="O35" i="18"/>
  <c r="P35" i="18" s="1"/>
  <c r="S35" i="18"/>
  <c r="T35" i="18" s="1"/>
  <c r="W35" i="18"/>
  <c r="X35" i="18" s="1"/>
  <c r="AA35" i="18"/>
  <c r="AB35" i="18" s="1"/>
  <c r="AE35" i="18"/>
  <c r="AF35" i="18" s="1"/>
  <c r="AM35" i="18"/>
  <c r="AN35" i="18" s="1"/>
  <c r="AQ35" i="18"/>
  <c r="AR35" i="18" s="1"/>
  <c r="AU35" i="18"/>
  <c r="AV35" i="18" s="1"/>
  <c r="AY35" i="18"/>
  <c r="AZ35" i="18" s="1"/>
  <c r="BC35" i="18"/>
  <c r="BD35" i="18" s="1"/>
  <c r="O8" i="18"/>
  <c r="P8" i="18" s="1"/>
  <c r="S8" i="18"/>
  <c r="T8" i="18" s="1"/>
  <c r="W8" i="18"/>
  <c r="X8" i="18" s="1"/>
  <c r="AA8" i="18"/>
  <c r="AB8" i="18" s="1"/>
  <c r="AE8" i="18"/>
  <c r="AF8" i="18" s="1"/>
  <c r="AI8" i="18"/>
  <c r="AJ8" i="18" s="1"/>
  <c r="AM8" i="18"/>
  <c r="AN8" i="18" s="1"/>
  <c r="AQ8" i="18"/>
  <c r="AR8" i="18" s="1"/>
  <c r="AU8" i="18"/>
  <c r="AV8" i="18" s="1"/>
  <c r="AY8" i="18"/>
  <c r="AZ8" i="18" s="1"/>
  <c r="BC8" i="18"/>
  <c r="BD8" i="18" s="1"/>
  <c r="S7" i="18"/>
  <c r="T7" i="18" s="1"/>
  <c r="W7" i="18"/>
  <c r="X7" i="18" s="1"/>
  <c r="AE7" i="18"/>
  <c r="AF7" i="18" s="1"/>
  <c r="AI7" i="18"/>
  <c r="AJ7" i="18" s="1"/>
  <c r="AU7" i="18"/>
  <c r="AV7" i="18" s="1"/>
  <c r="AY7" i="18"/>
  <c r="AZ7" i="18" s="1"/>
  <c r="AQ7" i="18"/>
  <c r="AR7" i="18" s="1"/>
  <c r="F40" i="18" l="1"/>
  <c r="F42" i="18" s="1"/>
  <c r="F44" i="18" s="1"/>
  <c r="AI34" i="18"/>
  <c r="AJ34" i="18" s="1"/>
  <c r="K34" i="18"/>
  <c r="L34" i="18" s="1"/>
  <c r="K35" i="18"/>
  <c r="L35" i="18" s="1"/>
  <c r="K8" i="18"/>
  <c r="G8" i="18" s="1"/>
  <c r="H8" i="18" s="1"/>
  <c r="K7" i="18"/>
  <c r="L7" i="18" s="1"/>
  <c r="O7" i="18"/>
  <c r="P7" i="18" s="1"/>
  <c r="BC10" i="18"/>
  <c r="BD10" i="18" s="1"/>
  <c r="L26" i="18"/>
  <c r="G26" i="18"/>
  <c r="H26" i="18" s="1"/>
  <c r="BC25" i="18"/>
  <c r="BD25" i="18" s="1"/>
  <c r="W25" i="18"/>
  <c r="X25" i="18" s="1"/>
  <c r="AM25" i="18"/>
  <c r="AN25" i="18" s="1"/>
  <c r="W24" i="18"/>
  <c r="X24" i="18" s="1"/>
  <c r="AU25" i="18"/>
  <c r="AV25" i="18" s="1"/>
  <c r="L24" i="18"/>
  <c r="N91" i="17"/>
  <c r="B92" i="17"/>
  <c r="AY25" i="18"/>
  <c r="AZ25" i="18" s="1"/>
  <c r="S25" i="18"/>
  <c r="T25" i="18" s="1"/>
  <c r="AE25" i="18"/>
  <c r="AF25" i="18" s="1"/>
  <c r="AQ25" i="18"/>
  <c r="AR25" i="18" s="1"/>
  <c r="AA25" i="18"/>
  <c r="AB25" i="18" s="1"/>
  <c r="BC7" i="18"/>
  <c r="BD7" i="18" s="1"/>
  <c r="AM7" i="18"/>
  <c r="AN7" i="18" s="1"/>
  <c r="L8" i="18" l="1"/>
  <c r="G34" i="18"/>
  <c r="H34" i="18" s="1"/>
  <c r="AI25" i="18"/>
  <c r="AJ25" i="18" s="1"/>
  <c r="K25" i="18"/>
  <c r="L25" i="18" s="1"/>
  <c r="AI35" i="18"/>
  <c r="AJ35" i="18" s="1"/>
  <c r="BC23" i="18"/>
  <c r="BD23" i="18" s="1"/>
  <c r="AA23" i="18"/>
  <c r="AB23" i="18" s="1"/>
  <c r="AU23" i="18"/>
  <c r="AV23" i="18" s="1"/>
  <c r="O23" i="18"/>
  <c r="P23" i="18" s="1"/>
  <c r="AE22" i="18"/>
  <c r="AF22" i="18" s="1"/>
  <c r="K23" i="18"/>
  <c r="AE23" i="18"/>
  <c r="AF23" i="18" s="1"/>
  <c r="AI23" i="18"/>
  <c r="AJ23" i="18" s="1"/>
  <c r="W23" i="18"/>
  <c r="X23" i="18" s="1"/>
  <c r="G24" i="18"/>
  <c r="H24" i="18" s="1"/>
  <c r="AM23" i="18"/>
  <c r="AN23" i="18" s="1"/>
  <c r="S22" i="18"/>
  <c r="T22" i="18" s="1"/>
  <c r="AY23" i="18"/>
  <c r="AZ23" i="18" s="1"/>
  <c r="AA22" i="18"/>
  <c r="AB22" i="18" s="1"/>
  <c r="AM22" i="18"/>
  <c r="AN22" i="18" s="1"/>
  <c r="AQ23" i="18"/>
  <c r="AR23" i="18" s="1"/>
  <c r="K22" i="18"/>
  <c r="L22" i="18" s="1"/>
  <c r="AY22" i="18"/>
  <c r="AZ22" i="18" s="1"/>
  <c r="BC22" i="18"/>
  <c r="BD22" i="18" s="1"/>
  <c r="W22" i="18"/>
  <c r="X22" i="18" s="1"/>
  <c r="AU22" i="18"/>
  <c r="AV22" i="18" s="1"/>
  <c r="AQ22" i="18"/>
  <c r="AR22" i="18" s="1"/>
  <c r="S23" i="18"/>
  <c r="T23" i="18" s="1"/>
  <c r="AA7" i="18"/>
  <c r="O25" i="18"/>
  <c r="P25" i="18" s="1"/>
  <c r="B105" i="17"/>
  <c r="N105" i="17" s="1"/>
  <c r="N92" i="17"/>
  <c r="F45" i="18" s="1"/>
  <c r="G35" i="18" l="1"/>
  <c r="H35" i="18" s="1"/>
  <c r="AI22" i="18"/>
  <c r="AJ22" i="18" s="1"/>
  <c r="O22" i="18"/>
  <c r="P22" i="18" s="1"/>
  <c r="G23" i="18"/>
  <c r="H23" i="18" s="1"/>
  <c r="L23" i="18"/>
  <c r="AB7" i="18"/>
  <c r="G7" i="18"/>
  <c r="H7" i="18" s="1"/>
  <c r="G25" i="18"/>
  <c r="H25" i="18" s="1"/>
  <c r="G22" i="18" l="1"/>
  <c r="H22" i="18" s="1"/>
  <c r="AI10" i="18"/>
  <c r="AJ10" i="18" s="1"/>
  <c r="K10" i="18" l="1"/>
  <c r="L10" i="18" l="1"/>
  <c r="W15" i="18" l="1"/>
  <c r="S15" i="18"/>
  <c r="BC15" i="18"/>
  <c r="AM15" i="18"/>
  <c r="AY15" i="18"/>
  <c r="AA15" i="18"/>
  <c r="AI38" i="18"/>
  <c r="AJ38" i="18" s="1"/>
  <c r="AI9" i="18"/>
  <c r="AJ9" i="18" s="1"/>
  <c r="S38" i="18" l="1"/>
  <c r="T38" i="18" s="1"/>
  <c r="S9" i="18"/>
  <c r="T9" i="18" s="1"/>
  <c r="AM28" i="18"/>
  <c r="AN28" i="18" s="1"/>
  <c r="BC28" i="18"/>
  <c r="BD28" i="18" s="1"/>
  <c r="W28" i="18"/>
  <c r="X28" i="18" s="1"/>
  <c r="AQ28" i="18"/>
  <c r="AR28" i="18" s="1"/>
  <c r="AA28" i="18"/>
  <c r="AB28" i="18" s="1"/>
  <c r="AY28" i="18"/>
  <c r="AZ28" i="18" s="1"/>
  <c r="AU28" i="18"/>
  <c r="AV28" i="18" s="1"/>
  <c r="O28" i="18"/>
  <c r="P28" i="18" s="1"/>
  <c r="AE28" i="18"/>
  <c r="AF28" i="18" s="1"/>
  <c r="S28" i="18"/>
  <c r="T28" i="18" s="1"/>
  <c r="AY10" i="18"/>
  <c r="AZ10" i="18" s="1"/>
  <c r="AU10" i="18"/>
  <c r="AV10" i="18" s="1"/>
  <c r="AQ10" i="18"/>
  <c r="AR10" i="18" s="1"/>
  <c r="AE10" i="18"/>
  <c r="AF10" i="18" s="1"/>
  <c r="AA10" i="18"/>
  <c r="AB10" i="18" s="1"/>
  <c r="W10" i="18"/>
  <c r="X10" i="18" s="1"/>
  <c r="S10" i="18"/>
  <c r="T10" i="18" s="1"/>
  <c r="T15" i="18"/>
  <c r="O15" i="18"/>
  <c r="AB15" i="18"/>
  <c r="AN15" i="18"/>
  <c r="AI15" i="18"/>
  <c r="X15" i="18"/>
  <c r="BD15" i="18"/>
  <c r="AZ15" i="18"/>
  <c r="K15" i="18"/>
  <c r="AA32" i="18"/>
  <c r="AB32" i="18" s="1"/>
  <c r="O32" i="18"/>
  <c r="P32" i="18" s="1"/>
  <c r="AQ32" i="18"/>
  <c r="AR32" i="18" s="1"/>
  <c r="W32" i="18"/>
  <c r="X32" i="18" s="1"/>
  <c r="S32" i="18"/>
  <c r="T32" i="18" s="1"/>
  <c r="AE32" i="18"/>
  <c r="AF32" i="18" s="1"/>
  <c r="AM32" i="18"/>
  <c r="AN32" i="18" s="1"/>
  <c r="AE15" i="18"/>
  <c r="AQ15" i="18"/>
  <c r="AU15" i="18"/>
  <c r="K32" i="18" l="1"/>
  <c r="K17" i="18"/>
  <c r="L17" i="18" s="1"/>
  <c r="AI32" i="18"/>
  <c r="AJ32" i="18" s="1"/>
  <c r="W29" i="18"/>
  <c r="X29" i="18" s="1"/>
  <c r="K28" i="18"/>
  <c r="AI28" i="18"/>
  <c r="AJ28" i="18" s="1"/>
  <c r="AE16" i="18"/>
  <c r="AF16" i="18" s="1"/>
  <c r="AA16" i="18"/>
  <c r="AB16" i="18" s="1"/>
  <c r="W16" i="18"/>
  <c r="X16" i="18" s="1"/>
  <c r="S16" i="18"/>
  <c r="T16" i="18" s="1"/>
  <c r="AY16" i="18"/>
  <c r="AZ16" i="18" s="1"/>
  <c r="AM16" i="18"/>
  <c r="AN16" i="18" s="1"/>
  <c r="AU16" i="18"/>
  <c r="AV16" i="18" s="1"/>
  <c r="BC16" i="18"/>
  <c r="BD16" i="18" s="1"/>
  <c r="AQ16" i="18"/>
  <c r="AR16" i="18" s="1"/>
  <c r="AA29" i="18"/>
  <c r="AB29" i="18" s="1"/>
  <c r="S29" i="18"/>
  <c r="T29" i="18" s="1"/>
  <c r="AM10" i="18"/>
  <c r="AN10" i="18" s="1"/>
  <c r="O10" i="18"/>
  <c r="AY17" i="18"/>
  <c r="AZ17" i="18" s="1"/>
  <c r="AF15" i="18"/>
  <c r="AU17" i="18"/>
  <c r="AV17" i="18" s="1"/>
  <c r="S17" i="18"/>
  <c r="AI17" i="18"/>
  <c r="AJ17" i="18" s="1"/>
  <c r="AV15" i="18"/>
  <c r="W17" i="18"/>
  <c r="X17" i="18" s="1"/>
  <c r="AQ17" i="18"/>
  <c r="AR17" i="18" s="1"/>
  <c r="O17" i="18"/>
  <c r="P17" i="18" s="1"/>
  <c r="G15" i="18"/>
  <c r="L15" i="18"/>
  <c r="P15" i="18"/>
  <c r="AM17" i="18"/>
  <c r="AA17" i="18"/>
  <c r="AB17" i="18" s="1"/>
  <c r="BC17" i="18"/>
  <c r="BD17" i="18" s="1"/>
  <c r="AR15" i="18"/>
  <c r="AE17" i="18"/>
  <c r="AF17" i="18" s="1"/>
  <c r="K16" i="18"/>
  <c r="AJ15" i="18"/>
  <c r="AU32" i="18"/>
  <c r="AV32" i="18" s="1"/>
  <c r="L32" i="18"/>
  <c r="O29" i="18"/>
  <c r="P29" i="18" s="1"/>
  <c r="AE29" i="18"/>
  <c r="AF29" i="18" s="1"/>
  <c r="BC29" i="18"/>
  <c r="BD29" i="18" s="1"/>
  <c r="AU29" i="18"/>
  <c r="AQ29" i="18"/>
  <c r="BC32" i="18"/>
  <c r="BD32" i="18" s="1"/>
  <c r="AY32" i="18"/>
  <c r="AZ32" i="18" s="1"/>
  <c r="AY29" i="18"/>
  <c r="AM29" i="18"/>
  <c r="K29" i="18" l="1"/>
  <c r="L29" i="18" s="1"/>
  <c r="AM21" i="18"/>
  <c r="AN21" i="18" s="1"/>
  <c r="AQ21" i="18"/>
  <c r="AR21" i="18" s="1"/>
  <c r="AI29" i="18"/>
  <c r="AJ29" i="18" s="1"/>
  <c r="AY21" i="18"/>
  <c r="AZ21" i="18" s="1"/>
  <c r="BC21" i="18"/>
  <c r="BD21" i="18" s="1"/>
  <c r="O21" i="18"/>
  <c r="P21" i="18" s="1"/>
  <c r="AE21" i="18"/>
  <c r="AF21" i="18" s="1"/>
  <c r="S21" i="18"/>
  <c r="T21" i="18" s="1"/>
  <c r="O16" i="18"/>
  <c r="P16" i="18" s="1"/>
  <c r="P18" i="18" s="1"/>
  <c r="G28" i="18"/>
  <c r="H28" i="18" s="1"/>
  <c r="L28" i="18"/>
  <c r="AU21" i="18"/>
  <c r="AV21" i="18" s="1"/>
  <c r="W21" i="18"/>
  <c r="X21" i="18" s="1"/>
  <c r="AA21" i="18"/>
  <c r="AB21" i="18" s="1"/>
  <c r="AB18" i="18"/>
  <c r="X18" i="18"/>
  <c r="BD18" i="18"/>
  <c r="AI16" i="18"/>
  <c r="AJ16" i="18" s="1"/>
  <c r="AJ18" i="18" s="1"/>
  <c r="AZ18" i="18"/>
  <c r="P10" i="18"/>
  <c r="G10" i="18"/>
  <c r="H10" i="18" s="1"/>
  <c r="AQ18" i="18"/>
  <c r="AY18" i="18"/>
  <c r="BC18" i="18"/>
  <c r="AU18" i="18"/>
  <c r="T17" i="18"/>
  <c r="T18" i="18" s="1"/>
  <c r="S18" i="18"/>
  <c r="AF18" i="18"/>
  <c r="AN17" i="18"/>
  <c r="AN18" i="18" s="1"/>
  <c r="AM18" i="18"/>
  <c r="AA18" i="18"/>
  <c r="AE18" i="18"/>
  <c r="W18" i="18"/>
  <c r="AV18" i="18"/>
  <c r="L16" i="18"/>
  <c r="L18" i="18" s="1"/>
  <c r="K18" i="18"/>
  <c r="AR18" i="18"/>
  <c r="H15" i="18"/>
  <c r="G17" i="18"/>
  <c r="H17" i="18" s="1"/>
  <c r="G32" i="18"/>
  <c r="H32" i="18" s="1"/>
  <c r="AV29" i="18"/>
  <c r="AZ29" i="18"/>
  <c r="AN29" i="18"/>
  <c r="AR29" i="18"/>
  <c r="G29" i="18" l="1"/>
  <c r="H29" i="18" s="1"/>
  <c r="O18" i="18"/>
  <c r="K21" i="18"/>
  <c r="AI21" i="18"/>
  <c r="AJ21" i="18" s="1"/>
  <c r="G16" i="18"/>
  <c r="H16" i="18" s="1"/>
  <c r="H18" i="18" s="1"/>
  <c r="AI18" i="18"/>
  <c r="AA30" i="18" l="1"/>
  <c r="AB30" i="18" s="1"/>
  <c r="W30" i="18"/>
  <c r="X30" i="18" s="1"/>
  <c r="O30" i="18"/>
  <c r="P30" i="18" s="1"/>
  <c r="AQ30" i="18"/>
  <c r="AR30" i="18" s="1"/>
  <c r="AE30" i="18"/>
  <c r="AF30" i="18" s="1"/>
  <c r="S30" i="18"/>
  <c r="T30" i="18" s="1"/>
  <c r="AM30" i="18"/>
  <c r="AN30" i="18" s="1"/>
  <c r="AY30" i="18"/>
  <c r="AZ30" i="18" s="1"/>
  <c r="AU30" i="18"/>
  <c r="AV30" i="18" s="1"/>
  <c r="G21" i="18"/>
  <c r="H21" i="18" s="1"/>
  <c r="L21" i="18"/>
  <c r="G18" i="18"/>
  <c r="AA31" i="18"/>
  <c r="AB31" i="18" s="1"/>
  <c r="AM31" i="18"/>
  <c r="O31" i="18"/>
  <c r="AE31" i="18"/>
  <c r="W31" i="18"/>
  <c r="S31" i="18"/>
  <c r="AQ31" i="18"/>
  <c r="AU31" i="18"/>
  <c r="AY31" i="18"/>
  <c r="AZ31" i="18" s="1"/>
  <c r="BC31" i="18"/>
  <c r="BC30" i="18" l="1"/>
  <c r="BD30" i="18" s="1"/>
  <c r="AI30" i="18"/>
  <c r="AJ30" i="18" s="1"/>
  <c r="K30" i="18"/>
  <c r="AR31" i="18"/>
  <c r="P31" i="18"/>
  <c r="AN31" i="18"/>
  <c r="BD31" i="18"/>
  <c r="T31" i="18"/>
  <c r="X31" i="18"/>
  <c r="AV31" i="18"/>
  <c r="AF31" i="18"/>
  <c r="K31" i="18" l="1"/>
  <c r="L31" i="18" s="1"/>
  <c r="AI31" i="18"/>
  <c r="AJ31" i="18" s="1"/>
  <c r="G30" i="18"/>
  <c r="H30" i="18" s="1"/>
  <c r="L30" i="18"/>
  <c r="AA33" i="18"/>
  <c r="AB33" i="18" s="1"/>
  <c r="AY33" i="18"/>
  <c r="AZ33" i="18" s="1"/>
  <c r="AA9" i="18"/>
  <c r="AA38" i="18"/>
  <c r="G31" i="18" l="1"/>
  <c r="H31" i="18" s="1"/>
  <c r="K33" i="18"/>
  <c r="K40" i="18" s="1"/>
  <c r="K42" i="18" s="1"/>
  <c r="AI33" i="18"/>
  <c r="AJ33" i="18" s="1"/>
  <c r="AI40" i="18"/>
  <c r="AI42" i="18" s="1"/>
  <c r="AJ40" i="18"/>
  <c r="AJ42" i="18" s="1"/>
  <c r="AB38" i="18"/>
  <c r="AB40" i="18" s="1"/>
  <c r="AB42" i="18" s="1"/>
  <c r="AA40" i="18"/>
  <c r="AA42" i="18" s="1"/>
  <c r="AB9" i="18"/>
  <c r="W33" i="18"/>
  <c r="BC33" i="18"/>
  <c r="AE33" i="18"/>
  <c r="AM33" i="18"/>
  <c r="O33" i="18"/>
  <c r="AQ33" i="18"/>
  <c r="S33" i="18"/>
  <c r="AU33" i="18"/>
  <c r="AY38" i="18"/>
  <c r="L33" i="18" l="1"/>
  <c r="L40" i="18" s="1"/>
  <c r="L42" i="18" s="1"/>
  <c r="T33" i="18"/>
  <c r="T40" i="18" s="1"/>
  <c r="T42" i="18" s="1"/>
  <c r="S40" i="18"/>
  <c r="S42" i="18" s="1"/>
  <c r="BD33" i="18"/>
  <c r="BD40" i="18" s="1"/>
  <c r="BD42" i="18" s="1"/>
  <c r="BC40" i="18"/>
  <c r="BC42" i="18" s="1"/>
  <c r="P33" i="18"/>
  <c r="P40" i="18" s="1"/>
  <c r="P42" i="18" s="1"/>
  <c r="O40" i="18"/>
  <c r="O42" i="18" s="1"/>
  <c r="AF33" i="18"/>
  <c r="AF40" i="18" s="1"/>
  <c r="AF42" i="18" s="1"/>
  <c r="AE40" i="18"/>
  <c r="AE42" i="18" s="1"/>
  <c r="AV33" i="18"/>
  <c r="AV40" i="18" s="1"/>
  <c r="AV42" i="18" s="1"/>
  <c r="AU40" i="18"/>
  <c r="AU42" i="18" s="1"/>
  <c r="X33" i="18"/>
  <c r="X40" i="18" s="1"/>
  <c r="X42" i="18" s="1"/>
  <c r="W40" i="18"/>
  <c r="W42" i="18" s="1"/>
  <c r="AR33" i="18"/>
  <c r="AR40" i="18" s="1"/>
  <c r="AR42" i="18" s="1"/>
  <c r="AQ40" i="18"/>
  <c r="AQ42" i="18" s="1"/>
  <c r="AN33" i="18"/>
  <c r="AN40" i="18" s="1"/>
  <c r="AN42" i="18" s="1"/>
  <c r="AM40" i="18"/>
  <c r="AM42" i="18" s="1"/>
  <c r="AZ38" i="18"/>
  <c r="AZ40" i="18" s="1"/>
  <c r="AZ42" i="18" s="1"/>
  <c r="AY40" i="18"/>
  <c r="AY42" i="18" s="1"/>
  <c r="G38" i="18"/>
  <c r="G33" i="18"/>
  <c r="H33" i="18" s="1"/>
  <c r="AY9" i="18"/>
  <c r="H38" i="18" l="1"/>
  <c r="H40" i="18" s="1"/>
  <c r="H42" i="18" s="1"/>
  <c r="G40" i="18"/>
  <c r="G42" i="18" s="1"/>
  <c r="AZ9" i="18"/>
  <c r="G9" i="18"/>
  <c r="H9" i="18" l="1"/>
  <c r="O6" i="18" l="1"/>
  <c r="S6" i="18"/>
  <c r="AU6" i="18"/>
  <c r="AE6" i="18"/>
  <c r="AY6" i="18"/>
  <c r="AY12" i="18" s="1"/>
  <c r="AY44" i="18" s="1"/>
  <c r="O12" i="18" l="1"/>
  <c r="O44" i="18" s="1"/>
  <c r="P6" i="18"/>
  <c r="P12" i="18" s="1"/>
  <c r="P44" i="18" s="1"/>
  <c r="AE12" i="18"/>
  <c r="AE44" i="18" s="1"/>
  <c r="AF6" i="18"/>
  <c r="AF12" i="18" s="1"/>
  <c r="AF44" i="18" s="1"/>
  <c r="AI6" i="18"/>
  <c r="S12" i="18"/>
  <c r="S44" i="18" s="1"/>
  <c r="T6" i="18"/>
  <c r="T12" i="18" s="1"/>
  <c r="T44" i="18" s="1"/>
  <c r="AV6" i="18"/>
  <c r="AV12" i="18" s="1"/>
  <c r="AV44" i="18" s="1"/>
  <c r="AU12" i="18"/>
  <c r="AU44" i="18" s="1"/>
  <c r="AZ6" i="18"/>
  <c r="AZ12" i="18" s="1"/>
  <c r="AZ44" i="18" s="1"/>
  <c r="W6" i="18"/>
  <c r="AQ6" i="18"/>
  <c r="AQ12" i="18" l="1"/>
  <c r="AQ44" i="18" s="1"/>
  <c r="AR6" i="18"/>
  <c r="AR12" i="18" s="1"/>
  <c r="AR44" i="18" s="1"/>
  <c r="AA6" i="18"/>
  <c r="BC6" i="18"/>
  <c r="AM6" i="18"/>
  <c r="AJ6" i="18"/>
  <c r="AJ12" i="18" s="1"/>
  <c r="AJ44" i="18" s="1"/>
  <c r="AI12" i="18"/>
  <c r="AI44" i="18" s="1"/>
  <c r="K6" i="18"/>
  <c r="W12" i="18"/>
  <c r="W44" i="18" s="1"/>
  <c r="X6" i="18"/>
  <c r="X12" i="18" s="1"/>
  <c r="X44" i="18" s="1"/>
  <c r="AM12" i="18" l="1"/>
  <c r="AM44" i="18" s="1"/>
  <c r="AN6" i="18"/>
  <c r="AN12" i="18" s="1"/>
  <c r="AN44" i="18" s="1"/>
  <c r="AB6" i="18"/>
  <c r="AB12" i="18" s="1"/>
  <c r="AB44" i="18" s="1"/>
  <c r="AA12" i="18"/>
  <c r="AA44" i="18" s="1"/>
  <c r="L6" i="18"/>
  <c r="L12" i="18" s="1"/>
  <c r="L44" i="18" s="1"/>
  <c r="G6" i="18"/>
  <c r="K12" i="18"/>
  <c r="K44" i="18" s="1"/>
  <c r="BD6" i="18"/>
  <c r="BD12" i="18" s="1"/>
  <c r="BD44" i="18" s="1"/>
  <c r="BC12" i="18"/>
  <c r="BC44" i="18" s="1"/>
  <c r="H6" i="18" l="1"/>
  <c r="H12" i="18" s="1"/>
  <c r="H44" i="18" s="1"/>
  <c r="G12" i="18"/>
  <c r="G44" i="18" s="1"/>
</calcChain>
</file>

<file path=xl/sharedStrings.xml><?xml version="1.0" encoding="utf-8"?>
<sst xmlns="http://schemas.openxmlformats.org/spreadsheetml/2006/main" count="318" uniqueCount="192">
  <si>
    <t>Total</t>
  </si>
  <si>
    <t>Total Revenues</t>
  </si>
  <si>
    <t>Employee Benefits</t>
  </si>
  <si>
    <t>Total Compensation</t>
  </si>
  <si>
    <t>Surplus/Deficit</t>
  </si>
  <si>
    <t>Program Supplies</t>
  </si>
  <si>
    <t>Office Supplies</t>
  </si>
  <si>
    <t>Payroll Taxes</t>
  </si>
  <si>
    <t>Professional Development</t>
  </si>
  <si>
    <t>Equipment Rental</t>
  </si>
  <si>
    <t>Telephone</t>
  </si>
  <si>
    <t>Insurance</t>
  </si>
  <si>
    <t>Special Events</t>
  </si>
  <si>
    <t>Bank Fees</t>
  </si>
  <si>
    <t>Program Fees</t>
  </si>
  <si>
    <t>Professional Fees</t>
  </si>
  <si>
    <t>Total Operating Expenses</t>
  </si>
  <si>
    <t>Total Expenses</t>
  </si>
  <si>
    <t>Revenue</t>
  </si>
  <si>
    <t>Expenses</t>
  </si>
  <si>
    <t>Government Grants</t>
  </si>
  <si>
    <t>Budget</t>
  </si>
  <si>
    <t>Salaries</t>
  </si>
  <si>
    <t>Dismas Inc.</t>
  </si>
  <si>
    <t>Operating Budget</t>
  </si>
  <si>
    <t>Printing/Postage</t>
  </si>
  <si>
    <t>Contributions</t>
  </si>
  <si>
    <t>Foundation Grants</t>
  </si>
  <si>
    <t>Marketing</t>
  </si>
  <si>
    <t>Telephone/Internet</t>
  </si>
  <si>
    <t>Client Services</t>
  </si>
  <si>
    <t>Occupancy</t>
  </si>
  <si>
    <t>Repairs &amp; Maintenance</t>
  </si>
  <si>
    <t>Dues &amp; Subscriptions</t>
  </si>
  <si>
    <t>Travel &amp; Mileage</t>
  </si>
  <si>
    <t>Interest Expense</t>
  </si>
  <si>
    <t>November</t>
  </si>
  <si>
    <t>January</t>
  </si>
  <si>
    <t>May</t>
  </si>
  <si>
    <t>Capital Purchase</t>
  </si>
  <si>
    <t>Feb 2020</t>
  </si>
  <si>
    <t>July</t>
  </si>
  <si>
    <t>August</t>
  </si>
  <si>
    <t>September</t>
  </si>
  <si>
    <t>October</t>
  </si>
  <si>
    <t>December</t>
  </si>
  <si>
    <t>February</t>
  </si>
  <si>
    <t>March</t>
  </si>
  <si>
    <t>April</t>
  </si>
  <si>
    <t>June</t>
  </si>
  <si>
    <t>Dismas Inc</t>
  </si>
  <si>
    <t>Profit and Loss by Month</t>
  </si>
  <si>
    <t>Jul 2019</t>
  </si>
  <si>
    <t>Aug 2019</t>
  </si>
  <si>
    <t>Sep 2019</t>
  </si>
  <si>
    <t>Oct 2019</t>
  </si>
  <si>
    <t>Nov 2019</t>
  </si>
  <si>
    <t>Dec 2019</t>
  </si>
  <si>
    <t>Jan 2020</t>
  </si>
  <si>
    <t>Mar 2020</t>
  </si>
  <si>
    <t>Income</t>
  </si>
  <si>
    <t xml:space="preserve">   40000 Fundraising Income</t>
  </si>
  <si>
    <t xml:space="preserve">      40100 Special Event Income</t>
  </si>
  <si>
    <t xml:space="preserve">      40200 Grants - Operating</t>
  </si>
  <si>
    <t xml:space="preserve">      40250 General Fund</t>
  </si>
  <si>
    <t xml:space="preserve">      40400 Newsletter Income</t>
  </si>
  <si>
    <t xml:space="preserve">      40500 Online Income</t>
  </si>
  <si>
    <t xml:space="preserve">   Total 40000 Fundraising Income</t>
  </si>
  <si>
    <t xml:space="preserve">   42000 Program Income</t>
  </si>
  <si>
    <t xml:space="preserve">      42100 Program Fees Income</t>
  </si>
  <si>
    <t xml:space="preserve">   Total 42000 Program Income</t>
  </si>
  <si>
    <t xml:space="preserve">   43000 Government Support</t>
  </si>
  <si>
    <t xml:space="preserve">   48000 Other Income</t>
  </si>
  <si>
    <t xml:space="preserve">      48100 Investment Income</t>
  </si>
  <si>
    <t xml:space="preserve">   Total 48000 Other Income</t>
  </si>
  <si>
    <t>Total Income</t>
  </si>
  <si>
    <t>Gross Profit</t>
  </si>
  <si>
    <t xml:space="preserve">   50000 Compensation</t>
  </si>
  <si>
    <t xml:space="preserve">      50100 Gross Wages</t>
  </si>
  <si>
    <t xml:space="preserve">      50200 Payroll Taxes</t>
  </si>
  <si>
    <t xml:space="preserve">   Total 50000 Compensation</t>
  </si>
  <si>
    <t xml:space="preserve">   50500 Employee Benefits</t>
  </si>
  <si>
    <t xml:space="preserve">      50600 Health Insurance</t>
  </si>
  <si>
    <t xml:space="preserve">   Total 50500 Employee Benefits</t>
  </si>
  <si>
    <t xml:space="preserve">   60000 Professional Fees</t>
  </si>
  <si>
    <t xml:space="preserve">      60100 Legal</t>
  </si>
  <si>
    <t xml:space="preserve">      60300 IT Services</t>
  </si>
  <si>
    <t xml:space="preserve">      60400 Payroll Services</t>
  </si>
  <si>
    <t xml:space="preserve">      60500 Accounting</t>
  </si>
  <si>
    <t xml:space="preserve">      60600 Grantwriter</t>
  </si>
  <si>
    <t xml:space="preserve">      60700 Security</t>
  </si>
  <si>
    <t xml:space="preserve">   Total 60000 Professional Fees</t>
  </si>
  <si>
    <t xml:space="preserve">   65000 Development Expense</t>
  </si>
  <si>
    <t xml:space="preserve">      65100 Recognition</t>
  </si>
  <si>
    <t xml:space="preserve">      65200 Special Events Expense</t>
  </si>
  <si>
    <t xml:space="preserve">      65300 Marketing Expense</t>
  </si>
  <si>
    <t xml:space="preserve">      65400 Direct Mail Expense</t>
  </si>
  <si>
    <t xml:space="preserve">      65500 Newsletter Expense</t>
  </si>
  <si>
    <t xml:space="preserve">   Total 65000 Development Expense</t>
  </si>
  <si>
    <t xml:space="preserve">   70000 Program Expenses</t>
  </si>
  <si>
    <t xml:space="preserve">      70000A Client Services</t>
  </si>
  <si>
    <t xml:space="preserve">         70200 Basic Needs</t>
  </si>
  <si>
    <t xml:space="preserve">         70250 Legal Documents</t>
  </si>
  <si>
    <t xml:space="preserve">         70300 Support Services</t>
  </si>
  <si>
    <t xml:space="preserve">         70350 Resident Health Care</t>
  </si>
  <si>
    <t xml:space="preserve">      Total 70000A Client Services</t>
  </si>
  <si>
    <t xml:space="preserve">      70000B Program Supplies</t>
  </si>
  <si>
    <t xml:space="preserve">         70100 Supplies</t>
  </si>
  <si>
    <t xml:space="preserve">         70150 Groceries &amp; Meals</t>
  </si>
  <si>
    <t xml:space="preserve">         70400 Savings Match</t>
  </si>
  <si>
    <t xml:space="preserve">         70450 Transportation</t>
  </si>
  <si>
    <t xml:space="preserve">         70500 Resident Activities</t>
  </si>
  <si>
    <t xml:space="preserve">      Total 70000B Program Supplies</t>
  </si>
  <si>
    <t xml:space="preserve">   Total 70000 Program Expenses</t>
  </si>
  <si>
    <t xml:space="preserve">   75000 Occupancy</t>
  </si>
  <si>
    <t xml:space="preserve">      75100 Electric</t>
  </si>
  <si>
    <t xml:space="preserve">      75200 Cable</t>
  </si>
  <si>
    <t xml:space="preserve">      75300 Water</t>
  </si>
  <si>
    <t xml:space="preserve">      75350 Waste Services</t>
  </si>
  <si>
    <t xml:space="preserve">      75375 Pest Control</t>
  </si>
  <si>
    <t xml:space="preserve">      75400 Telephone</t>
  </si>
  <si>
    <t xml:space="preserve">      75500 Internet</t>
  </si>
  <si>
    <t xml:space="preserve">      75600 Repair &amp; Maintenance</t>
  </si>
  <si>
    <t xml:space="preserve">      75650 Cleaning Services</t>
  </si>
  <si>
    <t xml:space="preserve">      75655 Lawn Care Services</t>
  </si>
  <si>
    <t xml:space="preserve">      757000 Natural Gas</t>
  </si>
  <si>
    <t xml:space="preserve">      75800 Security System</t>
  </si>
  <si>
    <t xml:space="preserve">      80700 Insurance</t>
  </si>
  <si>
    <t xml:space="preserve">   Total 75000 Occupancy</t>
  </si>
  <si>
    <t xml:space="preserve">   80000 Administrative Expenses</t>
  </si>
  <si>
    <t xml:space="preserve">      80100 Bank Fees</t>
  </si>
  <si>
    <t xml:space="preserve">      80150 Merchant Processing Fees</t>
  </si>
  <si>
    <t xml:space="preserve">      80200 Office Supplies/Equipment</t>
  </si>
  <si>
    <t xml:space="preserve">      80250 Technology Service Expenses</t>
  </si>
  <si>
    <t xml:space="preserve">      80300 Training/Conferences</t>
  </si>
  <si>
    <t xml:space="preserve">      80400 Dues/Subscriptions</t>
  </si>
  <si>
    <t xml:space="preserve">      80500 Travel</t>
  </si>
  <si>
    <t xml:space="preserve">      80600 General Postage</t>
  </si>
  <si>
    <t xml:space="preserve">      80650 Equipment Rental &amp; Maint</t>
  </si>
  <si>
    <t xml:space="preserve">      80800 Cultivation/Networking Meetings</t>
  </si>
  <si>
    <t xml:space="preserve">      90600 Other Expense</t>
  </si>
  <si>
    <t xml:space="preserve">      90700 Uncategorized Expense</t>
  </si>
  <si>
    <t xml:space="preserve">   Total 80000 Administrative Expenses</t>
  </si>
  <si>
    <t xml:space="preserve">   80900 Interest Expense</t>
  </si>
  <si>
    <t>Net Operating Income</t>
  </si>
  <si>
    <t>Other Income</t>
  </si>
  <si>
    <t xml:space="preserve">   44500 Cap Campaign - Temp Restricted</t>
  </si>
  <si>
    <t>Total Other Income</t>
  </si>
  <si>
    <t>Other Expenses</t>
  </si>
  <si>
    <t xml:space="preserve">   65600 Capital Campaign</t>
  </si>
  <si>
    <t xml:space="preserve">   65650 Builders Insurance</t>
  </si>
  <si>
    <t xml:space="preserve">   65655 Consulting</t>
  </si>
  <si>
    <t xml:space="preserve">   65660 Contract Labor</t>
  </si>
  <si>
    <t xml:space="preserve">   80901 Interest Expense - Charlotte Ave</t>
  </si>
  <si>
    <t xml:space="preserve">   98050 Rent Expense - 16th Avenue</t>
  </si>
  <si>
    <t>Total Other Expenses</t>
  </si>
  <si>
    <t>Net Other Income</t>
  </si>
  <si>
    <t>Net Income</t>
  </si>
  <si>
    <t>July 2019 - June 2020</t>
  </si>
  <si>
    <t>Apr 2020</t>
  </si>
  <si>
    <t>May 2020</t>
  </si>
  <si>
    <t>Jun 2020</t>
  </si>
  <si>
    <t>Tuesday, Apr 21, 2020 05:00:24 AM GMT-7 - Accrual Basis</t>
  </si>
  <si>
    <t>Actual</t>
  </si>
  <si>
    <t>Difference</t>
  </si>
  <si>
    <t>Other</t>
  </si>
  <si>
    <t>J</t>
  </si>
  <si>
    <t>F</t>
  </si>
  <si>
    <t>M</t>
  </si>
  <si>
    <t>A</t>
  </si>
  <si>
    <t>S</t>
  </si>
  <si>
    <t>O</t>
  </si>
  <si>
    <t>N</t>
  </si>
  <si>
    <t>D</t>
  </si>
  <si>
    <t>FY 2020-21</t>
  </si>
  <si>
    <t>Compensation Budget</t>
  </si>
  <si>
    <t>Development Budget</t>
  </si>
  <si>
    <t>Program Budget</t>
  </si>
  <si>
    <t>Admin Budget</t>
  </si>
  <si>
    <t>Occupancy Budget</t>
  </si>
  <si>
    <t>FY 23/24</t>
  </si>
  <si>
    <t>In-Kind</t>
  </si>
  <si>
    <t>Program Expenses</t>
  </si>
  <si>
    <t>FY 2022-23</t>
  </si>
  <si>
    <t>FY22/23</t>
  </si>
  <si>
    <t>FY 24/25</t>
  </si>
  <si>
    <t>Pandemic SBA Loan</t>
  </si>
  <si>
    <t>Merchant Processing Fees</t>
  </si>
  <si>
    <t>Debt</t>
  </si>
  <si>
    <t>Mortgage payments</t>
  </si>
  <si>
    <t>Resident Housing Fees</t>
  </si>
  <si>
    <t>Single Housing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</si>
</sst>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\ _€"/>
    <numFmt numFmtId="166" formatCode="&quot;$&quot;* #,##0.00\ _€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43" fontId="4" fillId="0" borderId="3" xfId="1" applyFont="1" applyFill="1" applyBorder="1" applyAlignment="1">
      <alignment horizontal="left"/>
    </xf>
    <xf numFmtId="164" fontId="5" fillId="0" borderId="0" xfId="1" applyNumberFormat="1" applyFont="1" applyFill="1" applyBorder="1"/>
    <xf numFmtId="164" fontId="5" fillId="0" borderId="1" xfId="1" applyNumberFormat="1" applyFont="1" applyFill="1" applyBorder="1"/>
    <xf numFmtId="164" fontId="4" fillId="0" borderId="1" xfId="1" applyNumberFormat="1" applyFont="1" applyFill="1" applyBorder="1"/>
    <xf numFmtId="164" fontId="4" fillId="0" borderId="0" xfId="1" applyNumberFormat="1" applyFont="1" applyFill="1" applyBorder="1"/>
    <xf numFmtId="164" fontId="4" fillId="0" borderId="2" xfId="1" applyNumberFormat="1" applyFont="1" applyFill="1" applyBorder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64" fontId="4" fillId="0" borderId="4" xfId="1" applyNumberFormat="1" applyFont="1" applyFill="1" applyBorder="1"/>
    <xf numFmtId="164" fontId="4" fillId="0" borderId="5" xfId="1" applyNumberFormat="1" applyFont="1" applyFill="1" applyBorder="1"/>
    <xf numFmtId="43" fontId="5" fillId="0" borderId="0" xfId="1" applyFont="1" applyFill="1"/>
    <xf numFmtId="164" fontId="3" fillId="0" borderId="0" xfId="1" applyNumberFormat="1" applyFont="1" applyFill="1"/>
    <xf numFmtId="164" fontId="6" fillId="0" borderId="0" xfId="1" applyNumberFormat="1" applyFont="1" applyFill="1"/>
    <xf numFmtId="164" fontId="3" fillId="0" borderId="0" xfId="1" applyNumberFormat="1" applyFont="1" applyFill="1" applyBorder="1"/>
    <xf numFmtId="164" fontId="5" fillId="0" borderId="0" xfId="0" applyNumberFormat="1" applyFont="1" applyFill="1"/>
    <xf numFmtId="0" fontId="4" fillId="3" borderId="0" xfId="0" applyFont="1" applyFill="1" applyBorder="1" applyAlignment="1">
      <alignment horizontal="center"/>
    </xf>
    <xf numFmtId="164" fontId="4" fillId="0" borderId="6" xfId="1" applyNumberFormat="1" applyFont="1" applyFill="1" applyBorder="1"/>
    <xf numFmtId="164" fontId="4" fillId="0" borderId="8" xfId="1" applyNumberFormat="1" applyFont="1" applyFill="1" applyBorder="1"/>
    <xf numFmtId="164" fontId="4" fillId="0" borderId="7" xfId="1" applyNumberFormat="1" applyFont="1" applyFill="1" applyBorder="1"/>
    <xf numFmtId="43" fontId="5" fillId="0" borderId="0" xfId="1" applyFont="1" applyFill="1" applyBorder="1"/>
    <xf numFmtId="164" fontId="8" fillId="0" borderId="0" xfId="1" applyNumberFormat="1" applyFont="1" applyFill="1" applyBorder="1"/>
    <xf numFmtId="0" fontId="0" fillId="0" borderId="0" xfId="0" applyAlignment="1">
      <alignment wrapText="1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65" fontId="13" fillId="0" borderId="0" xfId="0" applyNumberFormat="1" applyFont="1" applyAlignment="1">
      <alignment wrapText="1"/>
    </xf>
    <xf numFmtId="165" fontId="13" fillId="0" borderId="0" xfId="0" applyNumberFormat="1" applyFont="1" applyAlignment="1">
      <alignment horizontal="right" wrapText="1"/>
    </xf>
    <xf numFmtId="166" fontId="12" fillId="0" borderId="7" xfId="0" applyNumberFormat="1" applyFont="1" applyBorder="1" applyAlignment="1">
      <alignment horizontal="right" wrapText="1"/>
    </xf>
    <xf numFmtId="0" fontId="4" fillId="0" borderId="3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left"/>
    </xf>
    <xf numFmtId="0" fontId="12" fillId="2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Alignment="1"/>
    <xf numFmtId="0" fontId="0" fillId="0" borderId="0" xfId="0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164" fontId="5" fillId="0" borderId="1" xfId="1" applyNumberFormat="1" applyFont="1" applyFill="1" applyBorder="1" applyAlignment="1"/>
    <xf numFmtId="0" fontId="5" fillId="0" borderId="0" xfId="0" applyFont="1" applyFill="1" applyAlignment="1"/>
    <xf numFmtId="164" fontId="8" fillId="0" borderId="0" xfId="1" applyNumberFormat="1" applyFont="1" applyFill="1" applyBorder="1" applyAlignment="1"/>
    <xf numFmtId="164" fontId="5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14" fillId="0" borderId="0" xfId="0" applyFont="1" applyFill="1" applyAlignment="1">
      <alignment horizontal="left"/>
    </xf>
    <xf numFmtId="164" fontId="5" fillId="0" borderId="12" xfId="1" applyNumberFormat="1" applyFont="1" applyFill="1" applyBorder="1"/>
    <xf numFmtId="164" fontId="4" fillId="0" borderId="9" xfId="1" applyNumberFormat="1" applyFont="1" applyFill="1" applyBorder="1"/>
    <xf numFmtId="164" fontId="4" fillId="0" borderId="11" xfId="1" applyNumberFormat="1" applyFont="1" applyFill="1" applyBorder="1"/>
    <xf numFmtId="164" fontId="5" fillId="0" borderId="10" xfId="1" applyNumberFormat="1" applyFont="1" applyFill="1" applyBorder="1"/>
    <xf numFmtId="0" fontId="5" fillId="0" borderId="10" xfId="0" applyFont="1" applyFill="1" applyBorder="1"/>
    <xf numFmtId="164" fontId="5" fillId="0" borderId="10" xfId="0" applyNumberFormat="1" applyFont="1" applyFill="1" applyBorder="1"/>
    <xf numFmtId="164" fontId="5" fillId="0" borderId="12" xfId="0" applyNumberFormat="1" applyFont="1" applyFill="1" applyBorder="1"/>
    <xf numFmtId="164" fontId="5" fillId="0" borderId="9" xfId="0" applyNumberFormat="1" applyFont="1" applyFill="1" applyBorder="1"/>
    <xf numFmtId="0" fontId="4" fillId="0" borderId="13" xfId="0" applyFont="1" applyFill="1" applyBorder="1"/>
    <xf numFmtId="0" fontId="4" fillId="0" borderId="3" xfId="0" applyFont="1" applyFill="1" applyBorder="1" applyAlignment="1">
      <alignment horizontal="center"/>
    </xf>
    <xf numFmtId="164" fontId="4" fillId="0" borderId="2" xfId="1" applyNumberFormat="1" applyFont="1" applyFill="1" applyBorder="1"/>
    <xf numFmtId="164" fontId="8" fillId="0" borderId="0" xfId="1" applyNumberFormat="1" applyFont="1" applyFill="1" applyBorder="1"/>
    <xf numFmtId="164" fontId="5" fillId="0" borderId="0" xfId="1" applyNumberFormat="1" applyFont="1" applyFill="1"/>
    <xf numFmtId="164" fontId="5" fillId="0" borderId="4" xfId="1" applyNumberFormat="1" applyFont="1" applyFill="1" applyBorder="1"/>
    <xf numFmtId="164" fontId="5" fillId="0" borderId="14" xfId="1" applyNumberFormat="1" applyFont="1" applyFill="1" applyBorder="1"/>
    <xf numFmtId="0" fontId="4" fillId="0" borderId="3" xfId="0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omma 2 2" xfId="6" xr:uid="{F4E90B3D-9F9C-47D3-A764-E5D6169656DB}"/>
    <cellStyle name="Normal" xfId="0" builtinId="0"/>
    <cellStyle name="Normal 2" xfId="4" xr:uid="{8F7A38CD-99FF-47FA-97B5-D4E6980B956C}"/>
    <cellStyle name="Normal 3" xfId="5" xr:uid="{18ED2572-9261-4147-B8AF-AECA13B9CDB2}"/>
    <cellStyle name="Percent 2" xfId="3" xr:uid="{00000000-0005-0000-0000-000005000000}"/>
    <cellStyle name="Percent 2 2" xfId="7" xr:uid="{4B3719FE-C4C1-41ED-A28B-73FE1F0E0474}"/>
  </cellStyles>
  <dxfs count="0"/>
  <tableStyles count="0" defaultTableStyle="TableStyleMedium9" defaultPivotStyle="PivotStyleLight16"/>
  <colors>
    <mruColors>
      <color rgb="FFFFFF99"/>
      <color rgb="FFEE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tabSelected="1" zoomScale="80" zoomScaleNormal="8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T35" sqref="T35"/>
    </sheetView>
  </sheetViews>
  <sheetFormatPr defaultColWidth="9.109375" defaultRowHeight="13.8" x14ac:dyDescent="0.25"/>
  <cols>
    <col min="1" max="1" width="31.6640625" style="4" customWidth="1"/>
    <col min="2" max="2" width="18.6640625" style="4" customWidth="1"/>
    <col min="3" max="3" width="7.44140625" style="4" bestFit="1" customWidth="1"/>
    <col min="4" max="4" width="11.44140625" style="4" hidden="1" customWidth="1"/>
    <col min="5" max="5" width="10.6640625" style="4" hidden="1" customWidth="1"/>
    <col min="6" max="6" width="12.44140625" style="4" hidden="1" customWidth="1"/>
    <col min="7" max="7" width="10.6640625" style="4" hidden="1" customWidth="1"/>
    <col min="8" max="8" width="11.5546875" style="4" hidden="1" customWidth="1"/>
    <col min="9" max="9" width="11.6640625" style="4" hidden="1" customWidth="1"/>
    <col min="10" max="13" width="11.44140625" style="4" hidden="1" customWidth="1"/>
    <col min="14" max="14" width="10.6640625" style="4" hidden="1" customWidth="1"/>
    <col min="15" max="15" width="12.44140625" style="4" hidden="1" customWidth="1"/>
    <col min="16" max="16" width="17.6640625" style="4" hidden="1" customWidth="1"/>
    <col min="17" max="19" width="17.6640625" style="4" customWidth="1"/>
    <col min="20" max="21" width="9.109375" style="4"/>
    <col min="22" max="22" width="12.6640625" style="4" customWidth="1"/>
    <col min="23" max="16384" width="9.109375" style="4"/>
  </cols>
  <sheetData>
    <row r="1" spans="1:19" x14ac:dyDescent="0.25">
      <c r="A1" s="1" t="s">
        <v>23</v>
      </c>
      <c r="B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1" t="s">
        <v>24</v>
      </c>
      <c r="B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1" t="s">
        <v>183</v>
      </c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1"/>
      <c r="B4" s="3" t="s">
        <v>21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1" t="s">
        <v>21</v>
      </c>
      <c r="R4" s="21" t="s">
        <v>21</v>
      </c>
      <c r="S4" s="3"/>
    </row>
    <row r="5" spans="1:19" x14ac:dyDescent="0.25">
      <c r="A5" s="5" t="s">
        <v>18</v>
      </c>
      <c r="B5" s="3" t="s">
        <v>184</v>
      </c>
      <c r="D5" s="3" t="s">
        <v>41</v>
      </c>
      <c r="E5" s="3" t="s">
        <v>42</v>
      </c>
      <c r="F5" s="3" t="s">
        <v>43</v>
      </c>
      <c r="G5" s="3" t="s">
        <v>44</v>
      </c>
      <c r="H5" s="3" t="s">
        <v>36</v>
      </c>
      <c r="I5" s="3" t="s">
        <v>45</v>
      </c>
      <c r="J5" s="3" t="s">
        <v>37</v>
      </c>
      <c r="K5" s="3" t="s">
        <v>46</v>
      </c>
      <c r="L5" s="3" t="s">
        <v>47</v>
      </c>
      <c r="M5" s="3" t="s">
        <v>48</v>
      </c>
      <c r="N5" s="3" t="s">
        <v>38</v>
      </c>
      <c r="O5" s="3" t="s">
        <v>49</v>
      </c>
      <c r="P5" s="3"/>
      <c r="Q5" s="59" t="s">
        <v>180</v>
      </c>
      <c r="R5" s="33" t="s">
        <v>185</v>
      </c>
      <c r="S5" s="3"/>
    </row>
    <row r="6" spans="1:19" ht="14.4" x14ac:dyDescent="0.3">
      <c r="A6" s="4" t="s">
        <v>26</v>
      </c>
      <c r="B6" s="63">
        <v>285000</v>
      </c>
      <c r="D6" s="26">
        <v>23750</v>
      </c>
      <c r="E6" s="26">
        <v>23750</v>
      </c>
      <c r="F6" s="26">
        <v>23750</v>
      </c>
      <c r="G6" s="26">
        <v>23750</v>
      </c>
      <c r="H6" s="26">
        <v>23750</v>
      </c>
      <c r="I6" s="26">
        <v>23750</v>
      </c>
      <c r="J6" s="26">
        <v>23750</v>
      </c>
      <c r="K6" s="26">
        <v>23750</v>
      </c>
      <c r="L6" s="26">
        <v>23750</v>
      </c>
      <c r="M6" s="26">
        <v>23750</v>
      </c>
      <c r="N6" s="26">
        <v>23750</v>
      </c>
      <c r="O6" s="26">
        <v>23750</v>
      </c>
      <c r="P6" s="6"/>
      <c r="Q6" s="7">
        <v>316000</v>
      </c>
      <c r="R6" s="7">
        <v>336000</v>
      </c>
      <c r="S6" s="6"/>
    </row>
    <row r="7" spans="1:19" ht="14.4" x14ac:dyDescent="0.3">
      <c r="A7" s="4" t="s">
        <v>12</v>
      </c>
      <c r="B7" s="63">
        <v>325000</v>
      </c>
      <c r="D7" s="6">
        <v>0</v>
      </c>
      <c r="E7" s="6">
        <v>0</v>
      </c>
      <c r="F7" s="6">
        <v>250000</v>
      </c>
      <c r="G7" s="6">
        <v>0</v>
      </c>
      <c r="H7" s="6">
        <v>0</v>
      </c>
      <c r="I7" s="26">
        <v>20000</v>
      </c>
      <c r="J7" s="26">
        <v>0</v>
      </c>
      <c r="K7" s="6">
        <v>5000</v>
      </c>
      <c r="L7" s="6">
        <v>0</v>
      </c>
      <c r="M7" s="6">
        <v>5000</v>
      </c>
      <c r="N7" s="26">
        <v>17500</v>
      </c>
      <c r="O7" s="61">
        <v>27500</v>
      </c>
      <c r="P7" s="6"/>
      <c r="Q7" s="7">
        <v>340000</v>
      </c>
      <c r="R7" s="7">
        <v>370000</v>
      </c>
      <c r="S7" s="6"/>
    </row>
    <row r="8" spans="1:19" ht="14.4" x14ac:dyDescent="0.3">
      <c r="A8" s="4" t="s">
        <v>27</v>
      </c>
      <c r="B8" s="63">
        <v>237500</v>
      </c>
      <c r="D8" s="26">
        <v>0</v>
      </c>
      <c r="E8" s="26">
        <v>0</v>
      </c>
      <c r="F8" s="26">
        <v>25000</v>
      </c>
      <c r="G8" s="26">
        <v>0</v>
      </c>
      <c r="H8" s="26">
        <v>25000</v>
      </c>
      <c r="I8" s="26">
        <v>37500</v>
      </c>
      <c r="J8" s="26">
        <v>15000</v>
      </c>
      <c r="K8" s="26">
        <v>0</v>
      </c>
      <c r="L8" s="26">
        <v>0</v>
      </c>
      <c r="M8" s="26">
        <v>40000</v>
      </c>
      <c r="N8" s="26">
        <v>45000</v>
      </c>
      <c r="O8" s="26">
        <v>50000</v>
      </c>
      <c r="P8" s="6"/>
      <c r="Q8" s="7">
        <v>225000</v>
      </c>
      <c r="R8" s="7">
        <v>250000</v>
      </c>
      <c r="S8" s="6"/>
    </row>
    <row r="9" spans="1:19" ht="14.4" x14ac:dyDescent="0.3">
      <c r="A9" s="4" t="s">
        <v>20</v>
      </c>
      <c r="B9" s="63">
        <v>1640074</v>
      </c>
      <c r="D9" s="26">
        <v>125065.16666666666</v>
      </c>
      <c r="E9" s="26">
        <v>228565.16666666666</v>
      </c>
      <c r="F9" s="26">
        <v>131815.16666666666</v>
      </c>
      <c r="G9" s="26">
        <v>131815.16666666666</v>
      </c>
      <c r="H9" s="26">
        <v>131815.16666666666</v>
      </c>
      <c r="I9" s="26">
        <v>131815.16666666666</v>
      </c>
      <c r="J9" s="26">
        <v>131815.16666666666</v>
      </c>
      <c r="K9" s="26">
        <v>131815.16666666666</v>
      </c>
      <c r="L9" s="26">
        <v>131815.16666666666</v>
      </c>
      <c r="M9" s="26">
        <v>131815.16666666666</v>
      </c>
      <c r="N9" s="26">
        <v>131815.16666666666</v>
      </c>
      <c r="O9" s="26">
        <v>131815.16666666666</v>
      </c>
      <c r="P9" s="6"/>
      <c r="Q9" s="7">
        <v>1806782</v>
      </c>
      <c r="R9" s="7">
        <v>1881782</v>
      </c>
      <c r="S9" s="6"/>
    </row>
    <row r="10" spans="1:19" ht="14.4" x14ac:dyDescent="0.3">
      <c r="A10" s="4" t="s">
        <v>190</v>
      </c>
      <c r="B10" s="63">
        <v>290470.31999999995</v>
      </c>
      <c r="D10" s="26">
        <v>24205.86</v>
      </c>
      <c r="E10" s="26">
        <v>24205.86</v>
      </c>
      <c r="F10" s="26">
        <v>24205.86</v>
      </c>
      <c r="G10" s="26">
        <v>24205.86</v>
      </c>
      <c r="H10" s="26">
        <v>24205.86</v>
      </c>
      <c r="I10" s="26">
        <v>24205.86</v>
      </c>
      <c r="J10" s="26">
        <v>24205.86</v>
      </c>
      <c r="K10" s="26">
        <v>24205.86</v>
      </c>
      <c r="L10" s="26">
        <v>24205.86</v>
      </c>
      <c r="M10" s="26">
        <v>24205.86</v>
      </c>
      <c r="N10" s="26">
        <v>24205.86</v>
      </c>
      <c r="O10" s="26">
        <v>24205.86</v>
      </c>
      <c r="P10" s="6"/>
      <c r="Q10" s="53">
        <v>299184.42959999997</v>
      </c>
      <c r="R10" s="53">
        <v>308159.96248799999</v>
      </c>
      <c r="S10" s="53"/>
    </row>
    <row r="11" spans="1:19" ht="14.4" x14ac:dyDescent="0.3">
      <c r="A11" s="4" t="s">
        <v>191</v>
      </c>
      <c r="B11" s="63">
        <v>109440</v>
      </c>
      <c r="D11" s="26">
        <v>9120</v>
      </c>
      <c r="E11" s="26">
        <v>9120</v>
      </c>
      <c r="F11" s="26">
        <v>9120</v>
      </c>
      <c r="G11" s="26">
        <v>9120</v>
      </c>
      <c r="H11" s="26">
        <v>9120</v>
      </c>
      <c r="I11" s="26">
        <v>9120</v>
      </c>
      <c r="J11" s="26">
        <v>9120</v>
      </c>
      <c r="K11" s="26">
        <v>9120</v>
      </c>
      <c r="L11" s="26">
        <v>9120</v>
      </c>
      <c r="M11" s="26">
        <v>9120</v>
      </c>
      <c r="N11" s="26">
        <v>9120</v>
      </c>
      <c r="O11" s="26">
        <v>9120</v>
      </c>
      <c r="Q11" s="53">
        <v>109440</v>
      </c>
      <c r="R11" s="55">
        <v>109440</v>
      </c>
      <c r="S11" s="54"/>
    </row>
    <row r="12" spans="1:19" ht="14.4" x14ac:dyDescent="0.3">
      <c r="A12" s="4" t="s">
        <v>181</v>
      </c>
      <c r="B12" s="63">
        <v>30000</v>
      </c>
      <c r="D12" s="26">
        <v>2500</v>
      </c>
      <c r="E12" s="26">
        <v>2500</v>
      </c>
      <c r="F12" s="26">
        <v>2500</v>
      </c>
      <c r="G12" s="26">
        <v>2500</v>
      </c>
      <c r="H12" s="26">
        <v>2500</v>
      </c>
      <c r="I12" s="26">
        <v>2500</v>
      </c>
      <c r="J12" s="26">
        <v>2500</v>
      </c>
      <c r="K12" s="26">
        <v>2500</v>
      </c>
      <c r="L12" s="26">
        <v>2500</v>
      </c>
      <c r="M12" s="26">
        <v>2500</v>
      </c>
      <c r="N12" s="26">
        <v>2500</v>
      </c>
      <c r="O12" s="26">
        <v>2500</v>
      </c>
      <c r="Q12" s="56">
        <v>40000</v>
      </c>
      <c r="R12" s="56">
        <v>50000</v>
      </c>
    </row>
    <row r="13" spans="1:19" s="1" customFormat="1" x14ac:dyDescent="0.25">
      <c r="A13" s="1" t="s">
        <v>1</v>
      </c>
      <c r="B13" s="60">
        <v>2917485</v>
      </c>
      <c r="D13" s="22">
        <v>173021.02666666667</v>
      </c>
      <c r="E13" s="22">
        <v>276521.02666666667</v>
      </c>
      <c r="F13" s="22">
        <v>454771.02666666661</v>
      </c>
      <c r="G13" s="22">
        <v>179771.02666666667</v>
      </c>
      <c r="H13" s="22">
        <v>204771.02666666667</v>
      </c>
      <c r="I13" s="23">
        <v>237271.02666666667</v>
      </c>
      <c r="J13" s="22">
        <v>194771.02666666667</v>
      </c>
      <c r="K13" s="22">
        <v>184771.02666666667</v>
      </c>
      <c r="L13" s="22">
        <v>179771.02666666667</v>
      </c>
      <c r="M13" s="22">
        <v>224771.02666666667</v>
      </c>
      <c r="N13" s="22">
        <v>242271.02666666667</v>
      </c>
      <c r="O13" s="23">
        <v>257271.02666666667</v>
      </c>
      <c r="P13" s="9"/>
      <c r="Q13" s="10">
        <v>3156406.4295999999</v>
      </c>
      <c r="R13" s="10">
        <v>3305381.9624879998</v>
      </c>
      <c r="S13" s="9"/>
    </row>
    <row r="14" spans="1:19" x14ac:dyDescent="0.25">
      <c r="B14" s="1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1"/>
      <c r="R14" s="11"/>
      <c r="S14" s="13"/>
    </row>
    <row r="15" spans="1:19" x14ac:dyDescent="0.25">
      <c r="A15" s="12" t="s">
        <v>19</v>
      </c>
      <c r="B15" s="1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S15" s="13"/>
    </row>
    <row r="16" spans="1:19" ht="14.4" x14ac:dyDescent="0.3">
      <c r="A16" s="4" t="s">
        <v>22</v>
      </c>
      <c r="B16" s="63">
        <v>1424092</v>
      </c>
      <c r="D16" s="26">
        <v>117197.16666666663</v>
      </c>
      <c r="E16" s="26">
        <v>117197.16666666663</v>
      </c>
      <c r="F16" s="26">
        <v>123476.89666666665</v>
      </c>
      <c r="G16" s="26">
        <v>123476.89666666665</v>
      </c>
      <c r="H16" s="26">
        <v>123476.89666666665</v>
      </c>
      <c r="I16" s="26">
        <v>123476.89666666665</v>
      </c>
      <c r="J16" s="26">
        <v>123476.89666666665</v>
      </c>
      <c r="K16" s="26">
        <v>123476.89666666665</v>
      </c>
      <c r="L16" s="26">
        <v>123476.89666666665</v>
      </c>
      <c r="M16" s="26">
        <v>123476.89666666665</v>
      </c>
      <c r="N16" s="26">
        <v>123476.89666666665</v>
      </c>
      <c r="O16" s="26">
        <v>123476.89666666665</v>
      </c>
      <c r="P16" s="6"/>
      <c r="Q16" s="62">
        <v>1539952.3404000001</v>
      </c>
      <c r="R16" s="62">
        <v>1586150.9106119999</v>
      </c>
      <c r="S16" s="6"/>
    </row>
    <row r="17" spans="1:22" ht="14.4" x14ac:dyDescent="0.3">
      <c r="A17" s="4" t="s">
        <v>7</v>
      </c>
      <c r="B17" s="63">
        <v>111931</v>
      </c>
      <c r="D17" s="26">
        <v>9242.1066666666666</v>
      </c>
      <c r="E17" s="26">
        <v>9242.1066666666666</v>
      </c>
      <c r="F17" s="26">
        <v>9705.265066666665</v>
      </c>
      <c r="G17" s="26">
        <v>9705.265066666665</v>
      </c>
      <c r="H17" s="26">
        <v>9705.265066666665</v>
      </c>
      <c r="I17" s="26">
        <v>9705.265066666665</v>
      </c>
      <c r="J17" s="26">
        <v>9705.265066666665</v>
      </c>
      <c r="K17" s="26">
        <v>9705.265066666665</v>
      </c>
      <c r="L17" s="26">
        <v>9705.265066666665</v>
      </c>
      <c r="M17" s="26">
        <v>9705.265066666665</v>
      </c>
      <c r="N17" s="26">
        <v>9705.265066666665</v>
      </c>
      <c r="O17" s="26">
        <v>9705.265066666665</v>
      </c>
      <c r="P17" s="6"/>
      <c r="Q17" s="62">
        <v>123196.18723199997</v>
      </c>
      <c r="R17" s="62">
        <v>126892.07284895999</v>
      </c>
      <c r="S17" s="6"/>
    </row>
    <row r="18" spans="1:22" ht="14.4" x14ac:dyDescent="0.3">
      <c r="A18" s="4" t="s">
        <v>2</v>
      </c>
      <c r="B18" s="64">
        <v>118200</v>
      </c>
      <c r="D18" s="26">
        <v>10200</v>
      </c>
      <c r="E18" s="26">
        <v>10200</v>
      </c>
      <c r="F18" s="26">
        <v>10200</v>
      </c>
      <c r="G18" s="26">
        <v>10200</v>
      </c>
      <c r="H18" s="26">
        <v>10200</v>
      </c>
      <c r="I18" s="26">
        <v>10200</v>
      </c>
      <c r="J18" s="26">
        <v>10200</v>
      </c>
      <c r="K18" s="26">
        <v>10200</v>
      </c>
      <c r="L18" s="26">
        <v>10200</v>
      </c>
      <c r="M18" s="26">
        <v>10200</v>
      </c>
      <c r="N18" s="26">
        <v>10200</v>
      </c>
      <c r="O18" s="26">
        <v>10200</v>
      </c>
      <c r="P18" s="6"/>
      <c r="Q18" s="7">
        <v>151200</v>
      </c>
      <c r="R18" s="7">
        <v>151200</v>
      </c>
      <c r="S18" s="6"/>
    </row>
    <row r="19" spans="1:22" s="1" customFormat="1" x14ac:dyDescent="0.25">
      <c r="A19" s="1" t="s">
        <v>3</v>
      </c>
      <c r="B19" s="60">
        <v>1654224</v>
      </c>
      <c r="D19" s="22">
        <v>136639.27333333329</v>
      </c>
      <c r="E19" s="22">
        <v>136639.27333333329</v>
      </c>
      <c r="F19" s="22">
        <v>143382.16173333331</v>
      </c>
      <c r="G19" s="22">
        <v>143382.16173333331</v>
      </c>
      <c r="H19" s="22">
        <v>143382.16173333331</v>
      </c>
      <c r="I19" s="22">
        <v>143382.16173333331</v>
      </c>
      <c r="J19" s="22">
        <v>143382.16173333331</v>
      </c>
      <c r="K19" s="22">
        <v>143382.16173333331</v>
      </c>
      <c r="L19" s="22">
        <v>143382.16173333331</v>
      </c>
      <c r="M19" s="22">
        <v>143382.16173333331</v>
      </c>
      <c r="N19" s="22">
        <v>143382.16173333331</v>
      </c>
      <c r="O19" s="22">
        <v>143382.16173333331</v>
      </c>
      <c r="P19" s="9"/>
      <c r="Q19" s="10">
        <v>1814348.5276320002</v>
      </c>
      <c r="R19" s="10">
        <v>1864242.98346096</v>
      </c>
      <c r="S19" s="9"/>
      <c r="V19" s="4"/>
    </row>
    <row r="20" spans="1:22" x14ac:dyDescent="0.25">
      <c r="B20" s="1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58"/>
      <c r="R20" s="58"/>
      <c r="S20" s="13"/>
    </row>
    <row r="21" spans="1:22" ht="14.4" x14ac:dyDescent="0.3">
      <c r="A21" s="4" t="s">
        <v>15</v>
      </c>
      <c r="B21" s="63">
        <v>102400</v>
      </c>
      <c r="D21" s="26">
        <v>7700</v>
      </c>
      <c r="E21" s="26">
        <v>7700</v>
      </c>
      <c r="F21" s="26">
        <v>17700</v>
      </c>
      <c r="G21" s="26">
        <v>7700</v>
      </c>
      <c r="H21" s="26">
        <v>7700</v>
      </c>
      <c r="I21" s="26">
        <v>7700</v>
      </c>
      <c r="J21" s="26">
        <v>7700</v>
      </c>
      <c r="K21" s="26">
        <v>7700</v>
      </c>
      <c r="L21" s="26">
        <v>7700</v>
      </c>
      <c r="M21" s="26">
        <v>7700</v>
      </c>
      <c r="N21" s="26">
        <v>7700</v>
      </c>
      <c r="O21" s="26">
        <v>7700</v>
      </c>
      <c r="P21" s="6"/>
      <c r="Q21" s="7">
        <v>100800</v>
      </c>
      <c r="R21" s="7">
        <v>100800</v>
      </c>
      <c r="S21" s="6"/>
    </row>
    <row r="22" spans="1:22" ht="14.4" x14ac:dyDescent="0.3">
      <c r="A22" s="4" t="s">
        <v>182</v>
      </c>
      <c r="B22" s="63">
        <v>116928</v>
      </c>
      <c r="D22" s="26">
        <v>9744</v>
      </c>
      <c r="E22" s="26">
        <v>9744</v>
      </c>
      <c r="F22" s="26">
        <v>9744</v>
      </c>
      <c r="G22" s="26">
        <v>9744</v>
      </c>
      <c r="H22" s="26">
        <v>9744</v>
      </c>
      <c r="I22" s="26">
        <v>9744</v>
      </c>
      <c r="J22" s="26">
        <v>9744</v>
      </c>
      <c r="K22" s="26">
        <v>9744</v>
      </c>
      <c r="L22" s="26">
        <v>9744</v>
      </c>
      <c r="M22" s="26">
        <v>9744</v>
      </c>
      <c r="N22" s="26">
        <v>9744</v>
      </c>
      <c r="O22" s="26">
        <v>9744</v>
      </c>
      <c r="P22" s="6"/>
      <c r="Q22" s="7">
        <v>120435.84</v>
      </c>
      <c r="R22" s="7">
        <v>124048.9152</v>
      </c>
      <c r="S22" s="6"/>
    </row>
    <row r="23" spans="1:22" ht="14.4" x14ac:dyDescent="0.3">
      <c r="A23" s="4" t="s">
        <v>6</v>
      </c>
      <c r="B23" s="63">
        <v>12000</v>
      </c>
      <c r="D23" s="26">
        <v>1000</v>
      </c>
      <c r="E23" s="26">
        <v>1000</v>
      </c>
      <c r="F23" s="26">
        <v>1000</v>
      </c>
      <c r="G23" s="26">
        <v>1000</v>
      </c>
      <c r="H23" s="26">
        <v>1000</v>
      </c>
      <c r="I23" s="26">
        <v>1000</v>
      </c>
      <c r="J23" s="26">
        <v>1000</v>
      </c>
      <c r="K23" s="26">
        <v>1000</v>
      </c>
      <c r="L23" s="26">
        <v>1000</v>
      </c>
      <c r="M23" s="26">
        <v>1000</v>
      </c>
      <c r="N23" s="26">
        <v>1000</v>
      </c>
      <c r="O23" s="26">
        <v>1000</v>
      </c>
      <c r="P23" s="6"/>
      <c r="Q23" s="7">
        <v>12360</v>
      </c>
      <c r="R23" s="7">
        <v>12730.8</v>
      </c>
      <c r="S23" s="6"/>
    </row>
    <row r="24" spans="1:22" ht="14.4" x14ac:dyDescent="0.3">
      <c r="A24" s="4" t="s">
        <v>33</v>
      </c>
      <c r="B24" s="63">
        <v>30800.000000000004</v>
      </c>
      <c r="D24" s="26">
        <v>2566.6666666666665</v>
      </c>
      <c r="E24" s="26">
        <v>2566.6666666666665</v>
      </c>
      <c r="F24" s="26">
        <v>2566.6666666666665</v>
      </c>
      <c r="G24" s="26">
        <v>2566.6666666666665</v>
      </c>
      <c r="H24" s="26">
        <v>2566.6666666666665</v>
      </c>
      <c r="I24" s="26">
        <v>2566.6666666666665</v>
      </c>
      <c r="J24" s="26">
        <v>2566.6666666666665</v>
      </c>
      <c r="K24" s="26">
        <v>2566.6666666666665</v>
      </c>
      <c r="L24" s="26">
        <v>2566.6666666666665</v>
      </c>
      <c r="M24" s="26">
        <v>2566.6666666666665</v>
      </c>
      <c r="N24" s="26">
        <v>2566.6666666666665</v>
      </c>
      <c r="O24" s="26">
        <v>2566.6666666666665</v>
      </c>
      <c r="P24" s="6"/>
      <c r="Q24" s="7">
        <v>31724.000000000004</v>
      </c>
      <c r="R24" s="7">
        <v>32675.720000000005</v>
      </c>
      <c r="S24" s="6"/>
    </row>
    <row r="25" spans="1:22" ht="14.4" x14ac:dyDescent="0.3">
      <c r="A25" s="4" t="s">
        <v>9</v>
      </c>
      <c r="B25" s="63">
        <v>4200</v>
      </c>
      <c r="D25" s="26">
        <v>350</v>
      </c>
      <c r="E25" s="26">
        <v>350</v>
      </c>
      <c r="F25" s="26">
        <v>350</v>
      </c>
      <c r="G25" s="26">
        <v>350</v>
      </c>
      <c r="H25" s="26">
        <v>350</v>
      </c>
      <c r="I25" s="26">
        <v>350</v>
      </c>
      <c r="J25" s="26">
        <v>350</v>
      </c>
      <c r="K25" s="26">
        <v>350</v>
      </c>
      <c r="L25" s="26">
        <v>350</v>
      </c>
      <c r="M25" s="26">
        <v>350</v>
      </c>
      <c r="N25" s="26">
        <v>350</v>
      </c>
      <c r="O25" s="26">
        <v>350</v>
      </c>
      <c r="P25" s="6"/>
      <c r="Q25" s="7">
        <v>4326</v>
      </c>
      <c r="R25" s="7">
        <v>4455.78</v>
      </c>
      <c r="S25" s="6"/>
    </row>
    <row r="26" spans="1:22" ht="14.4" x14ac:dyDescent="0.3">
      <c r="A26" s="4" t="s">
        <v>189</v>
      </c>
      <c r="B26" s="63">
        <v>234863.39050328839</v>
      </c>
      <c r="D26" s="26">
        <v>18285.458839761242</v>
      </c>
      <c r="E26" s="61">
        <v>18351.896006879044</v>
      </c>
      <c r="F26" s="26">
        <v>18418.574562370704</v>
      </c>
      <c r="G26" s="26">
        <v>18485.495383280653</v>
      </c>
      <c r="H26" s="26">
        <v>18552.659349839905</v>
      </c>
      <c r="I26" s="26">
        <v>18620.067345477659</v>
      </c>
      <c r="J26" s="26">
        <v>20504.386923499558</v>
      </c>
      <c r="K26" s="26">
        <v>20578.886195988271</v>
      </c>
      <c r="L26" s="26">
        <v>20653.656149167029</v>
      </c>
      <c r="M26" s="26">
        <v>20728.697766509002</v>
      </c>
      <c r="N26" s="26">
        <v>20804.012035060652</v>
      </c>
      <c r="O26" s="26">
        <v>20879.599945454705</v>
      </c>
      <c r="P26" s="6"/>
      <c r="Q26" s="7">
        <v>324256</v>
      </c>
      <c r="R26" s="7">
        <v>338679</v>
      </c>
      <c r="S26" s="6"/>
    </row>
    <row r="27" spans="1:22" ht="14.4" x14ac:dyDescent="0.3">
      <c r="A27" s="4" t="s">
        <v>186</v>
      </c>
      <c r="B27" s="63">
        <v>7471.9126174543753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1060.0999999999999</v>
      </c>
      <c r="J27" s="61">
        <v>1062.5293958333332</v>
      </c>
      <c r="K27" s="61">
        <v>1064.9643590321177</v>
      </c>
      <c r="L27" s="61">
        <v>1067.4049023548998</v>
      </c>
      <c r="M27" s="61">
        <v>1069.8510385894631</v>
      </c>
      <c r="N27" s="61">
        <v>1072.3027805528973</v>
      </c>
      <c r="O27" s="61">
        <v>1074.7601410916643</v>
      </c>
      <c r="P27" s="6"/>
      <c r="Q27" s="7">
        <v>27076.199999999993</v>
      </c>
      <c r="R27" s="7">
        <v>27076.199999999993</v>
      </c>
      <c r="S27" s="6"/>
    </row>
    <row r="28" spans="1:22" ht="14.4" x14ac:dyDescent="0.3">
      <c r="A28" s="4" t="s">
        <v>25</v>
      </c>
      <c r="B28" s="63">
        <v>10200</v>
      </c>
      <c r="D28" s="26">
        <v>850</v>
      </c>
      <c r="E28" s="26">
        <v>850</v>
      </c>
      <c r="F28" s="26">
        <v>850</v>
      </c>
      <c r="G28" s="26">
        <v>850</v>
      </c>
      <c r="H28" s="26">
        <v>850</v>
      </c>
      <c r="I28" s="26">
        <v>850</v>
      </c>
      <c r="J28" s="26">
        <v>850</v>
      </c>
      <c r="K28" s="26">
        <v>850</v>
      </c>
      <c r="L28" s="26">
        <v>850</v>
      </c>
      <c r="M28" s="26">
        <v>850</v>
      </c>
      <c r="N28" s="26">
        <v>850</v>
      </c>
      <c r="O28" s="26">
        <v>850</v>
      </c>
      <c r="P28" s="6"/>
      <c r="Q28" s="7">
        <v>10506</v>
      </c>
      <c r="R28" s="7">
        <v>10821.18</v>
      </c>
      <c r="S28" s="6"/>
    </row>
    <row r="29" spans="1:22" ht="14.4" x14ac:dyDescent="0.3">
      <c r="A29" s="4" t="s">
        <v>8</v>
      </c>
      <c r="B29" s="63">
        <v>5500</v>
      </c>
      <c r="D29" s="26">
        <v>458.33333333333337</v>
      </c>
      <c r="E29" s="26">
        <v>458.33333333333337</v>
      </c>
      <c r="F29" s="26">
        <v>458.33333333333337</v>
      </c>
      <c r="G29" s="26">
        <v>458.33333333333337</v>
      </c>
      <c r="H29" s="26">
        <v>458.33333333333337</v>
      </c>
      <c r="I29" s="26">
        <v>458.33333333333337</v>
      </c>
      <c r="J29" s="26">
        <v>458.33333333333337</v>
      </c>
      <c r="K29" s="26">
        <v>458.33333333333337</v>
      </c>
      <c r="L29" s="26">
        <v>458.33333333333337</v>
      </c>
      <c r="M29" s="26">
        <v>458.33333333333337</v>
      </c>
      <c r="N29" s="26">
        <v>458.33333333333337</v>
      </c>
      <c r="O29" s="26">
        <v>458.33333333333337</v>
      </c>
      <c r="P29" s="6"/>
      <c r="Q29" s="7">
        <v>6000</v>
      </c>
      <c r="R29" s="7">
        <v>6000</v>
      </c>
      <c r="S29" s="6"/>
    </row>
    <row r="30" spans="1:22" ht="14.4" x14ac:dyDescent="0.3">
      <c r="A30" s="4" t="s">
        <v>28</v>
      </c>
      <c r="B30" s="63">
        <v>98520</v>
      </c>
      <c r="D30" s="26">
        <v>500</v>
      </c>
      <c r="E30" s="26">
        <v>500</v>
      </c>
      <c r="F30" s="26">
        <v>59500</v>
      </c>
      <c r="G30" s="26">
        <v>500</v>
      </c>
      <c r="H30" s="26">
        <v>500</v>
      </c>
      <c r="I30" s="26">
        <v>7000</v>
      </c>
      <c r="J30" s="26">
        <v>500</v>
      </c>
      <c r="K30" s="26">
        <v>5500</v>
      </c>
      <c r="L30" s="26">
        <v>500</v>
      </c>
      <c r="M30" s="26">
        <v>4020</v>
      </c>
      <c r="N30" s="26">
        <v>500</v>
      </c>
      <c r="O30" s="26">
        <v>19000</v>
      </c>
      <c r="P30" s="6"/>
      <c r="Q30" s="7">
        <v>101475.6</v>
      </c>
      <c r="R30" s="7">
        <v>104519.868</v>
      </c>
      <c r="S30" s="6"/>
    </row>
    <row r="31" spans="1:22" ht="14.4" x14ac:dyDescent="0.3">
      <c r="A31" s="4" t="s">
        <v>29</v>
      </c>
      <c r="B31" s="63">
        <v>38400</v>
      </c>
      <c r="D31" s="26">
        <v>3200</v>
      </c>
      <c r="E31" s="26">
        <v>3200</v>
      </c>
      <c r="F31" s="26">
        <v>3200</v>
      </c>
      <c r="G31" s="26">
        <v>3200</v>
      </c>
      <c r="H31" s="26">
        <v>3200</v>
      </c>
      <c r="I31" s="26">
        <v>3200</v>
      </c>
      <c r="J31" s="26">
        <v>3200</v>
      </c>
      <c r="K31" s="26">
        <v>3200</v>
      </c>
      <c r="L31" s="26">
        <v>3200</v>
      </c>
      <c r="M31" s="26">
        <v>3200</v>
      </c>
      <c r="N31" s="26">
        <v>3200</v>
      </c>
      <c r="O31" s="26">
        <v>3200</v>
      </c>
      <c r="P31" s="6"/>
      <c r="Q31" s="7">
        <v>39552</v>
      </c>
      <c r="R31" s="7">
        <v>40738.559999999998</v>
      </c>
      <c r="S31" s="6"/>
    </row>
    <row r="32" spans="1:22" ht="14.4" x14ac:dyDescent="0.3">
      <c r="A32" s="4" t="s">
        <v>11</v>
      </c>
      <c r="B32" s="63">
        <v>55200</v>
      </c>
      <c r="D32" s="26">
        <v>4600</v>
      </c>
      <c r="E32" s="26">
        <v>4600</v>
      </c>
      <c r="F32" s="26">
        <v>4600</v>
      </c>
      <c r="G32" s="26">
        <v>4600</v>
      </c>
      <c r="H32" s="26">
        <v>4600</v>
      </c>
      <c r="I32" s="26">
        <v>4600</v>
      </c>
      <c r="J32" s="26">
        <v>4600</v>
      </c>
      <c r="K32" s="26">
        <v>4600</v>
      </c>
      <c r="L32" s="26">
        <v>4600</v>
      </c>
      <c r="M32" s="26">
        <v>4600</v>
      </c>
      <c r="N32" s="26">
        <v>4600</v>
      </c>
      <c r="O32" s="26">
        <v>4600</v>
      </c>
      <c r="P32" s="6"/>
      <c r="Q32" s="7">
        <v>56856</v>
      </c>
      <c r="R32" s="7">
        <v>58561.68</v>
      </c>
      <c r="S32" s="6"/>
    </row>
    <row r="33" spans="1:19" ht="13.5" customHeight="1" x14ac:dyDescent="0.3">
      <c r="A33" s="4" t="s">
        <v>31</v>
      </c>
      <c r="B33" s="63">
        <v>231000</v>
      </c>
      <c r="D33" s="26">
        <v>19250</v>
      </c>
      <c r="E33" s="26">
        <v>19250</v>
      </c>
      <c r="F33" s="26">
        <v>19250</v>
      </c>
      <c r="G33" s="26">
        <v>19250</v>
      </c>
      <c r="H33" s="26">
        <v>19250</v>
      </c>
      <c r="I33" s="26">
        <v>19250</v>
      </c>
      <c r="J33" s="26">
        <v>19250</v>
      </c>
      <c r="K33" s="26">
        <v>19250</v>
      </c>
      <c r="L33" s="26">
        <v>19250</v>
      </c>
      <c r="M33" s="26">
        <v>19250</v>
      </c>
      <c r="N33" s="26">
        <v>19250</v>
      </c>
      <c r="O33" s="26">
        <v>19250</v>
      </c>
      <c r="P33" s="6"/>
      <c r="Q33" s="7">
        <v>237930</v>
      </c>
      <c r="R33" s="7">
        <v>245067.9</v>
      </c>
      <c r="S33" s="6"/>
    </row>
    <row r="34" spans="1:19" ht="14.4" x14ac:dyDescent="0.3">
      <c r="A34" s="4" t="s">
        <v>32</v>
      </c>
      <c r="B34" s="63">
        <v>37200</v>
      </c>
      <c r="D34" s="26">
        <v>3500</v>
      </c>
      <c r="E34" s="26">
        <v>2900</v>
      </c>
      <c r="F34" s="26">
        <v>2900</v>
      </c>
      <c r="G34" s="26">
        <v>3500</v>
      </c>
      <c r="H34" s="26">
        <v>2900</v>
      </c>
      <c r="I34" s="26">
        <v>2900</v>
      </c>
      <c r="J34" s="26">
        <v>3500</v>
      </c>
      <c r="K34" s="26">
        <v>2900</v>
      </c>
      <c r="L34" s="26">
        <v>2900</v>
      </c>
      <c r="M34" s="26">
        <v>3500</v>
      </c>
      <c r="N34" s="26">
        <v>2900</v>
      </c>
      <c r="O34" s="26">
        <v>2900</v>
      </c>
      <c r="P34" s="6"/>
      <c r="Q34" s="7">
        <v>38316</v>
      </c>
      <c r="R34" s="7">
        <v>39465.480000000003</v>
      </c>
      <c r="S34" s="6"/>
    </row>
    <row r="35" spans="1:19" ht="14.4" x14ac:dyDescent="0.3">
      <c r="A35" s="4" t="s">
        <v>34</v>
      </c>
      <c r="B35" s="63">
        <v>3000</v>
      </c>
      <c r="D35" s="26">
        <v>250</v>
      </c>
      <c r="E35" s="26">
        <v>250</v>
      </c>
      <c r="F35" s="26">
        <v>250</v>
      </c>
      <c r="G35" s="26">
        <v>250</v>
      </c>
      <c r="H35" s="26">
        <v>250</v>
      </c>
      <c r="I35" s="26">
        <v>250</v>
      </c>
      <c r="J35" s="26">
        <v>250</v>
      </c>
      <c r="K35" s="26">
        <v>250</v>
      </c>
      <c r="L35" s="26">
        <v>250</v>
      </c>
      <c r="M35" s="26">
        <v>250</v>
      </c>
      <c r="N35" s="26">
        <v>250</v>
      </c>
      <c r="O35" s="26">
        <v>250</v>
      </c>
      <c r="P35" s="6"/>
      <c r="Q35" s="7">
        <v>3090</v>
      </c>
      <c r="R35" s="7">
        <v>3182.7</v>
      </c>
      <c r="S35" s="6"/>
    </row>
    <row r="36" spans="1:19" ht="14.4" x14ac:dyDescent="0.3">
      <c r="A36" s="4" t="s">
        <v>13</v>
      </c>
      <c r="B36" s="63">
        <v>4620</v>
      </c>
      <c r="D36" s="26">
        <v>385</v>
      </c>
      <c r="E36" s="26">
        <v>385</v>
      </c>
      <c r="F36" s="26">
        <v>385</v>
      </c>
      <c r="G36" s="26">
        <v>385</v>
      </c>
      <c r="H36" s="26">
        <v>385</v>
      </c>
      <c r="I36" s="26">
        <v>385</v>
      </c>
      <c r="J36" s="26">
        <v>385</v>
      </c>
      <c r="K36" s="26">
        <v>385</v>
      </c>
      <c r="L36" s="26">
        <v>385</v>
      </c>
      <c r="M36" s="26">
        <v>385</v>
      </c>
      <c r="N36" s="26">
        <v>385</v>
      </c>
      <c r="O36" s="26">
        <v>385</v>
      </c>
      <c r="P36" s="6"/>
      <c r="Q36" s="7">
        <v>4758.6000000000004</v>
      </c>
      <c r="R36" s="7">
        <v>4901.3580000000002</v>
      </c>
      <c r="S36" s="6"/>
    </row>
    <row r="37" spans="1:19" ht="14.4" x14ac:dyDescent="0.3">
      <c r="A37" s="4" t="s">
        <v>187</v>
      </c>
      <c r="B37" s="63">
        <v>8400</v>
      </c>
      <c r="D37" s="61">
        <v>700</v>
      </c>
      <c r="E37" s="61">
        <v>700</v>
      </c>
      <c r="F37" s="61">
        <v>700</v>
      </c>
      <c r="G37" s="61">
        <v>700</v>
      </c>
      <c r="H37" s="61">
        <v>700</v>
      </c>
      <c r="I37" s="61">
        <v>700</v>
      </c>
      <c r="J37" s="61">
        <v>700</v>
      </c>
      <c r="K37" s="61">
        <v>700</v>
      </c>
      <c r="L37" s="61">
        <v>700</v>
      </c>
      <c r="M37" s="61">
        <v>700</v>
      </c>
      <c r="N37" s="61">
        <v>700</v>
      </c>
      <c r="O37" s="61">
        <v>700</v>
      </c>
      <c r="P37" s="6"/>
      <c r="Q37" s="7">
        <v>8652</v>
      </c>
      <c r="R37" s="7">
        <v>8911.56</v>
      </c>
      <c r="S37" s="6"/>
    </row>
    <row r="38" spans="1:19" ht="14.4" x14ac:dyDescent="0.3">
      <c r="A38" s="4" t="s">
        <v>35</v>
      </c>
      <c r="B38" s="63">
        <v>208080.54687925716</v>
      </c>
      <c r="D38" s="26">
        <v>17932.991160238755</v>
      </c>
      <c r="E38" s="26">
        <v>17866.553993120953</v>
      </c>
      <c r="F38" s="26">
        <v>17799.875437629293</v>
      </c>
      <c r="G38" s="26">
        <v>17732.954616719344</v>
      </c>
      <c r="H38" s="26">
        <v>17665.790650160092</v>
      </c>
      <c r="I38" s="26">
        <v>18794.632654522338</v>
      </c>
      <c r="J38" s="26">
        <v>16907.883680667106</v>
      </c>
      <c r="K38" s="26">
        <v>16830.949444979608</v>
      </c>
      <c r="L38" s="26">
        <v>16753.738948478065</v>
      </c>
      <c r="M38" s="26">
        <v>16676.251194901532</v>
      </c>
      <c r="N38" s="26">
        <v>16598.485184386445</v>
      </c>
      <c r="O38" s="26">
        <v>16520.439913453625</v>
      </c>
      <c r="P38" s="6"/>
      <c r="Q38" s="50">
        <v>132828.92459565969</v>
      </c>
      <c r="R38" s="50">
        <v>132828.92459565969</v>
      </c>
      <c r="S38" s="6"/>
    </row>
    <row r="39" spans="1:19" s="1" customFormat="1" x14ac:dyDescent="0.25">
      <c r="A39" s="1" t="s">
        <v>16</v>
      </c>
      <c r="B39" s="10">
        <v>1208783.8499999999</v>
      </c>
      <c r="D39" s="22">
        <v>91272.45</v>
      </c>
      <c r="E39" s="22">
        <v>90672.45</v>
      </c>
      <c r="F39" s="22">
        <v>159672.45000000001</v>
      </c>
      <c r="G39" s="22">
        <v>91272.45</v>
      </c>
      <c r="H39" s="22">
        <v>90672.45</v>
      </c>
      <c r="I39" s="22">
        <v>99428.800000000003</v>
      </c>
      <c r="J39" s="22">
        <v>93528.8</v>
      </c>
      <c r="K39" s="22">
        <v>97928.799999999988</v>
      </c>
      <c r="L39" s="22">
        <v>92928.800000000017</v>
      </c>
      <c r="M39" s="22">
        <v>97048.799999999988</v>
      </c>
      <c r="N39" s="22">
        <v>92928.8</v>
      </c>
      <c r="O39" s="22">
        <v>111428.79999999999</v>
      </c>
      <c r="P39" s="9"/>
      <c r="Q39" s="10">
        <v>1260943.1645956598</v>
      </c>
      <c r="R39" s="10">
        <v>1295465.6257956596</v>
      </c>
      <c r="S39" s="9"/>
    </row>
    <row r="40" spans="1:19" s="2" customFormat="1" x14ac:dyDescent="0.25">
      <c r="A40" s="4"/>
      <c r="B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1" customFormat="1" x14ac:dyDescent="0.25">
      <c r="A41" s="1" t="s">
        <v>17</v>
      </c>
      <c r="B41" s="10">
        <v>2863007</v>
      </c>
      <c r="D41" s="22">
        <v>227911.72333333327</v>
      </c>
      <c r="E41" s="22">
        <v>227311.72333333327</v>
      </c>
      <c r="F41" s="22">
        <v>303054.61173333332</v>
      </c>
      <c r="G41" s="22">
        <v>234654.61173333332</v>
      </c>
      <c r="H41" s="22">
        <v>234054.61173333332</v>
      </c>
      <c r="I41" s="22">
        <v>242810.9617333333</v>
      </c>
      <c r="J41" s="22">
        <v>236910.9617333333</v>
      </c>
      <c r="K41" s="22">
        <v>241310.9617333333</v>
      </c>
      <c r="L41" s="22">
        <v>236310.96173333333</v>
      </c>
      <c r="M41" s="22">
        <v>240430.9617333333</v>
      </c>
      <c r="N41" s="22">
        <v>236310.9617333333</v>
      </c>
      <c r="O41" s="22">
        <v>254810.9617333333</v>
      </c>
      <c r="P41" s="9"/>
      <c r="Q41" s="10">
        <v>3075291.6922276597</v>
      </c>
      <c r="R41" s="10">
        <v>3159708.6092566196</v>
      </c>
      <c r="S41" s="9"/>
    </row>
    <row r="42" spans="1:19" s="1" customFormat="1" x14ac:dyDescent="0.25">
      <c r="A42" s="13"/>
      <c r="B42" s="14"/>
      <c r="D42" s="2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R42" s="14"/>
      <c r="S42" s="9"/>
    </row>
    <row r="43" spans="1:19" s="1" customFormat="1" ht="14.4" thickBot="1" x14ac:dyDescent="0.3">
      <c r="A43" s="1" t="s">
        <v>4</v>
      </c>
      <c r="B43" s="15">
        <v>54477</v>
      </c>
      <c r="D43" s="52">
        <v>-54890.696666666598</v>
      </c>
      <c r="E43" s="51">
        <v>49209.303333333402</v>
      </c>
      <c r="F43" s="51">
        <v>151716.41493333329</v>
      </c>
      <c r="G43" s="51">
        <v>-54883.585066666652</v>
      </c>
      <c r="H43" s="51">
        <v>-29283.585066666652</v>
      </c>
      <c r="I43" s="51">
        <v>-5539.9350666666287</v>
      </c>
      <c r="J43" s="51">
        <v>-42139.935066666629</v>
      </c>
      <c r="K43" s="51">
        <v>-56539.935066666629</v>
      </c>
      <c r="L43" s="51">
        <v>-56539.935066666658</v>
      </c>
      <c r="M43" s="51">
        <v>-15659.935066666629</v>
      </c>
      <c r="N43" s="51">
        <v>5960.0649333333713</v>
      </c>
      <c r="O43" s="51">
        <v>2460.0649333333713</v>
      </c>
      <c r="P43" s="9"/>
      <c r="Q43" s="15">
        <v>81114.737372340169</v>
      </c>
      <c r="R43" s="15">
        <v>145673.35323138023</v>
      </c>
      <c r="S43" s="9"/>
    </row>
    <row r="44" spans="1:19" ht="14.4" thickTop="1" x14ac:dyDescent="0.25">
      <c r="D44" s="9"/>
    </row>
    <row r="45" spans="1:19" x14ac:dyDescent="0.25">
      <c r="B45" s="16"/>
      <c r="D45" s="2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8" spans="1:19" x14ac:dyDescent="0.25">
      <c r="A48" s="4" t="s">
        <v>175</v>
      </c>
      <c r="B48" s="62">
        <v>1707100.1640000001</v>
      </c>
    </row>
    <row r="49" spans="1:2" x14ac:dyDescent="0.25">
      <c r="A49" s="4" t="s">
        <v>176</v>
      </c>
      <c r="B49" s="62">
        <v>107520</v>
      </c>
    </row>
    <row r="50" spans="1:2" x14ac:dyDescent="0.25">
      <c r="A50" s="4" t="s">
        <v>177</v>
      </c>
      <c r="B50" s="62">
        <v>116928</v>
      </c>
    </row>
    <row r="51" spans="1:2" x14ac:dyDescent="0.25">
      <c r="A51" s="4" t="s">
        <v>178</v>
      </c>
      <c r="B51" s="62">
        <v>167920</v>
      </c>
    </row>
    <row r="52" spans="1:2" x14ac:dyDescent="0.25">
      <c r="A52" s="4" t="s">
        <v>179</v>
      </c>
      <c r="B52" s="62">
        <v>366000</v>
      </c>
    </row>
    <row r="53" spans="1:2" x14ac:dyDescent="0.25">
      <c r="A53" s="4" t="s">
        <v>188</v>
      </c>
      <c r="B53" s="62">
        <v>450415.85000000009</v>
      </c>
    </row>
    <row r="54" spans="1:2" ht="14.4" thickBot="1" x14ac:dyDescent="0.3">
      <c r="B54" s="57">
        <v>2915884.014</v>
      </c>
    </row>
    <row r="55" spans="1:2" ht="14.4" thickTop="1" x14ac:dyDescent="0.25">
      <c r="B55" s="20"/>
    </row>
    <row r="57" spans="1:2" x14ac:dyDescent="0.25">
      <c r="B57" s="20">
        <v>0</v>
      </c>
    </row>
  </sheetData>
  <phoneticPr fontId="0" type="noConversion"/>
  <printOptions gridLines="1"/>
  <pageMargins left="0.5" right="0.5" top="0.75" bottom="0.75" header="0" footer="0.2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3B4F-968A-471B-8AC3-DB09B46532DC}">
  <dimension ref="A1:N109"/>
  <sheetViews>
    <sheetView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F9" sqref="F9"/>
    </sheetView>
  </sheetViews>
  <sheetFormatPr defaultRowHeight="13.2" x14ac:dyDescent="0.25"/>
  <cols>
    <col min="1" max="1" width="37.88671875" customWidth="1"/>
    <col min="2" max="4" width="11.109375" customWidth="1"/>
    <col min="5" max="6" width="12" customWidth="1"/>
    <col min="7" max="10" width="11.109375" customWidth="1"/>
    <col min="11" max="11" width="10.33203125" customWidth="1"/>
    <col min="12" max="13" width="7.6640625" customWidth="1"/>
    <col min="14" max="14" width="12" customWidth="1"/>
  </cols>
  <sheetData>
    <row r="1" spans="1:14" ht="17.399999999999999" x14ac:dyDescent="0.3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7.399999999999999" x14ac:dyDescent="0.3">
      <c r="A2" s="37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A3" s="39" t="s">
        <v>158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5" spans="1:14" ht="24" x14ac:dyDescent="0.25">
      <c r="A5" s="27"/>
      <c r="B5" s="28" t="s">
        <v>52</v>
      </c>
      <c r="C5" s="28" t="s">
        <v>53</v>
      </c>
      <c r="D5" s="28" t="s">
        <v>54</v>
      </c>
      <c r="E5" s="28" t="s">
        <v>55</v>
      </c>
      <c r="F5" s="28" t="s">
        <v>56</v>
      </c>
      <c r="G5" s="28" t="s">
        <v>57</v>
      </c>
      <c r="H5" s="28" t="s">
        <v>58</v>
      </c>
      <c r="I5" s="28" t="s">
        <v>40</v>
      </c>
      <c r="J5" s="28" t="s">
        <v>59</v>
      </c>
      <c r="K5" s="28" t="s">
        <v>159</v>
      </c>
      <c r="L5" s="28" t="s">
        <v>160</v>
      </c>
      <c r="M5" s="28" t="s">
        <v>161</v>
      </c>
      <c r="N5" s="28" t="s">
        <v>0</v>
      </c>
    </row>
    <row r="6" spans="1:14" x14ac:dyDescent="0.25">
      <c r="A6" s="29" t="s">
        <v>60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25">
      <c r="A7" s="29" t="s">
        <v>61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1">
        <f t="shared" ref="N7:N22" si="0">(((((((((((B7)+(C7))+(D7))+(E7))+(F7))+(G7))+(H7))+(I7))+(J7))+(K7))+(L7))+(M7)</f>
        <v>0</v>
      </c>
    </row>
    <row r="8" spans="1:14" x14ac:dyDescent="0.25">
      <c r="A8" s="29" t="s">
        <v>62</v>
      </c>
      <c r="B8" s="31">
        <f>821</f>
        <v>821</v>
      </c>
      <c r="C8" s="31">
        <f>7046</f>
        <v>7046</v>
      </c>
      <c r="D8" s="31">
        <f>5500</f>
        <v>5500</v>
      </c>
      <c r="E8" s="30"/>
      <c r="F8" s="30"/>
      <c r="G8" s="31">
        <f>11021.92</f>
        <v>11021.92</v>
      </c>
      <c r="H8" s="31">
        <f>11741</f>
        <v>11741</v>
      </c>
      <c r="I8" s="31">
        <f>1576</f>
        <v>1576</v>
      </c>
      <c r="J8" s="31">
        <f>5526</f>
        <v>5526</v>
      </c>
      <c r="K8" s="31">
        <f>396</f>
        <v>396</v>
      </c>
      <c r="L8" s="30"/>
      <c r="M8" s="30"/>
      <c r="N8" s="31">
        <f t="shared" si="0"/>
        <v>43627.92</v>
      </c>
    </row>
    <row r="9" spans="1:14" x14ac:dyDescent="0.25">
      <c r="A9" s="36" t="s">
        <v>63</v>
      </c>
      <c r="B9" s="30"/>
      <c r="C9" s="30"/>
      <c r="D9" s="31">
        <f>5000</f>
        <v>5000</v>
      </c>
      <c r="E9" s="31">
        <f>422.39</f>
        <v>422.39</v>
      </c>
      <c r="F9" s="31">
        <f>10000</f>
        <v>10000</v>
      </c>
      <c r="G9" s="30"/>
      <c r="H9" s="31">
        <f>52600</f>
        <v>52600</v>
      </c>
      <c r="I9" s="30"/>
      <c r="J9" s="30"/>
      <c r="K9" s="30"/>
      <c r="L9" s="30"/>
      <c r="M9" s="30"/>
      <c r="N9" s="31">
        <f t="shared" si="0"/>
        <v>68022.39</v>
      </c>
    </row>
    <row r="10" spans="1:14" x14ac:dyDescent="0.25">
      <c r="A10" s="36" t="s">
        <v>64</v>
      </c>
      <c r="B10" s="31">
        <f>7320.82</f>
        <v>7320.82</v>
      </c>
      <c r="C10" s="31">
        <f>4858.59</f>
        <v>4858.59</v>
      </c>
      <c r="D10" s="31">
        <f>10585.39</f>
        <v>10585.39</v>
      </c>
      <c r="E10" s="31">
        <f>4336.68</f>
        <v>4336.68</v>
      </c>
      <c r="F10" s="31">
        <f>13690.69</f>
        <v>13690.69</v>
      </c>
      <c r="G10" s="31">
        <f>21118.02</f>
        <v>21118.02</v>
      </c>
      <c r="H10" s="31">
        <f>13697.5</f>
        <v>13697.5</v>
      </c>
      <c r="I10" s="31">
        <f>7913.69</f>
        <v>7913.69</v>
      </c>
      <c r="J10" s="31">
        <f>3191.42</f>
        <v>3191.42</v>
      </c>
      <c r="K10" s="31">
        <f>675</f>
        <v>675</v>
      </c>
      <c r="L10" s="30"/>
      <c r="M10" s="30"/>
      <c r="N10" s="31">
        <f t="shared" si="0"/>
        <v>87387.8</v>
      </c>
    </row>
    <row r="11" spans="1:14" x14ac:dyDescent="0.25">
      <c r="A11" s="36" t="s">
        <v>65</v>
      </c>
      <c r="B11" s="30"/>
      <c r="C11" s="30"/>
      <c r="D11" s="30"/>
      <c r="E11" s="30"/>
      <c r="F11" s="31">
        <f>324</f>
        <v>324</v>
      </c>
      <c r="G11" s="31">
        <f>11869</f>
        <v>11869</v>
      </c>
      <c r="H11" s="31">
        <f>760</f>
        <v>760</v>
      </c>
      <c r="I11" s="31">
        <f>6435</f>
        <v>6435</v>
      </c>
      <c r="J11" s="31">
        <f>2225</f>
        <v>2225</v>
      </c>
      <c r="K11" s="30"/>
      <c r="L11" s="30"/>
      <c r="M11" s="30"/>
      <c r="N11" s="31">
        <f t="shared" si="0"/>
        <v>21613</v>
      </c>
    </row>
    <row r="12" spans="1:14" x14ac:dyDescent="0.25">
      <c r="A12" s="36" t="s">
        <v>66</v>
      </c>
      <c r="B12" s="30"/>
      <c r="C12" s="30"/>
      <c r="D12" s="30"/>
      <c r="E12" s="31">
        <f>3126</f>
        <v>3126</v>
      </c>
      <c r="F12" s="31">
        <f>125</f>
        <v>125</v>
      </c>
      <c r="G12" s="31">
        <f>1930</f>
        <v>1930</v>
      </c>
      <c r="H12" s="31">
        <f>100</f>
        <v>100</v>
      </c>
      <c r="I12" s="30"/>
      <c r="J12" s="30"/>
      <c r="K12" s="30"/>
      <c r="L12" s="30"/>
      <c r="M12" s="30"/>
      <c r="N12" s="31">
        <f t="shared" si="0"/>
        <v>5281</v>
      </c>
    </row>
    <row r="13" spans="1:14" x14ac:dyDescent="0.25">
      <c r="A13" s="29" t="s">
        <v>67</v>
      </c>
      <c r="B13" s="32">
        <f t="shared" ref="B13:M13" si="1">(((((B7)+(B8))+(B9))+(B10))+(B11))+(B12)</f>
        <v>8141.82</v>
      </c>
      <c r="C13" s="32">
        <f t="shared" si="1"/>
        <v>11904.59</v>
      </c>
      <c r="D13" s="32">
        <f t="shared" si="1"/>
        <v>21085.39</v>
      </c>
      <c r="E13" s="32">
        <f t="shared" si="1"/>
        <v>7885.0700000000006</v>
      </c>
      <c r="F13" s="32">
        <f t="shared" si="1"/>
        <v>24139.690000000002</v>
      </c>
      <c r="G13" s="32">
        <f t="shared" si="1"/>
        <v>45938.94</v>
      </c>
      <c r="H13" s="32">
        <f t="shared" si="1"/>
        <v>78898.5</v>
      </c>
      <c r="I13" s="32">
        <f t="shared" si="1"/>
        <v>15924.689999999999</v>
      </c>
      <c r="J13" s="32">
        <f t="shared" si="1"/>
        <v>10942.42</v>
      </c>
      <c r="K13" s="32">
        <f t="shared" si="1"/>
        <v>1071</v>
      </c>
      <c r="L13" s="32">
        <f t="shared" si="1"/>
        <v>0</v>
      </c>
      <c r="M13" s="32">
        <f t="shared" si="1"/>
        <v>0</v>
      </c>
      <c r="N13" s="32">
        <f t="shared" si="0"/>
        <v>225932.11000000002</v>
      </c>
    </row>
    <row r="14" spans="1:14" x14ac:dyDescent="0.25">
      <c r="A14" s="29" t="s">
        <v>68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0"/>
        <v>0</v>
      </c>
    </row>
    <row r="15" spans="1:14" x14ac:dyDescent="0.25">
      <c r="A15" s="29" t="s">
        <v>69</v>
      </c>
      <c r="B15" s="31">
        <f>1504</f>
        <v>1504</v>
      </c>
      <c r="C15" s="31">
        <f>2608</f>
        <v>2608</v>
      </c>
      <c r="D15" s="31">
        <f>870</f>
        <v>870</v>
      </c>
      <c r="E15" s="30"/>
      <c r="F15" s="31">
        <f>275</f>
        <v>275</v>
      </c>
      <c r="G15" s="31">
        <f>100</f>
        <v>100</v>
      </c>
      <c r="H15" s="31">
        <f>903</f>
        <v>903</v>
      </c>
      <c r="I15" s="31">
        <f>333</f>
        <v>333</v>
      </c>
      <c r="J15" s="30"/>
      <c r="K15" s="30"/>
      <c r="L15" s="30"/>
      <c r="M15" s="30"/>
      <c r="N15" s="31">
        <f t="shared" si="0"/>
        <v>6593</v>
      </c>
    </row>
    <row r="16" spans="1:14" x14ac:dyDescent="0.25">
      <c r="A16" s="29" t="s">
        <v>70</v>
      </c>
      <c r="B16" s="32">
        <f t="shared" ref="B16:M16" si="2">(B14)+(B15)</f>
        <v>1504</v>
      </c>
      <c r="C16" s="32">
        <f t="shared" si="2"/>
        <v>2608</v>
      </c>
      <c r="D16" s="32">
        <f t="shared" si="2"/>
        <v>870</v>
      </c>
      <c r="E16" s="32">
        <f t="shared" si="2"/>
        <v>0</v>
      </c>
      <c r="F16" s="32">
        <f t="shared" si="2"/>
        <v>275</v>
      </c>
      <c r="G16" s="32">
        <f t="shared" si="2"/>
        <v>100</v>
      </c>
      <c r="H16" s="32">
        <f t="shared" si="2"/>
        <v>903</v>
      </c>
      <c r="I16" s="32">
        <f t="shared" si="2"/>
        <v>333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 t="shared" si="0"/>
        <v>6593</v>
      </c>
    </row>
    <row r="17" spans="1:14" x14ac:dyDescent="0.25">
      <c r="A17" s="36" t="s">
        <v>71</v>
      </c>
      <c r="B17" s="31">
        <f>106065</f>
        <v>106065</v>
      </c>
      <c r="C17" s="31">
        <f>266</f>
        <v>266</v>
      </c>
      <c r="D17" s="30"/>
      <c r="E17" s="30"/>
      <c r="F17" s="30"/>
      <c r="G17" s="30"/>
      <c r="H17" s="31">
        <f>5735</f>
        <v>5735</v>
      </c>
      <c r="I17" s="31">
        <f>475</f>
        <v>475</v>
      </c>
      <c r="J17" s="31">
        <f>1271</f>
        <v>1271</v>
      </c>
      <c r="K17" s="30"/>
      <c r="L17" s="30"/>
      <c r="M17" s="30"/>
      <c r="N17" s="31">
        <f t="shared" si="0"/>
        <v>113812</v>
      </c>
    </row>
    <row r="18" spans="1:14" x14ac:dyDescent="0.25">
      <c r="A18" s="29" t="s">
        <v>72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>
        <f t="shared" si="0"/>
        <v>0</v>
      </c>
    </row>
    <row r="19" spans="1:14" x14ac:dyDescent="0.25">
      <c r="A19" s="36" t="s">
        <v>73</v>
      </c>
      <c r="B19" s="31">
        <f>25.61</f>
        <v>25.61</v>
      </c>
      <c r="C19" s="31">
        <f>25.62</f>
        <v>25.62</v>
      </c>
      <c r="D19" s="31">
        <f>24.78</f>
        <v>24.78</v>
      </c>
      <c r="E19" s="31">
        <f>25.62</f>
        <v>25.62</v>
      </c>
      <c r="F19" s="31">
        <f>24.79</f>
        <v>24.79</v>
      </c>
      <c r="G19" s="31">
        <f>25.63</f>
        <v>25.63</v>
      </c>
      <c r="H19" s="31">
        <f>25.62</f>
        <v>25.62</v>
      </c>
      <c r="I19" s="31">
        <f>23.98</f>
        <v>23.98</v>
      </c>
      <c r="J19" s="31">
        <f>25.64</f>
        <v>25.64</v>
      </c>
      <c r="K19" s="30"/>
      <c r="L19" s="30"/>
      <c r="M19" s="30"/>
      <c r="N19" s="31">
        <f t="shared" si="0"/>
        <v>227.29000000000002</v>
      </c>
    </row>
    <row r="20" spans="1:14" x14ac:dyDescent="0.25">
      <c r="A20" s="29" t="s">
        <v>74</v>
      </c>
      <c r="B20" s="32">
        <f t="shared" ref="B20:M20" si="3">(B18)+(B19)</f>
        <v>25.61</v>
      </c>
      <c r="C20" s="32">
        <f t="shared" si="3"/>
        <v>25.62</v>
      </c>
      <c r="D20" s="32">
        <f t="shared" si="3"/>
        <v>24.78</v>
      </c>
      <c r="E20" s="32">
        <f t="shared" si="3"/>
        <v>25.62</v>
      </c>
      <c r="F20" s="32">
        <f t="shared" si="3"/>
        <v>24.79</v>
      </c>
      <c r="G20" s="32">
        <f t="shared" si="3"/>
        <v>25.63</v>
      </c>
      <c r="H20" s="32">
        <f t="shared" si="3"/>
        <v>25.62</v>
      </c>
      <c r="I20" s="32">
        <f t="shared" si="3"/>
        <v>23.98</v>
      </c>
      <c r="J20" s="32">
        <f t="shared" si="3"/>
        <v>25.64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0"/>
        <v>227.29000000000002</v>
      </c>
    </row>
    <row r="21" spans="1:14" x14ac:dyDescent="0.25">
      <c r="A21" s="29" t="s">
        <v>75</v>
      </c>
      <c r="B21" s="32">
        <f t="shared" ref="B21:M21" si="4">(((B13)+(B16))+(B17))+(B20)</f>
        <v>115736.43000000001</v>
      </c>
      <c r="C21" s="32">
        <f t="shared" si="4"/>
        <v>14804.210000000001</v>
      </c>
      <c r="D21" s="32">
        <f t="shared" si="4"/>
        <v>21980.17</v>
      </c>
      <c r="E21" s="32">
        <f t="shared" si="4"/>
        <v>7910.6900000000005</v>
      </c>
      <c r="F21" s="32">
        <f t="shared" si="4"/>
        <v>24439.480000000003</v>
      </c>
      <c r="G21" s="32">
        <f t="shared" si="4"/>
        <v>46064.57</v>
      </c>
      <c r="H21" s="32">
        <f t="shared" si="4"/>
        <v>85562.12</v>
      </c>
      <c r="I21" s="32">
        <f t="shared" si="4"/>
        <v>16756.669999999998</v>
      </c>
      <c r="J21" s="32">
        <f t="shared" si="4"/>
        <v>12239.06</v>
      </c>
      <c r="K21" s="32">
        <f t="shared" si="4"/>
        <v>1071</v>
      </c>
      <c r="L21" s="32">
        <f t="shared" si="4"/>
        <v>0</v>
      </c>
      <c r="M21" s="32">
        <f t="shared" si="4"/>
        <v>0</v>
      </c>
      <c r="N21" s="32">
        <f t="shared" si="0"/>
        <v>346564.4</v>
      </c>
    </row>
    <row r="22" spans="1:14" x14ac:dyDescent="0.25">
      <c r="A22" s="29" t="s">
        <v>76</v>
      </c>
      <c r="B22" s="32">
        <f t="shared" ref="B22:M22" si="5">(B21)-(0)</f>
        <v>115736.43000000001</v>
      </c>
      <c r="C22" s="32">
        <f t="shared" si="5"/>
        <v>14804.210000000001</v>
      </c>
      <c r="D22" s="32">
        <f t="shared" si="5"/>
        <v>21980.17</v>
      </c>
      <c r="E22" s="32">
        <f t="shared" si="5"/>
        <v>7910.6900000000005</v>
      </c>
      <c r="F22" s="32">
        <f t="shared" si="5"/>
        <v>24439.480000000003</v>
      </c>
      <c r="G22" s="32">
        <f t="shared" si="5"/>
        <v>46064.57</v>
      </c>
      <c r="H22" s="32">
        <f t="shared" si="5"/>
        <v>85562.12</v>
      </c>
      <c r="I22" s="32">
        <f t="shared" si="5"/>
        <v>16756.669999999998</v>
      </c>
      <c r="J22" s="32">
        <f t="shared" si="5"/>
        <v>12239.06</v>
      </c>
      <c r="K22" s="32">
        <f t="shared" si="5"/>
        <v>1071</v>
      </c>
      <c r="L22" s="32">
        <f t="shared" si="5"/>
        <v>0</v>
      </c>
      <c r="M22" s="32">
        <f t="shared" si="5"/>
        <v>0</v>
      </c>
      <c r="N22" s="32">
        <f t="shared" si="0"/>
        <v>346564.4</v>
      </c>
    </row>
    <row r="23" spans="1:14" x14ac:dyDescent="0.25">
      <c r="A23" s="29" t="s">
        <v>19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x14ac:dyDescent="0.25">
      <c r="A24" s="29" t="s">
        <v>77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>
        <f t="shared" ref="N24:N87" si="6">(((((((((((B24)+(C24))+(D24))+(E24))+(F24))+(G24))+(H24))+(I24))+(J24))+(K24))+(L24))+(M24)</f>
        <v>0</v>
      </c>
    </row>
    <row r="25" spans="1:14" x14ac:dyDescent="0.25">
      <c r="A25" s="36" t="s">
        <v>78</v>
      </c>
      <c r="B25" s="31">
        <f>21810</f>
        <v>21810</v>
      </c>
      <c r="C25" s="31">
        <f>26635.83</f>
        <v>26635.83</v>
      </c>
      <c r="D25" s="31">
        <f>34966.66</f>
        <v>34966.660000000003</v>
      </c>
      <c r="E25" s="31">
        <f>11883.1</f>
        <v>11883.1</v>
      </c>
      <c r="F25" s="31">
        <f>27962.91</f>
        <v>27962.91</v>
      </c>
      <c r="G25" s="31">
        <f>57240</f>
        <v>57240</v>
      </c>
      <c r="H25" s="31">
        <f>27507.52</f>
        <v>27507.52</v>
      </c>
      <c r="I25" s="31">
        <f>32000</f>
        <v>32000</v>
      </c>
      <c r="J25" s="31">
        <f>31850</f>
        <v>31850</v>
      </c>
      <c r="K25" s="30"/>
      <c r="L25" s="30"/>
      <c r="M25" s="30"/>
      <c r="N25" s="31">
        <f t="shared" si="6"/>
        <v>271856.02</v>
      </c>
    </row>
    <row r="26" spans="1:14" x14ac:dyDescent="0.25">
      <c r="A26" s="36" t="s">
        <v>79</v>
      </c>
      <c r="B26" s="31">
        <f>3403.72</f>
        <v>3403.72</v>
      </c>
      <c r="C26" s="31">
        <f>3021.89</f>
        <v>3021.89</v>
      </c>
      <c r="D26" s="31">
        <f>2962.75</f>
        <v>2962.75</v>
      </c>
      <c r="E26" s="31">
        <f>3004.99</f>
        <v>3004.99</v>
      </c>
      <c r="F26" s="31">
        <f>3118.65</f>
        <v>3118.65</v>
      </c>
      <c r="G26" s="31">
        <f>2313.49</f>
        <v>2313.4899999999998</v>
      </c>
      <c r="H26" s="31">
        <f>2009.78</f>
        <v>2009.78</v>
      </c>
      <c r="I26" s="31">
        <f>2448.67</f>
        <v>2448.67</v>
      </c>
      <c r="J26" s="31">
        <f>2436.73</f>
        <v>2436.73</v>
      </c>
      <c r="K26" s="30"/>
      <c r="L26" s="30"/>
      <c r="M26" s="30"/>
      <c r="N26" s="31">
        <f t="shared" si="6"/>
        <v>24720.669999999995</v>
      </c>
    </row>
    <row r="27" spans="1:14" x14ac:dyDescent="0.25">
      <c r="A27" s="36" t="s">
        <v>80</v>
      </c>
      <c r="B27" s="32">
        <f t="shared" ref="B27:M27" si="7">((B24)+(B25))+(B26)</f>
        <v>25213.72</v>
      </c>
      <c r="C27" s="32">
        <f t="shared" si="7"/>
        <v>29657.72</v>
      </c>
      <c r="D27" s="32">
        <f t="shared" si="7"/>
        <v>37929.410000000003</v>
      </c>
      <c r="E27" s="32">
        <f t="shared" si="7"/>
        <v>14888.09</v>
      </c>
      <c r="F27" s="32">
        <f t="shared" si="7"/>
        <v>31081.56</v>
      </c>
      <c r="G27" s="32">
        <f t="shared" si="7"/>
        <v>59553.49</v>
      </c>
      <c r="H27" s="32">
        <f t="shared" si="7"/>
        <v>29517.3</v>
      </c>
      <c r="I27" s="32">
        <f t="shared" si="7"/>
        <v>34448.67</v>
      </c>
      <c r="J27" s="32">
        <f t="shared" si="7"/>
        <v>34286.730000000003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6"/>
        <v>296576.68999999994</v>
      </c>
    </row>
    <row r="28" spans="1:14" x14ac:dyDescent="0.25">
      <c r="A28" s="36" t="s">
        <v>81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>
        <f t="shared" si="6"/>
        <v>0</v>
      </c>
    </row>
    <row r="29" spans="1:14" x14ac:dyDescent="0.25">
      <c r="A29" s="36" t="s">
        <v>82</v>
      </c>
      <c r="B29" s="31">
        <f>1631.91</f>
        <v>1631.91</v>
      </c>
      <c r="C29" s="31">
        <f>1631.91</f>
        <v>1631.91</v>
      </c>
      <c r="D29" s="31">
        <f>1631.91</f>
        <v>1631.91</v>
      </c>
      <c r="E29" s="31">
        <f>4349.47</f>
        <v>4349.47</v>
      </c>
      <c r="F29" s="31">
        <f>2990.69</f>
        <v>2990.69</v>
      </c>
      <c r="G29" s="31">
        <f>2990.69</f>
        <v>2990.69</v>
      </c>
      <c r="H29" s="31">
        <f>2990.69</f>
        <v>2990.69</v>
      </c>
      <c r="I29" s="31">
        <f>2990.69</f>
        <v>2990.69</v>
      </c>
      <c r="J29" s="31">
        <f>2990.69</f>
        <v>2990.69</v>
      </c>
      <c r="K29" s="30"/>
      <c r="L29" s="30"/>
      <c r="M29" s="30"/>
      <c r="N29" s="31">
        <f t="shared" si="6"/>
        <v>24198.649999999998</v>
      </c>
    </row>
    <row r="30" spans="1:14" x14ac:dyDescent="0.25">
      <c r="A30" s="29" t="s">
        <v>83</v>
      </c>
      <c r="B30" s="32">
        <f t="shared" ref="B30:M30" si="8">(B28)+(B29)</f>
        <v>1631.91</v>
      </c>
      <c r="C30" s="32">
        <f t="shared" si="8"/>
        <v>1631.91</v>
      </c>
      <c r="D30" s="32">
        <f t="shared" si="8"/>
        <v>1631.91</v>
      </c>
      <c r="E30" s="32">
        <f t="shared" si="8"/>
        <v>4349.47</v>
      </c>
      <c r="F30" s="32">
        <f t="shared" si="8"/>
        <v>2990.69</v>
      </c>
      <c r="G30" s="32">
        <f t="shared" si="8"/>
        <v>2990.69</v>
      </c>
      <c r="H30" s="32">
        <f t="shared" si="8"/>
        <v>2990.69</v>
      </c>
      <c r="I30" s="32">
        <f t="shared" si="8"/>
        <v>2990.69</v>
      </c>
      <c r="J30" s="32">
        <f t="shared" si="8"/>
        <v>2990.69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6"/>
        <v>24198.649999999998</v>
      </c>
    </row>
    <row r="31" spans="1:14" x14ac:dyDescent="0.25">
      <c r="A31" s="29" t="s">
        <v>84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1">
        <f t="shared" si="6"/>
        <v>0</v>
      </c>
    </row>
    <row r="32" spans="1:14" x14ac:dyDescent="0.25">
      <c r="A32" s="36" t="s">
        <v>85</v>
      </c>
      <c r="B32" s="30"/>
      <c r="C32" s="31">
        <f>956.25</f>
        <v>956.25</v>
      </c>
      <c r="D32" s="30"/>
      <c r="E32" s="30"/>
      <c r="F32" s="30"/>
      <c r="G32" s="31">
        <f>356</f>
        <v>356</v>
      </c>
      <c r="H32" s="30"/>
      <c r="I32" s="31">
        <f>900</f>
        <v>900</v>
      </c>
      <c r="J32" s="30"/>
      <c r="K32" s="30"/>
      <c r="L32" s="30"/>
      <c r="M32" s="30"/>
      <c r="N32" s="31">
        <f t="shared" si="6"/>
        <v>2212.25</v>
      </c>
    </row>
    <row r="33" spans="1:14" x14ac:dyDescent="0.25">
      <c r="A33" s="36" t="s">
        <v>86</v>
      </c>
      <c r="B33" s="31">
        <f>390</f>
        <v>390</v>
      </c>
      <c r="C33" s="30"/>
      <c r="D33" s="30"/>
      <c r="E33" s="30"/>
      <c r="F33" s="30"/>
      <c r="G33" s="30"/>
      <c r="H33" s="30"/>
      <c r="I33" s="30"/>
      <c r="J33" s="31">
        <f>373.25</f>
        <v>373.25</v>
      </c>
      <c r="K33" s="30"/>
      <c r="L33" s="30"/>
      <c r="M33" s="30"/>
      <c r="N33" s="31">
        <f t="shared" si="6"/>
        <v>763.25</v>
      </c>
    </row>
    <row r="34" spans="1:14" x14ac:dyDescent="0.25">
      <c r="A34" s="36" t="s">
        <v>87</v>
      </c>
      <c r="B34" s="31">
        <f>130.65</f>
        <v>130.65</v>
      </c>
      <c r="C34" s="31">
        <f>128.5</f>
        <v>128.5</v>
      </c>
      <c r="D34" s="31">
        <f>132.8</f>
        <v>132.80000000000001</v>
      </c>
      <c r="E34" s="31">
        <f>54.25</f>
        <v>54.25</v>
      </c>
      <c r="F34" s="31">
        <f>565.02</f>
        <v>565.02</v>
      </c>
      <c r="G34" s="31">
        <f>323.04</f>
        <v>323.04000000000002</v>
      </c>
      <c r="H34" s="31">
        <f>267.11</f>
        <v>267.11</v>
      </c>
      <c r="I34" s="31">
        <f>269.2</f>
        <v>269.2</v>
      </c>
      <c r="J34" s="31">
        <f>269.2</f>
        <v>269.2</v>
      </c>
      <c r="K34" s="30"/>
      <c r="L34" s="30"/>
      <c r="M34" s="30"/>
      <c r="N34" s="31">
        <f t="shared" si="6"/>
        <v>2139.77</v>
      </c>
    </row>
    <row r="35" spans="1:14" x14ac:dyDescent="0.25">
      <c r="A35" s="36" t="s">
        <v>88</v>
      </c>
      <c r="B35" s="31">
        <f>1800</f>
        <v>1800</v>
      </c>
      <c r="C35" s="31">
        <f>1125</f>
        <v>1125</v>
      </c>
      <c r="D35" s="31">
        <f>1950</f>
        <v>1950</v>
      </c>
      <c r="E35" s="31">
        <f>1650</f>
        <v>1650</v>
      </c>
      <c r="F35" s="31">
        <f>5616.25</f>
        <v>5616.25</v>
      </c>
      <c r="G35" s="31">
        <f>3763.75</f>
        <v>3763.75</v>
      </c>
      <c r="H35" s="31">
        <f>2377.88</f>
        <v>2377.88</v>
      </c>
      <c r="I35" s="31">
        <f>2782.92</f>
        <v>2782.92</v>
      </c>
      <c r="J35" s="31">
        <f>1685.36</f>
        <v>1685.36</v>
      </c>
      <c r="K35" s="31">
        <f>1532.13</f>
        <v>1532.13</v>
      </c>
      <c r="L35" s="30"/>
      <c r="M35" s="30"/>
      <c r="N35" s="31">
        <f t="shared" si="6"/>
        <v>24283.290000000005</v>
      </c>
    </row>
    <row r="36" spans="1:14" x14ac:dyDescent="0.25">
      <c r="A36" s="36" t="s">
        <v>89</v>
      </c>
      <c r="B36" s="31">
        <f>1125</f>
        <v>1125</v>
      </c>
      <c r="C36" s="31">
        <f>1875</f>
        <v>1875</v>
      </c>
      <c r="D36" s="30"/>
      <c r="E36" s="30"/>
      <c r="F36" s="30"/>
      <c r="G36" s="30"/>
      <c r="H36" s="31">
        <f>2250</f>
        <v>2250</v>
      </c>
      <c r="I36" s="30"/>
      <c r="J36" s="31">
        <f>2250</f>
        <v>2250</v>
      </c>
      <c r="K36" s="30"/>
      <c r="L36" s="30"/>
      <c r="M36" s="30"/>
      <c r="N36" s="31">
        <f t="shared" si="6"/>
        <v>7500</v>
      </c>
    </row>
    <row r="37" spans="1:14" x14ac:dyDescent="0.25">
      <c r="A37" s="36" t="s">
        <v>90</v>
      </c>
      <c r="B37" s="30"/>
      <c r="C37" s="30"/>
      <c r="D37" s="30"/>
      <c r="E37" s="30"/>
      <c r="F37" s="30"/>
      <c r="G37" s="30"/>
      <c r="H37" s="30"/>
      <c r="I37" s="30"/>
      <c r="J37" s="30"/>
      <c r="K37" s="31">
        <f>1200</f>
        <v>1200</v>
      </c>
      <c r="L37" s="30"/>
      <c r="M37" s="30"/>
      <c r="N37" s="31">
        <f t="shared" si="6"/>
        <v>1200</v>
      </c>
    </row>
    <row r="38" spans="1:14" x14ac:dyDescent="0.25">
      <c r="A38" s="29" t="s">
        <v>91</v>
      </c>
      <c r="B38" s="32">
        <f t="shared" ref="B38:M38" si="9">((((((B31)+(B32))+(B33))+(B34))+(B35))+(B36))+(B37)</f>
        <v>3445.65</v>
      </c>
      <c r="C38" s="32">
        <f t="shared" si="9"/>
        <v>4084.75</v>
      </c>
      <c r="D38" s="32">
        <f t="shared" si="9"/>
        <v>2082.8000000000002</v>
      </c>
      <c r="E38" s="32">
        <f t="shared" si="9"/>
        <v>1704.25</v>
      </c>
      <c r="F38" s="32">
        <f t="shared" si="9"/>
        <v>6181.27</v>
      </c>
      <c r="G38" s="32">
        <f t="shared" si="9"/>
        <v>4442.79</v>
      </c>
      <c r="H38" s="32">
        <f t="shared" si="9"/>
        <v>4894.99</v>
      </c>
      <c r="I38" s="32">
        <f t="shared" si="9"/>
        <v>3952.12</v>
      </c>
      <c r="J38" s="32">
        <f t="shared" si="9"/>
        <v>4577.8099999999995</v>
      </c>
      <c r="K38" s="32">
        <f t="shared" si="9"/>
        <v>2732.13</v>
      </c>
      <c r="L38" s="32">
        <f t="shared" si="9"/>
        <v>0</v>
      </c>
      <c r="M38" s="32">
        <f t="shared" si="9"/>
        <v>0</v>
      </c>
      <c r="N38" s="32">
        <f t="shared" si="6"/>
        <v>38098.559999999998</v>
      </c>
    </row>
    <row r="39" spans="1:14" x14ac:dyDescent="0.25">
      <c r="A39" s="29" t="s">
        <v>92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f t="shared" si="6"/>
        <v>0</v>
      </c>
    </row>
    <row r="40" spans="1:14" x14ac:dyDescent="0.25">
      <c r="A40" s="36" t="s">
        <v>93</v>
      </c>
      <c r="B40" s="30"/>
      <c r="C40" s="30"/>
      <c r="D40" s="30"/>
      <c r="E40" s="30"/>
      <c r="F40" s="30"/>
      <c r="G40" s="31">
        <f>56.54</f>
        <v>56.54</v>
      </c>
      <c r="H40" s="30"/>
      <c r="I40" s="30"/>
      <c r="J40" s="30"/>
      <c r="K40" s="30"/>
      <c r="L40" s="30"/>
      <c r="M40" s="30"/>
      <c r="N40" s="31">
        <f t="shared" si="6"/>
        <v>56.54</v>
      </c>
    </row>
    <row r="41" spans="1:14" x14ac:dyDescent="0.25">
      <c r="A41" s="36" t="s">
        <v>94</v>
      </c>
      <c r="B41" s="30"/>
      <c r="C41" s="30"/>
      <c r="D41" s="31">
        <f>11912.5</f>
        <v>11912.5</v>
      </c>
      <c r="E41" s="31">
        <f>1041.35</f>
        <v>1041.3499999999999</v>
      </c>
      <c r="F41" s="31">
        <f>880</f>
        <v>880</v>
      </c>
      <c r="G41" s="31">
        <f>4155.4</f>
        <v>4155.3999999999996</v>
      </c>
      <c r="H41" s="31">
        <f>4019</f>
        <v>4019</v>
      </c>
      <c r="I41" s="31">
        <f>2000.45</f>
        <v>2000.45</v>
      </c>
      <c r="J41" s="31">
        <f>36.05</f>
        <v>36.049999999999997</v>
      </c>
      <c r="K41" s="30"/>
      <c r="L41" s="30"/>
      <c r="M41" s="30"/>
      <c r="N41" s="31">
        <f t="shared" si="6"/>
        <v>24044.75</v>
      </c>
    </row>
    <row r="42" spans="1:14" x14ac:dyDescent="0.25">
      <c r="A42" s="36" t="s">
        <v>95</v>
      </c>
      <c r="B42" s="31">
        <f>4004.18</f>
        <v>4004.18</v>
      </c>
      <c r="C42" s="31">
        <f>2871.97</f>
        <v>2871.97</v>
      </c>
      <c r="D42" s="31">
        <f>3153</f>
        <v>3153</v>
      </c>
      <c r="E42" s="31">
        <f>4406.06</f>
        <v>4406.0600000000004</v>
      </c>
      <c r="F42" s="31">
        <f>17381.91</f>
        <v>17381.91</v>
      </c>
      <c r="G42" s="31">
        <f>100</f>
        <v>100</v>
      </c>
      <c r="H42" s="31">
        <f>100</f>
        <v>100</v>
      </c>
      <c r="I42" s="31">
        <f>100</f>
        <v>100</v>
      </c>
      <c r="J42" s="31">
        <f>100</f>
        <v>100</v>
      </c>
      <c r="K42" s="30"/>
      <c r="L42" s="30"/>
      <c r="M42" s="30"/>
      <c r="N42" s="31">
        <f t="shared" si="6"/>
        <v>32217.119999999999</v>
      </c>
    </row>
    <row r="43" spans="1:14" x14ac:dyDescent="0.25">
      <c r="A43" s="36" t="s">
        <v>96</v>
      </c>
      <c r="B43" s="30"/>
      <c r="C43" s="30"/>
      <c r="D43" s="30"/>
      <c r="E43" s="30"/>
      <c r="F43" s="31">
        <f>2705</f>
        <v>2705</v>
      </c>
      <c r="G43" s="31">
        <f>5050.33</f>
        <v>5050.33</v>
      </c>
      <c r="H43" s="30"/>
      <c r="I43" s="30"/>
      <c r="J43" s="30"/>
      <c r="K43" s="31">
        <f>2299.86</f>
        <v>2299.86</v>
      </c>
      <c r="L43" s="30"/>
      <c r="M43" s="30"/>
      <c r="N43" s="31">
        <f t="shared" si="6"/>
        <v>10055.19</v>
      </c>
    </row>
    <row r="44" spans="1:14" x14ac:dyDescent="0.25">
      <c r="A44" s="36" t="s">
        <v>97</v>
      </c>
      <c r="B44" s="30"/>
      <c r="C44" s="30"/>
      <c r="D44" s="30"/>
      <c r="E44" s="31">
        <f>2798.48</f>
        <v>2798.48</v>
      </c>
      <c r="F44" s="31">
        <f>5050.52</f>
        <v>5050.5200000000004</v>
      </c>
      <c r="G44" s="30"/>
      <c r="H44" s="30"/>
      <c r="I44" s="30"/>
      <c r="J44" s="31">
        <f>3116.38</f>
        <v>3116.38</v>
      </c>
      <c r="K44" s="30"/>
      <c r="L44" s="30"/>
      <c r="M44" s="30"/>
      <c r="N44" s="31">
        <f t="shared" si="6"/>
        <v>10965.380000000001</v>
      </c>
    </row>
    <row r="45" spans="1:14" x14ac:dyDescent="0.25">
      <c r="A45" s="29" t="s">
        <v>98</v>
      </c>
      <c r="B45" s="32">
        <f t="shared" ref="B45:M45" si="10">(((((B39)+(B40))+(B41))+(B42))+(B43))+(B44)</f>
        <v>4004.18</v>
      </c>
      <c r="C45" s="32">
        <f t="shared" si="10"/>
        <v>2871.97</v>
      </c>
      <c r="D45" s="32">
        <f t="shared" si="10"/>
        <v>15065.5</v>
      </c>
      <c r="E45" s="32">
        <f t="shared" si="10"/>
        <v>8245.89</v>
      </c>
      <c r="F45" s="32">
        <f t="shared" si="10"/>
        <v>26017.43</v>
      </c>
      <c r="G45" s="32">
        <f t="shared" si="10"/>
        <v>9362.27</v>
      </c>
      <c r="H45" s="32">
        <f t="shared" si="10"/>
        <v>4119</v>
      </c>
      <c r="I45" s="32">
        <f t="shared" si="10"/>
        <v>2100.4499999999998</v>
      </c>
      <c r="J45" s="32">
        <f t="shared" si="10"/>
        <v>3252.4300000000003</v>
      </c>
      <c r="K45" s="32">
        <f t="shared" si="10"/>
        <v>2299.86</v>
      </c>
      <c r="L45" s="32">
        <f t="shared" si="10"/>
        <v>0</v>
      </c>
      <c r="M45" s="32">
        <f t="shared" si="10"/>
        <v>0</v>
      </c>
      <c r="N45" s="32">
        <f t="shared" si="6"/>
        <v>77338.98</v>
      </c>
    </row>
    <row r="46" spans="1:14" x14ac:dyDescent="0.25">
      <c r="A46" s="29" t="s">
        <v>99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>
        <f t="shared" si="6"/>
        <v>0</v>
      </c>
    </row>
    <row r="47" spans="1:14" x14ac:dyDescent="0.25">
      <c r="A47" s="29" t="s">
        <v>100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>
        <f t="shared" si="6"/>
        <v>0</v>
      </c>
    </row>
    <row r="48" spans="1:14" x14ac:dyDescent="0.25">
      <c r="A48" s="29" t="s">
        <v>101</v>
      </c>
      <c r="B48" s="30"/>
      <c r="C48" s="30"/>
      <c r="D48" s="30"/>
      <c r="E48" s="30"/>
      <c r="F48" s="30"/>
      <c r="G48" s="30"/>
      <c r="H48" s="30"/>
      <c r="I48" s="31">
        <f>190.72</f>
        <v>190.72</v>
      </c>
      <c r="J48" s="31">
        <f>480.98</f>
        <v>480.98</v>
      </c>
      <c r="K48" s="30"/>
      <c r="L48" s="30"/>
      <c r="M48" s="30"/>
      <c r="N48" s="31">
        <f t="shared" si="6"/>
        <v>671.7</v>
      </c>
    </row>
    <row r="49" spans="1:14" x14ac:dyDescent="0.25">
      <c r="A49" s="29" t="s">
        <v>102</v>
      </c>
      <c r="B49" s="31">
        <f>102.7</f>
        <v>102.7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1">
        <f t="shared" si="6"/>
        <v>102.7</v>
      </c>
    </row>
    <row r="50" spans="1:14" x14ac:dyDescent="0.25">
      <c r="A50" s="29" t="s">
        <v>103</v>
      </c>
      <c r="B50" s="31">
        <f>2197.5</f>
        <v>2197.5</v>
      </c>
      <c r="C50" s="31">
        <f>3965</f>
        <v>3965</v>
      </c>
      <c r="D50" s="31">
        <f>5641</f>
        <v>5641</v>
      </c>
      <c r="E50" s="31">
        <f>6025</f>
        <v>6025</v>
      </c>
      <c r="F50" s="31">
        <f>1002.5</f>
        <v>1002.5</v>
      </c>
      <c r="G50" s="31">
        <f>6565</f>
        <v>6565</v>
      </c>
      <c r="H50" s="31">
        <f>3185</f>
        <v>3185</v>
      </c>
      <c r="I50" s="30"/>
      <c r="J50" s="31">
        <f>5022</f>
        <v>5022</v>
      </c>
      <c r="K50" s="30"/>
      <c r="L50" s="30"/>
      <c r="M50" s="30"/>
      <c r="N50" s="31">
        <f t="shared" si="6"/>
        <v>33603</v>
      </c>
    </row>
    <row r="51" spans="1:14" x14ac:dyDescent="0.25">
      <c r="A51" s="29" t="s">
        <v>104</v>
      </c>
      <c r="B51" s="31">
        <f>608</f>
        <v>608</v>
      </c>
      <c r="C51" s="31">
        <f>675.73</f>
        <v>675.73</v>
      </c>
      <c r="D51" s="31">
        <f>69.95</f>
        <v>69.95</v>
      </c>
      <c r="E51" s="30"/>
      <c r="F51" s="30"/>
      <c r="G51" s="31">
        <f>235</f>
        <v>235</v>
      </c>
      <c r="H51" s="31">
        <f>1850</f>
        <v>1850</v>
      </c>
      <c r="I51" s="31">
        <f>158.4</f>
        <v>158.4</v>
      </c>
      <c r="J51" s="30"/>
      <c r="K51" s="30"/>
      <c r="L51" s="30"/>
      <c r="M51" s="30"/>
      <c r="N51" s="31">
        <f t="shared" si="6"/>
        <v>3597.0800000000004</v>
      </c>
    </row>
    <row r="52" spans="1:14" x14ac:dyDescent="0.25">
      <c r="A52" s="36" t="s">
        <v>105</v>
      </c>
      <c r="B52" s="32">
        <f t="shared" ref="B52:M52" si="11">((((B47)+(B48))+(B49))+(B50))+(B51)</f>
        <v>2908.2</v>
      </c>
      <c r="C52" s="32">
        <f t="shared" si="11"/>
        <v>4640.7299999999996</v>
      </c>
      <c r="D52" s="32">
        <f t="shared" si="11"/>
        <v>5710.95</v>
      </c>
      <c r="E52" s="32">
        <f t="shared" si="11"/>
        <v>6025</v>
      </c>
      <c r="F52" s="32">
        <f t="shared" si="11"/>
        <v>1002.5</v>
      </c>
      <c r="G52" s="32">
        <f t="shared" si="11"/>
        <v>6800</v>
      </c>
      <c r="H52" s="32">
        <f t="shared" si="11"/>
        <v>5035</v>
      </c>
      <c r="I52" s="32">
        <f t="shared" si="11"/>
        <v>349.12</v>
      </c>
      <c r="J52" s="32">
        <f t="shared" si="11"/>
        <v>5502.98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6"/>
        <v>37974.479999999996</v>
      </c>
    </row>
    <row r="53" spans="1:14" x14ac:dyDescent="0.25">
      <c r="A53" s="29" t="s">
        <v>106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>
        <f t="shared" si="6"/>
        <v>0</v>
      </c>
    </row>
    <row r="54" spans="1:14" x14ac:dyDescent="0.25">
      <c r="A54" s="29" t="s">
        <v>107</v>
      </c>
      <c r="B54" s="31">
        <f>171.89</f>
        <v>171.89</v>
      </c>
      <c r="C54" s="31">
        <f>156</f>
        <v>156</v>
      </c>
      <c r="D54" s="31">
        <f>638.5</f>
        <v>638.5</v>
      </c>
      <c r="E54" s="31">
        <f>329.47</f>
        <v>329.47</v>
      </c>
      <c r="F54" s="31">
        <f>605.15</f>
        <v>605.15</v>
      </c>
      <c r="G54" s="31">
        <f>52.09</f>
        <v>52.09</v>
      </c>
      <c r="H54" s="31">
        <f>303.06</f>
        <v>303.06</v>
      </c>
      <c r="I54" s="30"/>
      <c r="J54" s="31">
        <f>896.74</f>
        <v>896.74</v>
      </c>
      <c r="K54" s="30"/>
      <c r="L54" s="30"/>
      <c r="M54" s="30"/>
      <c r="N54" s="31">
        <f t="shared" si="6"/>
        <v>3152.9000000000005</v>
      </c>
    </row>
    <row r="55" spans="1:14" x14ac:dyDescent="0.25">
      <c r="A55" s="29" t="s">
        <v>108</v>
      </c>
      <c r="B55" s="31">
        <f>1280.39</f>
        <v>1280.3900000000001</v>
      </c>
      <c r="C55" s="31">
        <f>2498.62</f>
        <v>2498.62</v>
      </c>
      <c r="D55" s="31">
        <f>1136.05</f>
        <v>1136.05</v>
      </c>
      <c r="E55" s="31">
        <f>857.46</f>
        <v>857.46</v>
      </c>
      <c r="F55" s="31">
        <f>661.04</f>
        <v>661.04</v>
      </c>
      <c r="G55" s="31">
        <f>529.15</f>
        <v>529.15</v>
      </c>
      <c r="H55" s="31">
        <f>631.6</f>
        <v>631.6</v>
      </c>
      <c r="I55" s="31">
        <f>156.23</f>
        <v>156.22999999999999</v>
      </c>
      <c r="J55" s="31">
        <f>769.34</f>
        <v>769.34</v>
      </c>
      <c r="K55" s="30"/>
      <c r="L55" s="30"/>
      <c r="M55" s="30"/>
      <c r="N55" s="31">
        <f t="shared" si="6"/>
        <v>8519.8799999999992</v>
      </c>
    </row>
    <row r="56" spans="1:14" x14ac:dyDescent="0.25">
      <c r="A56" s="29" t="s">
        <v>109</v>
      </c>
      <c r="B56" s="31">
        <f>2000</f>
        <v>2000</v>
      </c>
      <c r="C56" s="30"/>
      <c r="D56" s="30"/>
      <c r="E56" s="30"/>
      <c r="F56" s="30"/>
      <c r="G56" s="30"/>
      <c r="H56" s="30"/>
      <c r="I56" s="30"/>
      <c r="J56" s="31">
        <f>2000</f>
        <v>2000</v>
      </c>
      <c r="K56" s="30"/>
      <c r="L56" s="30"/>
      <c r="M56" s="30"/>
      <c r="N56" s="31">
        <f t="shared" si="6"/>
        <v>4000</v>
      </c>
    </row>
    <row r="57" spans="1:14" x14ac:dyDescent="0.25">
      <c r="A57" s="29" t="s">
        <v>110</v>
      </c>
      <c r="B57" s="30"/>
      <c r="C57" s="30"/>
      <c r="D57" s="31">
        <f>333.5</f>
        <v>333.5</v>
      </c>
      <c r="E57" s="31">
        <f>11.35</f>
        <v>11.35</v>
      </c>
      <c r="F57" s="30"/>
      <c r="G57" s="30"/>
      <c r="H57" s="30"/>
      <c r="I57" s="31">
        <f>44.56</f>
        <v>44.56</v>
      </c>
      <c r="J57" s="31">
        <f>243.91</f>
        <v>243.91</v>
      </c>
      <c r="K57" s="30"/>
      <c r="L57" s="30"/>
      <c r="M57" s="30"/>
      <c r="N57" s="31">
        <f t="shared" si="6"/>
        <v>633.32000000000005</v>
      </c>
    </row>
    <row r="58" spans="1:14" x14ac:dyDescent="0.25">
      <c r="A58" s="29" t="s">
        <v>111</v>
      </c>
      <c r="B58" s="30"/>
      <c r="C58" s="30"/>
      <c r="D58" s="31">
        <f>101.22</f>
        <v>101.22</v>
      </c>
      <c r="E58" s="30"/>
      <c r="F58" s="30"/>
      <c r="G58" s="31">
        <f>29.72</f>
        <v>29.72</v>
      </c>
      <c r="H58" s="30"/>
      <c r="I58" s="31">
        <f>94.22</f>
        <v>94.22</v>
      </c>
      <c r="J58" s="30"/>
      <c r="K58" s="30"/>
      <c r="L58" s="30"/>
      <c r="M58" s="30"/>
      <c r="N58" s="31">
        <f t="shared" si="6"/>
        <v>225.16</v>
      </c>
    </row>
    <row r="59" spans="1:14" x14ac:dyDescent="0.25">
      <c r="A59" s="36" t="s">
        <v>112</v>
      </c>
      <c r="B59" s="32">
        <f t="shared" ref="B59:M59" si="12">(((((B53)+(B54))+(B55))+(B56))+(B57))+(B58)</f>
        <v>3452.28</v>
      </c>
      <c r="C59" s="32">
        <f t="shared" si="12"/>
        <v>2654.62</v>
      </c>
      <c r="D59" s="32">
        <f t="shared" si="12"/>
        <v>2209.27</v>
      </c>
      <c r="E59" s="32">
        <f t="shared" si="12"/>
        <v>1198.28</v>
      </c>
      <c r="F59" s="32">
        <f t="shared" si="12"/>
        <v>1266.19</v>
      </c>
      <c r="G59" s="32">
        <f t="shared" si="12"/>
        <v>610.96</v>
      </c>
      <c r="H59" s="32">
        <f t="shared" si="12"/>
        <v>934.66000000000008</v>
      </c>
      <c r="I59" s="32">
        <f t="shared" si="12"/>
        <v>295.01</v>
      </c>
      <c r="J59" s="32">
        <f t="shared" si="12"/>
        <v>3909.99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6"/>
        <v>16531.260000000002</v>
      </c>
    </row>
    <row r="60" spans="1:14" x14ac:dyDescent="0.25">
      <c r="A60" s="29" t="s">
        <v>113</v>
      </c>
      <c r="B60" s="32">
        <f t="shared" ref="B60:M60" si="13">((B46)+(B52))+(B59)</f>
        <v>6360.48</v>
      </c>
      <c r="C60" s="32">
        <f t="shared" si="13"/>
        <v>7295.3499999999995</v>
      </c>
      <c r="D60" s="32">
        <f t="shared" si="13"/>
        <v>7920.2199999999993</v>
      </c>
      <c r="E60" s="32">
        <f t="shared" si="13"/>
        <v>7223.28</v>
      </c>
      <c r="F60" s="32">
        <f t="shared" si="13"/>
        <v>2268.69</v>
      </c>
      <c r="G60" s="32">
        <f t="shared" si="13"/>
        <v>7410.96</v>
      </c>
      <c r="H60" s="32">
        <f t="shared" si="13"/>
        <v>5969.66</v>
      </c>
      <c r="I60" s="32">
        <f t="shared" si="13"/>
        <v>644.13</v>
      </c>
      <c r="J60" s="32">
        <f t="shared" si="13"/>
        <v>9412.9699999999993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6"/>
        <v>54505.74</v>
      </c>
    </row>
    <row r="61" spans="1:14" x14ac:dyDescent="0.25">
      <c r="A61" s="29" t="s">
        <v>114</v>
      </c>
      <c r="B61" s="30"/>
      <c r="C61" s="30"/>
      <c r="D61" s="30"/>
      <c r="E61" s="31">
        <f>597</f>
        <v>597</v>
      </c>
      <c r="F61" s="30"/>
      <c r="G61" s="30"/>
      <c r="H61" s="30"/>
      <c r="I61" s="30"/>
      <c r="J61" s="30"/>
      <c r="K61" s="30"/>
      <c r="L61" s="30"/>
      <c r="M61" s="30"/>
      <c r="N61" s="31">
        <f t="shared" si="6"/>
        <v>597</v>
      </c>
    </row>
    <row r="62" spans="1:14" x14ac:dyDescent="0.25">
      <c r="A62" s="36" t="s">
        <v>115</v>
      </c>
      <c r="B62" s="31">
        <f>632.03</f>
        <v>632.03</v>
      </c>
      <c r="C62" s="31">
        <f>601.85</f>
        <v>601.85</v>
      </c>
      <c r="D62" s="31">
        <f>674.95</f>
        <v>674.95</v>
      </c>
      <c r="E62" s="31">
        <f>571.07</f>
        <v>571.07000000000005</v>
      </c>
      <c r="F62" s="31">
        <f>331.89</f>
        <v>331.89</v>
      </c>
      <c r="G62" s="31">
        <f>365.03</f>
        <v>365.03</v>
      </c>
      <c r="H62" s="31">
        <f>320.04</f>
        <v>320.04000000000002</v>
      </c>
      <c r="I62" s="31">
        <f>330</f>
        <v>330</v>
      </c>
      <c r="J62" s="31">
        <f>291.54</f>
        <v>291.54000000000002</v>
      </c>
      <c r="K62" s="30"/>
      <c r="L62" s="30"/>
      <c r="M62" s="30"/>
      <c r="N62" s="31">
        <f t="shared" si="6"/>
        <v>4118.3999999999996</v>
      </c>
    </row>
    <row r="63" spans="1:14" x14ac:dyDescent="0.25">
      <c r="A63" s="36" t="s">
        <v>116</v>
      </c>
      <c r="B63" s="31">
        <f>83.2</f>
        <v>83.2</v>
      </c>
      <c r="C63" s="31">
        <f>83.2</f>
        <v>83.2</v>
      </c>
      <c r="D63" s="31">
        <f>83.2</f>
        <v>83.2</v>
      </c>
      <c r="E63" s="30"/>
      <c r="F63" s="30"/>
      <c r="G63" s="30"/>
      <c r="H63" s="30"/>
      <c r="I63" s="31">
        <f>83.2</f>
        <v>83.2</v>
      </c>
      <c r="J63" s="31">
        <f>83.2</f>
        <v>83.2</v>
      </c>
      <c r="K63" s="31">
        <f>102.76</f>
        <v>102.76</v>
      </c>
      <c r="L63" s="30"/>
      <c r="M63" s="30"/>
      <c r="N63" s="31">
        <f t="shared" si="6"/>
        <v>518.76</v>
      </c>
    </row>
    <row r="64" spans="1:14" x14ac:dyDescent="0.25">
      <c r="A64" s="36" t="s">
        <v>117</v>
      </c>
      <c r="B64" s="31">
        <f>264.54</f>
        <v>264.54000000000002</v>
      </c>
      <c r="C64" s="31">
        <f>258.51</f>
        <v>258.51</v>
      </c>
      <c r="D64" s="30"/>
      <c r="E64" s="31">
        <f>339.77</f>
        <v>339.77</v>
      </c>
      <c r="F64" s="31">
        <f>485.37</f>
        <v>485.37</v>
      </c>
      <c r="G64" s="31">
        <f>634.97</f>
        <v>634.97</v>
      </c>
      <c r="H64" s="30"/>
      <c r="I64" s="31">
        <f>273.58</f>
        <v>273.58</v>
      </c>
      <c r="J64" s="31">
        <f>292.33</f>
        <v>292.33</v>
      </c>
      <c r="K64" s="30"/>
      <c r="L64" s="30"/>
      <c r="M64" s="30"/>
      <c r="N64" s="31">
        <f t="shared" si="6"/>
        <v>2549.0700000000002</v>
      </c>
    </row>
    <row r="65" spans="1:14" x14ac:dyDescent="0.25">
      <c r="A65" s="36" t="s">
        <v>118</v>
      </c>
      <c r="B65" s="31">
        <f>104.89</f>
        <v>104.89</v>
      </c>
      <c r="C65" s="31">
        <f>150.56</f>
        <v>150.56</v>
      </c>
      <c r="D65" s="31">
        <f>59.22</f>
        <v>59.22</v>
      </c>
      <c r="E65" s="31">
        <f>59.22</f>
        <v>59.22</v>
      </c>
      <c r="F65" s="31">
        <f>150.56</f>
        <v>150.56</v>
      </c>
      <c r="G65" s="31">
        <f>104.89</f>
        <v>104.89</v>
      </c>
      <c r="H65" s="31">
        <f>104.89</f>
        <v>104.89</v>
      </c>
      <c r="I65" s="31">
        <f>59.22</f>
        <v>59.22</v>
      </c>
      <c r="J65" s="31">
        <f>1296.67</f>
        <v>1296.67</v>
      </c>
      <c r="K65" s="31">
        <f>40.95</f>
        <v>40.950000000000003</v>
      </c>
      <c r="L65" s="30"/>
      <c r="M65" s="30"/>
      <c r="N65" s="31">
        <f t="shared" si="6"/>
        <v>2131.0699999999997</v>
      </c>
    </row>
    <row r="66" spans="1:14" x14ac:dyDescent="0.25">
      <c r="A66" s="36" t="s">
        <v>119</v>
      </c>
      <c r="B66" s="30"/>
      <c r="C66" s="31">
        <f>353</f>
        <v>353</v>
      </c>
      <c r="D66" s="30"/>
      <c r="E66" s="30"/>
      <c r="F66" s="30"/>
      <c r="G66" s="31">
        <f>610</f>
        <v>610</v>
      </c>
      <c r="H66" s="30"/>
      <c r="I66" s="30"/>
      <c r="J66" s="30"/>
      <c r="K66" s="30"/>
      <c r="L66" s="30"/>
      <c r="M66" s="30"/>
      <c r="N66" s="31">
        <f t="shared" si="6"/>
        <v>963</v>
      </c>
    </row>
    <row r="67" spans="1:14" x14ac:dyDescent="0.25">
      <c r="A67" s="36" t="s">
        <v>120</v>
      </c>
      <c r="B67" s="31">
        <f>518.58</f>
        <v>518.58000000000004</v>
      </c>
      <c r="C67" s="31">
        <f>535.6</f>
        <v>535.6</v>
      </c>
      <c r="D67" s="31">
        <f>558.38</f>
        <v>558.38</v>
      </c>
      <c r="E67" s="31">
        <f>720.86</f>
        <v>720.86</v>
      </c>
      <c r="F67" s="31">
        <f>142.98</f>
        <v>142.97999999999999</v>
      </c>
      <c r="G67" s="31">
        <f>210.9</f>
        <v>210.9</v>
      </c>
      <c r="H67" s="31">
        <f>281.17</f>
        <v>281.17</v>
      </c>
      <c r="I67" s="31">
        <f>416.4</f>
        <v>416.4</v>
      </c>
      <c r="J67" s="31">
        <f>274.17</f>
        <v>274.17</v>
      </c>
      <c r="K67" s="31">
        <f>176.11</f>
        <v>176.11</v>
      </c>
      <c r="L67" s="30"/>
      <c r="M67" s="30"/>
      <c r="N67" s="31">
        <f t="shared" si="6"/>
        <v>3835.1500000000005</v>
      </c>
    </row>
    <row r="68" spans="1:14" x14ac:dyDescent="0.25">
      <c r="A68" s="36" t="s">
        <v>121</v>
      </c>
      <c r="B68" s="30"/>
      <c r="C68" s="30"/>
      <c r="D68" s="30"/>
      <c r="E68" s="31">
        <f>83.2</f>
        <v>83.2</v>
      </c>
      <c r="F68" s="31">
        <f>447.86</f>
        <v>447.86</v>
      </c>
      <c r="G68" s="31">
        <f>531.06</f>
        <v>531.05999999999995</v>
      </c>
      <c r="H68" s="31">
        <f>447.86</f>
        <v>447.86</v>
      </c>
      <c r="I68" s="31">
        <f>897.38</f>
        <v>897.38</v>
      </c>
      <c r="J68" s="31">
        <f>448.69</f>
        <v>448.69</v>
      </c>
      <c r="K68" s="30"/>
      <c r="L68" s="30"/>
      <c r="M68" s="30"/>
      <c r="N68" s="31">
        <f t="shared" si="6"/>
        <v>2856.05</v>
      </c>
    </row>
    <row r="69" spans="1:14" x14ac:dyDescent="0.25">
      <c r="A69" s="36" t="s">
        <v>122</v>
      </c>
      <c r="B69" s="31">
        <f>480.98</f>
        <v>480.98</v>
      </c>
      <c r="C69" s="31">
        <f>637.49</f>
        <v>637.49</v>
      </c>
      <c r="D69" s="31">
        <f>269.69</f>
        <v>269.69</v>
      </c>
      <c r="E69" s="31">
        <f>44</f>
        <v>44</v>
      </c>
      <c r="F69" s="31">
        <f>194</f>
        <v>194</v>
      </c>
      <c r="G69" s="31">
        <f>44</f>
        <v>44</v>
      </c>
      <c r="H69" s="31">
        <f>44</f>
        <v>44</v>
      </c>
      <c r="I69" s="31">
        <f>44</f>
        <v>44</v>
      </c>
      <c r="J69" s="31">
        <f>422.55</f>
        <v>422.55</v>
      </c>
      <c r="K69" s="31">
        <f>258.01</f>
        <v>258.01</v>
      </c>
      <c r="L69" s="30"/>
      <c r="M69" s="30"/>
      <c r="N69" s="31">
        <f t="shared" si="6"/>
        <v>2438.7200000000003</v>
      </c>
    </row>
    <row r="70" spans="1:14" x14ac:dyDescent="0.25">
      <c r="A70" s="36" t="s">
        <v>123</v>
      </c>
      <c r="B70" s="30"/>
      <c r="C70" s="31">
        <f>1350</f>
        <v>1350</v>
      </c>
      <c r="D70" s="31">
        <f>600</f>
        <v>600</v>
      </c>
      <c r="E70" s="31">
        <f>600</f>
        <v>600</v>
      </c>
      <c r="F70" s="30"/>
      <c r="G70" s="31">
        <f>1200</f>
        <v>1200</v>
      </c>
      <c r="H70" s="31">
        <f>830</f>
        <v>830</v>
      </c>
      <c r="I70" s="31">
        <f>3000</f>
        <v>3000</v>
      </c>
      <c r="J70" s="31">
        <f>1050</f>
        <v>1050</v>
      </c>
      <c r="K70" s="30"/>
      <c r="L70" s="30"/>
      <c r="M70" s="30"/>
      <c r="N70" s="31">
        <f t="shared" si="6"/>
        <v>8630</v>
      </c>
    </row>
    <row r="71" spans="1:14" x14ac:dyDescent="0.25">
      <c r="A71" s="36" t="s">
        <v>124</v>
      </c>
      <c r="B71" s="30"/>
      <c r="C71" s="30"/>
      <c r="D71" s="30"/>
      <c r="E71" s="30"/>
      <c r="F71" s="30"/>
      <c r="G71" s="30"/>
      <c r="H71" s="30"/>
      <c r="I71" s="30"/>
      <c r="J71" s="30"/>
      <c r="K71" s="31">
        <f>200</f>
        <v>200</v>
      </c>
      <c r="L71" s="30"/>
      <c r="M71" s="30"/>
      <c r="N71" s="31">
        <f t="shared" si="6"/>
        <v>200</v>
      </c>
    </row>
    <row r="72" spans="1:14" x14ac:dyDescent="0.25">
      <c r="A72" s="36" t="s">
        <v>125</v>
      </c>
      <c r="B72" s="31">
        <f>195</f>
        <v>195</v>
      </c>
      <c r="C72" s="31">
        <f>195</f>
        <v>195</v>
      </c>
      <c r="D72" s="31">
        <f>195</f>
        <v>195</v>
      </c>
      <c r="E72" s="31">
        <f>195</f>
        <v>195</v>
      </c>
      <c r="F72" s="31">
        <f>195</f>
        <v>195</v>
      </c>
      <c r="G72" s="31">
        <f>195</f>
        <v>195</v>
      </c>
      <c r="H72" s="30"/>
      <c r="I72" s="31">
        <f>1145.08</f>
        <v>1145.08</v>
      </c>
      <c r="J72" s="31">
        <f>1020.77</f>
        <v>1020.77</v>
      </c>
      <c r="K72" s="30"/>
      <c r="L72" s="30"/>
      <c r="M72" s="30"/>
      <c r="N72" s="31">
        <f t="shared" si="6"/>
        <v>3335.85</v>
      </c>
    </row>
    <row r="73" spans="1:14" x14ac:dyDescent="0.25">
      <c r="A73" s="36" t="s">
        <v>126</v>
      </c>
      <c r="B73" s="30"/>
      <c r="C73" s="31">
        <f>228</f>
        <v>228</v>
      </c>
      <c r="D73" s="31">
        <f>114</f>
        <v>114</v>
      </c>
      <c r="E73" s="31">
        <f>114</f>
        <v>114</v>
      </c>
      <c r="F73" s="31">
        <f>114</f>
        <v>114</v>
      </c>
      <c r="G73" s="31">
        <f>114</f>
        <v>114</v>
      </c>
      <c r="H73" s="31">
        <f>114</f>
        <v>114</v>
      </c>
      <c r="I73" s="30"/>
      <c r="J73" s="31">
        <f>114</f>
        <v>114</v>
      </c>
      <c r="K73" s="30"/>
      <c r="L73" s="30"/>
      <c r="M73" s="30"/>
      <c r="N73" s="31">
        <f t="shared" si="6"/>
        <v>912</v>
      </c>
    </row>
    <row r="74" spans="1:14" x14ac:dyDescent="0.25">
      <c r="A74" s="36" t="s">
        <v>127</v>
      </c>
      <c r="B74" s="30"/>
      <c r="C74" s="30"/>
      <c r="D74" s="31">
        <f>1848</f>
        <v>1848</v>
      </c>
      <c r="E74" s="31">
        <f>9766.92</f>
        <v>9766.92</v>
      </c>
      <c r="F74" s="31">
        <f>1511.99</f>
        <v>1511.99</v>
      </c>
      <c r="G74" s="31">
        <f>1511.97</f>
        <v>1511.97</v>
      </c>
      <c r="H74" s="31">
        <f>1511.97</f>
        <v>1511.97</v>
      </c>
      <c r="I74" s="31">
        <f>2529.58</f>
        <v>2529.58</v>
      </c>
      <c r="J74" s="31">
        <f>1653.63</f>
        <v>1653.63</v>
      </c>
      <c r="K74" s="30"/>
      <c r="L74" s="30"/>
      <c r="M74" s="30"/>
      <c r="N74" s="31">
        <f t="shared" si="6"/>
        <v>20334.060000000001</v>
      </c>
    </row>
    <row r="75" spans="1:14" x14ac:dyDescent="0.25">
      <c r="A75" s="29" t="s">
        <v>128</v>
      </c>
      <c r="B75" s="32">
        <f t="shared" ref="B75:M75" si="14">(((((((((((((B61)+(B62))+(B63))+(B64))+(B65))+(B66))+(B67))+(B68))+(B69))+(B70))+(B71))+(B72))+(B73))+(B74)</f>
        <v>2279.2200000000003</v>
      </c>
      <c r="C75" s="32">
        <f t="shared" si="14"/>
        <v>4393.21</v>
      </c>
      <c r="D75" s="32">
        <f t="shared" si="14"/>
        <v>4402.4400000000005</v>
      </c>
      <c r="E75" s="32">
        <f t="shared" si="14"/>
        <v>13091.04</v>
      </c>
      <c r="F75" s="32">
        <f t="shared" si="14"/>
        <v>3573.6499999999996</v>
      </c>
      <c r="G75" s="32">
        <f t="shared" si="14"/>
        <v>5521.8200000000006</v>
      </c>
      <c r="H75" s="32">
        <f t="shared" si="14"/>
        <v>3653.9300000000003</v>
      </c>
      <c r="I75" s="32">
        <f t="shared" si="14"/>
        <v>8778.44</v>
      </c>
      <c r="J75" s="32">
        <f t="shared" si="14"/>
        <v>6947.55</v>
      </c>
      <c r="K75" s="32">
        <f t="shared" si="14"/>
        <v>777.83</v>
      </c>
      <c r="L75" s="32">
        <f t="shared" si="14"/>
        <v>0</v>
      </c>
      <c r="M75" s="32">
        <f t="shared" si="14"/>
        <v>0</v>
      </c>
      <c r="N75" s="32">
        <f t="shared" si="6"/>
        <v>53419.130000000012</v>
      </c>
    </row>
    <row r="76" spans="1:14" x14ac:dyDescent="0.25">
      <c r="A76" s="29" t="s">
        <v>129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1">
        <f t="shared" si="6"/>
        <v>0</v>
      </c>
    </row>
    <row r="77" spans="1:14" x14ac:dyDescent="0.25">
      <c r="A77" s="36" t="s">
        <v>130</v>
      </c>
      <c r="B77" s="30"/>
      <c r="C77" s="31">
        <f>172.26</f>
        <v>172.26</v>
      </c>
      <c r="D77" s="31">
        <f>13.53</f>
        <v>13.53</v>
      </c>
      <c r="E77" s="30"/>
      <c r="F77" s="31">
        <f>35</f>
        <v>35</v>
      </c>
      <c r="G77" s="31">
        <f>35</f>
        <v>35</v>
      </c>
      <c r="H77" s="30"/>
      <c r="I77" s="31">
        <f>70</f>
        <v>70</v>
      </c>
      <c r="J77" s="31">
        <f>35</f>
        <v>35</v>
      </c>
      <c r="K77" s="30"/>
      <c r="L77" s="30"/>
      <c r="M77" s="30"/>
      <c r="N77" s="31">
        <f t="shared" si="6"/>
        <v>360.78999999999996</v>
      </c>
    </row>
    <row r="78" spans="1:14" x14ac:dyDescent="0.25">
      <c r="A78" s="36" t="s">
        <v>131</v>
      </c>
      <c r="B78" s="31">
        <f>263.93</f>
        <v>263.93</v>
      </c>
      <c r="C78" s="31">
        <f>284.82</f>
        <v>284.82</v>
      </c>
      <c r="D78" s="31">
        <f>312.96</f>
        <v>312.95999999999998</v>
      </c>
      <c r="E78" s="31">
        <f>194.82</f>
        <v>194.82</v>
      </c>
      <c r="F78" s="31">
        <f>118.82</f>
        <v>118.82</v>
      </c>
      <c r="G78" s="31">
        <f>700.56</f>
        <v>700.56</v>
      </c>
      <c r="H78" s="31">
        <f>562.86</f>
        <v>562.86</v>
      </c>
      <c r="I78" s="31">
        <f>152.59</f>
        <v>152.59</v>
      </c>
      <c r="J78" s="31">
        <f>145.62</f>
        <v>145.62</v>
      </c>
      <c r="K78" s="31">
        <f>67.69</f>
        <v>67.69</v>
      </c>
      <c r="L78" s="30"/>
      <c r="M78" s="30"/>
      <c r="N78" s="31">
        <f t="shared" si="6"/>
        <v>2804.67</v>
      </c>
    </row>
    <row r="79" spans="1:14" x14ac:dyDescent="0.25">
      <c r="A79" s="36" t="s">
        <v>132</v>
      </c>
      <c r="B79" s="31">
        <f>394.88</f>
        <v>394.88</v>
      </c>
      <c r="C79" s="31">
        <f>2104.48</f>
        <v>2104.48</v>
      </c>
      <c r="D79" s="31">
        <f>934.21</f>
        <v>934.21</v>
      </c>
      <c r="E79" s="31">
        <f>216.48</f>
        <v>216.48</v>
      </c>
      <c r="F79" s="31">
        <f>1839.49</f>
        <v>1839.49</v>
      </c>
      <c r="G79" s="31">
        <f>929.47</f>
        <v>929.47</v>
      </c>
      <c r="H79" s="31">
        <f>803.15</f>
        <v>803.15</v>
      </c>
      <c r="I79" s="31">
        <f>485.26</f>
        <v>485.26</v>
      </c>
      <c r="J79" s="31">
        <f>1496.1</f>
        <v>1496.1</v>
      </c>
      <c r="K79" s="30"/>
      <c r="L79" s="30"/>
      <c r="M79" s="30"/>
      <c r="N79" s="31">
        <f t="shared" si="6"/>
        <v>9203.52</v>
      </c>
    </row>
    <row r="80" spans="1:14" x14ac:dyDescent="0.25">
      <c r="A80" s="36" t="s">
        <v>133</v>
      </c>
      <c r="B80" s="30"/>
      <c r="C80" s="30"/>
      <c r="D80" s="31">
        <f>258</f>
        <v>258</v>
      </c>
      <c r="E80" s="31">
        <f>125</f>
        <v>125</v>
      </c>
      <c r="F80" s="31">
        <f>380.93</f>
        <v>380.93</v>
      </c>
      <c r="G80" s="31">
        <f>186.09</f>
        <v>186.09</v>
      </c>
      <c r="H80" s="31">
        <f>125</f>
        <v>125</v>
      </c>
      <c r="I80" s="31">
        <f>125</f>
        <v>125</v>
      </c>
      <c r="J80" s="31">
        <f>125</f>
        <v>125</v>
      </c>
      <c r="K80" s="30"/>
      <c r="L80" s="30"/>
      <c r="M80" s="30"/>
      <c r="N80" s="31">
        <f t="shared" si="6"/>
        <v>1325.02</v>
      </c>
    </row>
    <row r="81" spans="1:14" x14ac:dyDescent="0.25">
      <c r="A81" s="36" t="s">
        <v>134</v>
      </c>
      <c r="B81" s="31">
        <f>650</f>
        <v>650</v>
      </c>
      <c r="C81" s="30"/>
      <c r="D81" s="31">
        <f>678.36</f>
        <v>678.36</v>
      </c>
      <c r="E81" s="30"/>
      <c r="F81" s="31">
        <f>17427.17</f>
        <v>17427.169999999998</v>
      </c>
      <c r="G81" s="31">
        <f>76.3</f>
        <v>76.3</v>
      </c>
      <c r="H81" s="31">
        <f>1485</f>
        <v>1485</v>
      </c>
      <c r="I81" s="31">
        <f>1902.95</f>
        <v>1902.95</v>
      </c>
      <c r="J81" s="30"/>
      <c r="K81" s="30"/>
      <c r="L81" s="30"/>
      <c r="M81" s="30"/>
      <c r="N81" s="31">
        <f t="shared" si="6"/>
        <v>22219.78</v>
      </c>
    </row>
    <row r="82" spans="1:14" x14ac:dyDescent="0.25">
      <c r="A82" s="36" t="s">
        <v>135</v>
      </c>
      <c r="B82" s="31">
        <f>3341.56</f>
        <v>3341.56</v>
      </c>
      <c r="C82" s="31">
        <f>518.94</f>
        <v>518.94000000000005</v>
      </c>
      <c r="D82" s="30"/>
      <c r="E82" s="31">
        <f>149</f>
        <v>149</v>
      </c>
      <c r="F82" s="30"/>
      <c r="G82" s="31">
        <f>5307.22</f>
        <v>5307.22</v>
      </c>
      <c r="H82" s="31">
        <f>1194.86</f>
        <v>1194.8599999999999</v>
      </c>
      <c r="I82" s="31">
        <f>149</f>
        <v>149</v>
      </c>
      <c r="J82" s="31">
        <f>439</f>
        <v>439</v>
      </c>
      <c r="K82" s="30"/>
      <c r="L82" s="30"/>
      <c r="M82" s="30"/>
      <c r="N82" s="31">
        <f t="shared" si="6"/>
        <v>11099.580000000002</v>
      </c>
    </row>
    <row r="83" spans="1:14" x14ac:dyDescent="0.25">
      <c r="A83" s="36" t="s">
        <v>136</v>
      </c>
      <c r="B83" s="31">
        <f>484.02</f>
        <v>484.02</v>
      </c>
      <c r="C83" s="31">
        <f>480.65</f>
        <v>480.65</v>
      </c>
      <c r="D83" s="31">
        <f>374.39</f>
        <v>374.39</v>
      </c>
      <c r="E83" s="31">
        <f>2447.65</f>
        <v>2447.65</v>
      </c>
      <c r="F83" s="31">
        <f>1222.87</f>
        <v>1222.8699999999999</v>
      </c>
      <c r="G83" s="31">
        <f>479.63</f>
        <v>479.63</v>
      </c>
      <c r="H83" s="31">
        <f>551.24</f>
        <v>551.24</v>
      </c>
      <c r="I83" s="31">
        <f>2080.7</f>
        <v>2080.6999999999998</v>
      </c>
      <c r="J83" s="31">
        <f>275.09</f>
        <v>275.08999999999997</v>
      </c>
      <c r="K83" s="30"/>
      <c r="L83" s="30"/>
      <c r="M83" s="30"/>
      <c r="N83" s="31">
        <f t="shared" si="6"/>
        <v>8396.24</v>
      </c>
    </row>
    <row r="84" spans="1:14" x14ac:dyDescent="0.25">
      <c r="A84" s="36" t="s">
        <v>137</v>
      </c>
      <c r="B84" s="30"/>
      <c r="C84" s="31">
        <f>8.6</f>
        <v>8.6</v>
      </c>
      <c r="D84" s="31">
        <f>488.11</f>
        <v>488.11</v>
      </c>
      <c r="E84" s="31">
        <f>110</f>
        <v>110</v>
      </c>
      <c r="F84" s="31">
        <f>134</f>
        <v>134</v>
      </c>
      <c r="G84" s="30"/>
      <c r="H84" s="31">
        <f>110</f>
        <v>110</v>
      </c>
      <c r="I84" s="31">
        <f>22</f>
        <v>22</v>
      </c>
      <c r="J84" s="31">
        <f>137.4</f>
        <v>137.4</v>
      </c>
      <c r="K84" s="30"/>
      <c r="L84" s="30"/>
      <c r="M84" s="30"/>
      <c r="N84" s="31">
        <f t="shared" si="6"/>
        <v>1010.11</v>
      </c>
    </row>
    <row r="85" spans="1:14" x14ac:dyDescent="0.25">
      <c r="A85" s="36" t="s">
        <v>138</v>
      </c>
      <c r="B85" s="31">
        <f>109.87</f>
        <v>109.87</v>
      </c>
      <c r="C85" s="31">
        <f>109.87</f>
        <v>109.87</v>
      </c>
      <c r="D85" s="31">
        <f>333.98</f>
        <v>333.98</v>
      </c>
      <c r="E85" s="31">
        <f>333.98</f>
        <v>333.98</v>
      </c>
      <c r="F85" s="31">
        <f>333.98</f>
        <v>333.98</v>
      </c>
      <c r="G85" s="31">
        <f>333.98</f>
        <v>333.98</v>
      </c>
      <c r="H85" s="31">
        <f>333.98</f>
        <v>333.98</v>
      </c>
      <c r="I85" s="31">
        <f>342.71</f>
        <v>342.71</v>
      </c>
      <c r="J85" s="31">
        <f>231.2</f>
        <v>231.2</v>
      </c>
      <c r="K85" s="30"/>
      <c r="L85" s="30"/>
      <c r="M85" s="30"/>
      <c r="N85" s="31">
        <f t="shared" si="6"/>
        <v>2463.5499999999997</v>
      </c>
    </row>
    <row r="86" spans="1:14" x14ac:dyDescent="0.25">
      <c r="A86" s="36" t="s">
        <v>139</v>
      </c>
      <c r="B86" s="31">
        <f>1380.08</f>
        <v>1380.08</v>
      </c>
      <c r="C86" s="31">
        <f>2802.73</f>
        <v>2802.73</v>
      </c>
      <c r="D86" s="31">
        <f>2037.84</f>
        <v>2037.84</v>
      </c>
      <c r="E86" s="31">
        <f>2474.57</f>
        <v>2474.5700000000002</v>
      </c>
      <c r="F86" s="31">
        <f>1206.5</f>
        <v>1206.5</v>
      </c>
      <c r="G86" s="31">
        <f>1679.71</f>
        <v>1679.71</v>
      </c>
      <c r="H86" s="31">
        <f>1337.91</f>
        <v>1337.91</v>
      </c>
      <c r="I86" s="31">
        <f>1882.24</f>
        <v>1882.24</v>
      </c>
      <c r="J86" s="31">
        <f>1622.97</f>
        <v>1622.97</v>
      </c>
      <c r="K86" s="30"/>
      <c r="L86" s="30"/>
      <c r="M86" s="30"/>
      <c r="N86" s="31">
        <f t="shared" si="6"/>
        <v>16424.55</v>
      </c>
    </row>
    <row r="87" spans="1:14" x14ac:dyDescent="0.25">
      <c r="A87" s="36" t="s">
        <v>140</v>
      </c>
      <c r="B87" s="30"/>
      <c r="C87" s="30"/>
      <c r="D87" s="30"/>
      <c r="E87" s="31">
        <f>49.95</f>
        <v>49.95</v>
      </c>
      <c r="F87" s="31">
        <f>270</f>
        <v>270</v>
      </c>
      <c r="G87" s="30"/>
      <c r="H87" s="31">
        <f>2550</f>
        <v>2550</v>
      </c>
      <c r="I87" s="31">
        <f>97.66</f>
        <v>97.66</v>
      </c>
      <c r="J87" s="31">
        <f>20</f>
        <v>20</v>
      </c>
      <c r="K87" s="30"/>
      <c r="L87" s="30"/>
      <c r="M87" s="30"/>
      <c r="N87" s="31">
        <f t="shared" si="6"/>
        <v>2987.6099999999997</v>
      </c>
    </row>
    <row r="88" spans="1:14" x14ac:dyDescent="0.25">
      <c r="A88" s="36" t="s">
        <v>141</v>
      </c>
      <c r="B88" s="30"/>
      <c r="C88" s="30"/>
      <c r="D88" s="30"/>
      <c r="E88" s="30"/>
      <c r="F88" s="30"/>
      <c r="G88" s="30"/>
      <c r="H88" s="30"/>
      <c r="I88" s="31">
        <f>195</f>
        <v>195</v>
      </c>
      <c r="J88" s="30"/>
      <c r="K88" s="30"/>
      <c r="L88" s="30"/>
      <c r="M88" s="30"/>
      <c r="N88" s="31">
        <f t="shared" ref="N88:N92" si="15">(((((((((((B88)+(C88))+(D88))+(E88))+(F88))+(G88))+(H88))+(I88))+(J88))+(K88))+(L88))+(M88)</f>
        <v>195</v>
      </c>
    </row>
    <row r="89" spans="1:14" x14ac:dyDescent="0.25">
      <c r="A89" s="29" t="s">
        <v>142</v>
      </c>
      <c r="B89" s="32">
        <f t="shared" ref="B89:M89" si="16">((((((((((((B76)+(B77))+(B78))+(B79))+(B80))+(B81))+(B82))+(B83))+(B84))+(B85))+(B86))+(B87))+(B88)</f>
        <v>6624.3399999999992</v>
      </c>
      <c r="C89" s="32">
        <f t="shared" si="16"/>
        <v>6482.35</v>
      </c>
      <c r="D89" s="32">
        <f t="shared" si="16"/>
        <v>5431.38</v>
      </c>
      <c r="E89" s="32">
        <f t="shared" si="16"/>
        <v>6101.45</v>
      </c>
      <c r="F89" s="32">
        <f t="shared" si="16"/>
        <v>22968.759999999995</v>
      </c>
      <c r="G89" s="32">
        <f t="shared" si="16"/>
        <v>9727.9599999999991</v>
      </c>
      <c r="H89" s="32">
        <f t="shared" si="16"/>
        <v>9054</v>
      </c>
      <c r="I89" s="32">
        <f t="shared" si="16"/>
        <v>7505.11</v>
      </c>
      <c r="J89" s="32">
        <f t="shared" si="16"/>
        <v>4527.38</v>
      </c>
      <c r="K89" s="32">
        <f t="shared" si="16"/>
        <v>67.69</v>
      </c>
      <c r="L89" s="32">
        <f t="shared" si="16"/>
        <v>0</v>
      </c>
      <c r="M89" s="32">
        <f t="shared" si="16"/>
        <v>0</v>
      </c>
      <c r="N89" s="32">
        <f t="shared" si="15"/>
        <v>78490.42</v>
      </c>
    </row>
    <row r="90" spans="1:14" x14ac:dyDescent="0.25">
      <c r="A90" s="36" t="s">
        <v>143</v>
      </c>
      <c r="B90" s="31">
        <f>601.04</f>
        <v>601.04</v>
      </c>
      <c r="C90" s="31">
        <f>635.2</f>
        <v>635.20000000000005</v>
      </c>
      <c r="D90" s="31">
        <f>2857.45</f>
        <v>2857.45</v>
      </c>
      <c r="E90" s="31">
        <f>658.84</f>
        <v>658.84</v>
      </c>
      <c r="F90" s="31">
        <f>852.04</f>
        <v>852.04</v>
      </c>
      <c r="G90" s="31">
        <f>701.47</f>
        <v>701.47</v>
      </c>
      <c r="H90" s="31">
        <f>715.48</f>
        <v>715.48</v>
      </c>
      <c r="I90" s="31">
        <f>721.68</f>
        <v>721.68</v>
      </c>
      <c r="J90" s="31">
        <f>701.01</f>
        <v>701.01</v>
      </c>
      <c r="K90" s="30"/>
      <c r="L90" s="30"/>
      <c r="M90" s="30"/>
      <c r="N90" s="31">
        <f t="shared" si="15"/>
        <v>8444.2100000000009</v>
      </c>
    </row>
    <row r="91" spans="1:14" x14ac:dyDescent="0.25">
      <c r="A91" s="29" t="s">
        <v>17</v>
      </c>
      <c r="B91" s="32">
        <f t="shared" ref="B91:M91" si="17">(((((((B27)+(B30))+(B38))+(B45))+(B60))+(B75))+(B89))+(B90)</f>
        <v>50160.54</v>
      </c>
      <c r="C91" s="32">
        <f t="shared" si="17"/>
        <v>57052.46</v>
      </c>
      <c r="D91" s="32">
        <f t="shared" si="17"/>
        <v>77321.110000000015</v>
      </c>
      <c r="E91" s="32">
        <f t="shared" si="17"/>
        <v>56262.31</v>
      </c>
      <c r="F91" s="32">
        <f t="shared" si="17"/>
        <v>95934.09</v>
      </c>
      <c r="G91" s="32">
        <f t="shared" si="17"/>
        <v>99711.450000000012</v>
      </c>
      <c r="H91" s="32">
        <f t="shared" si="17"/>
        <v>60915.05</v>
      </c>
      <c r="I91" s="32">
        <f t="shared" si="17"/>
        <v>61141.29</v>
      </c>
      <c r="J91" s="32">
        <f t="shared" si="17"/>
        <v>66696.570000000007</v>
      </c>
      <c r="K91" s="32">
        <f t="shared" si="17"/>
        <v>5877.5099999999993</v>
      </c>
      <c r="L91" s="32">
        <f t="shared" si="17"/>
        <v>0</v>
      </c>
      <c r="M91" s="32">
        <f t="shared" si="17"/>
        <v>0</v>
      </c>
      <c r="N91" s="32">
        <f t="shared" si="15"/>
        <v>631072.38000000012</v>
      </c>
    </row>
    <row r="92" spans="1:14" x14ac:dyDescent="0.25">
      <c r="A92" s="29" t="s">
        <v>144</v>
      </c>
      <c r="B92" s="32">
        <f t="shared" ref="B92:M92" si="18">(B22)-(B91)</f>
        <v>65575.890000000014</v>
      </c>
      <c r="C92" s="32">
        <f t="shared" si="18"/>
        <v>-42248.25</v>
      </c>
      <c r="D92" s="32">
        <f t="shared" si="18"/>
        <v>-55340.940000000017</v>
      </c>
      <c r="E92" s="32">
        <f t="shared" si="18"/>
        <v>-48351.619999999995</v>
      </c>
      <c r="F92" s="32">
        <f t="shared" si="18"/>
        <v>-71494.609999999986</v>
      </c>
      <c r="G92" s="32">
        <f t="shared" si="18"/>
        <v>-53646.880000000012</v>
      </c>
      <c r="H92" s="32">
        <f t="shared" si="18"/>
        <v>24647.069999999992</v>
      </c>
      <c r="I92" s="32">
        <f t="shared" si="18"/>
        <v>-44384.62</v>
      </c>
      <c r="J92" s="32">
        <f t="shared" si="18"/>
        <v>-54457.510000000009</v>
      </c>
      <c r="K92" s="32">
        <f t="shared" si="18"/>
        <v>-4806.5099999999993</v>
      </c>
      <c r="L92" s="32">
        <f t="shared" si="18"/>
        <v>0</v>
      </c>
      <c r="M92" s="32">
        <f t="shared" si="18"/>
        <v>0</v>
      </c>
      <c r="N92" s="32">
        <f t="shared" si="15"/>
        <v>-284507.98</v>
      </c>
    </row>
    <row r="93" spans="1:14" x14ac:dyDescent="0.25">
      <c r="A93" s="29" t="s">
        <v>145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x14ac:dyDescent="0.25">
      <c r="A94" s="35" t="s">
        <v>146</v>
      </c>
      <c r="B94" s="31">
        <f>100</f>
        <v>100</v>
      </c>
      <c r="C94" s="31">
        <f>6350</f>
        <v>6350</v>
      </c>
      <c r="D94" s="31">
        <f>100</f>
        <v>100</v>
      </c>
      <c r="E94" s="31">
        <f>1506655</f>
        <v>1506655</v>
      </c>
      <c r="F94" s="31">
        <f>200</f>
        <v>200</v>
      </c>
      <c r="G94" s="31">
        <f>10100</f>
        <v>10100</v>
      </c>
      <c r="H94" s="31">
        <f>2600</f>
        <v>2600</v>
      </c>
      <c r="I94" s="31">
        <f>100</f>
        <v>100</v>
      </c>
      <c r="J94" s="31">
        <f>25100</f>
        <v>25100</v>
      </c>
      <c r="K94" s="30"/>
      <c r="L94" s="30"/>
      <c r="M94" s="30"/>
      <c r="N94" s="31">
        <f>(((((((((((B94)+(C94))+(D94))+(E94))+(F94))+(G94))+(H94))+(I94))+(J94))+(K94))+(L94))+(M94)</f>
        <v>1551305</v>
      </c>
    </row>
    <row r="95" spans="1:14" x14ac:dyDescent="0.25">
      <c r="A95" s="29" t="s">
        <v>147</v>
      </c>
      <c r="B95" s="32">
        <f t="shared" ref="B95:M95" si="19">B94</f>
        <v>100</v>
      </c>
      <c r="C95" s="32">
        <f t="shared" si="19"/>
        <v>6350</v>
      </c>
      <c r="D95" s="32">
        <f t="shared" si="19"/>
        <v>100</v>
      </c>
      <c r="E95" s="32">
        <f t="shared" si="19"/>
        <v>1506655</v>
      </c>
      <c r="F95" s="32">
        <f t="shared" si="19"/>
        <v>200</v>
      </c>
      <c r="G95" s="32">
        <f t="shared" si="19"/>
        <v>10100</v>
      </c>
      <c r="H95" s="32">
        <f t="shared" si="19"/>
        <v>2600</v>
      </c>
      <c r="I95" s="32">
        <f t="shared" si="19"/>
        <v>100</v>
      </c>
      <c r="J95" s="32">
        <f t="shared" si="19"/>
        <v>25100</v>
      </c>
      <c r="K95" s="32">
        <f t="shared" si="19"/>
        <v>0</v>
      </c>
      <c r="L95" s="32">
        <f t="shared" si="19"/>
        <v>0</v>
      </c>
      <c r="M95" s="32">
        <f t="shared" si="19"/>
        <v>0</v>
      </c>
      <c r="N95" s="32">
        <f>(((((((((((B95)+(C95))+(D95))+(E95))+(F95))+(G95))+(H95))+(I95))+(J95))+(K95))+(L95))+(M95)</f>
        <v>1551305</v>
      </c>
    </row>
    <row r="96" spans="1:14" x14ac:dyDescent="0.25">
      <c r="A96" s="29" t="s">
        <v>148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x14ac:dyDescent="0.25">
      <c r="A97" s="35" t="s">
        <v>149</v>
      </c>
      <c r="B97" s="30"/>
      <c r="C97" s="30"/>
      <c r="D97" s="30"/>
      <c r="E97" s="30"/>
      <c r="F97" s="30"/>
      <c r="G97" s="30"/>
      <c r="H97" s="31">
        <f>19189.86</f>
        <v>19189.86</v>
      </c>
      <c r="I97" s="30"/>
      <c r="J97" s="30"/>
      <c r="K97" s="30"/>
      <c r="L97" s="30"/>
      <c r="M97" s="30"/>
      <c r="N97" s="31">
        <f t="shared" ref="N97:N105" si="20">(((((((((((B97)+(C97))+(D97))+(E97))+(F97))+(G97))+(H97))+(I97))+(J97))+(K97))+(L97))+(M97)</f>
        <v>19189.86</v>
      </c>
    </row>
    <row r="98" spans="1:14" x14ac:dyDescent="0.25">
      <c r="A98" s="35" t="s">
        <v>150</v>
      </c>
      <c r="B98" s="31">
        <f>2022</f>
        <v>2022</v>
      </c>
      <c r="C98" s="31">
        <f>2022</f>
        <v>2022</v>
      </c>
      <c r="D98" s="31">
        <f>2022</f>
        <v>2022</v>
      </c>
      <c r="E98" s="30"/>
      <c r="F98" s="31">
        <f>2058</f>
        <v>2058</v>
      </c>
      <c r="G98" s="31">
        <f>2058</f>
        <v>2058</v>
      </c>
      <c r="H98" s="30"/>
      <c r="I98" s="30"/>
      <c r="J98" s="31">
        <f>4344</f>
        <v>4344</v>
      </c>
      <c r="K98" s="30"/>
      <c r="L98" s="30"/>
      <c r="M98" s="30"/>
      <c r="N98" s="31">
        <f t="shared" si="20"/>
        <v>14526</v>
      </c>
    </row>
    <row r="99" spans="1:14" x14ac:dyDescent="0.25">
      <c r="A99" s="35" t="s">
        <v>151</v>
      </c>
      <c r="B99" s="31">
        <f>7016.25</f>
        <v>7016.25</v>
      </c>
      <c r="C99" s="31">
        <f>9065.54</f>
        <v>9065.5400000000009</v>
      </c>
      <c r="D99" s="31">
        <f>500</f>
        <v>500</v>
      </c>
      <c r="E99" s="31">
        <f>500</f>
        <v>500</v>
      </c>
      <c r="F99" s="31">
        <f>3956.75</f>
        <v>3956.75</v>
      </c>
      <c r="G99" s="31">
        <f>5881.46</f>
        <v>5881.46</v>
      </c>
      <c r="H99" s="31">
        <f>3259.2</f>
        <v>3259.2</v>
      </c>
      <c r="I99" s="31">
        <f>3000</f>
        <v>3000</v>
      </c>
      <c r="J99" s="31">
        <f>3000</f>
        <v>3000</v>
      </c>
      <c r="K99" s="31">
        <f>1250.38</f>
        <v>1250.3800000000001</v>
      </c>
      <c r="L99" s="30"/>
      <c r="M99" s="30"/>
      <c r="N99" s="31">
        <f t="shared" si="20"/>
        <v>37429.579999999994</v>
      </c>
    </row>
    <row r="100" spans="1:14" x14ac:dyDescent="0.25">
      <c r="A100" s="35" t="s">
        <v>152</v>
      </c>
      <c r="B100" s="30"/>
      <c r="C100" s="30"/>
      <c r="D100" s="30"/>
      <c r="E100" s="30"/>
      <c r="F100" s="30"/>
      <c r="G100" s="30"/>
      <c r="H100" s="30"/>
      <c r="I100" s="30"/>
      <c r="J100" s="31">
        <f>3000</f>
        <v>3000</v>
      </c>
      <c r="K100" s="31">
        <f>1174</f>
        <v>1174</v>
      </c>
      <c r="L100" s="30"/>
      <c r="M100" s="30"/>
      <c r="N100" s="31">
        <f t="shared" si="20"/>
        <v>4174</v>
      </c>
    </row>
    <row r="101" spans="1:14" x14ac:dyDescent="0.25">
      <c r="A101" s="35" t="s">
        <v>153</v>
      </c>
      <c r="B101" s="31">
        <f>5336.86</f>
        <v>5336.86</v>
      </c>
      <c r="C101" s="31">
        <f>6123.92</f>
        <v>6123.92</v>
      </c>
      <c r="D101" s="30"/>
      <c r="E101" s="31">
        <f>11890.87</f>
        <v>11890.87</v>
      </c>
      <c r="F101" s="31">
        <f>11903.16</f>
        <v>11903.16</v>
      </c>
      <c r="G101" s="31">
        <f>14494.34</f>
        <v>14494.34</v>
      </c>
      <c r="H101" s="31">
        <f>34595.24</f>
        <v>34595.24</v>
      </c>
      <c r="I101" s="31">
        <f>21808.99</f>
        <v>21808.99</v>
      </c>
      <c r="J101" s="30"/>
      <c r="K101" s="30"/>
      <c r="L101" s="30"/>
      <c r="M101" s="30"/>
      <c r="N101" s="31">
        <f t="shared" si="20"/>
        <v>106153.37999999999</v>
      </c>
    </row>
    <row r="102" spans="1:14" x14ac:dyDescent="0.25">
      <c r="A102" s="35" t="s">
        <v>154</v>
      </c>
      <c r="B102" s="31">
        <f>25000</f>
        <v>25000</v>
      </c>
      <c r="C102" s="31">
        <f>12500</f>
        <v>12500</v>
      </c>
      <c r="D102" s="30"/>
      <c r="E102" s="31">
        <f>12500</f>
        <v>12500</v>
      </c>
      <c r="F102" s="31">
        <f>12500</f>
        <v>12500</v>
      </c>
      <c r="G102" s="31">
        <f>12500</f>
        <v>12500</v>
      </c>
      <c r="H102" s="31">
        <f>12500</f>
        <v>12500</v>
      </c>
      <c r="I102" s="31">
        <f>12770</f>
        <v>12770</v>
      </c>
      <c r="J102" s="31">
        <f>12500</f>
        <v>12500</v>
      </c>
      <c r="K102" s="30"/>
      <c r="L102" s="30"/>
      <c r="M102" s="30"/>
      <c r="N102" s="31">
        <f t="shared" si="20"/>
        <v>112770</v>
      </c>
    </row>
    <row r="103" spans="1:14" x14ac:dyDescent="0.25">
      <c r="A103" s="29" t="s">
        <v>155</v>
      </c>
      <c r="B103" s="32">
        <f t="shared" ref="B103:M103" si="21">(((((B97)+(B98))+(B99))+(B100))+(B101))+(B102)</f>
        <v>39375.11</v>
      </c>
      <c r="C103" s="32">
        <f t="shared" si="21"/>
        <v>29711.46</v>
      </c>
      <c r="D103" s="32">
        <f t="shared" si="21"/>
        <v>2522</v>
      </c>
      <c r="E103" s="32">
        <f t="shared" si="21"/>
        <v>24890.870000000003</v>
      </c>
      <c r="F103" s="32">
        <f t="shared" si="21"/>
        <v>30417.91</v>
      </c>
      <c r="G103" s="32">
        <f t="shared" si="21"/>
        <v>34933.800000000003</v>
      </c>
      <c r="H103" s="32">
        <f t="shared" si="21"/>
        <v>69544.3</v>
      </c>
      <c r="I103" s="32">
        <f t="shared" si="21"/>
        <v>37578.990000000005</v>
      </c>
      <c r="J103" s="32">
        <f t="shared" si="21"/>
        <v>22844</v>
      </c>
      <c r="K103" s="32">
        <f t="shared" si="21"/>
        <v>2424.38</v>
      </c>
      <c r="L103" s="32">
        <f t="shared" si="21"/>
        <v>0</v>
      </c>
      <c r="M103" s="32">
        <f t="shared" si="21"/>
        <v>0</v>
      </c>
      <c r="N103" s="32">
        <f t="shared" si="20"/>
        <v>294242.82</v>
      </c>
    </row>
    <row r="104" spans="1:14" x14ac:dyDescent="0.25">
      <c r="A104" s="29" t="s">
        <v>156</v>
      </c>
      <c r="B104" s="32">
        <f t="shared" ref="B104:M104" si="22">(B95)-(B103)</f>
        <v>-39275.11</v>
      </c>
      <c r="C104" s="32">
        <f t="shared" si="22"/>
        <v>-23361.46</v>
      </c>
      <c r="D104" s="32">
        <f t="shared" si="22"/>
        <v>-2422</v>
      </c>
      <c r="E104" s="32">
        <f t="shared" si="22"/>
        <v>1481764.13</v>
      </c>
      <c r="F104" s="32">
        <f t="shared" si="22"/>
        <v>-30217.91</v>
      </c>
      <c r="G104" s="32">
        <f t="shared" si="22"/>
        <v>-24833.800000000003</v>
      </c>
      <c r="H104" s="32">
        <f t="shared" si="22"/>
        <v>-66944.3</v>
      </c>
      <c r="I104" s="32">
        <f t="shared" si="22"/>
        <v>-37478.990000000005</v>
      </c>
      <c r="J104" s="32">
        <f t="shared" si="22"/>
        <v>2256</v>
      </c>
      <c r="K104" s="32">
        <f t="shared" si="22"/>
        <v>-2424.38</v>
      </c>
      <c r="L104" s="32">
        <f t="shared" si="22"/>
        <v>0</v>
      </c>
      <c r="M104" s="32">
        <f t="shared" si="22"/>
        <v>0</v>
      </c>
      <c r="N104" s="32">
        <f t="shared" si="20"/>
        <v>1257062.18</v>
      </c>
    </row>
    <row r="105" spans="1:14" x14ac:dyDescent="0.25">
      <c r="A105" s="29" t="s">
        <v>157</v>
      </c>
      <c r="B105" s="32">
        <f t="shared" ref="B105:M105" si="23">(B92)+(B104)</f>
        <v>26300.780000000013</v>
      </c>
      <c r="C105" s="32">
        <f t="shared" si="23"/>
        <v>-65609.709999999992</v>
      </c>
      <c r="D105" s="32">
        <f t="shared" si="23"/>
        <v>-57762.940000000017</v>
      </c>
      <c r="E105" s="32">
        <f t="shared" si="23"/>
        <v>1433412.5099999998</v>
      </c>
      <c r="F105" s="32">
        <f t="shared" si="23"/>
        <v>-101712.51999999999</v>
      </c>
      <c r="G105" s="32">
        <f t="shared" si="23"/>
        <v>-78480.680000000022</v>
      </c>
      <c r="H105" s="32">
        <f t="shared" si="23"/>
        <v>-42297.23000000001</v>
      </c>
      <c r="I105" s="32">
        <f t="shared" si="23"/>
        <v>-81863.610000000015</v>
      </c>
      <c r="J105" s="32">
        <f t="shared" si="23"/>
        <v>-52201.510000000009</v>
      </c>
      <c r="K105" s="32">
        <f t="shared" si="23"/>
        <v>-7230.8899999999994</v>
      </c>
      <c r="L105" s="32">
        <f t="shared" si="23"/>
        <v>0</v>
      </c>
      <c r="M105" s="32">
        <f t="shared" si="23"/>
        <v>0</v>
      </c>
      <c r="N105" s="32">
        <f t="shared" si="20"/>
        <v>972554.19999999972</v>
      </c>
    </row>
    <row r="106" spans="1:14" x14ac:dyDescent="0.25">
      <c r="A106" s="29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9" spans="1:14" x14ac:dyDescent="0.25">
      <c r="A109" s="40" t="s">
        <v>162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151C2-39FA-4D29-8693-A0A7459616DA}">
  <dimension ref="A1:BH46"/>
  <sheetViews>
    <sheetView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9.109375" defaultRowHeight="13.8" outlineLevelCol="1" x14ac:dyDescent="0.25"/>
  <cols>
    <col min="1" max="1" width="31.6640625" style="4" customWidth="1"/>
    <col min="2" max="2" width="35.5546875" style="4" hidden="1" customWidth="1"/>
    <col min="3" max="3" width="38.6640625" style="4" hidden="1" customWidth="1"/>
    <col min="4" max="4" width="41.6640625" style="4" hidden="1" customWidth="1"/>
    <col min="5" max="5" width="19.88671875" style="4" hidden="1" customWidth="1"/>
    <col min="6" max="6" width="11.44140625" style="4" bestFit="1" customWidth="1"/>
    <col min="7" max="7" width="12.44140625" style="4" customWidth="1"/>
    <col min="8" max="8" width="13.109375" style="4" bestFit="1" customWidth="1"/>
    <col min="9" max="9" width="15.33203125" style="4" customWidth="1"/>
    <col min="10" max="11" width="11.44140625" style="4" hidden="1" customWidth="1" outlineLevel="1"/>
    <col min="12" max="12" width="12.109375" style="4" hidden="1" customWidth="1" outlineLevel="1"/>
    <col min="13" max="13" width="2.44140625" style="2" customWidth="1" collapsed="1"/>
    <col min="14" max="15" width="10.109375" style="4" hidden="1" customWidth="1" outlineLevel="1"/>
    <col min="16" max="16" width="11.6640625" style="4" hidden="1" customWidth="1" outlineLevel="1"/>
    <col min="17" max="17" width="2.44140625" style="2" customWidth="1" collapsed="1"/>
    <col min="18" max="19" width="10.109375" style="4" hidden="1" customWidth="1" outlineLevel="1"/>
    <col min="20" max="20" width="11.6640625" style="4" hidden="1" customWidth="1" outlineLevel="1"/>
    <col min="21" max="21" width="2.44140625" style="2" customWidth="1" collapsed="1"/>
    <col min="22" max="23" width="10.109375" style="4" hidden="1" customWidth="1" outlineLevel="1"/>
    <col min="24" max="24" width="11.6640625" style="4" hidden="1" customWidth="1" outlineLevel="1"/>
    <col min="25" max="25" width="2.44140625" style="2" customWidth="1" collapsed="1"/>
    <col min="26" max="26" width="10.109375" style="4" hidden="1" customWidth="1" outlineLevel="1"/>
    <col min="27" max="27" width="11.44140625" style="4" hidden="1" customWidth="1" outlineLevel="1"/>
    <col min="28" max="28" width="12.109375" style="4" hidden="1" customWidth="1" outlineLevel="1"/>
    <col min="29" max="29" width="2.44140625" style="2" customWidth="1" collapsed="1"/>
    <col min="30" max="31" width="10.109375" style="4" hidden="1" customWidth="1" outlineLevel="1"/>
    <col min="32" max="32" width="11.6640625" style="4" hidden="1" customWidth="1" outlineLevel="1"/>
    <col min="33" max="33" width="2.44140625" style="2" customWidth="1" collapsed="1"/>
    <col min="34" max="35" width="10.109375" style="4" hidden="1" customWidth="1" outlineLevel="1"/>
    <col min="36" max="36" width="11.6640625" style="4" hidden="1" customWidth="1" outlineLevel="1"/>
    <col min="37" max="37" width="2.44140625" style="2" customWidth="1" collapsed="1"/>
    <col min="38" max="39" width="10.109375" style="4" hidden="1" customWidth="1" outlineLevel="1"/>
    <col min="40" max="40" width="11.6640625" style="4" hidden="1" customWidth="1" outlineLevel="1"/>
    <col min="41" max="41" width="2.44140625" style="2" customWidth="1" collapsed="1"/>
    <col min="42" max="42" width="10.109375" style="4" hidden="1" customWidth="1" outlineLevel="1"/>
    <col min="43" max="43" width="11.44140625" style="4" hidden="1" customWidth="1" outlineLevel="1"/>
    <col min="44" max="44" width="12.109375" style="4" hidden="1" customWidth="1" outlineLevel="1"/>
    <col min="45" max="45" width="2.44140625" style="2" customWidth="1" collapsed="1"/>
    <col min="46" max="46" width="8.88671875" style="4" hidden="1" customWidth="1" outlineLevel="1"/>
    <col min="47" max="47" width="11.44140625" style="4" hidden="1" customWidth="1" outlineLevel="1"/>
    <col min="48" max="48" width="11.6640625" style="4" hidden="1" customWidth="1" outlineLevel="1"/>
    <col min="49" max="49" width="2.44140625" style="2" customWidth="1" collapsed="1"/>
    <col min="50" max="50" width="7.6640625" style="4" hidden="1" customWidth="1" outlineLevel="1"/>
    <col min="51" max="51" width="11.44140625" style="4" hidden="1" customWidth="1" outlineLevel="1"/>
    <col min="52" max="52" width="12.109375" style="4" hidden="1" customWidth="1" outlineLevel="1"/>
    <col min="53" max="53" width="2.44140625" style="2" customWidth="1" collapsed="1"/>
    <col min="54" max="54" width="7.6640625" style="4" hidden="1" customWidth="1" outlineLevel="1"/>
    <col min="55" max="55" width="13.109375" style="4" hidden="1" customWidth="1" outlineLevel="1"/>
    <col min="56" max="56" width="11.6640625" style="4" hidden="1" customWidth="1" outlineLevel="1"/>
    <col min="57" max="57" width="2.5546875" style="4" customWidth="1" collapsed="1"/>
    <col min="58" max="58" width="17.6640625" style="4" customWidth="1"/>
    <col min="59" max="59" width="10" style="17" customWidth="1"/>
    <col min="60" max="62" width="12.33203125" style="4" customWidth="1"/>
    <col min="63" max="16384" width="9.109375" style="4"/>
  </cols>
  <sheetData>
    <row r="1" spans="1:59" x14ac:dyDescent="0.25">
      <c r="A1" s="1" t="s">
        <v>23</v>
      </c>
      <c r="B1" s="1"/>
      <c r="C1" s="1"/>
      <c r="D1" s="1"/>
      <c r="E1" s="1"/>
      <c r="F1" s="3"/>
      <c r="G1" s="3"/>
      <c r="H1" s="3"/>
      <c r="J1" s="3"/>
      <c r="K1" s="3"/>
      <c r="L1" s="3"/>
      <c r="M1" s="3" t="s">
        <v>166</v>
      </c>
      <c r="N1" s="3"/>
      <c r="O1" s="3"/>
      <c r="P1" s="3"/>
      <c r="Q1" s="3" t="s">
        <v>169</v>
      </c>
      <c r="R1" s="3"/>
      <c r="S1" s="3"/>
      <c r="T1" s="3"/>
      <c r="U1" s="3" t="s">
        <v>170</v>
      </c>
      <c r="V1" s="3"/>
      <c r="W1" s="3"/>
      <c r="X1" s="3"/>
      <c r="Y1" s="3" t="s">
        <v>171</v>
      </c>
      <c r="Z1" s="3"/>
      <c r="AA1" s="3"/>
      <c r="AB1" s="3"/>
      <c r="AC1" s="3" t="s">
        <v>172</v>
      </c>
      <c r="AD1" s="3"/>
      <c r="AE1" s="3"/>
      <c r="AF1" s="3"/>
      <c r="AG1" s="3" t="s">
        <v>173</v>
      </c>
      <c r="AH1" s="3"/>
      <c r="AI1" s="3"/>
      <c r="AJ1" s="3"/>
      <c r="AK1" s="3" t="s">
        <v>166</v>
      </c>
      <c r="AL1" s="3"/>
      <c r="AM1" s="3"/>
      <c r="AN1" s="3"/>
      <c r="AO1" s="3" t="s">
        <v>167</v>
      </c>
      <c r="AP1" s="3"/>
      <c r="AQ1" s="3"/>
      <c r="AR1" s="3"/>
      <c r="AS1" s="3" t="s">
        <v>168</v>
      </c>
      <c r="AT1" s="3"/>
      <c r="AU1" s="3"/>
      <c r="AV1" s="3"/>
      <c r="AW1" s="3" t="s">
        <v>169</v>
      </c>
      <c r="AX1" s="3"/>
      <c r="AY1" s="3"/>
      <c r="AZ1" s="3"/>
      <c r="BA1" s="3" t="s">
        <v>168</v>
      </c>
      <c r="BB1" s="3"/>
      <c r="BC1" s="3"/>
      <c r="BD1" s="3"/>
      <c r="BE1" s="3" t="s">
        <v>166</v>
      </c>
      <c r="BF1" s="3"/>
    </row>
    <row r="2" spans="1:59" x14ac:dyDescent="0.25">
      <c r="A2" s="1" t="s">
        <v>24</v>
      </c>
      <c r="B2" s="1"/>
      <c r="C2" s="1"/>
      <c r="D2" s="1"/>
      <c r="E2" s="1"/>
      <c r="F2" s="3"/>
      <c r="G2" s="3"/>
      <c r="H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9" x14ac:dyDescent="0.25">
      <c r="A3" s="1" t="s">
        <v>174</v>
      </c>
      <c r="B3" s="1"/>
      <c r="C3" s="1"/>
      <c r="D3" s="1"/>
      <c r="E3" s="1"/>
      <c r="F3" s="3"/>
      <c r="G3" s="3"/>
      <c r="H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9" x14ac:dyDescent="0.25">
      <c r="A4" s="1"/>
      <c r="B4" s="1"/>
      <c r="C4" s="1"/>
      <c r="D4" s="1"/>
      <c r="E4" s="1"/>
      <c r="F4" s="65" t="s">
        <v>0</v>
      </c>
      <c r="G4" s="65"/>
      <c r="H4" s="65"/>
      <c r="J4" s="65" t="s">
        <v>41</v>
      </c>
      <c r="K4" s="65"/>
      <c r="L4" s="65"/>
      <c r="M4" s="3"/>
      <c r="N4" s="65" t="s">
        <v>42</v>
      </c>
      <c r="O4" s="65"/>
      <c r="P4" s="65"/>
      <c r="Q4" s="3"/>
      <c r="R4" s="65" t="s">
        <v>43</v>
      </c>
      <c r="S4" s="65"/>
      <c r="T4" s="65"/>
      <c r="U4" s="3"/>
      <c r="V4" s="65" t="s">
        <v>44</v>
      </c>
      <c r="W4" s="65"/>
      <c r="X4" s="65"/>
      <c r="Y4" s="3"/>
      <c r="Z4" s="65" t="s">
        <v>36</v>
      </c>
      <c r="AA4" s="65"/>
      <c r="AB4" s="65"/>
      <c r="AC4" s="3"/>
      <c r="AD4" s="65" t="s">
        <v>45</v>
      </c>
      <c r="AE4" s="65"/>
      <c r="AF4" s="65"/>
      <c r="AG4" s="3"/>
      <c r="AH4" s="65" t="s">
        <v>37</v>
      </c>
      <c r="AI4" s="65"/>
      <c r="AJ4" s="65"/>
      <c r="AK4" s="3"/>
      <c r="AL4" s="65" t="s">
        <v>46</v>
      </c>
      <c r="AM4" s="65"/>
      <c r="AN4" s="65"/>
      <c r="AO4" s="3"/>
      <c r="AP4" s="65" t="s">
        <v>47</v>
      </c>
      <c r="AQ4" s="65"/>
      <c r="AR4" s="65"/>
      <c r="AS4" s="3"/>
      <c r="AT4" s="65" t="s">
        <v>48</v>
      </c>
      <c r="AU4" s="65"/>
      <c r="AV4" s="65"/>
      <c r="AW4" s="3"/>
      <c r="AX4" s="65" t="s">
        <v>38</v>
      </c>
      <c r="AY4" s="65"/>
      <c r="AZ4" s="65"/>
      <c r="BA4" s="3"/>
      <c r="BB4" s="65" t="s">
        <v>49</v>
      </c>
      <c r="BC4" s="65"/>
      <c r="BD4" s="65"/>
      <c r="BE4" s="3"/>
      <c r="BF4" s="3"/>
    </row>
    <row r="5" spans="1:59" x14ac:dyDescent="0.25">
      <c r="A5" s="5" t="s">
        <v>18</v>
      </c>
      <c r="B5" s="34"/>
      <c r="C5" s="34"/>
      <c r="D5" s="34"/>
      <c r="E5" s="34"/>
      <c r="F5" s="3" t="s">
        <v>163</v>
      </c>
      <c r="G5" s="3" t="s">
        <v>21</v>
      </c>
      <c r="H5" s="3" t="s">
        <v>164</v>
      </c>
      <c r="J5" s="3" t="s">
        <v>163</v>
      </c>
      <c r="K5" s="3" t="s">
        <v>21</v>
      </c>
      <c r="L5" s="3" t="s">
        <v>164</v>
      </c>
      <c r="M5" s="3"/>
      <c r="N5" s="3" t="s">
        <v>163</v>
      </c>
      <c r="O5" s="3" t="s">
        <v>21</v>
      </c>
      <c r="P5" s="3" t="s">
        <v>164</v>
      </c>
      <c r="Q5" s="3"/>
      <c r="R5" s="3" t="s">
        <v>163</v>
      </c>
      <c r="S5" s="3" t="s">
        <v>21</v>
      </c>
      <c r="T5" s="3" t="s">
        <v>164</v>
      </c>
      <c r="U5" s="3"/>
      <c r="V5" s="3" t="s">
        <v>163</v>
      </c>
      <c r="W5" s="3" t="s">
        <v>21</v>
      </c>
      <c r="X5" s="3" t="s">
        <v>164</v>
      </c>
      <c r="Y5" s="3"/>
      <c r="Z5" s="3" t="s">
        <v>163</v>
      </c>
      <c r="AA5" s="3" t="s">
        <v>21</v>
      </c>
      <c r="AB5" s="3" t="s">
        <v>164</v>
      </c>
      <c r="AC5" s="3"/>
      <c r="AD5" s="3" t="s">
        <v>163</v>
      </c>
      <c r="AE5" s="3" t="s">
        <v>21</v>
      </c>
      <c r="AF5" s="3" t="s">
        <v>164</v>
      </c>
      <c r="AG5" s="3"/>
      <c r="AH5" s="3" t="s">
        <v>163</v>
      </c>
      <c r="AI5" s="3" t="s">
        <v>21</v>
      </c>
      <c r="AJ5" s="3" t="s">
        <v>164</v>
      </c>
      <c r="AK5" s="3"/>
      <c r="AL5" s="3" t="s">
        <v>163</v>
      </c>
      <c r="AM5" s="3" t="s">
        <v>21</v>
      </c>
      <c r="AN5" s="3" t="s">
        <v>164</v>
      </c>
      <c r="AO5" s="3"/>
      <c r="AP5" s="3" t="s">
        <v>163</v>
      </c>
      <c r="AQ5" s="3" t="s">
        <v>21</v>
      </c>
      <c r="AR5" s="3" t="s">
        <v>164</v>
      </c>
      <c r="AS5" s="3"/>
      <c r="AT5" s="3" t="s">
        <v>163</v>
      </c>
      <c r="AU5" s="3" t="s">
        <v>21</v>
      </c>
      <c r="AV5" s="3" t="s">
        <v>164</v>
      </c>
      <c r="AW5" s="3"/>
      <c r="AX5" s="3" t="s">
        <v>163</v>
      </c>
      <c r="AY5" s="3" t="s">
        <v>21</v>
      </c>
      <c r="AZ5" s="3" t="s">
        <v>164</v>
      </c>
      <c r="BA5" s="3"/>
      <c r="BB5" s="3" t="s">
        <v>163</v>
      </c>
      <c r="BC5" s="3" t="s">
        <v>21</v>
      </c>
      <c r="BD5" s="3" t="s">
        <v>164</v>
      </c>
      <c r="BE5" s="3"/>
      <c r="BF5" s="3"/>
    </row>
    <row r="6" spans="1:59" ht="14.4" x14ac:dyDescent="0.3">
      <c r="A6" s="4" t="s">
        <v>26</v>
      </c>
      <c r="B6" s="36" t="s">
        <v>64</v>
      </c>
      <c r="C6" s="42" t="s">
        <v>65</v>
      </c>
      <c r="D6" s="42" t="s">
        <v>66</v>
      </c>
      <c r="E6" s="36"/>
      <c r="F6" s="7">
        <f>J6+N6+R6+V6+Z6+AD6+AH6+AL6+AP6+AT6+AX6+BB6</f>
        <v>114281.8</v>
      </c>
      <c r="G6" s="7">
        <f>K6+O6+S6+W6+AA6+AE6+AI6+AM6+AQ6+AU6+AY6+BC6</f>
        <v>285000</v>
      </c>
      <c r="H6" s="7">
        <f>F6-G6</f>
        <v>-170718.2</v>
      </c>
      <c r="J6" s="26">
        <f>VLOOKUP($B:$B,'P&amp;L by Month'!$A:$N,2,FALSE)+VLOOKUP($C:$C,'P&amp;L by Month'!$A:$N,2,FALSE)+VLOOKUP($D:$D,'P&amp;L by Month'!$A:$N,2,FALSE)</f>
        <v>7320.82</v>
      </c>
      <c r="K6" s="26">
        <f>Budget!D6</f>
        <v>23750</v>
      </c>
      <c r="L6" s="26">
        <f>J6-K6</f>
        <v>-16429.18</v>
      </c>
      <c r="M6" s="26"/>
      <c r="N6" s="26">
        <f>VLOOKUP($B:$B,'P&amp;L by Month'!$A:$N,3,FALSE)+VLOOKUP($C:$C,'P&amp;L by Month'!$A:$N,3,FALSE)+VLOOKUP($D:$D,'P&amp;L by Month'!$A:$N,3,FALSE)</f>
        <v>4858.59</v>
      </c>
      <c r="O6" s="26">
        <f>Budget!E6</f>
        <v>23750</v>
      </c>
      <c r="P6" s="26">
        <f>N6-O6</f>
        <v>-18891.41</v>
      </c>
      <c r="Q6" s="26"/>
      <c r="R6" s="26">
        <f>VLOOKUP($B:$B,'P&amp;L by Month'!$A:$N,4,FALSE)+VLOOKUP($C:$C,'P&amp;L by Month'!$A:$N,4,FALSE)+VLOOKUP($D:$D,'P&amp;L by Month'!$A:$N,4,FALSE)</f>
        <v>10585.39</v>
      </c>
      <c r="S6" s="26">
        <f>Budget!F6</f>
        <v>23750</v>
      </c>
      <c r="T6" s="26">
        <f>R6-S6</f>
        <v>-13164.61</v>
      </c>
      <c r="U6" s="26"/>
      <c r="V6" s="26">
        <f>VLOOKUP($B:$B,'P&amp;L by Month'!$A:$N,5,FALSE)+VLOOKUP($C:$C,'P&amp;L by Month'!$A:$N,5,FALSE)+VLOOKUP($D:$D,'P&amp;L by Month'!$A:$N,5,FALSE)</f>
        <v>7462.68</v>
      </c>
      <c r="W6" s="26">
        <f>Budget!G6</f>
        <v>23750</v>
      </c>
      <c r="X6" s="26">
        <f>V6-W6</f>
        <v>-16287.32</v>
      </c>
      <c r="Y6" s="26"/>
      <c r="Z6" s="26">
        <f>VLOOKUP($B:$B,'P&amp;L by Month'!$A:$N,6,FALSE)+VLOOKUP($C:$C,'P&amp;L by Month'!$A:$N,6,FALSE)+VLOOKUP($D:$D,'P&amp;L by Month'!$A:$N,6,FALSE)</f>
        <v>14139.69</v>
      </c>
      <c r="AA6" s="26">
        <f>Budget!H6</f>
        <v>23750</v>
      </c>
      <c r="AB6" s="26">
        <f>Z6-AA6</f>
        <v>-9610.31</v>
      </c>
      <c r="AC6" s="26"/>
      <c r="AD6" s="26">
        <f>VLOOKUP($B:$B,'P&amp;L by Month'!$A:$N,7,FALSE)+VLOOKUP($C:$C,'P&amp;L by Month'!$A:$N,7,FALSE)+VLOOKUP($D:$D,'P&amp;L by Month'!$A:$N,7,FALSE)</f>
        <v>34917.020000000004</v>
      </c>
      <c r="AE6" s="26">
        <f>Budget!I6</f>
        <v>23750</v>
      </c>
      <c r="AF6" s="26">
        <f>AD6-AE6</f>
        <v>11167.020000000004</v>
      </c>
      <c r="AG6" s="26"/>
      <c r="AH6" s="26">
        <f>VLOOKUP($B:$B,'P&amp;L by Month'!$A:$N,8,FALSE)+VLOOKUP($C:$C,'P&amp;L by Month'!$A:$N,8,FALSE)+VLOOKUP($D:$D,'P&amp;L by Month'!$A:$N,8,FALSE)</f>
        <v>14557.5</v>
      </c>
      <c r="AI6" s="26">
        <f>Budget!J6</f>
        <v>23750</v>
      </c>
      <c r="AJ6" s="26">
        <f>AH6-AI6</f>
        <v>-9192.5</v>
      </c>
      <c r="AK6" s="26"/>
      <c r="AL6" s="26">
        <f>VLOOKUP($B:$B,'P&amp;L by Month'!$A:$N,9,FALSE)+VLOOKUP($C:$C,'P&amp;L by Month'!$A:$N,9,FALSE)+VLOOKUP($D:$D,'P&amp;L by Month'!$A:$N,9,FALSE)</f>
        <v>14348.689999999999</v>
      </c>
      <c r="AM6" s="26">
        <f>Budget!K6</f>
        <v>23750</v>
      </c>
      <c r="AN6" s="26">
        <f>AL6-AM6</f>
        <v>-9401.3100000000013</v>
      </c>
      <c r="AO6" s="26"/>
      <c r="AP6" s="26">
        <f>VLOOKUP($B:$B,'P&amp;L by Month'!$A:$N,10,FALSE)+VLOOKUP($C:$C,'P&amp;L by Month'!$A:$N,10,FALSE)+VLOOKUP($D:$D,'P&amp;L by Month'!$A:$N,10,FALSE)</f>
        <v>5416.42</v>
      </c>
      <c r="AQ6" s="26">
        <f>Budget!L6</f>
        <v>23750</v>
      </c>
      <c r="AR6" s="26">
        <f>AP6-AQ6</f>
        <v>-18333.580000000002</v>
      </c>
      <c r="AS6" s="26"/>
      <c r="AT6" s="26">
        <f>VLOOKUP($B:$B,'P&amp;L by Month'!$A:$N,11,FALSE)+VLOOKUP($C:$C,'P&amp;L by Month'!$A:$N,11,FALSE)+VLOOKUP($D:$D,'P&amp;L by Month'!$A:$N,11,FALSE)</f>
        <v>675</v>
      </c>
      <c r="AU6" s="26">
        <f>Budget!M6</f>
        <v>23750</v>
      </c>
      <c r="AV6" s="26">
        <f>AT6-AU6</f>
        <v>-23075</v>
      </c>
      <c r="AW6" s="26"/>
      <c r="AX6" s="26">
        <f>VLOOKUP($B:$B,'P&amp;L by Month'!$A:$N,12,FALSE)+VLOOKUP($C:$C,'P&amp;L by Month'!$A:$N,12,FALSE)+VLOOKUP($D:$D,'P&amp;L by Month'!$A:$N,12,FALSE)</f>
        <v>0</v>
      </c>
      <c r="AY6" s="26">
        <f>Budget!N6</f>
        <v>23750</v>
      </c>
      <c r="AZ6" s="26">
        <f>AX6-AY6</f>
        <v>-23750</v>
      </c>
      <c r="BA6" s="26"/>
      <c r="BB6" s="26">
        <f>VLOOKUP($B:$B,'P&amp;L by Month'!$A:$N,13,FALSE)+VLOOKUP($C:$C,'P&amp;L by Month'!$A:$N,13,FALSE)+VLOOKUP($D:$D,'P&amp;L by Month'!$A:$N,13,FALSE)</f>
        <v>0</v>
      </c>
      <c r="BC6" s="26">
        <f>Budget!O6</f>
        <v>23750</v>
      </c>
      <c r="BD6" s="26">
        <f>BB6-BC6</f>
        <v>-23750</v>
      </c>
      <c r="BE6" s="6"/>
      <c r="BF6" s="6"/>
    </row>
    <row r="7" spans="1:59" ht="14.4" x14ac:dyDescent="0.3">
      <c r="A7" s="4" t="s">
        <v>27</v>
      </c>
      <c r="B7" s="36" t="s">
        <v>63</v>
      </c>
      <c r="F7" s="7">
        <f t="shared" ref="F7:F10" si="0">J7+N7+R7+V7+Z7+AD7+AH7+AL7+AP7+AT7+AX7+BB7</f>
        <v>68022.39</v>
      </c>
      <c r="G7" s="7">
        <f t="shared" ref="G7:G10" si="1">K7+O7+S7+W7+AA7+AE7+AI7+AM7+AQ7+AU7+AY7+BC7</f>
        <v>237500</v>
      </c>
      <c r="H7" s="7">
        <f t="shared" ref="H7:H10" si="2">F7-G7</f>
        <v>-169477.61</v>
      </c>
      <c r="J7" s="26">
        <f>VLOOKUP($B:$B,'P&amp;L by Month'!$A:$N,2,FALSE)</f>
        <v>0</v>
      </c>
      <c r="K7" s="26">
        <f>Budget!D8</f>
        <v>0</v>
      </c>
      <c r="L7" s="26">
        <f t="shared" ref="L7:L10" si="3">J7-K7</f>
        <v>0</v>
      </c>
      <c r="M7" s="26"/>
      <c r="N7" s="26">
        <f>VLOOKUP($B:$B,'P&amp;L by Month'!$A:$N,3,FALSE)</f>
        <v>0</v>
      </c>
      <c r="O7" s="26">
        <f>Budget!E8</f>
        <v>0</v>
      </c>
      <c r="P7" s="26">
        <f t="shared" ref="P7:P11" si="4">N7-O7</f>
        <v>0</v>
      </c>
      <c r="Q7" s="26"/>
      <c r="R7" s="26">
        <f>VLOOKUP($B:$B,'P&amp;L by Month'!$A:$N,4,FALSE)</f>
        <v>5000</v>
      </c>
      <c r="S7" s="26">
        <f>Budget!F8</f>
        <v>25000</v>
      </c>
      <c r="T7" s="26">
        <f t="shared" ref="T7:T11" si="5">R7-S7</f>
        <v>-20000</v>
      </c>
      <c r="U7" s="26"/>
      <c r="V7" s="26">
        <f>VLOOKUP($B:$B,'P&amp;L by Month'!$A:$N,5,FALSE)</f>
        <v>422.39</v>
      </c>
      <c r="W7" s="26">
        <f>Budget!G8</f>
        <v>0</v>
      </c>
      <c r="X7" s="26">
        <f t="shared" ref="X7:X11" si="6">V7-W7</f>
        <v>422.39</v>
      </c>
      <c r="Y7" s="26"/>
      <c r="Z7" s="26">
        <f>VLOOKUP($B:$B,'P&amp;L by Month'!$A:$N,6,FALSE)</f>
        <v>10000</v>
      </c>
      <c r="AA7" s="26">
        <f>Budget!H8</f>
        <v>25000</v>
      </c>
      <c r="AB7" s="26">
        <f t="shared" ref="AB7:AB10" si="7">Z7-AA7</f>
        <v>-15000</v>
      </c>
      <c r="AC7" s="26"/>
      <c r="AD7" s="26">
        <f>VLOOKUP($B:$B,'P&amp;L by Month'!$A:$N,7,FALSE)</f>
        <v>0</v>
      </c>
      <c r="AE7" s="26">
        <f>Budget!I8</f>
        <v>37500</v>
      </c>
      <c r="AF7" s="26">
        <f t="shared" ref="AF7:AF10" si="8">AD7-AE7</f>
        <v>-37500</v>
      </c>
      <c r="AG7" s="26"/>
      <c r="AH7" s="26">
        <f>VLOOKUP($B:$B,'P&amp;L by Month'!$A:$N,8,FALSE)</f>
        <v>52600</v>
      </c>
      <c r="AI7" s="26">
        <f>Budget!J8</f>
        <v>15000</v>
      </c>
      <c r="AJ7" s="26">
        <f t="shared" ref="AJ7:AJ10" si="9">AH7-AI7</f>
        <v>37600</v>
      </c>
      <c r="AK7" s="26"/>
      <c r="AL7" s="26">
        <f>VLOOKUP($B:$B,'P&amp;L by Month'!$A:$N,9,FALSE)</f>
        <v>0</v>
      </c>
      <c r="AM7" s="26">
        <f>Budget!K8</f>
        <v>0</v>
      </c>
      <c r="AN7" s="26">
        <f t="shared" ref="AN7:AN10" si="10">AL7-AM7</f>
        <v>0</v>
      </c>
      <c r="AO7" s="26"/>
      <c r="AP7" s="26">
        <f>VLOOKUP($B:$B,'P&amp;L by Month'!$A:$N,10,FALSE)</f>
        <v>0</v>
      </c>
      <c r="AQ7" s="26">
        <f>Budget!L8</f>
        <v>0</v>
      </c>
      <c r="AR7" s="26">
        <f t="shared" ref="AR7:AR10" si="11">AP7-AQ7</f>
        <v>0</v>
      </c>
      <c r="AS7" s="26"/>
      <c r="AT7" s="26">
        <f>VLOOKUP($B:$B,'P&amp;L by Month'!$A:$N,11,FALSE)</f>
        <v>0</v>
      </c>
      <c r="AU7" s="26">
        <f>Budget!M8</f>
        <v>40000</v>
      </c>
      <c r="AV7" s="26">
        <f t="shared" ref="AV7:AV10" si="12">AT7-AU7</f>
        <v>-40000</v>
      </c>
      <c r="AW7" s="26"/>
      <c r="AX7" s="26">
        <f>VLOOKUP($B:$B,'P&amp;L by Month'!$A:$N,12,FALSE)</f>
        <v>0</v>
      </c>
      <c r="AY7" s="26">
        <f>Budget!N8</f>
        <v>45000</v>
      </c>
      <c r="AZ7" s="26">
        <f t="shared" ref="AZ7:AZ10" si="13">AX7-AY7</f>
        <v>-45000</v>
      </c>
      <c r="BA7" s="26"/>
      <c r="BB7" s="26">
        <f>VLOOKUP($B:$B,'P&amp;L by Month'!$A:$N,13,FALSE)</f>
        <v>0</v>
      </c>
      <c r="BC7" s="26">
        <f>Budget!O8</f>
        <v>50000</v>
      </c>
      <c r="BD7" s="26">
        <f t="shared" ref="BD7:BD10" si="14">BB7-BC7</f>
        <v>-50000</v>
      </c>
      <c r="BE7" s="6"/>
      <c r="BF7" s="6"/>
    </row>
    <row r="8" spans="1:59" ht="14.4" x14ac:dyDescent="0.3">
      <c r="A8" s="4" t="s">
        <v>20</v>
      </c>
      <c r="B8" s="36" t="s">
        <v>71</v>
      </c>
      <c r="F8" s="7">
        <f t="shared" si="0"/>
        <v>113812</v>
      </c>
      <c r="G8" s="7">
        <f t="shared" si="1"/>
        <v>1671782.0000000002</v>
      </c>
      <c r="H8" s="7">
        <f t="shared" si="2"/>
        <v>-1557970.0000000002</v>
      </c>
      <c r="J8" s="26">
        <f>VLOOKUP($B:$B,'P&amp;L by Month'!$A:$N,2,FALSE)</f>
        <v>106065</v>
      </c>
      <c r="K8" s="26">
        <f>Budget!D9</f>
        <v>125065.16666666666</v>
      </c>
      <c r="L8" s="26">
        <f t="shared" si="3"/>
        <v>-19000.166666666657</v>
      </c>
      <c r="M8" s="26"/>
      <c r="N8" s="26">
        <f>VLOOKUP($B:$B,'P&amp;L by Month'!$A:$N,3,FALSE)</f>
        <v>266</v>
      </c>
      <c r="O8" s="26">
        <f>Budget!E9</f>
        <v>228565.16666666666</v>
      </c>
      <c r="P8" s="26">
        <f t="shared" si="4"/>
        <v>-228299.16666666666</v>
      </c>
      <c r="Q8" s="26"/>
      <c r="R8" s="26">
        <f>VLOOKUP($B:$B,'P&amp;L by Month'!$A:$N,4,FALSE)</f>
        <v>0</v>
      </c>
      <c r="S8" s="26">
        <f>Budget!F9</f>
        <v>131815.16666666666</v>
      </c>
      <c r="T8" s="26">
        <f t="shared" si="5"/>
        <v>-131815.16666666666</v>
      </c>
      <c r="U8" s="26"/>
      <c r="V8" s="26">
        <f>VLOOKUP($B:$B,'P&amp;L by Month'!$A:$N,5,FALSE)</f>
        <v>0</v>
      </c>
      <c r="W8" s="26">
        <f>Budget!G9</f>
        <v>131815.16666666666</v>
      </c>
      <c r="X8" s="26">
        <f t="shared" si="6"/>
        <v>-131815.16666666666</v>
      </c>
      <c r="Y8" s="26"/>
      <c r="Z8" s="26">
        <f>VLOOKUP($B:$B,'P&amp;L by Month'!$A:$N,6,FALSE)</f>
        <v>0</v>
      </c>
      <c r="AA8" s="26">
        <f>Budget!H9</f>
        <v>131815.16666666666</v>
      </c>
      <c r="AB8" s="26">
        <f t="shared" si="7"/>
        <v>-131815.16666666666</v>
      </c>
      <c r="AC8" s="26"/>
      <c r="AD8" s="26">
        <f>VLOOKUP($B:$B,'P&amp;L by Month'!$A:$N,7,FALSE)</f>
        <v>0</v>
      </c>
      <c r="AE8" s="26">
        <f>Budget!I9</f>
        <v>131815.16666666666</v>
      </c>
      <c r="AF8" s="26">
        <f t="shared" si="8"/>
        <v>-131815.16666666666</v>
      </c>
      <c r="AG8" s="26"/>
      <c r="AH8" s="26">
        <f>VLOOKUP($B:$B,'P&amp;L by Month'!$A:$N,8,FALSE)</f>
        <v>5735</v>
      </c>
      <c r="AI8" s="26">
        <f>Budget!J9</f>
        <v>131815.16666666666</v>
      </c>
      <c r="AJ8" s="26">
        <f t="shared" si="9"/>
        <v>-126080.16666666666</v>
      </c>
      <c r="AK8" s="26"/>
      <c r="AL8" s="26">
        <f>VLOOKUP($B:$B,'P&amp;L by Month'!$A:$N,9,FALSE)</f>
        <v>475</v>
      </c>
      <c r="AM8" s="26">
        <f>Budget!K9</f>
        <v>131815.16666666666</v>
      </c>
      <c r="AN8" s="26">
        <f t="shared" si="10"/>
        <v>-131340.16666666666</v>
      </c>
      <c r="AO8" s="26"/>
      <c r="AP8" s="26">
        <f>VLOOKUP($B:$B,'P&amp;L by Month'!$A:$N,10,FALSE)</f>
        <v>1271</v>
      </c>
      <c r="AQ8" s="26">
        <f>Budget!L9</f>
        <v>131815.16666666666</v>
      </c>
      <c r="AR8" s="26">
        <f t="shared" si="11"/>
        <v>-130544.16666666666</v>
      </c>
      <c r="AS8" s="26"/>
      <c r="AT8" s="26">
        <f>VLOOKUP($B:$B,'P&amp;L by Month'!$A:$N,11,FALSE)</f>
        <v>0</v>
      </c>
      <c r="AU8" s="26">
        <f>Budget!M9</f>
        <v>131815.16666666666</v>
      </c>
      <c r="AV8" s="26">
        <f t="shared" si="12"/>
        <v>-131815.16666666666</v>
      </c>
      <c r="AW8" s="26"/>
      <c r="AX8" s="26">
        <f>VLOOKUP($B:$B,'P&amp;L by Month'!$A:$N,12,FALSE)</f>
        <v>0</v>
      </c>
      <c r="AY8" s="26">
        <f>Budget!N9</f>
        <v>131815.16666666666</v>
      </c>
      <c r="AZ8" s="26">
        <f t="shared" si="13"/>
        <v>-131815.16666666666</v>
      </c>
      <c r="BA8" s="26"/>
      <c r="BB8" s="26">
        <f>VLOOKUP($B:$B,'P&amp;L by Month'!$A:$N,13,FALSE)</f>
        <v>0</v>
      </c>
      <c r="BC8" s="26">
        <f>Budget!O9</f>
        <v>131815.16666666666</v>
      </c>
      <c r="BD8" s="26">
        <f t="shared" si="14"/>
        <v>-131815.16666666666</v>
      </c>
      <c r="BE8" s="6"/>
      <c r="BF8" s="6"/>
    </row>
    <row r="9" spans="1:59" ht="14.4" x14ac:dyDescent="0.3">
      <c r="A9" s="4" t="s">
        <v>12</v>
      </c>
      <c r="B9" s="29" t="s">
        <v>62</v>
      </c>
      <c r="F9" s="7">
        <f t="shared" si="0"/>
        <v>43627.92</v>
      </c>
      <c r="G9" s="7" t="e">
        <f t="shared" si="1"/>
        <v>#REF!</v>
      </c>
      <c r="H9" s="7" t="e">
        <f t="shared" si="2"/>
        <v>#REF!</v>
      </c>
      <c r="J9" s="26">
        <f>VLOOKUP($B:$B,'P&amp;L by Month'!$A:$N,2,FALSE)</f>
        <v>821</v>
      </c>
      <c r="K9" s="26">
        <f>Budget!D7</f>
        <v>0</v>
      </c>
      <c r="L9" s="26">
        <f t="shared" si="3"/>
        <v>821</v>
      </c>
      <c r="M9" s="26"/>
      <c r="N9" s="26">
        <f>VLOOKUP($B:$B,'P&amp;L by Month'!$A:$N,3,FALSE)</f>
        <v>7046</v>
      </c>
      <c r="O9" s="26">
        <f>Budget!E7</f>
        <v>0</v>
      </c>
      <c r="P9" s="26">
        <f t="shared" si="4"/>
        <v>7046</v>
      </c>
      <c r="Q9" s="26"/>
      <c r="R9" s="26">
        <f>VLOOKUP($B:$B,'P&amp;L by Month'!$A:$N,4,FALSE)</f>
        <v>5500</v>
      </c>
      <c r="S9" s="26">
        <f>Budget!G7</f>
        <v>0</v>
      </c>
      <c r="T9" s="26">
        <f t="shared" si="5"/>
        <v>5500</v>
      </c>
      <c r="U9" s="26"/>
      <c r="V9" s="26">
        <f>VLOOKUP($B:$B,'P&amp;L by Month'!$A:$N,5,FALSE)</f>
        <v>0</v>
      </c>
      <c r="W9" s="26" t="e">
        <f>Budget!#REF!</f>
        <v>#REF!</v>
      </c>
      <c r="X9" s="26" t="e">
        <f t="shared" si="6"/>
        <v>#REF!</v>
      </c>
      <c r="Y9" s="26"/>
      <c r="Z9" s="26">
        <f>VLOOKUP($B:$B,'P&amp;L by Month'!$A:$N,6,FALSE)</f>
        <v>0</v>
      </c>
      <c r="AA9" s="26">
        <f>Budget!I7</f>
        <v>20000</v>
      </c>
      <c r="AB9" s="26">
        <f t="shared" si="7"/>
        <v>-20000</v>
      </c>
      <c r="AC9" s="26"/>
      <c r="AD9" s="26">
        <f>VLOOKUP($B:$B,'P&amp;L by Month'!$A:$N,7,FALSE)</f>
        <v>11021.92</v>
      </c>
      <c r="AE9" s="26" t="e">
        <f>Budget!#REF!</f>
        <v>#REF!</v>
      </c>
      <c r="AF9" s="26" t="e">
        <f t="shared" si="8"/>
        <v>#REF!</v>
      </c>
      <c r="AG9" s="26"/>
      <c r="AH9" s="26">
        <f>VLOOKUP($B:$B,'P&amp;L by Month'!$A:$N,8,FALSE)</f>
        <v>11741</v>
      </c>
      <c r="AI9" s="26">
        <f>Budget!J7</f>
        <v>0</v>
      </c>
      <c r="AJ9" s="26">
        <f t="shared" si="9"/>
        <v>11741</v>
      </c>
      <c r="AK9" s="26"/>
      <c r="AL9" s="26">
        <f>VLOOKUP($B:$B,'P&amp;L by Month'!$A:$N,9,FALSE)</f>
        <v>1576</v>
      </c>
      <c r="AM9" s="26">
        <f>Budget!K7</f>
        <v>5000</v>
      </c>
      <c r="AN9" s="26">
        <f t="shared" si="10"/>
        <v>-3424</v>
      </c>
      <c r="AO9" s="26"/>
      <c r="AP9" s="26">
        <f>VLOOKUP($B:$B,'P&amp;L by Month'!$A:$N,10,FALSE)</f>
        <v>5526</v>
      </c>
      <c r="AQ9" s="26">
        <f>Budget!L7</f>
        <v>0</v>
      </c>
      <c r="AR9" s="26">
        <f t="shared" si="11"/>
        <v>5526</v>
      </c>
      <c r="AS9" s="26"/>
      <c r="AT9" s="26">
        <f>VLOOKUP($B:$B,'P&amp;L by Month'!$A:$N,11,FALSE)</f>
        <v>396</v>
      </c>
      <c r="AU9" s="26">
        <f>Budget!M7</f>
        <v>5000</v>
      </c>
      <c r="AV9" s="26">
        <f t="shared" si="12"/>
        <v>-4604</v>
      </c>
      <c r="AW9" s="26"/>
      <c r="AX9" s="26">
        <f>VLOOKUP($B:$B,'P&amp;L by Month'!$A:$N,12,FALSE)</f>
        <v>0</v>
      </c>
      <c r="AY9" s="26">
        <f>Budget!N7</f>
        <v>17500</v>
      </c>
      <c r="AZ9" s="26">
        <f t="shared" si="13"/>
        <v>-17500</v>
      </c>
      <c r="BA9" s="26"/>
      <c r="BB9" s="26">
        <f>VLOOKUP($B:$B,'P&amp;L by Month'!$A:$N,13,FALSE)</f>
        <v>0</v>
      </c>
      <c r="BC9" s="26">
        <f>Budget!O7</f>
        <v>27500</v>
      </c>
      <c r="BD9" s="26">
        <f t="shared" si="14"/>
        <v>-27500</v>
      </c>
      <c r="BE9" s="6"/>
      <c r="BF9" s="6"/>
    </row>
    <row r="10" spans="1:59" ht="14.4" x14ac:dyDescent="0.3">
      <c r="A10" s="4" t="s">
        <v>14</v>
      </c>
      <c r="B10" s="29" t="s">
        <v>69</v>
      </c>
      <c r="F10" s="7">
        <f t="shared" si="0"/>
        <v>6593</v>
      </c>
      <c r="G10" s="7">
        <f t="shared" si="1"/>
        <v>290470.31999999995</v>
      </c>
      <c r="H10" s="7">
        <f t="shared" si="2"/>
        <v>-283877.31999999995</v>
      </c>
      <c r="J10" s="26">
        <f>VLOOKUP($B:$B,'P&amp;L by Month'!$A:$N,2,FALSE)</f>
        <v>1504</v>
      </c>
      <c r="K10" s="26">
        <f>Budget!D10</f>
        <v>24205.86</v>
      </c>
      <c r="L10" s="26">
        <f t="shared" si="3"/>
        <v>-22701.86</v>
      </c>
      <c r="M10" s="26"/>
      <c r="N10" s="26">
        <f>VLOOKUP($B:$B,'P&amp;L by Month'!$A:$N,3,FALSE)</f>
        <v>2608</v>
      </c>
      <c r="O10" s="26">
        <f>Budget!E10</f>
        <v>24205.86</v>
      </c>
      <c r="P10" s="26">
        <f t="shared" si="4"/>
        <v>-21597.86</v>
      </c>
      <c r="Q10" s="26"/>
      <c r="R10" s="26">
        <f>VLOOKUP($B:$B,'P&amp;L by Month'!$A:$N,4,FALSE)</f>
        <v>870</v>
      </c>
      <c r="S10" s="26">
        <f>Budget!F10</f>
        <v>24205.86</v>
      </c>
      <c r="T10" s="26">
        <f t="shared" si="5"/>
        <v>-23335.86</v>
      </c>
      <c r="U10" s="26"/>
      <c r="V10" s="26">
        <f>VLOOKUP($B:$B,'P&amp;L by Month'!$A:$N,5,FALSE)</f>
        <v>0</v>
      </c>
      <c r="W10" s="26">
        <f>Budget!G10</f>
        <v>24205.86</v>
      </c>
      <c r="X10" s="26">
        <f t="shared" si="6"/>
        <v>-24205.86</v>
      </c>
      <c r="Y10" s="26"/>
      <c r="Z10" s="26">
        <f>VLOOKUP($B:$B,'P&amp;L by Month'!$A:$N,6,FALSE)</f>
        <v>275</v>
      </c>
      <c r="AA10" s="26">
        <f>Budget!H10</f>
        <v>24205.86</v>
      </c>
      <c r="AB10" s="26">
        <f t="shared" si="7"/>
        <v>-23930.86</v>
      </c>
      <c r="AC10" s="26"/>
      <c r="AD10" s="26">
        <f>VLOOKUP($B:$B,'P&amp;L by Month'!$A:$N,7,FALSE)</f>
        <v>100</v>
      </c>
      <c r="AE10" s="26">
        <f>Budget!I10</f>
        <v>24205.86</v>
      </c>
      <c r="AF10" s="26">
        <f t="shared" si="8"/>
        <v>-24105.86</v>
      </c>
      <c r="AG10" s="26"/>
      <c r="AH10" s="26">
        <f>VLOOKUP($B:$B,'P&amp;L by Month'!$A:$N,8,FALSE)</f>
        <v>903</v>
      </c>
      <c r="AI10" s="26">
        <f>Budget!J10</f>
        <v>24205.86</v>
      </c>
      <c r="AJ10" s="26">
        <f t="shared" si="9"/>
        <v>-23302.86</v>
      </c>
      <c r="AK10" s="26"/>
      <c r="AL10" s="26">
        <f>VLOOKUP($B:$B,'P&amp;L by Month'!$A:$N,9,FALSE)</f>
        <v>333</v>
      </c>
      <c r="AM10" s="26">
        <f>Budget!K10</f>
        <v>24205.86</v>
      </c>
      <c r="AN10" s="26">
        <f t="shared" si="10"/>
        <v>-23872.86</v>
      </c>
      <c r="AO10" s="26"/>
      <c r="AP10" s="26">
        <f>VLOOKUP($B:$B,'P&amp;L by Month'!$A:$N,10,FALSE)</f>
        <v>0</v>
      </c>
      <c r="AQ10" s="26">
        <f>Budget!L10</f>
        <v>24205.86</v>
      </c>
      <c r="AR10" s="26">
        <f t="shared" si="11"/>
        <v>-24205.86</v>
      </c>
      <c r="AS10" s="26"/>
      <c r="AT10" s="26">
        <f>VLOOKUP($B:$B,'P&amp;L by Month'!$A:$N,11,FALSE)</f>
        <v>0</v>
      </c>
      <c r="AU10" s="26">
        <f>Budget!M10</f>
        <v>24205.86</v>
      </c>
      <c r="AV10" s="26">
        <f t="shared" si="12"/>
        <v>-24205.86</v>
      </c>
      <c r="AW10" s="26"/>
      <c r="AX10" s="26">
        <f>VLOOKUP($B:$B,'P&amp;L by Month'!$A:$N,12,FALSE)</f>
        <v>0</v>
      </c>
      <c r="AY10" s="26">
        <f>Budget!N10</f>
        <v>24205.86</v>
      </c>
      <c r="AZ10" s="26">
        <f t="shared" si="13"/>
        <v>-24205.86</v>
      </c>
      <c r="BA10" s="26"/>
      <c r="BB10" s="26">
        <f>VLOOKUP($B:$B,'P&amp;L by Month'!$A:$N,13,FALSE)</f>
        <v>0</v>
      </c>
      <c r="BC10" s="26">
        <f>Budget!O10</f>
        <v>24205.86</v>
      </c>
      <c r="BD10" s="26">
        <f t="shared" si="14"/>
        <v>-24205.86</v>
      </c>
      <c r="BE10" s="6"/>
      <c r="BF10" s="6"/>
    </row>
    <row r="11" spans="1:59" ht="14.4" x14ac:dyDescent="0.3">
      <c r="A11" s="4" t="s">
        <v>165</v>
      </c>
      <c r="B11" s="36" t="s">
        <v>73</v>
      </c>
      <c r="F11" s="7">
        <f t="shared" ref="F11" si="15">J11+N11+R11+V11+Z11+AD11+AH11+AL11+AP11+AT11+AX11+BB11</f>
        <v>227.29000000000002</v>
      </c>
      <c r="G11" s="7">
        <f t="shared" ref="G11" si="16">K11+O11+S11+W11+AA11+AE11+AI11+AM11+AQ11+AU11+AY11+BC11</f>
        <v>0</v>
      </c>
      <c r="H11" s="7">
        <f t="shared" ref="H11" si="17">F11-G11</f>
        <v>227.29000000000002</v>
      </c>
      <c r="J11" s="26">
        <f>VLOOKUP($B:$B,'P&amp;L by Month'!$A:$N,2,FALSE)</f>
        <v>25.61</v>
      </c>
      <c r="K11" s="6">
        <v>0</v>
      </c>
      <c r="L11" s="26">
        <f t="shared" ref="L11" si="18">J11-K11</f>
        <v>25.61</v>
      </c>
      <c r="M11" s="26"/>
      <c r="N11" s="26">
        <f>VLOOKUP($B:$B,'P&amp;L by Month'!$A:$N,3,FALSE)</f>
        <v>25.62</v>
      </c>
      <c r="O11" s="26">
        <v>0</v>
      </c>
      <c r="P11" s="26">
        <f t="shared" si="4"/>
        <v>25.62</v>
      </c>
      <c r="Q11" s="26"/>
      <c r="R11" s="26">
        <f>VLOOKUP($B:$B,'P&amp;L by Month'!$A:$N,4,FALSE)</f>
        <v>24.78</v>
      </c>
      <c r="S11" s="6">
        <v>0</v>
      </c>
      <c r="T11" s="26">
        <f t="shared" si="5"/>
        <v>24.78</v>
      </c>
      <c r="U11" s="26"/>
      <c r="V11" s="26">
        <f>VLOOKUP($B:$B,'P&amp;L by Month'!$A:$N,5,FALSE)</f>
        <v>25.62</v>
      </c>
      <c r="W11" s="26">
        <v>0</v>
      </c>
      <c r="X11" s="26">
        <f t="shared" si="6"/>
        <v>25.62</v>
      </c>
      <c r="Y11" s="26"/>
      <c r="Z11" s="26">
        <f>VLOOKUP($B:$B,'P&amp;L by Month'!$A:$N,6,FALSE)</f>
        <v>24.79</v>
      </c>
      <c r="AA11" s="26">
        <v>0</v>
      </c>
      <c r="AB11" s="26">
        <f t="shared" ref="AB11" si="19">Z11-AA11</f>
        <v>24.79</v>
      </c>
      <c r="AC11" s="26"/>
      <c r="AD11" s="26">
        <f>VLOOKUP($B:$B,'P&amp;L by Month'!$A:$N,7,FALSE)</f>
        <v>25.63</v>
      </c>
      <c r="AE11" s="26">
        <v>0</v>
      </c>
      <c r="AF11" s="26">
        <f t="shared" ref="AF11" si="20">AD11-AE11</f>
        <v>25.63</v>
      </c>
      <c r="AG11" s="26"/>
      <c r="AH11" s="26">
        <f>VLOOKUP($B:$B,'P&amp;L by Month'!$A:$N,8,FALSE)</f>
        <v>25.62</v>
      </c>
      <c r="AI11" s="26">
        <v>0</v>
      </c>
      <c r="AJ11" s="26">
        <f t="shared" ref="AJ11" si="21">AH11-AI11</f>
        <v>25.62</v>
      </c>
      <c r="AK11" s="26"/>
      <c r="AL11" s="26">
        <f>VLOOKUP($B:$B,'P&amp;L by Month'!$A:$N,9,FALSE)</f>
        <v>23.98</v>
      </c>
      <c r="AM11" s="26">
        <v>0</v>
      </c>
      <c r="AN11" s="26">
        <f t="shared" ref="AN11" si="22">AL11-AM11</f>
        <v>23.98</v>
      </c>
      <c r="AO11" s="26"/>
      <c r="AP11" s="26">
        <f>VLOOKUP($B:$B,'P&amp;L by Month'!$A:$N,10,FALSE)</f>
        <v>25.64</v>
      </c>
      <c r="AQ11" s="26">
        <v>0</v>
      </c>
      <c r="AR11" s="26">
        <f t="shared" ref="AR11" si="23">AP11-AQ11</f>
        <v>25.64</v>
      </c>
      <c r="AS11" s="26"/>
      <c r="AT11" s="26">
        <f>VLOOKUP($B:$B,'P&amp;L by Month'!$A:$N,11,FALSE)</f>
        <v>0</v>
      </c>
      <c r="AU11" s="26">
        <v>0</v>
      </c>
      <c r="AV11" s="26">
        <f t="shared" ref="AV11" si="24">AT11-AU11</f>
        <v>0</v>
      </c>
      <c r="AW11" s="26"/>
      <c r="AX11" s="26">
        <f>VLOOKUP($B:$B,'P&amp;L by Month'!$A:$N,12,FALSE)</f>
        <v>0</v>
      </c>
      <c r="AY11" s="26">
        <v>0</v>
      </c>
      <c r="AZ11" s="26">
        <f t="shared" ref="AZ11" si="25">AX11-AY11</f>
        <v>0</v>
      </c>
      <c r="BA11" s="26"/>
      <c r="BB11" s="26">
        <f>VLOOKUP($B:$B,'P&amp;L by Month'!$A:$N,13,FALSE)</f>
        <v>0</v>
      </c>
      <c r="BC11" s="26">
        <v>0</v>
      </c>
      <c r="BD11" s="26">
        <f t="shared" ref="BD11" si="26">BB11-BC11</f>
        <v>0</v>
      </c>
      <c r="BE11" s="6"/>
      <c r="BF11" s="6"/>
    </row>
    <row r="12" spans="1:59" s="1" customFormat="1" x14ac:dyDescent="0.25">
      <c r="A12" s="1" t="s">
        <v>1</v>
      </c>
      <c r="F12" s="10">
        <f>SUM(F6:F11)</f>
        <v>346564.39999999997</v>
      </c>
      <c r="G12" s="10" t="e">
        <f t="shared" ref="G12:H12" si="27">SUM(G6:G11)</f>
        <v>#REF!</v>
      </c>
      <c r="H12" s="10" t="e">
        <f t="shared" si="27"/>
        <v>#REF!</v>
      </c>
      <c r="J12" s="22">
        <f>SUM(J6:J11)</f>
        <v>115736.43000000001</v>
      </c>
      <c r="K12" s="22">
        <f t="shared" ref="K12:BD12" si="28">SUM(K6:K11)</f>
        <v>173021.02666666667</v>
      </c>
      <c r="L12" s="22">
        <f t="shared" si="28"/>
        <v>-57284.596666666657</v>
      </c>
      <c r="M12" s="9">
        <f t="shared" si="28"/>
        <v>0</v>
      </c>
      <c r="N12" s="22">
        <f t="shared" si="28"/>
        <v>14804.210000000001</v>
      </c>
      <c r="O12" s="22">
        <f t="shared" si="28"/>
        <v>276521.02666666667</v>
      </c>
      <c r="P12" s="22">
        <f t="shared" si="28"/>
        <v>-261716.81666666665</v>
      </c>
      <c r="Q12" s="9">
        <f t="shared" si="28"/>
        <v>0</v>
      </c>
      <c r="R12" s="22">
        <f t="shared" si="28"/>
        <v>21980.17</v>
      </c>
      <c r="S12" s="22">
        <f t="shared" si="28"/>
        <v>204771.02666666667</v>
      </c>
      <c r="T12" s="22">
        <f t="shared" si="28"/>
        <v>-182790.85666666666</v>
      </c>
      <c r="U12" s="9">
        <f t="shared" si="28"/>
        <v>0</v>
      </c>
      <c r="V12" s="22">
        <f t="shared" si="28"/>
        <v>7910.6900000000005</v>
      </c>
      <c r="W12" s="22" t="e">
        <f t="shared" si="28"/>
        <v>#REF!</v>
      </c>
      <c r="X12" s="22" t="e">
        <f t="shared" si="28"/>
        <v>#REF!</v>
      </c>
      <c r="Y12" s="9">
        <f t="shared" si="28"/>
        <v>0</v>
      </c>
      <c r="Z12" s="22">
        <f t="shared" si="28"/>
        <v>24439.480000000003</v>
      </c>
      <c r="AA12" s="22">
        <f t="shared" si="28"/>
        <v>224771.02666666667</v>
      </c>
      <c r="AB12" s="22">
        <f t="shared" si="28"/>
        <v>-200331.54666666666</v>
      </c>
      <c r="AC12" s="9">
        <f t="shared" si="28"/>
        <v>0</v>
      </c>
      <c r="AD12" s="22">
        <f t="shared" si="28"/>
        <v>46064.57</v>
      </c>
      <c r="AE12" s="22" t="e">
        <f t="shared" si="28"/>
        <v>#REF!</v>
      </c>
      <c r="AF12" s="22" t="e">
        <f t="shared" si="28"/>
        <v>#REF!</v>
      </c>
      <c r="AG12" s="9">
        <f t="shared" si="28"/>
        <v>0</v>
      </c>
      <c r="AH12" s="22">
        <f t="shared" si="28"/>
        <v>85562.12</v>
      </c>
      <c r="AI12" s="22">
        <f t="shared" si="28"/>
        <v>194771.02666666667</v>
      </c>
      <c r="AJ12" s="22">
        <f t="shared" si="28"/>
        <v>-109208.90666666666</v>
      </c>
      <c r="AK12" s="9">
        <f t="shared" si="28"/>
        <v>0</v>
      </c>
      <c r="AL12" s="22">
        <f t="shared" si="28"/>
        <v>16756.669999999998</v>
      </c>
      <c r="AM12" s="22">
        <f t="shared" si="28"/>
        <v>184771.02666666667</v>
      </c>
      <c r="AN12" s="22">
        <f t="shared" si="28"/>
        <v>-168014.35666666666</v>
      </c>
      <c r="AO12" s="9">
        <f t="shared" si="28"/>
        <v>0</v>
      </c>
      <c r="AP12" s="22">
        <f t="shared" si="28"/>
        <v>12239.06</v>
      </c>
      <c r="AQ12" s="22">
        <f t="shared" si="28"/>
        <v>179771.02666666667</v>
      </c>
      <c r="AR12" s="22">
        <f t="shared" si="28"/>
        <v>-167531.96666666662</v>
      </c>
      <c r="AS12" s="9">
        <f t="shared" si="28"/>
        <v>0</v>
      </c>
      <c r="AT12" s="22">
        <f t="shared" si="28"/>
        <v>1071</v>
      </c>
      <c r="AU12" s="22">
        <f t="shared" si="28"/>
        <v>224771.02666666667</v>
      </c>
      <c r="AV12" s="22">
        <f t="shared" si="28"/>
        <v>-223700.02666666667</v>
      </c>
      <c r="AW12" s="9">
        <f t="shared" si="28"/>
        <v>0</v>
      </c>
      <c r="AX12" s="22">
        <f t="shared" si="28"/>
        <v>0</v>
      </c>
      <c r="AY12" s="22">
        <f t="shared" si="28"/>
        <v>242271.02666666667</v>
      </c>
      <c r="AZ12" s="22">
        <f t="shared" si="28"/>
        <v>-242271.02666666667</v>
      </c>
      <c r="BA12" s="9">
        <f t="shared" si="28"/>
        <v>0</v>
      </c>
      <c r="BB12" s="22">
        <f t="shared" si="28"/>
        <v>0</v>
      </c>
      <c r="BC12" s="22">
        <f t="shared" si="28"/>
        <v>257271.02666666667</v>
      </c>
      <c r="BD12" s="22">
        <f t="shared" si="28"/>
        <v>-257271.02666666667</v>
      </c>
      <c r="BE12" s="9"/>
      <c r="BF12" s="9"/>
      <c r="BG12" s="18"/>
    </row>
    <row r="13" spans="1:59" x14ac:dyDescent="0.25">
      <c r="F13" s="11"/>
      <c r="G13" s="11"/>
      <c r="H13" s="1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</row>
    <row r="14" spans="1:59" x14ac:dyDescent="0.25">
      <c r="A14" s="12" t="s">
        <v>19</v>
      </c>
      <c r="B14" s="13"/>
      <c r="C14" s="13"/>
      <c r="D14" s="13"/>
      <c r="E14" s="13"/>
      <c r="F14" s="11"/>
      <c r="G14" s="11"/>
      <c r="H14" s="11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</row>
    <row r="15" spans="1:59" ht="14.4" x14ac:dyDescent="0.3">
      <c r="A15" s="4" t="s">
        <v>22</v>
      </c>
      <c r="B15" s="36" t="s">
        <v>78</v>
      </c>
      <c r="F15" s="7">
        <f t="shared" ref="F15:F17" si="29">J15+N15+R15+V15+Z15+AD15+AH15+AL15+AP15+AT15+AX15+BB15</f>
        <v>271856.02</v>
      </c>
      <c r="G15" s="7">
        <f t="shared" ref="G15:G17" si="30">K15+O15+S15+W15+AA15+AE15+AI15+AM15+AQ15+AU15+AY15+BC15</f>
        <v>1469163.2999999998</v>
      </c>
      <c r="H15" s="7">
        <f t="shared" ref="H15:H17" si="31">F15-G15</f>
        <v>-1197307.2799999998</v>
      </c>
      <c r="J15" s="26">
        <f>VLOOKUP($B:$B,'P&amp;L by Month'!$A:$N,2,FALSE)</f>
        <v>21810</v>
      </c>
      <c r="K15" s="26">
        <f>Budget!D16</f>
        <v>117197.16666666663</v>
      </c>
      <c r="L15" s="26">
        <f t="shared" ref="L15:L17" si="32">J15-K15</f>
        <v>-95387.166666666628</v>
      </c>
      <c r="M15" s="26"/>
      <c r="N15" s="26">
        <f>VLOOKUP($B:$B,'P&amp;L by Month'!$A:$N,3,FALSE)</f>
        <v>26635.83</v>
      </c>
      <c r="O15" s="26">
        <f>Budget!E16</f>
        <v>117197.16666666663</v>
      </c>
      <c r="P15" s="26">
        <f t="shared" ref="P15:P17" si="33">N15-O15</f>
        <v>-90561.336666666626</v>
      </c>
      <c r="Q15" s="26"/>
      <c r="R15" s="26">
        <f>VLOOKUP($B:$B,'P&amp;L by Month'!$A:$N,4,FALSE)</f>
        <v>34966.660000000003</v>
      </c>
      <c r="S15" s="26">
        <f>Budget!F16</f>
        <v>123476.89666666665</v>
      </c>
      <c r="T15" s="26">
        <f t="shared" ref="T15:T17" si="34">R15-S15</f>
        <v>-88510.236666666649</v>
      </c>
      <c r="U15" s="26"/>
      <c r="V15" s="26">
        <f>VLOOKUP($B:$B,'P&amp;L by Month'!$A:$N,5,FALSE)</f>
        <v>11883.1</v>
      </c>
      <c r="W15" s="26">
        <f>Budget!G16</f>
        <v>123476.89666666665</v>
      </c>
      <c r="X15" s="26">
        <f t="shared" ref="X15:X17" si="35">V15-W15</f>
        <v>-111593.79666666665</v>
      </c>
      <c r="Y15" s="26"/>
      <c r="Z15" s="26">
        <f>VLOOKUP($B:$B,'P&amp;L by Month'!$A:$N,6,FALSE)</f>
        <v>27962.91</v>
      </c>
      <c r="AA15" s="26">
        <f>Budget!H16</f>
        <v>123476.89666666665</v>
      </c>
      <c r="AB15" s="26">
        <f t="shared" ref="AB15:AB17" si="36">Z15-AA15</f>
        <v>-95513.986666666649</v>
      </c>
      <c r="AC15" s="26"/>
      <c r="AD15" s="26">
        <f>VLOOKUP($B:$B,'P&amp;L by Month'!$A:$N,7,FALSE)</f>
        <v>57240</v>
      </c>
      <c r="AE15" s="26">
        <f>Budget!I16</f>
        <v>123476.89666666665</v>
      </c>
      <c r="AF15" s="26">
        <f t="shared" ref="AF15:AF17" si="37">AD15-AE15</f>
        <v>-66236.896666666653</v>
      </c>
      <c r="AG15" s="26"/>
      <c r="AH15" s="26">
        <f>VLOOKUP($B:$B,'P&amp;L by Month'!$A:$N,8,FALSE)</f>
        <v>27507.52</v>
      </c>
      <c r="AI15" s="26">
        <f>Budget!J16</f>
        <v>123476.89666666665</v>
      </c>
      <c r="AJ15" s="26">
        <f t="shared" ref="AJ15:AJ17" si="38">AH15-AI15</f>
        <v>-95969.376666666649</v>
      </c>
      <c r="AK15" s="26"/>
      <c r="AL15" s="26">
        <f>VLOOKUP($B:$B,'P&amp;L by Month'!$A:$N,9,FALSE)</f>
        <v>32000</v>
      </c>
      <c r="AM15" s="26">
        <f>Budget!K16</f>
        <v>123476.89666666665</v>
      </c>
      <c r="AN15" s="26">
        <f t="shared" ref="AN15:AN17" si="39">AL15-AM15</f>
        <v>-91476.896666666653</v>
      </c>
      <c r="AO15" s="26"/>
      <c r="AP15" s="26">
        <f>VLOOKUP($B:$B,'P&amp;L by Month'!$A:$N,10,FALSE)</f>
        <v>31850</v>
      </c>
      <c r="AQ15" s="26">
        <f>Budget!L16</f>
        <v>123476.89666666665</v>
      </c>
      <c r="AR15" s="26">
        <f t="shared" ref="AR15:AR17" si="40">AP15-AQ15</f>
        <v>-91626.896666666653</v>
      </c>
      <c r="AS15" s="26"/>
      <c r="AT15" s="26">
        <f>VLOOKUP($B:$B,'P&amp;L by Month'!$A:$N,11,FALSE)</f>
        <v>0</v>
      </c>
      <c r="AU15" s="26">
        <f>Budget!M16</f>
        <v>123476.89666666665</v>
      </c>
      <c r="AV15" s="26">
        <f t="shared" ref="AV15:AV17" si="41">AT15-AU15</f>
        <v>-123476.89666666665</v>
      </c>
      <c r="AW15" s="26"/>
      <c r="AX15" s="26">
        <f>VLOOKUP($B:$B,'P&amp;L by Month'!$A:$N,12,FALSE)</f>
        <v>0</v>
      </c>
      <c r="AY15" s="26">
        <f>Budget!N16</f>
        <v>123476.89666666665</v>
      </c>
      <c r="AZ15" s="26">
        <f t="shared" ref="AZ15:AZ17" si="42">AX15-AY15</f>
        <v>-123476.89666666665</v>
      </c>
      <c r="BA15" s="26"/>
      <c r="BB15" s="26">
        <f>VLOOKUP($B:$B,'P&amp;L by Month'!$A:$N,13,FALSE)</f>
        <v>0</v>
      </c>
      <c r="BC15" s="26">
        <f>Budget!O16</f>
        <v>123476.89666666665</v>
      </c>
      <c r="BD15" s="26">
        <f t="shared" ref="BD15:BD17" si="43">BB15-BC15</f>
        <v>-123476.89666666665</v>
      </c>
      <c r="BE15" s="6"/>
      <c r="BF15" s="6"/>
    </row>
    <row r="16" spans="1:59" ht="14.4" x14ac:dyDescent="0.3">
      <c r="A16" s="4" t="s">
        <v>7</v>
      </c>
      <c r="B16" s="36" t="s">
        <v>79</v>
      </c>
      <c r="F16" s="7">
        <f t="shared" si="29"/>
        <v>24720.669999999995</v>
      </c>
      <c r="G16" s="7">
        <f t="shared" si="30"/>
        <v>115536.86399999996</v>
      </c>
      <c r="H16" s="7">
        <f t="shared" si="31"/>
        <v>-90816.193999999959</v>
      </c>
      <c r="J16" s="26">
        <f>VLOOKUP($B:$B,'P&amp;L by Month'!$A:$N,2,FALSE)</f>
        <v>3403.72</v>
      </c>
      <c r="K16" s="26">
        <f>Budget!D17</f>
        <v>9242.1066666666666</v>
      </c>
      <c r="L16" s="26">
        <f t="shared" si="32"/>
        <v>-5838.3866666666672</v>
      </c>
      <c r="M16" s="26"/>
      <c r="N16" s="26">
        <f>VLOOKUP($B:$B,'P&amp;L by Month'!$A:$N,3,FALSE)</f>
        <v>3021.89</v>
      </c>
      <c r="O16" s="26">
        <f>Budget!E17</f>
        <v>9242.1066666666666</v>
      </c>
      <c r="P16" s="26">
        <f t="shared" si="33"/>
        <v>-6220.2166666666672</v>
      </c>
      <c r="Q16" s="26"/>
      <c r="R16" s="26">
        <f>VLOOKUP($B:$B,'P&amp;L by Month'!$A:$N,4,FALSE)</f>
        <v>2962.75</v>
      </c>
      <c r="S16" s="26">
        <f>Budget!F17</f>
        <v>9705.265066666665</v>
      </c>
      <c r="T16" s="26">
        <f t="shared" si="34"/>
        <v>-6742.515066666665</v>
      </c>
      <c r="U16" s="26"/>
      <c r="V16" s="26">
        <f>VLOOKUP($B:$B,'P&amp;L by Month'!$A:$N,5,FALSE)</f>
        <v>3004.99</v>
      </c>
      <c r="W16" s="26">
        <f>Budget!G17</f>
        <v>9705.265066666665</v>
      </c>
      <c r="X16" s="26">
        <f t="shared" si="35"/>
        <v>-6700.2750666666652</v>
      </c>
      <c r="Y16" s="26"/>
      <c r="Z16" s="26">
        <f>VLOOKUP($B:$B,'P&amp;L by Month'!$A:$N,6,FALSE)</f>
        <v>3118.65</v>
      </c>
      <c r="AA16" s="26">
        <f>Budget!H17</f>
        <v>9705.265066666665</v>
      </c>
      <c r="AB16" s="26">
        <f t="shared" si="36"/>
        <v>-6586.6150666666654</v>
      </c>
      <c r="AC16" s="26"/>
      <c r="AD16" s="26">
        <f>VLOOKUP($B:$B,'P&amp;L by Month'!$A:$N,7,FALSE)</f>
        <v>2313.4899999999998</v>
      </c>
      <c r="AE16" s="26">
        <f>Budget!I17</f>
        <v>9705.265066666665</v>
      </c>
      <c r="AF16" s="26">
        <f t="shared" si="37"/>
        <v>-7391.7750666666652</v>
      </c>
      <c r="AG16" s="26"/>
      <c r="AH16" s="26">
        <f>VLOOKUP($B:$B,'P&amp;L by Month'!$A:$N,8,FALSE)</f>
        <v>2009.78</v>
      </c>
      <c r="AI16" s="26">
        <f>Budget!J17</f>
        <v>9705.265066666665</v>
      </c>
      <c r="AJ16" s="26">
        <f t="shared" si="38"/>
        <v>-7695.4850666666653</v>
      </c>
      <c r="AK16" s="26"/>
      <c r="AL16" s="26">
        <f>VLOOKUP($B:$B,'P&amp;L by Month'!$A:$N,9,FALSE)</f>
        <v>2448.67</v>
      </c>
      <c r="AM16" s="26">
        <f>Budget!K17</f>
        <v>9705.265066666665</v>
      </c>
      <c r="AN16" s="26">
        <f t="shared" si="39"/>
        <v>-7256.5950666666649</v>
      </c>
      <c r="AO16" s="26"/>
      <c r="AP16" s="26">
        <f>VLOOKUP($B:$B,'P&amp;L by Month'!$A:$N,10,FALSE)</f>
        <v>2436.73</v>
      </c>
      <c r="AQ16" s="26">
        <f>Budget!L17</f>
        <v>9705.265066666665</v>
      </c>
      <c r="AR16" s="26">
        <f t="shared" si="40"/>
        <v>-7268.5350666666654</v>
      </c>
      <c r="AS16" s="26"/>
      <c r="AT16" s="26">
        <f>VLOOKUP($B:$B,'P&amp;L by Month'!$A:$N,11,FALSE)</f>
        <v>0</v>
      </c>
      <c r="AU16" s="26">
        <f>Budget!M17</f>
        <v>9705.265066666665</v>
      </c>
      <c r="AV16" s="26">
        <f t="shared" si="41"/>
        <v>-9705.265066666665</v>
      </c>
      <c r="AW16" s="26"/>
      <c r="AX16" s="26">
        <f>VLOOKUP($B:$B,'P&amp;L by Month'!$A:$N,12,FALSE)</f>
        <v>0</v>
      </c>
      <c r="AY16" s="26">
        <f>Budget!N17</f>
        <v>9705.265066666665</v>
      </c>
      <c r="AZ16" s="26">
        <f t="shared" si="42"/>
        <v>-9705.265066666665</v>
      </c>
      <c r="BA16" s="26"/>
      <c r="BB16" s="26">
        <f>VLOOKUP($B:$B,'P&amp;L by Month'!$A:$N,13,FALSE)</f>
        <v>0</v>
      </c>
      <c r="BC16" s="26">
        <f>Budget!O17</f>
        <v>9705.265066666665</v>
      </c>
      <c r="BD16" s="26">
        <f t="shared" si="43"/>
        <v>-9705.265066666665</v>
      </c>
      <c r="BE16" s="6"/>
      <c r="BF16" s="6"/>
    </row>
    <row r="17" spans="1:59" ht="14.4" x14ac:dyDescent="0.3">
      <c r="A17" s="4" t="s">
        <v>2</v>
      </c>
      <c r="B17" s="36" t="s">
        <v>82</v>
      </c>
      <c r="F17" s="7">
        <f t="shared" si="29"/>
        <v>24198.649999999998</v>
      </c>
      <c r="G17" s="7">
        <f t="shared" si="30"/>
        <v>122400</v>
      </c>
      <c r="H17" s="7">
        <f t="shared" si="31"/>
        <v>-98201.35</v>
      </c>
      <c r="J17" s="26">
        <f>VLOOKUP($B:$B,'P&amp;L by Month'!$A:$N,2,FALSE)</f>
        <v>1631.91</v>
      </c>
      <c r="K17" s="26">
        <f>Budget!D18</f>
        <v>10200</v>
      </c>
      <c r="L17" s="26">
        <f t="shared" si="32"/>
        <v>-8568.09</v>
      </c>
      <c r="M17" s="26"/>
      <c r="N17" s="26">
        <f>VLOOKUP($B:$B,'P&amp;L by Month'!$A:$N,3,FALSE)</f>
        <v>1631.91</v>
      </c>
      <c r="O17" s="26">
        <f>Budget!E18</f>
        <v>10200</v>
      </c>
      <c r="P17" s="26">
        <f t="shared" si="33"/>
        <v>-8568.09</v>
      </c>
      <c r="Q17" s="26"/>
      <c r="R17" s="26">
        <f>VLOOKUP($B:$B,'P&amp;L by Month'!$A:$N,4,FALSE)</f>
        <v>1631.91</v>
      </c>
      <c r="S17" s="26">
        <f>Budget!F18</f>
        <v>10200</v>
      </c>
      <c r="T17" s="26">
        <f t="shared" si="34"/>
        <v>-8568.09</v>
      </c>
      <c r="U17" s="26"/>
      <c r="V17" s="26">
        <f>VLOOKUP($B:$B,'P&amp;L by Month'!$A:$N,5,FALSE)</f>
        <v>4349.47</v>
      </c>
      <c r="W17" s="26">
        <f>Budget!G18</f>
        <v>10200</v>
      </c>
      <c r="X17" s="26">
        <f t="shared" si="35"/>
        <v>-5850.53</v>
      </c>
      <c r="Y17" s="26"/>
      <c r="Z17" s="26">
        <f>VLOOKUP($B:$B,'P&amp;L by Month'!$A:$N,6,FALSE)</f>
        <v>2990.69</v>
      </c>
      <c r="AA17" s="26">
        <f>Budget!H18</f>
        <v>10200</v>
      </c>
      <c r="AB17" s="26">
        <f t="shared" si="36"/>
        <v>-7209.3099999999995</v>
      </c>
      <c r="AC17" s="26"/>
      <c r="AD17" s="26">
        <f>VLOOKUP($B:$B,'P&amp;L by Month'!$A:$N,7,FALSE)</f>
        <v>2990.69</v>
      </c>
      <c r="AE17" s="26">
        <f>Budget!I18</f>
        <v>10200</v>
      </c>
      <c r="AF17" s="26">
        <f t="shared" si="37"/>
        <v>-7209.3099999999995</v>
      </c>
      <c r="AG17" s="26"/>
      <c r="AH17" s="26">
        <f>VLOOKUP($B:$B,'P&amp;L by Month'!$A:$N,8,FALSE)</f>
        <v>2990.69</v>
      </c>
      <c r="AI17" s="26">
        <f>Budget!J18</f>
        <v>10200</v>
      </c>
      <c r="AJ17" s="26">
        <f t="shared" si="38"/>
        <v>-7209.3099999999995</v>
      </c>
      <c r="AK17" s="26"/>
      <c r="AL17" s="26">
        <f>VLOOKUP($B:$B,'P&amp;L by Month'!$A:$N,9,FALSE)</f>
        <v>2990.69</v>
      </c>
      <c r="AM17" s="26">
        <f>Budget!K18</f>
        <v>10200</v>
      </c>
      <c r="AN17" s="26">
        <f t="shared" si="39"/>
        <v>-7209.3099999999995</v>
      </c>
      <c r="AO17" s="26"/>
      <c r="AP17" s="26">
        <f>VLOOKUP($B:$B,'P&amp;L by Month'!$A:$N,10,FALSE)</f>
        <v>2990.69</v>
      </c>
      <c r="AQ17" s="26">
        <f>Budget!L18</f>
        <v>10200</v>
      </c>
      <c r="AR17" s="26">
        <f t="shared" si="40"/>
        <v>-7209.3099999999995</v>
      </c>
      <c r="AS17" s="26"/>
      <c r="AT17" s="26">
        <f>VLOOKUP($B:$B,'P&amp;L by Month'!$A:$N,11,FALSE)</f>
        <v>0</v>
      </c>
      <c r="AU17" s="26">
        <f>Budget!M18</f>
        <v>10200</v>
      </c>
      <c r="AV17" s="26">
        <f t="shared" si="41"/>
        <v>-10200</v>
      </c>
      <c r="AW17" s="26"/>
      <c r="AX17" s="26">
        <f>VLOOKUP($B:$B,'P&amp;L by Month'!$A:$N,12,FALSE)</f>
        <v>0</v>
      </c>
      <c r="AY17" s="26">
        <f>Budget!N18</f>
        <v>10200</v>
      </c>
      <c r="AZ17" s="26">
        <f t="shared" si="42"/>
        <v>-10200</v>
      </c>
      <c r="BA17" s="26"/>
      <c r="BB17" s="26">
        <f>VLOOKUP($B:$B,'P&amp;L by Month'!$A:$N,13,FALSE)</f>
        <v>0</v>
      </c>
      <c r="BC17" s="26">
        <f>Budget!O18</f>
        <v>10200</v>
      </c>
      <c r="BD17" s="26">
        <f t="shared" si="43"/>
        <v>-10200</v>
      </c>
      <c r="BE17" s="6"/>
      <c r="BF17" s="6"/>
    </row>
    <row r="18" spans="1:59" s="1" customFormat="1" x14ac:dyDescent="0.25">
      <c r="A18" s="1" t="s">
        <v>3</v>
      </c>
      <c r="F18" s="10">
        <f>SUM(F15:F17)</f>
        <v>320775.34000000003</v>
      </c>
      <c r="G18" s="10">
        <f>SUM(G15:G17)</f>
        <v>1707100.1639999999</v>
      </c>
      <c r="H18" s="10">
        <f>SUM(H15:H17)</f>
        <v>-1386324.8239999998</v>
      </c>
      <c r="J18" s="22">
        <f t="shared" ref="J18:BD18" si="44">SUM(J15:J17)</f>
        <v>26845.63</v>
      </c>
      <c r="K18" s="22">
        <f t="shared" si="44"/>
        <v>136639.27333333329</v>
      </c>
      <c r="L18" s="22">
        <f t="shared" si="44"/>
        <v>-109793.6433333333</v>
      </c>
      <c r="M18" s="9"/>
      <c r="N18" s="22">
        <f t="shared" si="44"/>
        <v>31289.63</v>
      </c>
      <c r="O18" s="22">
        <f t="shared" si="44"/>
        <v>136639.27333333329</v>
      </c>
      <c r="P18" s="22">
        <f t="shared" si="44"/>
        <v>-105349.64333333328</v>
      </c>
      <c r="Q18" s="9"/>
      <c r="R18" s="22">
        <f t="shared" si="44"/>
        <v>39561.320000000007</v>
      </c>
      <c r="S18" s="22">
        <f t="shared" si="44"/>
        <v>143382.16173333331</v>
      </c>
      <c r="T18" s="22">
        <f t="shared" si="44"/>
        <v>-103820.84173333331</v>
      </c>
      <c r="U18" s="9"/>
      <c r="V18" s="22">
        <f t="shared" si="44"/>
        <v>19237.560000000001</v>
      </c>
      <c r="W18" s="22">
        <f t="shared" si="44"/>
        <v>143382.16173333331</v>
      </c>
      <c r="X18" s="22">
        <f t="shared" si="44"/>
        <v>-124144.60173333331</v>
      </c>
      <c r="Y18" s="9"/>
      <c r="Z18" s="22">
        <f t="shared" si="44"/>
        <v>34072.25</v>
      </c>
      <c r="AA18" s="22">
        <f t="shared" si="44"/>
        <v>143382.16173333331</v>
      </c>
      <c r="AB18" s="22">
        <f t="shared" si="44"/>
        <v>-109309.91173333331</v>
      </c>
      <c r="AC18" s="9"/>
      <c r="AD18" s="22">
        <f t="shared" si="44"/>
        <v>62544.18</v>
      </c>
      <c r="AE18" s="22">
        <f t="shared" si="44"/>
        <v>143382.16173333331</v>
      </c>
      <c r="AF18" s="22">
        <f t="shared" si="44"/>
        <v>-80837.981733333319</v>
      </c>
      <c r="AG18" s="9"/>
      <c r="AH18" s="22">
        <f t="shared" si="44"/>
        <v>32507.989999999998</v>
      </c>
      <c r="AI18" s="22">
        <f t="shared" si="44"/>
        <v>143382.16173333331</v>
      </c>
      <c r="AJ18" s="22">
        <f t="shared" si="44"/>
        <v>-110874.17173333331</v>
      </c>
      <c r="AK18" s="9"/>
      <c r="AL18" s="22">
        <f t="shared" si="44"/>
        <v>37439.360000000001</v>
      </c>
      <c r="AM18" s="22">
        <f t="shared" si="44"/>
        <v>143382.16173333331</v>
      </c>
      <c r="AN18" s="22">
        <f t="shared" si="44"/>
        <v>-105942.80173333331</v>
      </c>
      <c r="AO18" s="9"/>
      <c r="AP18" s="22">
        <f t="shared" si="44"/>
        <v>37277.420000000006</v>
      </c>
      <c r="AQ18" s="22">
        <f t="shared" si="44"/>
        <v>143382.16173333331</v>
      </c>
      <c r="AR18" s="22">
        <f t="shared" si="44"/>
        <v>-106104.74173333331</v>
      </c>
      <c r="AS18" s="9"/>
      <c r="AT18" s="22">
        <f t="shared" si="44"/>
        <v>0</v>
      </c>
      <c r="AU18" s="22">
        <f t="shared" si="44"/>
        <v>143382.16173333331</v>
      </c>
      <c r="AV18" s="22">
        <f t="shared" si="44"/>
        <v>-143382.16173333331</v>
      </c>
      <c r="AW18" s="9"/>
      <c r="AX18" s="22">
        <f t="shared" si="44"/>
        <v>0</v>
      </c>
      <c r="AY18" s="22">
        <f t="shared" si="44"/>
        <v>143382.16173333331</v>
      </c>
      <c r="AZ18" s="22">
        <f t="shared" si="44"/>
        <v>-143382.16173333331</v>
      </c>
      <c r="BA18" s="9"/>
      <c r="BB18" s="22">
        <f t="shared" si="44"/>
        <v>0</v>
      </c>
      <c r="BC18" s="22">
        <f t="shared" si="44"/>
        <v>143382.16173333331</v>
      </c>
      <c r="BD18" s="22">
        <f t="shared" si="44"/>
        <v>-143382.16173333331</v>
      </c>
      <c r="BE18" s="9"/>
      <c r="BF18" s="9"/>
      <c r="BG18" s="18"/>
    </row>
    <row r="19" spans="1:59" x14ac:dyDescent="0.25">
      <c r="F19" s="11"/>
      <c r="G19" s="11"/>
      <c r="H19" s="1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</row>
    <row r="20" spans="1:59" x14ac:dyDescent="0.25">
      <c r="F20" s="8"/>
      <c r="G20" s="8"/>
      <c r="H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</row>
    <row r="21" spans="1:59" ht="14.4" x14ac:dyDescent="0.3">
      <c r="A21" s="4" t="s">
        <v>15</v>
      </c>
      <c r="B21" s="41" t="s">
        <v>91</v>
      </c>
      <c r="F21" s="7">
        <f t="shared" ref="F21:F38" si="45">J21+N21+R21+V21+Z21+AD21+AH21+AL21+AP21+AT21+AX21+BB21</f>
        <v>38098.559999999998</v>
      </c>
      <c r="G21" s="7">
        <f t="shared" ref="G21:G38" si="46">K21+O21+S21+W21+AA21+AE21+AI21+AM21+AQ21+AU21+AY21+BC21</f>
        <v>102400</v>
      </c>
      <c r="H21" s="7">
        <f t="shared" ref="H21:H38" si="47">F21-G21</f>
        <v>-64301.440000000002</v>
      </c>
      <c r="J21" s="26">
        <f>VLOOKUP($B:$B,'P&amp;L by Month'!$A:$N,2,FALSE)</f>
        <v>3445.65</v>
      </c>
      <c r="K21" s="26">
        <f>Budget!D21</f>
        <v>7700</v>
      </c>
      <c r="L21" s="26">
        <f t="shared" ref="L21:L39" si="48">J21-K21</f>
        <v>-4254.3500000000004</v>
      </c>
      <c r="M21" s="26"/>
      <c r="N21" s="26">
        <f>VLOOKUP($B:$B,'P&amp;L by Month'!$A:$N,3,FALSE)</f>
        <v>4084.75</v>
      </c>
      <c r="O21" s="26">
        <f>Budget!E21</f>
        <v>7700</v>
      </c>
      <c r="P21" s="26">
        <f t="shared" ref="P21:P39" si="49">N21-O21</f>
        <v>-3615.25</v>
      </c>
      <c r="Q21" s="26"/>
      <c r="R21" s="26">
        <f>VLOOKUP($B:$B,'P&amp;L by Month'!$A:$N,4,FALSE)</f>
        <v>2082.8000000000002</v>
      </c>
      <c r="S21" s="26">
        <f>Budget!F21</f>
        <v>17700</v>
      </c>
      <c r="T21" s="26">
        <f t="shared" ref="T21:T39" si="50">R21-S21</f>
        <v>-15617.2</v>
      </c>
      <c r="U21" s="26"/>
      <c r="V21" s="26">
        <f>VLOOKUP($B:$B,'P&amp;L by Month'!$A:$N,5,FALSE)</f>
        <v>1704.25</v>
      </c>
      <c r="W21" s="26">
        <f>Budget!G21</f>
        <v>7700</v>
      </c>
      <c r="X21" s="26">
        <f t="shared" ref="X21:X39" si="51">V21-W21</f>
        <v>-5995.75</v>
      </c>
      <c r="Y21" s="26"/>
      <c r="Z21" s="26">
        <f>VLOOKUP($B:$B,'P&amp;L by Month'!$A:$N,6,FALSE)</f>
        <v>6181.27</v>
      </c>
      <c r="AA21" s="26">
        <f>Budget!H21</f>
        <v>7700</v>
      </c>
      <c r="AB21" s="26">
        <f t="shared" ref="AB21:AB39" si="52">Z21-AA21</f>
        <v>-1518.7299999999996</v>
      </c>
      <c r="AC21" s="26"/>
      <c r="AD21" s="26">
        <f>VLOOKUP($B:$B,'P&amp;L by Month'!$A:$N,7,FALSE)</f>
        <v>4442.79</v>
      </c>
      <c r="AE21" s="26">
        <f>Budget!I21</f>
        <v>7700</v>
      </c>
      <c r="AF21" s="26">
        <f t="shared" ref="AF21:AF39" si="53">AD21-AE21</f>
        <v>-3257.21</v>
      </c>
      <c r="AG21" s="26"/>
      <c r="AH21" s="26">
        <f>VLOOKUP($B:$B,'P&amp;L by Month'!$A:$N,8,FALSE)</f>
        <v>4894.99</v>
      </c>
      <c r="AI21" s="26">
        <f>Budget!J21</f>
        <v>7700</v>
      </c>
      <c r="AJ21" s="26">
        <f t="shared" ref="AJ21:AJ39" si="54">AH21-AI21</f>
        <v>-2805.01</v>
      </c>
      <c r="AK21" s="26"/>
      <c r="AL21" s="26">
        <f>VLOOKUP($B:$B,'P&amp;L by Month'!$A:$N,9,FALSE)</f>
        <v>3952.12</v>
      </c>
      <c r="AM21" s="26">
        <f>Budget!K21</f>
        <v>7700</v>
      </c>
      <c r="AN21" s="26">
        <f t="shared" ref="AN21:AN39" si="55">AL21-AM21</f>
        <v>-3747.88</v>
      </c>
      <c r="AO21" s="26"/>
      <c r="AP21" s="26">
        <f>VLOOKUP($B:$B,'P&amp;L by Month'!$A:$N,10,FALSE)</f>
        <v>4577.8099999999995</v>
      </c>
      <c r="AQ21" s="26">
        <f>Budget!L21</f>
        <v>7700</v>
      </c>
      <c r="AR21" s="26">
        <f t="shared" ref="AR21:AR39" si="56">AP21-AQ21</f>
        <v>-3122.1900000000005</v>
      </c>
      <c r="AS21" s="26"/>
      <c r="AT21" s="26">
        <f>VLOOKUP($B:$B,'P&amp;L by Month'!$A:$N,11,FALSE)</f>
        <v>2732.13</v>
      </c>
      <c r="AU21" s="26">
        <f>Budget!M21</f>
        <v>7700</v>
      </c>
      <c r="AV21" s="26">
        <f t="shared" ref="AV21:AV39" si="57">AT21-AU21</f>
        <v>-4967.87</v>
      </c>
      <c r="AW21" s="26"/>
      <c r="AX21" s="26">
        <f>VLOOKUP($B:$B,'P&amp;L by Month'!$A:$N,12,FALSE)</f>
        <v>0</v>
      </c>
      <c r="AY21" s="26">
        <f>Budget!N21</f>
        <v>7700</v>
      </c>
      <c r="AZ21" s="26">
        <f t="shared" ref="AZ21:AZ39" si="58">AX21-AY21</f>
        <v>-7700</v>
      </c>
      <c r="BA21" s="26"/>
      <c r="BB21" s="26">
        <f>VLOOKUP($B:$B,'P&amp;L by Month'!$A:$N,13,FALSE)</f>
        <v>0</v>
      </c>
      <c r="BC21" s="26">
        <f>Budget!O21</f>
        <v>7700</v>
      </c>
      <c r="BD21" s="26">
        <f t="shared" ref="BD21:BD39" si="59">BB21-BC21</f>
        <v>-7700</v>
      </c>
      <c r="BE21" s="6"/>
      <c r="BF21" s="6"/>
    </row>
    <row r="22" spans="1:59" ht="14.4" x14ac:dyDescent="0.3">
      <c r="A22" s="4" t="s">
        <v>30</v>
      </c>
      <c r="B22" s="42" t="s">
        <v>105</v>
      </c>
      <c r="F22" s="7">
        <f t="shared" si="45"/>
        <v>37974.479999999996</v>
      </c>
      <c r="G22" s="7">
        <f t="shared" si="46"/>
        <v>116928</v>
      </c>
      <c r="H22" s="7">
        <f t="shared" si="47"/>
        <v>-78953.52</v>
      </c>
      <c r="J22" s="26">
        <f>VLOOKUP($B:$B,'P&amp;L by Month'!$A:$N,2,FALSE)</f>
        <v>2908.2</v>
      </c>
      <c r="K22" s="26">
        <f>Budget!D22</f>
        <v>9744</v>
      </c>
      <c r="L22" s="26">
        <f t="shared" si="48"/>
        <v>-6835.8</v>
      </c>
      <c r="M22" s="26"/>
      <c r="N22" s="26">
        <f>VLOOKUP($B:$B,'P&amp;L by Month'!$A:$N,3,FALSE)</f>
        <v>4640.7299999999996</v>
      </c>
      <c r="O22" s="26">
        <f>Budget!E22</f>
        <v>9744</v>
      </c>
      <c r="P22" s="26">
        <f t="shared" si="49"/>
        <v>-5103.2700000000004</v>
      </c>
      <c r="Q22" s="26"/>
      <c r="R22" s="26">
        <f>VLOOKUP($B:$B,'P&amp;L by Month'!$A:$N,4,FALSE)</f>
        <v>5710.95</v>
      </c>
      <c r="S22" s="26">
        <f>Budget!F22</f>
        <v>9744</v>
      </c>
      <c r="T22" s="26">
        <f t="shared" si="50"/>
        <v>-4033.05</v>
      </c>
      <c r="U22" s="26"/>
      <c r="V22" s="26">
        <f>VLOOKUP($B:$B,'P&amp;L by Month'!$A:$N,5,FALSE)</f>
        <v>6025</v>
      </c>
      <c r="W22" s="26">
        <f>Budget!G22</f>
        <v>9744</v>
      </c>
      <c r="X22" s="26">
        <f t="shared" si="51"/>
        <v>-3719</v>
      </c>
      <c r="Y22" s="26"/>
      <c r="Z22" s="26">
        <f>VLOOKUP($B:$B,'P&amp;L by Month'!$A:$N,6,FALSE)</f>
        <v>1002.5</v>
      </c>
      <c r="AA22" s="26">
        <f>Budget!H22</f>
        <v>9744</v>
      </c>
      <c r="AB22" s="26">
        <f t="shared" si="52"/>
        <v>-8741.5</v>
      </c>
      <c r="AC22" s="26"/>
      <c r="AD22" s="26">
        <f>VLOOKUP($B:$B,'P&amp;L by Month'!$A:$N,7,FALSE)</f>
        <v>6800</v>
      </c>
      <c r="AE22" s="26">
        <f>Budget!I22</f>
        <v>9744</v>
      </c>
      <c r="AF22" s="26">
        <f t="shared" si="53"/>
        <v>-2944</v>
      </c>
      <c r="AG22" s="26"/>
      <c r="AH22" s="26">
        <f>VLOOKUP($B:$B,'P&amp;L by Month'!$A:$N,8,FALSE)</f>
        <v>5035</v>
      </c>
      <c r="AI22" s="26">
        <f>Budget!J22</f>
        <v>9744</v>
      </c>
      <c r="AJ22" s="26">
        <f t="shared" si="54"/>
        <v>-4709</v>
      </c>
      <c r="AK22" s="26"/>
      <c r="AL22" s="26">
        <f>VLOOKUP($B:$B,'P&amp;L by Month'!$A:$N,9,FALSE)</f>
        <v>349.12</v>
      </c>
      <c r="AM22" s="26">
        <f>Budget!K22</f>
        <v>9744</v>
      </c>
      <c r="AN22" s="26">
        <f t="shared" si="55"/>
        <v>-9394.8799999999992</v>
      </c>
      <c r="AO22" s="26"/>
      <c r="AP22" s="26">
        <f>VLOOKUP($B:$B,'P&amp;L by Month'!$A:$N,10,FALSE)</f>
        <v>5502.98</v>
      </c>
      <c r="AQ22" s="26">
        <f>Budget!L22</f>
        <v>9744</v>
      </c>
      <c r="AR22" s="26">
        <f t="shared" si="56"/>
        <v>-4241.0200000000004</v>
      </c>
      <c r="AS22" s="26"/>
      <c r="AT22" s="26">
        <f>VLOOKUP($B:$B,'P&amp;L by Month'!$A:$N,11,FALSE)</f>
        <v>0</v>
      </c>
      <c r="AU22" s="26">
        <f>Budget!M22</f>
        <v>9744</v>
      </c>
      <c r="AV22" s="26">
        <f t="shared" si="57"/>
        <v>-9744</v>
      </c>
      <c r="AW22" s="26"/>
      <c r="AX22" s="26">
        <f>VLOOKUP($B:$B,'P&amp;L by Month'!$A:$N,12,FALSE)</f>
        <v>0</v>
      </c>
      <c r="AY22" s="26">
        <f>Budget!N22</f>
        <v>9744</v>
      </c>
      <c r="AZ22" s="26">
        <f t="shared" si="58"/>
        <v>-9744</v>
      </c>
      <c r="BA22" s="26"/>
      <c r="BB22" s="26">
        <f>VLOOKUP($B:$B,'P&amp;L by Month'!$A:$N,13,FALSE)</f>
        <v>0</v>
      </c>
      <c r="BC22" s="26">
        <f>Budget!O22</f>
        <v>9744</v>
      </c>
      <c r="BD22" s="26">
        <f t="shared" si="59"/>
        <v>-9744</v>
      </c>
      <c r="BE22" s="6"/>
      <c r="BF22" s="6"/>
    </row>
    <row r="23" spans="1:59" ht="14.4" x14ac:dyDescent="0.3">
      <c r="A23" s="4" t="s">
        <v>5</v>
      </c>
      <c r="B23" s="42" t="s">
        <v>112</v>
      </c>
      <c r="F23" s="7">
        <f t="shared" si="45"/>
        <v>16531.260000000002</v>
      </c>
      <c r="G23" s="7" t="e">
        <f t="shared" si="46"/>
        <v>#REF!</v>
      </c>
      <c r="H23" s="7" t="e">
        <f t="shared" si="47"/>
        <v>#REF!</v>
      </c>
      <c r="J23" s="26">
        <f>VLOOKUP($B:$B,'P&amp;L by Month'!$A:$N,2,FALSE)</f>
        <v>3452.28</v>
      </c>
      <c r="K23" s="26" t="e">
        <f>Budget!#REF!</f>
        <v>#REF!</v>
      </c>
      <c r="L23" s="26" t="e">
        <f t="shared" si="48"/>
        <v>#REF!</v>
      </c>
      <c r="M23" s="26"/>
      <c r="N23" s="26">
        <f>VLOOKUP($B:$B,'P&amp;L by Month'!$A:$N,3,FALSE)</f>
        <v>2654.62</v>
      </c>
      <c r="O23" s="26" t="e">
        <f>Budget!#REF!</f>
        <v>#REF!</v>
      </c>
      <c r="P23" s="26" t="e">
        <f t="shared" si="49"/>
        <v>#REF!</v>
      </c>
      <c r="Q23" s="26"/>
      <c r="R23" s="26">
        <f>VLOOKUP($B:$B,'P&amp;L by Month'!$A:$N,4,FALSE)</f>
        <v>2209.27</v>
      </c>
      <c r="S23" s="26" t="e">
        <f>Budget!#REF!</f>
        <v>#REF!</v>
      </c>
      <c r="T23" s="26" t="e">
        <f t="shared" si="50"/>
        <v>#REF!</v>
      </c>
      <c r="U23" s="26"/>
      <c r="V23" s="26">
        <f>VLOOKUP($B:$B,'P&amp;L by Month'!$A:$N,5,FALSE)</f>
        <v>1198.28</v>
      </c>
      <c r="W23" s="26" t="e">
        <f>Budget!#REF!</f>
        <v>#REF!</v>
      </c>
      <c r="X23" s="26" t="e">
        <f t="shared" si="51"/>
        <v>#REF!</v>
      </c>
      <c r="Y23" s="26"/>
      <c r="Z23" s="26">
        <f>VLOOKUP($B:$B,'P&amp;L by Month'!$A:$N,6,FALSE)</f>
        <v>1266.19</v>
      </c>
      <c r="AA23" s="26" t="e">
        <f>Budget!#REF!</f>
        <v>#REF!</v>
      </c>
      <c r="AB23" s="26" t="e">
        <f t="shared" si="52"/>
        <v>#REF!</v>
      </c>
      <c r="AC23" s="26"/>
      <c r="AD23" s="26">
        <f>VLOOKUP($B:$B,'P&amp;L by Month'!$A:$N,7,FALSE)</f>
        <v>610.96</v>
      </c>
      <c r="AE23" s="26" t="e">
        <f>Budget!#REF!</f>
        <v>#REF!</v>
      </c>
      <c r="AF23" s="26" t="e">
        <f t="shared" si="53"/>
        <v>#REF!</v>
      </c>
      <c r="AG23" s="26"/>
      <c r="AH23" s="26">
        <f>VLOOKUP($B:$B,'P&amp;L by Month'!$A:$N,8,FALSE)</f>
        <v>934.66000000000008</v>
      </c>
      <c r="AI23" s="26" t="e">
        <f>Budget!#REF!</f>
        <v>#REF!</v>
      </c>
      <c r="AJ23" s="26" t="e">
        <f t="shared" si="54"/>
        <v>#REF!</v>
      </c>
      <c r="AK23" s="26"/>
      <c r="AL23" s="26">
        <f>VLOOKUP($B:$B,'P&amp;L by Month'!$A:$N,9,FALSE)</f>
        <v>295.01</v>
      </c>
      <c r="AM23" s="26" t="e">
        <f>Budget!#REF!</f>
        <v>#REF!</v>
      </c>
      <c r="AN23" s="26" t="e">
        <f t="shared" si="55"/>
        <v>#REF!</v>
      </c>
      <c r="AO23" s="26"/>
      <c r="AP23" s="26">
        <f>VLOOKUP($B:$B,'P&amp;L by Month'!$A:$N,10,FALSE)</f>
        <v>3909.99</v>
      </c>
      <c r="AQ23" s="26" t="e">
        <f>Budget!#REF!</f>
        <v>#REF!</v>
      </c>
      <c r="AR23" s="26" t="e">
        <f t="shared" si="56"/>
        <v>#REF!</v>
      </c>
      <c r="AS23" s="26"/>
      <c r="AT23" s="26">
        <f>VLOOKUP($B:$B,'P&amp;L by Month'!$A:$N,11,FALSE)</f>
        <v>0</v>
      </c>
      <c r="AU23" s="26" t="e">
        <f>Budget!#REF!</f>
        <v>#REF!</v>
      </c>
      <c r="AV23" s="26" t="e">
        <f t="shared" si="57"/>
        <v>#REF!</v>
      </c>
      <c r="AW23" s="26"/>
      <c r="AX23" s="26">
        <f>VLOOKUP($B:$B,'P&amp;L by Month'!$A:$N,12,FALSE)</f>
        <v>0</v>
      </c>
      <c r="AY23" s="26" t="e">
        <f>Budget!#REF!</f>
        <v>#REF!</v>
      </c>
      <c r="AZ23" s="26" t="e">
        <f t="shared" si="58"/>
        <v>#REF!</v>
      </c>
      <c r="BA23" s="26"/>
      <c r="BB23" s="26">
        <f>VLOOKUP($B:$B,'P&amp;L by Month'!$A:$N,13,FALSE)</f>
        <v>0</v>
      </c>
      <c r="BC23" s="26" t="e">
        <f>Budget!#REF!</f>
        <v>#REF!</v>
      </c>
      <c r="BD23" s="26" t="e">
        <f t="shared" si="59"/>
        <v>#REF!</v>
      </c>
      <c r="BE23" s="6"/>
      <c r="BF23" s="6"/>
    </row>
    <row r="24" spans="1:59" ht="14.4" x14ac:dyDescent="0.3">
      <c r="A24" s="4" t="s">
        <v>6</v>
      </c>
      <c r="B24" s="42" t="s">
        <v>132</v>
      </c>
      <c r="C24" s="42" t="s">
        <v>133</v>
      </c>
      <c r="F24" s="7">
        <f t="shared" si="45"/>
        <v>10528.54</v>
      </c>
      <c r="G24" s="7">
        <f t="shared" si="46"/>
        <v>12000</v>
      </c>
      <c r="H24" s="7">
        <f t="shared" si="47"/>
        <v>-1471.4599999999991</v>
      </c>
      <c r="J24" s="26">
        <f>VLOOKUP($B:$B,'P&amp;L by Month'!$A:$N,2,FALSE)+VLOOKUP($C:$C,'P&amp;L by Month'!$A:$N,2,FALSE)</f>
        <v>394.88</v>
      </c>
      <c r="K24" s="26">
        <f>Budget!D23</f>
        <v>1000</v>
      </c>
      <c r="L24" s="26">
        <f t="shared" si="48"/>
        <v>-605.12</v>
      </c>
      <c r="M24" s="26"/>
      <c r="N24" s="26">
        <f>VLOOKUP($B:$B,'P&amp;L by Month'!$A:$N,3,FALSE)+VLOOKUP($C:$C,'P&amp;L by Month'!$A:$N,3,FALSE)</f>
        <v>2104.48</v>
      </c>
      <c r="O24" s="26">
        <f>Budget!E23</f>
        <v>1000</v>
      </c>
      <c r="P24" s="26">
        <f t="shared" si="49"/>
        <v>1104.48</v>
      </c>
      <c r="Q24" s="26"/>
      <c r="R24" s="26">
        <f>VLOOKUP($B:$B,'P&amp;L by Month'!$A:$N,4,FALSE)+VLOOKUP($C:$C,'P&amp;L by Month'!$A:$N,4,FALSE)</f>
        <v>1192.21</v>
      </c>
      <c r="S24" s="26">
        <f>Budget!F23</f>
        <v>1000</v>
      </c>
      <c r="T24" s="26">
        <f t="shared" si="50"/>
        <v>192.21000000000004</v>
      </c>
      <c r="U24" s="26"/>
      <c r="V24" s="26">
        <f>VLOOKUP($B:$B,'P&amp;L by Month'!$A:$N,5,FALSE)+VLOOKUP($C:$C,'P&amp;L by Month'!$A:$N,5,FALSE)</f>
        <v>341.48</v>
      </c>
      <c r="W24" s="26">
        <f>Budget!G23</f>
        <v>1000</v>
      </c>
      <c r="X24" s="26">
        <f t="shared" si="51"/>
        <v>-658.52</v>
      </c>
      <c r="Y24" s="26"/>
      <c r="Z24" s="26">
        <f>VLOOKUP($B:$B,'P&amp;L by Month'!$A:$N,6,FALSE)+VLOOKUP($C:$C,'P&amp;L by Month'!$A:$N,6,FALSE)</f>
        <v>2220.42</v>
      </c>
      <c r="AA24" s="26">
        <f>Budget!H23</f>
        <v>1000</v>
      </c>
      <c r="AB24" s="26">
        <f t="shared" si="52"/>
        <v>1220.42</v>
      </c>
      <c r="AC24" s="26"/>
      <c r="AD24" s="26">
        <f>VLOOKUP($B:$B,'P&amp;L by Month'!$A:$N,7,FALSE)+VLOOKUP($C:$C,'P&amp;L by Month'!$A:$N,7,FALSE)</f>
        <v>1115.56</v>
      </c>
      <c r="AE24" s="26">
        <f>Budget!I23</f>
        <v>1000</v>
      </c>
      <c r="AF24" s="26">
        <f t="shared" si="53"/>
        <v>115.55999999999995</v>
      </c>
      <c r="AG24" s="26"/>
      <c r="AH24" s="26">
        <f>VLOOKUP($B:$B,'P&amp;L by Month'!$A:$N,8,FALSE)+VLOOKUP($C:$C,'P&amp;L by Month'!$A:$N,8,FALSE)</f>
        <v>928.15</v>
      </c>
      <c r="AI24" s="26">
        <f>Budget!J23</f>
        <v>1000</v>
      </c>
      <c r="AJ24" s="26">
        <f t="shared" si="54"/>
        <v>-71.850000000000023</v>
      </c>
      <c r="AK24" s="26"/>
      <c r="AL24" s="26">
        <f>VLOOKUP($B:$B,'P&amp;L by Month'!$A:$N,9,FALSE)+VLOOKUP($C:$C,'P&amp;L by Month'!$A:$N,9,FALSE)</f>
        <v>610.26</v>
      </c>
      <c r="AM24" s="26">
        <f>Budget!K23</f>
        <v>1000</v>
      </c>
      <c r="AN24" s="26">
        <f t="shared" si="55"/>
        <v>-389.74</v>
      </c>
      <c r="AO24" s="26"/>
      <c r="AP24" s="26">
        <f>VLOOKUP($B:$B,'P&amp;L by Month'!$A:$N,10,FALSE)+VLOOKUP($C:$C,'P&amp;L by Month'!$A:$N,10,FALSE)</f>
        <v>1621.1</v>
      </c>
      <c r="AQ24" s="26">
        <f>Budget!L23</f>
        <v>1000</v>
      </c>
      <c r="AR24" s="26">
        <f t="shared" si="56"/>
        <v>621.09999999999991</v>
      </c>
      <c r="AS24" s="26"/>
      <c r="AT24" s="26">
        <f>VLOOKUP($B:$B,'P&amp;L by Month'!$A:$N,11,FALSE)+VLOOKUP($C:$C,'P&amp;L by Month'!$A:$N,11,FALSE)</f>
        <v>0</v>
      </c>
      <c r="AU24" s="26">
        <f>Budget!M23</f>
        <v>1000</v>
      </c>
      <c r="AV24" s="26">
        <f t="shared" si="57"/>
        <v>-1000</v>
      </c>
      <c r="AW24" s="26"/>
      <c r="AX24" s="26">
        <f>VLOOKUP($B:$B,'P&amp;L by Month'!$A:$N,12,FALSE)+VLOOKUP($C:$C,'P&amp;L by Month'!$A:$N,12,FALSE)</f>
        <v>0</v>
      </c>
      <c r="AY24" s="26">
        <f>Budget!N23</f>
        <v>1000</v>
      </c>
      <c r="AZ24" s="26">
        <f t="shared" si="58"/>
        <v>-1000</v>
      </c>
      <c r="BA24" s="26"/>
      <c r="BB24" s="26">
        <f>VLOOKUP($B:$B,'P&amp;L by Month'!$A:$N,13,FALSE)+VLOOKUP($C:$C,'P&amp;L by Month'!$A:$N,13,FALSE)</f>
        <v>0</v>
      </c>
      <c r="BC24" s="26">
        <f>Budget!O23</f>
        <v>1000</v>
      </c>
      <c r="BD24" s="26">
        <f t="shared" si="59"/>
        <v>-1000</v>
      </c>
      <c r="BE24" s="6"/>
      <c r="BF24" s="6"/>
    </row>
    <row r="25" spans="1:59" ht="14.4" x14ac:dyDescent="0.3">
      <c r="A25" s="4" t="s">
        <v>33</v>
      </c>
      <c r="B25" s="42" t="s">
        <v>135</v>
      </c>
      <c r="F25" s="7">
        <f t="shared" si="45"/>
        <v>11099.580000000002</v>
      </c>
      <c r="G25" s="7">
        <f t="shared" si="46"/>
        <v>30800.000000000004</v>
      </c>
      <c r="H25" s="7">
        <f t="shared" si="47"/>
        <v>-19700.420000000002</v>
      </c>
      <c r="J25" s="26">
        <f>VLOOKUP($B:$B,'P&amp;L by Month'!$A:$N,2,FALSE)</f>
        <v>3341.56</v>
      </c>
      <c r="K25" s="26">
        <f>Budget!D24</f>
        <v>2566.6666666666665</v>
      </c>
      <c r="L25" s="26">
        <f t="shared" si="48"/>
        <v>774.89333333333343</v>
      </c>
      <c r="M25" s="26"/>
      <c r="N25" s="26">
        <f>VLOOKUP($B:$B,'P&amp;L by Month'!$A:$N,3,FALSE)</f>
        <v>518.94000000000005</v>
      </c>
      <c r="O25" s="26">
        <f>Budget!E24</f>
        <v>2566.6666666666665</v>
      </c>
      <c r="P25" s="26">
        <f t="shared" si="49"/>
        <v>-2047.7266666666665</v>
      </c>
      <c r="Q25" s="26"/>
      <c r="R25" s="26">
        <f>VLOOKUP($B:$B,'P&amp;L by Month'!$A:$N,4,FALSE)</f>
        <v>0</v>
      </c>
      <c r="S25" s="26">
        <f>Budget!F24</f>
        <v>2566.6666666666665</v>
      </c>
      <c r="T25" s="26">
        <f t="shared" si="50"/>
        <v>-2566.6666666666665</v>
      </c>
      <c r="U25" s="26"/>
      <c r="V25" s="26">
        <f>VLOOKUP($B:$B,'P&amp;L by Month'!$A:$N,5,FALSE)</f>
        <v>149</v>
      </c>
      <c r="W25" s="26">
        <f>Budget!G24</f>
        <v>2566.6666666666665</v>
      </c>
      <c r="X25" s="26">
        <f t="shared" si="51"/>
        <v>-2417.6666666666665</v>
      </c>
      <c r="Y25" s="26"/>
      <c r="Z25" s="26">
        <f>VLOOKUP($B:$B,'P&amp;L by Month'!$A:$N,6,FALSE)</f>
        <v>0</v>
      </c>
      <c r="AA25" s="26">
        <f>Budget!H24</f>
        <v>2566.6666666666665</v>
      </c>
      <c r="AB25" s="26">
        <f t="shared" si="52"/>
        <v>-2566.6666666666665</v>
      </c>
      <c r="AC25" s="26"/>
      <c r="AD25" s="26">
        <f>VLOOKUP($B:$B,'P&amp;L by Month'!$A:$N,7,FALSE)</f>
        <v>5307.22</v>
      </c>
      <c r="AE25" s="26">
        <f>Budget!I24</f>
        <v>2566.6666666666665</v>
      </c>
      <c r="AF25" s="26">
        <f t="shared" si="53"/>
        <v>2740.5533333333337</v>
      </c>
      <c r="AG25" s="26"/>
      <c r="AH25" s="26">
        <f>VLOOKUP($B:$B,'P&amp;L by Month'!$A:$N,8,FALSE)</f>
        <v>1194.8599999999999</v>
      </c>
      <c r="AI25" s="26">
        <f>Budget!J24</f>
        <v>2566.6666666666665</v>
      </c>
      <c r="AJ25" s="26">
        <f t="shared" si="54"/>
        <v>-1371.8066666666666</v>
      </c>
      <c r="AK25" s="26"/>
      <c r="AL25" s="26">
        <f>VLOOKUP($B:$B,'P&amp;L by Month'!$A:$N,9,FALSE)</f>
        <v>149</v>
      </c>
      <c r="AM25" s="26">
        <f>Budget!K24</f>
        <v>2566.6666666666665</v>
      </c>
      <c r="AN25" s="26">
        <f t="shared" si="55"/>
        <v>-2417.6666666666665</v>
      </c>
      <c r="AO25" s="26"/>
      <c r="AP25" s="26">
        <f>VLOOKUP($B:$B,'P&amp;L by Month'!$A:$N,10,FALSE)</f>
        <v>439</v>
      </c>
      <c r="AQ25" s="26">
        <f>Budget!L24</f>
        <v>2566.6666666666665</v>
      </c>
      <c r="AR25" s="26">
        <f t="shared" si="56"/>
        <v>-2127.6666666666665</v>
      </c>
      <c r="AS25" s="26"/>
      <c r="AT25" s="26">
        <f>VLOOKUP($B:$B,'P&amp;L by Month'!$A:$N,11,FALSE)</f>
        <v>0</v>
      </c>
      <c r="AU25" s="26">
        <f>Budget!M24</f>
        <v>2566.6666666666665</v>
      </c>
      <c r="AV25" s="26">
        <f t="shared" si="57"/>
        <v>-2566.6666666666665</v>
      </c>
      <c r="AW25" s="26"/>
      <c r="AX25" s="26">
        <f>VLOOKUP($B:$B,'P&amp;L by Month'!$A:$N,12,FALSE)</f>
        <v>0</v>
      </c>
      <c r="AY25" s="26">
        <f>Budget!N24</f>
        <v>2566.6666666666665</v>
      </c>
      <c r="AZ25" s="26">
        <f t="shared" si="58"/>
        <v>-2566.6666666666665</v>
      </c>
      <c r="BA25" s="26"/>
      <c r="BB25" s="26">
        <f>VLOOKUP($B:$B,'P&amp;L by Month'!$A:$N,13,FALSE)</f>
        <v>0</v>
      </c>
      <c r="BC25" s="26">
        <f>Budget!O24</f>
        <v>2566.6666666666665</v>
      </c>
      <c r="BD25" s="26">
        <f t="shared" si="59"/>
        <v>-2566.6666666666665</v>
      </c>
      <c r="BE25" s="6"/>
      <c r="BF25" s="6"/>
    </row>
    <row r="26" spans="1:59" ht="14.4" x14ac:dyDescent="0.3">
      <c r="A26" s="4" t="s">
        <v>9</v>
      </c>
      <c r="B26" s="42" t="s">
        <v>138</v>
      </c>
      <c r="F26" s="7">
        <f t="shared" si="45"/>
        <v>2463.5499999999997</v>
      </c>
      <c r="G26" s="7">
        <f t="shared" si="46"/>
        <v>4200</v>
      </c>
      <c r="H26" s="7">
        <f t="shared" si="47"/>
        <v>-1736.4500000000003</v>
      </c>
      <c r="J26" s="26">
        <f>VLOOKUP($B:$B,'P&amp;L by Month'!$A:$N,2,FALSE)</f>
        <v>109.87</v>
      </c>
      <c r="K26" s="26">
        <f>Budget!D25</f>
        <v>350</v>
      </c>
      <c r="L26" s="26">
        <f t="shared" si="48"/>
        <v>-240.13</v>
      </c>
      <c r="M26" s="26"/>
      <c r="N26" s="26">
        <f>VLOOKUP($B:$B,'P&amp;L by Month'!$A:$N,3,FALSE)</f>
        <v>109.87</v>
      </c>
      <c r="O26" s="26">
        <f>Budget!E25</f>
        <v>350</v>
      </c>
      <c r="P26" s="26">
        <f t="shared" si="49"/>
        <v>-240.13</v>
      </c>
      <c r="Q26" s="26"/>
      <c r="R26" s="26">
        <f>VLOOKUP($B:$B,'P&amp;L by Month'!$A:$N,4,FALSE)</f>
        <v>333.98</v>
      </c>
      <c r="S26" s="26">
        <f>Budget!F25</f>
        <v>350</v>
      </c>
      <c r="T26" s="26">
        <f t="shared" si="50"/>
        <v>-16.019999999999982</v>
      </c>
      <c r="U26" s="26"/>
      <c r="V26" s="26">
        <f>VLOOKUP($B:$B,'P&amp;L by Month'!$A:$N,5,FALSE)</f>
        <v>333.98</v>
      </c>
      <c r="W26" s="26">
        <f>Budget!G25</f>
        <v>350</v>
      </c>
      <c r="X26" s="26">
        <f t="shared" si="51"/>
        <v>-16.019999999999982</v>
      </c>
      <c r="Y26" s="26"/>
      <c r="Z26" s="26">
        <f>VLOOKUP($B:$B,'P&amp;L by Month'!$A:$N,6,FALSE)</f>
        <v>333.98</v>
      </c>
      <c r="AA26" s="26">
        <f>Budget!H25</f>
        <v>350</v>
      </c>
      <c r="AB26" s="26">
        <f t="shared" si="52"/>
        <v>-16.019999999999982</v>
      </c>
      <c r="AC26" s="26"/>
      <c r="AD26" s="26">
        <f>VLOOKUP($B:$B,'P&amp;L by Month'!$A:$N,7,FALSE)</f>
        <v>333.98</v>
      </c>
      <c r="AE26" s="26">
        <f>Budget!I25</f>
        <v>350</v>
      </c>
      <c r="AF26" s="26">
        <f t="shared" si="53"/>
        <v>-16.019999999999982</v>
      </c>
      <c r="AG26" s="26"/>
      <c r="AH26" s="26">
        <f>VLOOKUP($B:$B,'P&amp;L by Month'!$A:$N,8,FALSE)</f>
        <v>333.98</v>
      </c>
      <c r="AI26" s="26">
        <f>Budget!J25</f>
        <v>350</v>
      </c>
      <c r="AJ26" s="26">
        <f t="shared" si="54"/>
        <v>-16.019999999999982</v>
      </c>
      <c r="AK26" s="26"/>
      <c r="AL26" s="26">
        <f>VLOOKUP($B:$B,'P&amp;L by Month'!$A:$N,9,FALSE)</f>
        <v>342.71</v>
      </c>
      <c r="AM26" s="26">
        <f>Budget!K25</f>
        <v>350</v>
      </c>
      <c r="AN26" s="26">
        <f t="shared" si="55"/>
        <v>-7.2900000000000205</v>
      </c>
      <c r="AO26" s="26"/>
      <c r="AP26" s="26">
        <f>VLOOKUP($B:$B,'P&amp;L by Month'!$A:$N,10,FALSE)</f>
        <v>231.2</v>
      </c>
      <c r="AQ26" s="26">
        <f>Budget!L25</f>
        <v>350</v>
      </c>
      <c r="AR26" s="26">
        <f t="shared" si="56"/>
        <v>-118.80000000000001</v>
      </c>
      <c r="AS26" s="26"/>
      <c r="AT26" s="26">
        <f>VLOOKUP($B:$B,'P&amp;L by Month'!$A:$N,11,FALSE)</f>
        <v>0</v>
      </c>
      <c r="AU26" s="26">
        <f>Budget!M25</f>
        <v>350</v>
      </c>
      <c r="AV26" s="26">
        <f t="shared" si="57"/>
        <v>-350</v>
      </c>
      <c r="AW26" s="26"/>
      <c r="AX26" s="26">
        <f>VLOOKUP($B:$B,'P&amp;L by Month'!$A:$N,12,FALSE)</f>
        <v>0</v>
      </c>
      <c r="AY26" s="26">
        <f>Budget!N25</f>
        <v>350</v>
      </c>
      <c r="AZ26" s="26">
        <f t="shared" si="58"/>
        <v>-350</v>
      </c>
      <c r="BA26" s="26"/>
      <c r="BB26" s="26">
        <f>VLOOKUP($B:$B,'P&amp;L by Month'!$A:$N,13,FALSE)</f>
        <v>0</v>
      </c>
      <c r="BC26" s="26">
        <f>Budget!O25</f>
        <v>350</v>
      </c>
      <c r="BD26" s="26">
        <f t="shared" si="59"/>
        <v>-350</v>
      </c>
      <c r="BE26" s="6"/>
      <c r="BF26" s="6"/>
    </row>
    <row r="27" spans="1:59" ht="14.4" x14ac:dyDescent="0.3">
      <c r="A27" s="4" t="s">
        <v>39</v>
      </c>
      <c r="F27" s="7">
        <f t="shared" si="45"/>
        <v>0</v>
      </c>
      <c r="G27" s="7">
        <f t="shared" si="46"/>
        <v>234863.39050328839</v>
      </c>
      <c r="H27" s="7">
        <f t="shared" si="47"/>
        <v>-234863.39050328839</v>
      </c>
      <c r="J27" s="26"/>
      <c r="K27" s="26">
        <f>Budget!D26</f>
        <v>18285.458839761242</v>
      </c>
      <c r="L27" s="26">
        <f t="shared" si="48"/>
        <v>-18285.458839761242</v>
      </c>
      <c r="M27" s="26"/>
      <c r="N27" s="6"/>
      <c r="O27" s="26">
        <f>Budget!E26</f>
        <v>18351.896006879044</v>
      </c>
      <c r="P27" s="26">
        <f t="shared" si="49"/>
        <v>-18351.896006879044</v>
      </c>
      <c r="Q27" s="26"/>
      <c r="R27" s="6"/>
      <c r="S27" s="26">
        <f>Budget!F26</f>
        <v>18418.574562370704</v>
      </c>
      <c r="T27" s="26">
        <f t="shared" si="50"/>
        <v>-18418.574562370704</v>
      </c>
      <c r="U27" s="26"/>
      <c r="V27" s="6"/>
      <c r="W27" s="26">
        <f>Budget!G26</f>
        <v>18485.495383280653</v>
      </c>
      <c r="X27" s="26">
        <f t="shared" si="51"/>
        <v>-18485.495383280653</v>
      </c>
      <c r="Y27" s="26"/>
      <c r="Z27" s="6"/>
      <c r="AA27" s="26">
        <f>Budget!H26</f>
        <v>18552.659349839905</v>
      </c>
      <c r="AB27" s="26">
        <f t="shared" si="52"/>
        <v>-18552.659349839905</v>
      </c>
      <c r="AC27" s="26"/>
      <c r="AD27" s="6"/>
      <c r="AE27" s="26">
        <f>Budget!I26</f>
        <v>18620.067345477659</v>
      </c>
      <c r="AF27" s="26">
        <f t="shared" si="53"/>
        <v>-18620.067345477659</v>
      </c>
      <c r="AG27" s="26"/>
      <c r="AH27" s="6"/>
      <c r="AI27" s="26">
        <f>Budget!J26</f>
        <v>20504.386923499558</v>
      </c>
      <c r="AJ27" s="26">
        <f t="shared" si="54"/>
        <v>-20504.386923499558</v>
      </c>
      <c r="AK27" s="26"/>
      <c r="AL27" s="6"/>
      <c r="AM27" s="26">
        <f>Budget!K26</f>
        <v>20578.886195988271</v>
      </c>
      <c r="AN27" s="26">
        <f t="shared" si="55"/>
        <v>-20578.886195988271</v>
      </c>
      <c r="AO27" s="26"/>
      <c r="AP27" s="6"/>
      <c r="AQ27" s="26">
        <f>Budget!L26</f>
        <v>20653.656149167029</v>
      </c>
      <c r="AR27" s="26">
        <f t="shared" si="56"/>
        <v>-20653.656149167029</v>
      </c>
      <c r="AS27" s="26"/>
      <c r="AT27" s="6"/>
      <c r="AU27" s="26">
        <f>Budget!M26</f>
        <v>20728.697766509002</v>
      </c>
      <c r="AV27" s="26">
        <f t="shared" si="57"/>
        <v>-20728.697766509002</v>
      </c>
      <c r="AW27" s="26"/>
      <c r="AX27" s="6"/>
      <c r="AY27" s="26">
        <f>Budget!N26</f>
        <v>20804.012035060652</v>
      </c>
      <c r="AZ27" s="26">
        <f t="shared" si="58"/>
        <v>-20804.012035060652</v>
      </c>
      <c r="BA27" s="26"/>
      <c r="BB27" s="6"/>
      <c r="BC27" s="26">
        <f>Budget!O26</f>
        <v>20879.599945454705</v>
      </c>
      <c r="BD27" s="26">
        <f t="shared" si="59"/>
        <v>-20879.599945454705</v>
      </c>
      <c r="BE27" s="6"/>
      <c r="BF27" s="6"/>
    </row>
    <row r="28" spans="1:59" ht="14.4" x14ac:dyDescent="0.3">
      <c r="A28" s="4" t="s">
        <v>25</v>
      </c>
      <c r="B28" s="42" t="s">
        <v>137</v>
      </c>
      <c r="F28" s="7">
        <f t="shared" si="45"/>
        <v>1010.11</v>
      </c>
      <c r="G28" s="7">
        <f t="shared" si="46"/>
        <v>10200</v>
      </c>
      <c r="H28" s="7">
        <f t="shared" si="47"/>
        <v>-9189.89</v>
      </c>
      <c r="J28" s="26">
        <f>VLOOKUP($B:$B,'P&amp;L by Month'!$A:$N,2,FALSE)</f>
        <v>0</v>
      </c>
      <c r="K28" s="26">
        <f>Budget!D28</f>
        <v>850</v>
      </c>
      <c r="L28" s="26">
        <f t="shared" si="48"/>
        <v>-850</v>
      </c>
      <c r="M28" s="26"/>
      <c r="N28" s="26">
        <f>VLOOKUP($B:$B,'P&amp;L by Month'!$A:$N,3,FALSE)</f>
        <v>8.6</v>
      </c>
      <c r="O28" s="26">
        <f>Budget!E28</f>
        <v>850</v>
      </c>
      <c r="P28" s="26">
        <f t="shared" si="49"/>
        <v>-841.4</v>
      </c>
      <c r="Q28" s="26"/>
      <c r="R28" s="26">
        <f>VLOOKUP($B:$B,'P&amp;L by Month'!$A:$N,4,FALSE)</f>
        <v>488.11</v>
      </c>
      <c r="S28" s="26">
        <f>Budget!F28</f>
        <v>850</v>
      </c>
      <c r="T28" s="26">
        <f t="shared" si="50"/>
        <v>-361.89</v>
      </c>
      <c r="U28" s="26"/>
      <c r="V28" s="26">
        <f>VLOOKUP($B:$B,'P&amp;L by Month'!$A:$N,5,FALSE)</f>
        <v>110</v>
      </c>
      <c r="W28" s="26">
        <f>Budget!G28</f>
        <v>850</v>
      </c>
      <c r="X28" s="26">
        <f t="shared" si="51"/>
        <v>-740</v>
      </c>
      <c r="Y28" s="26"/>
      <c r="Z28" s="26">
        <f>VLOOKUP($B:$B,'P&amp;L by Month'!$A:$N,6,FALSE)</f>
        <v>134</v>
      </c>
      <c r="AA28" s="26">
        <f>Budget!H28</f>
        <v>850</v>
      </c>
      <c r="AB28" s="26">
        <f t="shared" si="52"/>
        <v>-716</v>
      </c>
      <c r="AC28" s="26"/>
      <c r="AD28" s="26">
        <f>VLOOKUP($B:$B,'P&amp;L by Month'!$A:$N,7,FALSE)</f>
        <v>0</v>
      </c>
      <c r="AE28" s="26">
        <f>Budget!I28</f>
        <v>850</v>
      </c>
      <c r="AF28" s="26">
        <f t="shared" si="53"/>
        <v>-850</v>
      </c>
      <c r="AG28" s="26"/>
      <c r="AH28" s="26">
        <f>VLOOKUP($B:$B,'P&amp;L by Month'!$A:$N,8,FALSE)</f>
        <v>110</v>
      </c>
      <c r="AI28" s="26">
        <f>Budget!J28</f>
        <v>850</v>
      </c>
      <c r="AJ28" s="26">
        <f t="shared" si="54"/>
        <v>-740</v>
      </c>
      <c r="AK28" s="26"/>
      <c r="AL28" s="26">
        <f>VLOOKUP($B:$B,'P&amp;L by Month'!$A:$N,9,FALSE)</f>
        <v>22</v>
      </c>
      <c r="AM28" s="26">
        <f>Budget!K28</f>
        <v>850</v>
      </c>
      <c r="AN28" s="26">
        <f t="shared" si="55"/>
        <v>-828</v>
      </c>
      <c r="AO28" s="26"/>
      <c r="AP28" s="26">
        <f>VLOOKUP($B:$B,'P&amp;L by Month'!$A:$N,10,FALSE)</f>
        <v>137.4</v>
      </c>
      <c r="AQ28" s="26">
        <f>Budget!L28</f>
        <v>850</v>
      </c>
      <c r="AR28" s="26">
        <f t="shared" si="56"/>
        <v>-712.6</v>
      </c>
      <c r="AS28" s="26"/>
      <c r="AT28" s="26">
        <f>VLOOKUP($B:$B,'P&amp;L by Month'!$A:$N,11,FALSE)</f>
        <v>0</v>
      </c>
      <c r="AU28" s="26">
        <f>Budget!M28</f>
        <v>850</v>
      </c>
      <c r="AV28" s="26">
        <f t="shared" si="57"/>
        <v>-850</v>
      </c>
      <c r="AW28" s="26"/>
      <c r="AX28" s="26">
        <f>VLOOKUP($B:$B,'P&amp;L by Month'!$A:$N,12,FALSE)</f>
        <v>0</v>
      </c>
      <c r="AY28" s="26">
        <f>Budget!N28</f>
        <v>850</v>
      </c>
      <c r="AZ28" s="26">
        <f t="shared" si="58"/>
        <v>-850</v>
      </c>
      <c r="BA28" s="26"/>
      <c r="BB28" s="26">
        <f>VLOOKUP($B:$B,'P&amp;L by Month'!$A:$N,13,FALSE)</f>
        <v>0</v>
      </c>
      <c r="BC28" s="26">
        <f>Budget!O28</f>
        <v>850</v>
      </c>
      <c r="BD28" s="26">
        <f t="shared" si="59"/>
        <v>-850</v>
      </c>
      <c r="BE28" s="6"/>
      <c r="BF28" s="6"/>
    </row>
    <row r="29" spans="1:59" ht="14.4" x14ac:dyDescent="0.3">
      <c r="A29" s="4" t="s">
        <v>8</v>
      </c>
      <c r="B29" s="42" t="s">
        <v>134</v>
      </c>
      <c r="F29" s="7">
        <f t="shared" si="45"/>
        <v>22219.78</v>
      </c>
      <c r="G29" s="7">
        <f t="shared" si="46"/>
        <v>5500</v>
      </c>
      <c r="H29" s="7">
        <f t="shared" si="47"/>
        <v>16719.78</v>
      </c>
      <c r="J29" s="26">
        <f>VLOOKUP($B:$B,'P&amp;L by Month'!$A:$N,2,FALSE)</f>
        <v>650</v>
      </c>
      <c r="K29" s="26">
        <f>Budget!D29</f>
        <v>458.33333333333337</v>
      </c>
      <c r="L29" s="26">
        <f t="shared" si="48"/>
        <v>191.66666666666663</v>
      </c>
      <c r="M29" s="26"/>
      <c r="N29" s="26">
        <f>VLOOKUP($B:$B,'P&amp;L by Month'!$A:$N,3,FALSE)</f>
        <v>0</v>
      </c>
      <c r="O29" s="26">
        <f>Budget!E29</f>
        <v>458.33333333333337</v>
      </c>
      <c r="P29" s="26">
        <f t="shared" si="49"/>
        <v>-458.33333333333337</v>
      </c>
      <c r="Q29" s="26"/>
      <c r="R29" s="26">
        <f>VLOOKUP($B:$B,'P&amp;L by Month'!$A:$N,4,FALSE)</f>
        <v>678.36</v>
      </c>
      <c r="S29" s="26">
        <f>Budget!F29</f>
        <v>458.33333333333337</v>
      </c>
      <c r="T29" s="26">
        <f t="shared" si="50"/>
        <v>220.02666666666664</v>
      </c>
      <c r="U29" s="26"/>
      <c r="V29" s="26">
        <f>VLOOKUP($B:$B,'P&amp;L by Month'!$A:$N,5,FALSE)</f>
        <v>0</v>
      </c>
      <c r="W29" s="26">
        <f>Budget!G29</f>
        <v>458.33333333333337</v>
      </c>
      <c r="X29" s="26">
        <f t="shared" si="51"/>
        <v>-458.33333333333337</v>
      </c>
      <c r="Y29" s="26"/>
      <c r="Z29" s="26">
        <f>VLOOKUP($B:$B,'P&amp;L by Month'!$A:$N,6,FALSE)</f>
        <v>17427.169999999998</v>
      </c>
      <c r="AA29" s="26">
        <f>Budget!H29</f>
        <v>458.33333333333337</v>
      </c>
      <c r="AB29" s="26">
        <f t="shared" si="52"/>
        <v>16968.836666666666</v>
      </c>
      <c r="AC29" s="26"/>
      <c r="AD29" s="26">
        <f>VLOOKUP($B:$B,'P&amp;L by Month'!$A:$N,7,FALSE)</f>
        <v>76.3</v>
      </c>
      <c r="AE29" s="26">
        <f>Budget!I29</f>
        <v>458.33333333333337</v>
      </c>
      <c r="AF29" s="26">
        <f t="shared" si="53"/>
        <v>-382.03333333333336</v>
      </c>
      <c r="AG29" s="26"/>
      <c r="AH29" s="26">
        <f>VLOOKUP($B:$B,'P&amp;L by Month'!$A:$N,8,FALSE)</f>
        <v>1485</v>
      </c>
      <c r="AI29" s="26">
        <f>Budget!J29</f>
        <v>458.33333333333337</v>
      </c>
      <c r="AJ29" s="26">
        <f t="shared" si="54"/>
        <v>1026.6666666666665</v>
      </c>
      <c r="AK29" s="26"/>
      <c r="AL29" s="26">
        <f>VLOOKUP($B:$B,'P&amp;L by Month'!$A:$N,9,FALSE)</f>
        <v>1902.95</v>
      </c>
      <c r="AM29" s="26">
        <f>Budget!K29</f>
        <v>458.33333333333337</v>
      </c>
      <c r="AN29" s="26">
        <f t="shared" si="55"/>
        <v>1444.6166666666668</v>
      </c>
      <c r="AO29" s="26"/>
      <c r="AP29" s="26">
        <f>VLOOKUP($B:$B,'P&amp;L by Month'!$A:$N,10,FALSE)</f>
        <v>0</v>
      </c>
      <c r="AQ29" s="26">
        <f>Budget!L29</f>
        <v>458.33333333333337</v>
      </c>
      <c r="AR29" s="26">
        <f t="shared" si="56"/>
        <v>-458.33333333333337</v>
      </c>
      <c r="AS29" s="26"/>
      <c r="AT29" s="26">
        <f>VLOOKUP($B:$B,'P&amp;L by Month'!$A:$N,11,FALSE)</f>
        <v>0</v>
      </c>
      <c r="AU29" s="26">
        <f>Budget!M29</f>
        <v>458.33333333333337</v>
      </c>
      <c r="AV29" s="26">
        <f t="shared" si="57"/>
        <v>-458.33333333333337</v>
      </c>
      <c r="AW29" s="26"/>
      <c r="AX29" s="26">
        <f>VLOOKUP($B:$B,'P&amp;L by Month'!$A:$N,12,FALSE)</f>
        <v>0</v>
      </c>
      <c r="AY29" s="26">
        <f>Budget!N29</f>
        <v>458.33333333333337</v>
      </c>
      <c r="AZ29" s="26">
        <f t="shared" si="58"/>
        <v>-458.33333333333337</v>
      </c>
      <c r="BA29" s="26"/>
      <c r="BB29" s="26">
        <f>VLOOKUP($B:$B,'P&amp;L by Month'!$A:$N,13,FALSE)</f>
        <v>0</v>
      </c>
      <c r="BC29" s="26">
        <f>Budget!O29</f>
        <v>458.33333333333337</v>
      </c>
      <c r="BD29" s="26">
        <f t="shared" si="59"/>
        <v>-458.33333333333337</v>
      </c>
      <c r="BE29" s="6"/>
      <c r="BF29" s="6"/>
    </row>
    <row r="30" spans="1:59" ht="14.4" x14ac:dyDescent="0.3">
      <c r="A30" s="4" t="s">
        <v>28</v>
      </c>
      <c r="B30" s="42" t="s">
        <v>98</v>
      </c>
      <c r="C30" s="43" t="s">
        <v>94</v>
      </c>
      <c r="D30" s="42" t="s">
        <v>139</v>
      </c>
      <c r="E30" s="42"/>
      <c r="F30" s="7">
        <f t="shared" si="45"/>
        <v>69718.78</v>
      </c>
      <c r="G30" s="7">
        <f t="shared" si="46"/>
        <v>98520</v>
      </c>
      <c r="H30" s="7">
        <f t="shared" si="47"/>
        <v>-28801.22</v>
      </c>
      <c r="J30" s="26">
        <f>VLOOKUP($B:$B,'P&amp;L by Month'!$A:$N,2,FALSE)-VLOOKUP($C:$C,'P&amp;L by Month'!$A:$N,2,FALSE)+VLOOKUP($D:$D,'P&amp;L by Month'!$A:$N,2,FALSE)</f>
        <v>5384.26</v>
      </c>
      <c r="K30" s="26">
        <f>Budget!D30</f>
        <v>500</v>
      </c>
      <c r="L30" s="26">
        <f t="shared" si="48"/>
        <v>4884.26</v>
      </c>
      <c r="M30" s="26"/>
      <c r="N30" s="26">
        <f>VLOOKUP($B:$B,'P&amp;L by Month'!$A:$N,3,FALSE)-VLOOKUP($C:$C,'P&amp;L by Month'!$A:$N,3,FALSE)+VLOOKUP($D:$D,'P&amp;L by Month'!$A:$N,3,FALSE)</f>
        <v>5674.7</v>
      </c>
      <c r="O30" s="26">
        <f>Budget!E30</f>
        <v>500</v>
      </c>
      <c r="P30" s="26">
        <f t="shared" si="49"/>
        <v>5174.7</v>
      </c>
      <c r="Q30" s="26"/>
      <c r="R30" s="26">
        <f>VLOOKUP($B:$B,'P&amp;L by Month'!$A:$N,4,FALSE)-VLOOKUP($C:$C,'P&amp;L by Month'!$A:$N,4,FALSE)+VLOOKUP($D:$D,'P&amp;L by Month'!$A:$N,4,FALSE)</f>
        <v>5190.84</v>
      </c>
      <c r="S30" s="26">
        <f>Budget!F30</f>
        <v>59500</v>
      </c>
      <c r="T30" s="26">
        <f t="shared" si="50"/>
        <v>-54309.16</v>
      </c>
      <c r="U30" s="26"/>
      <c r="V30" s="26">
        <f>VLOOKUP($B:$B,'P&amp;L by Month'!$A:$N,5,FALSE)-VLOOKUP($C:$C,'P&amp;L by Month'!$A:$N,5,FALSE)+VLOOKUP($D:$D,'P&amp;L by Month'!$A:$N,5,FALSE)</f>
        <v>9679.1099999999988</v>
      </c>
      <c r="W30" s="26">
        <f>Budget!G30</f>
        <v>500</v>
      </c>
      <c r="X30" s="26">
        <f t="shared" si="51"/>
        <v>9179.1099999999988</v>
      </c>
      <c r="Y30" s="26"/>
      <c r="Z30" s="26">
        <f>VLOOKUP($B:$B,'P&amp;L by Month'!$A:$N,6,FALSE)-VLOOKUP($C:$C,'P&amp;L by Month'!$A:$N,6,FALSE)+VLOOKUP($D:$D,'P&amp;L by Month'!$A:$N,6,FALSE)</f>
        <v>26343.93</v>
      </c>
      <c r="AA30" s="26">
        <f>Budget!H30</f>
        <v>500</v>
      </c>
      <c r="AB30" s="26">
        <f t="shared" si="52"/>
        <v>25843.93</v>
      </c>
      <c r="AC30" s="26"/>
      <c r="AD30" s="26">
        <f>VLOOKUP($B:$B,'P&amp;L by Month'!$A:$N,7,FALSE)-VLOOKUP($C:$C,'P&amp;L by Month'!$A:$N,7,FALSE)+VLOOKUP($D:$D,'P&amp;L by Month'!$A:$N,7,FALSE)</f>
        <v>6886.5800000000008</v>
      </c>
      <c r="AE30" s="26">
        <f>Budget!I30</f>
        <v>7000</v>
      </c>
      <c r="AF30" s="26">
        <f t="shared" si="53"/>
        <v>-113.41999999999916</v>
      </c>
      <c r="AG30" s="26"/>
      <c r="AH30" s="26">
        <f>VLOOKUP($B:$B,'P&amp;L by Month'!$A:$N,8,FALSE)-VLOOKUP($C:$C,'P&amp;L by Month'!$A:$N,8,FALSE)+VLOOKUP($D:$D,'P&amp;L by Month'!$A:$N,8,FALSE)</f>
        <v>1437.91</v>
      </c>
      <c r="AI30" s="26">
        <f>Budget!J30</f>
        <v>500</v>
      </c>
      <c r="AJ30" s="26">
        <f t="shared" si="54"/>
        <v>937.91000000000008</v>
      </c>
      <c r="AK30" s="26"/>
      <c r="AL30" s="26">
        <f>VLOOKUP($B:$B,'P&amp;L by Month'!$A:$N,9,FALSE)-VLOOKUP($C:$C,'P&amp;L by Month'!$A:$N,9,FALSE)+VLOOKUP($D:$D,'P&amp;L by Month'!$A:$N,9,FALSE)</f>
        <v>1982.2399999999998</v>
      </c>
      <c r="AM30" s="26">
        <f>Budget!K30</f>
        <v>5500</v>
      </c>
      <c r="AN30" s="26">
        <f t="shared" si="55"/>
        <v>-3517.76</v>
      </c>
      <c r="AO30" s="26"/>
      <c r="AP30" s="26">
        <f>VLOOKUP($B:$B,'P&amp;L by Month'!$A:$N,10,FALSE)-VLOOKUP($C:$C,'P&amp;L by Month'!$A:$N,10,FALSE)+VLOOKUP($D:$D,'P&amp;L by Month'!$A:$N,10,FALSE)</f>
        <v>4839.3500000000004</v>
      </c>
      <c r="AQ30" s="26">
        <f>Budget!L30</f>
        <v>500</v>
      </c>
      <c r="AR30" s="26">
        <f t="shared" si="56"/>
        <v>4339.3500000000004</v>
      </c>
      <c r="AS30" s="26"/>
      <c r="AT30" s="26">
        <f>VLOOKUP($B:$B,'P&amp;L by Month'!$A:$N,11,FALSE)-VLOOKUP($C:$C,'P&amp;L by Month'!$A:$N,11,FALSE)+VLOOKUP($D:$D,'P&amp;L by Month'!$A:$N,11,FALSE)</f>
        <v>2299.86</v>
      </c>
      <c r="AU30" s="26">
        <f>Budget!M30</f>
        <v>4020</v>
      </c>
      <c r="AV30" s="26">
        <f t="shared" si="57"/>
        <v>-1720.1399999999999</v>
      </c>
      <c r="AW30" s="26"/>
      <c r="AX30" s="26">
        <f>VLOOKUP($B:$B,'P&amp;L by Month'!$A:$N,12,FALSE)-VLOOKUP($C:$C,'P&amp;L by Month'!$A:$N,12,FALSE)+VLOOKUP($D:$D,'P&amp;L by Month'!$A:$N,12,FALSE)</f>
        <v>0</v>
      </c>
      <c r="AY30" s="26">
        <f>Budget!N30</f>
        <v>500</v>
      </c>
      <c r="AZ30" s="26">
        <f t="shared" si="58"/>
        <v>-500</v>
      </c>
      <c r="BA30" s="26"/>
      <c r="BB30" s="26">
        <f>VLOOKUP($B:$B,'P&amp;L by Month'!$A:$N,13,FALSE)-VLOOKUP($C:$C,'P&amp;L by Month'!$A:$N,13,FALSE)+VLOOKUP($D:$D,'P&amp;L by Month'!$A:$N,13,FALSE)</f>
        <v>0</v>
      </c>
      <c r="BC30" s="26">
        <f>Budget!O30</f>
        <v>19000</v>
      </c>
      <c r="BD30" s="26">
        <f t="shared" si="59"/>
        <v>-19000</v>
      </c>
      <c r="BE30" s="6"/>
      <c r="BF30" s="6"/>
    </row>
    <row r="31" spans="1:59" ht="14.4" x14ac:dyDescent="0.3">
      <c r="A31" s="4" t="s">
        <v>10</v>
      </c>
      <c r="B31" s="36" t="s">
        <v>120</v>
      </c>
      <c r="F31" s="7">
        <f t="shared" si="45"/>
        <v>3835.1500000000005</v>
      </c>
      <c r="G31" s="7">
        <f t="shared" si="46"/>
        <v>38400</v>
      </c>
      <c r="H31" s="7">
        <f t="shared" si="47"/>
        <v>-34564.85</v>
      </c>
      <c r="J31" s="26">
        <f>VLOOKUP($B:$B,'P&amp;L by Month'!$A:$N,2,FALSE)</f>
        <v>518.58000000000004</v>
      </c>
      <c r="K31" s="26">
        <f>Budget!D31</f>
        <v>3200</v>
      </c>
      <c r="L31" s="26">
        <f t="shared" si="48"/>
        <v>-2681.42</v>
      </c>
      <c r="M31" s="26"/>
      <c r="N31" s="26">
        <f>VLOOKUP($B:$B,'P&amp;L by Month'!$A:$N,3,FALSE)</f>
        <v>535.6</v>
      </c>
      <c r="O31" s="26">
        <f>Budget!E31</f>
        <v>3200</v>
      </c>
      <c r="P31" s="26">
        <f t="shared" si="49"/>
        <v>-2664.4</v>
      </c>
      <c r="Q31" s="26"/>
      <c r="R31" s="26">
        <f>VLOOKUP($B:$B,'P&amp;L by Month'!$A:$N,4,FALSE)</f>
        <v>558.38</v>
      </c>
      <c r="S31" s="26">
        <f>Budget!F31</f>
        <v>3200</v>
      </c>
      <c r="T31" s="26">
        <f t="shared" si="50"/>
        <v>-2641.62</v>
      </c>
      <c r="U31" s="26"/>
      <c r="V31" s="26">
        <f>VLOOKUP($B:$B,'P&amp;L by Month'!$A:$N,5,FALSE)</f>
        <v>720.86</v>
      </c>
      <c r="W31" s="26">
        <f>Budget!G31</f>
        <v>3200</v>
      </c>
      <c r="X31" s="26">
        <f t="shared" si="51"/>
        <v>-2479.14</v>
      </c>
      <c r="Y31" s="26"/>
      <c r="Z31" s="26">
        <f>VLOOKUP($B:$B,'P&amp;L by Month'!$A:$N,6,FALSE)</f>
        <v>142.97999999999999</v>
      </c>
      <c r="AA31" s="26">
        <f>Budget!H31</f>
        <v>3200</v>
      </c>
      <c r="AB31" s="26">
        <f t="shared" si="52"/>
        <v>-3057.02</v>
      </c>
      <c r="AC31" s="26"/>
      <c r="AD31" s="26">
        <f>VLOOKUP($B:$B,'P&amp;L by Month'!$A:$N,7,FALSE)</f>
        <v>210.9</v>
      </c>
      <c r="AE31" s="26">
        <f>Budget!I31</f>
        <v>3200</v>
      </c>
      <c r="AF31" s="26">
        <f t="shared" si="53"/>
        <v>-2989.1</v>
      </c>
      <c r="AG31" s="26"/>
      <c r="AH31" s="26">
        <f>VLOOKUP($B:$B,'P&amp;L by Month'!$A:$N,8,FALSE)</f>
        <v>281.17</v>
      </c>
      <c r="AI31" s="26">
        <f>Budget!J31</f>
        <v>3200</v>
      </c>
      <c r="AJ31" s="26">
        <f t="shared" si="54"/>
        <v>-2918.83</v>
      </c>
      <c r="AK31" s="26"/>
      <c r="AL31" s="26">
        <f>VLOOKUP($B:$B,'P&amp;L by Month'!$A:$N,9,FALSE)</f>
        <v>416.4</v>
      </c>
      <c r="AM31" s="26">
        <f>Budget!K31</f>
        <v>3200</v>
      </c>
      <c r="AN31" s="26">
        <f t="shared" si="55"/>
        <v>-2783.6</v>
      </c>
      <c r="AO31" s="26"/>
      <c r="AP31" s="26">
        <f>VLOOKUP($B:$B,'P&amp;L by Month'!$A:$N,10,FALSE)</f>
        <v>274.17</v>
      </c>
      <c r="AQ31" s="26">
        <f>Budget!L31</f>
        <v>3200</v>
      </c>
      <c r="AR31" s="26">
        <f t="shared" si="56"/>
        <v>-2925.83</v>
      </c>
      <c r="AS31" s="26"/>
      <c r="AT31" s="26">
        <f>VLOOKUP($B:$B,'P&amp;L by Month'!$A:$N,11,FALSE)</f>
        <v>176.11</v>
      </c>
      <c r="AU31" s="26">
        <f>Budget!M31</f>
        <v>3200</v>
      </c>
      <c r="AV31" s="26">
        <f t="shared" si="57"/>
        <v>-3023.89</v>
      </c>
      <c r="AW31" s="26"/>
      <c r="AX31" s="26">
        <f>VLOOKUP($B:$B,'P&amp;L by Month'!$A:$N,12,FALSE)</f>
        <v>0</v>
      </c>
      <c r="AY31" s="26">
        <f>Budget!N31</f>
        <v>3200</v>
      </c>
      <c r="AZ31" s="26">
        <f t="shared" si="58"/>
        <v>-3200</v>
      </c>
      <c r="BA31" s="26"/>
      <c r="BB31" s="26">
        <f>VLOOKUP($B:$B,'P&amp;L by Month'!$A:$N,13,FALSE)</f>
        <v>0</v>
      </c>
      <c r="BC31" s="26">
        <f>Budget!O31</f>
        <v>3200</v>
      </c>
      <c r="BD31" s="26">
        <f t="shared" si="59"/>
        <v>-3200</v>
      </c>
      <c r="BE31" s="6"/>
      <c r="BF31" s="6"/>
    </row>
    <row r="32" spans="1:59" ht="14.4" x14ac:dyDescent="0.3">
      <c r="A32" s="4" t="s">
        <v>11</v>
      </c>
      <c r="B32" s="42" t="s">
        <v>127</v>
      </c>
      <c r="F32" s="7">
        <f t="shared" si="45"/>
        <v>20334.060000000001</v>
      </c>
      <c r="G32" s="7">
        <f t="shared" si="46"/>
        <v>55200</v>
      </c>
      <c r="H32" s="7">
        <f t="shared" si="47"/>
        <v>-34865.94</v>
      </c>
      <c r="J32" s="26">
        <f>VLOOKUP($B:$B,'P&amp;L by Month'!$A:$N,2,FALSE)</f>
        <v>0</v>
      </c>
      <c r="K32" s="26">
        <f>Budget!D32</f>
        <v>4600</v>
      </c>
      <c r="L32" s="26">
        <f t="shared" si="48"/>
        <v>-4600</v>
      </c>
      <c r="M32" s="26"/>
      <c r="N32" s="26">
        <f>VLOOKUP($B:$B,'P&amp;L by Month'!$A:$N,3,FALSE)</f>
        <v>0</v>
      </c>
      <c r="O32" s="26">
        <f>Budget!E32</f>
        <v>4600</v>
      </c>
      <c r="P32" s="26">
        <f t="shared" si="49"/>
        <v>-4600</v>
      </c>
      <c r="Q32" s="26"/>
      <c r="R32" s="26">
        <f>VLOOKUP($B:$B,'P&amp;L by Month'!$A:$N,4,FALSE)</f>
        <v>1848</v>
      </c>
      <c r="S32" s="26">
        <f>Budget!F32</f>
        <v>4600</v>
      </c>
      <c r="T32" s="26">
        <f t="shared" si="50"/>
        <v>-2752</v>
      </c>
      <c r="U32" s="26"/>
      <c r="V32" s="26">
        <f>VLOOKUP($B:$B,'P&amp;L by Month'!$A:$N,5,FALSE)</f>
        <v>9766.92</v>
      </c>
      <c r="W32" s="26">
        <f>Budget!G32</f>
        <v>4600</v>
      </c>
      <c r="X32" s="26">
        <f t="shared" si="51"/>
        <v>5166.92</v>
      </c>
      <c r="Y32" s="26"/>
      <c r="Z32" s="26">
        <f>VLOOKUP($B:$B,'P&amp;L by Month'!$A:$N,6,FALSE)</f>
        <v>1511.99</v>
      </c>
      <c r="AA32" s="26">
        <f>Budget!H32</f>
        <v>4600</v>
      </c>
      <c r="AB32" s="26">
        <f t="shared" si="52"/>
        <v>-3088.01</v>
      </c>
      <c r="AC32" s="26"/>
      <c r="AD32" s="26">
        <f>VLOOKUP($B:$B,'P&amp;L by Month'!$A:$N,7,FALSE)</f>
        <v>1511.97</v>
      </c>
      <c r="AE32" s="26">
        <f>Budget!I32</f>
        <v>4600</v>
      </c>
      <c r="AF32" s="26">
        <f t="shared" si="53"/>
        <v>-3088.0299999999997</v>
      </c>
      <c r="AG32" s="26"/>
      <c r="AH32" s="26">
        <f>VLOOKUP($B:$B,'P&amp;L by Month'!$A:$N,8,FALSE)</f>
        <v>1511.97</v>
      </c>
      <c r="AI32" s="26">
        <f>Budget!J32</f>
        <v>4600</v>
      </c>
      <c r="AJ32" s="26">
        <f t="shared" si="54"/>
        <v>-3088.0299999999997</v>
      </c>
      <c r="AK32" s="26"/>
      <c r="AL32" s="26">
        <f>VLOOKUP($B:$B,'P&amp;L by Month'!$A:$N,9,FALSE)</f>
        <v>2529.58</v>
      </c>
      <c r="AM32" s="26">
        <f>Budget!K32</f>
        <v>4600</v>
      </c>
      <c r="AN32" s="26">
        <f t="shared" si="55"/>
        <v>-2070.42</v>
      </c>
      <c r="AO32" s="26"/>
      <c r="AP32" s="26">
        <f>VLOOKUP($B:$B,'P&amp;L by Month'!$A:$N,10,FALSE)</f>
        <v>1653.63</v>
      </c>
      <c r="AQ32" s="26">
        <f>Budget!L32</f>
        <v>4600</v>
      </c>
      <c r="AR32" s="26">
        <f t="shared" si="56"/>
        <v>-2946.37</v>
      </c>
      <c r="AS32" s="26"/>
      <c r="AT32" s="26">
        <f>VLOOKUP($B:$B,'P&amp;L by Month'!$A:$N,11,FALSE)</f>
        <v>0</v>
      </c>
      <c r="AU32" s="26">
        <f>Budget!M32</f>
        <v>4600</v>
      </c>
      <c r="AV32" s="26">
        <f t="shared" si="57"/>
        <v>-4600</v>
      </c>
      <c r="AW32" s="26"/>
      <c r="AX32" s="26">
        <f>VLOOKUP($B:$B,'P&amp;L by Month'!$A:$N,12,FALSE)</f>
        <v>0</v>
      </c>
      <c r="AY32" s="26">
        <f>Budget!N32</f>
        <v>4600</v>
      </c>
      <c r="AZ32" s="26">
        <f t="shared" si="58"/>
        <v>-4600</v>
      </c>
      <c r="BA32" s="26"/>
      <c r="BB32" s="26">
        <f>VLOOKUP($B:$B,'P&amp;L by Month'!$A:$N,13,FALSE)</f>
        <v>0</v>
      </c>
      <c r="BC32" s="26">
        <f>Budget!O32</f>
        <v>4600</v>
      </c>
      <c r="BD32" s="26">
        <f t="shared" si="59"/>
        <v>-4600</v>
      </c>
      <c r="BE32" s="6"/>
      <c r="BF32" s="6"/>
    </row>
    <row r="33" spans="1:60" s="45" customFormat="1" ht="14.4" x14ac:dyDescent="0.3">
      <c r="A33" s="45" t="s">
        <v>31</v>
      </c>
      <c r="B33" s="42" t="s">
        <v>128</v>
      </c>
      <c r="C33" s="49" t="s">
        <v>120</v>
      </c>
      <c r="D33" s="49" t="s">
        <v>122</v>
      </c>
      <c r="E33" s="49" t="s">
        <v>127</v>
      </c>
      <c r="F33" s="44">
        <f t="shared" si="45"/>
        <v>26811.200000000004</v>
      </c>
      <c r="G33" s="44">
        <f t="shared" si="46"/>
        <v>231000</v>
      </c>
      <c r="H33" s="44">
        <f t="shared" si="47"/>
        <v>-204188.79999999999</v>
      </c>
      <c r="J33" s="46">
        <f>VLOOKUP($B:$B,'P&amp;L by Month'!$A:$N,2,FALSE)-VLOOKUP($C:$C,'P&amp;L by Month'!$A:$N,2,FALSE)-VLOOKUP($D:$D,'P&amp;L by Month'!$A:$N,2,FALSE)-VLOOKUP($E:$E,'P&amp;L by Month'!$A:$N,2,FALSE)</f>
        <v>1279.6600000000003</v>
      </c>
      <c r="K33" s="46">
        <f>Budget!D33</f>
        <v>19250</v>
      </c>
      <c r="L33" s="46">
        <f t="shared" si="48"/>
        <v>-17970.34</v>
      </c>
      <c r="M33" s="46"/>
      <c r="N33" s="46">
        <f>VLOOKUP($B:$B,'P&amp;L by Month'!$A:$N,3,FALSE)-VLOOKUP($C:$C,'P&amp;L by Month'!$A:$N,3,FALSE)-VLOOKUP($D:$D,'P&amp;L by Month'!$A:$N,3,FALSE)-VLOOKUP($E:$E,'P&amp;L by Month'!$A:$N,3,FALSE)</f>
        <v>3220.12</v>
      </c>
      <c r="O33" s="46">
        <f>Budget!E33</f>
        <v>19250</v>
      </c>
      <c r="P33" s="46">
        <f t="shared" si="49"/>
        <v>-16029.880000000001</v>
      </c>
      <c r="Q33" s="46"/>
      <c r="R33" s="26">
        <f>VLOOKUP($B:$B,'P&amp;L by Month'!$A:$N,4,FALSE)-VLOOKUP($C:$C,'P&amp;L by Month'!$A:$N,4,FALSE)-VLOOKUP($D:$D,'P&amp;L by Month'!$A:$N,4,FALSE)-VLOOKUP($E:$E,'P&amp;L by Month'!$A:$N,4,FALSE)</f>
        <v>1726.3700000000003</v>
      </c>
      <c r="S33" s="46">
        <f>Budget!F33</f>
        <v>19250</v>
      </c>
      <c r="T33" s="46">
        <f t="shared" si="50"/>
        <v>-17523.63</v>
      </c>
      <c r="U33" s="46"/>
      <c r="V33" s="26">
        <f>VLOOKUP($B:$B,'P&amp;L by Month'!$A:$N,5,FALSE)-VLOOKUP($C:$C,'P&amp;L by Month'!$A:$N,5,FALSE)-VLOOKUP($D:$D,'P&amp;L by Month'!$A:$N,5,FALSE)-VLOOKUP($E:$E,'P&amp;L by Month'!$A:$N,5,FALSE)</f>
        <v>2559.2600000000002</v>
      </c>
      <c r="W33" s="46">
        <f>Budget!G33</f>
        <v>19250</v>
      </c>
      <c r="X33" s="46">
        <f t="shared" si="51"/>
        <v>-16690.739999999998</v>
      </c>
      <c r="Y33" s="46"/>
      <c r="Z33" s="26">
        <f>VLOOKUP($B:$B,'P&amp;L by Month'!$A:$N,6,FALSE)-VLOOKUP($C:$C,'P&amp;L by Month'!$A:$N,6,FALSE)-VLOOKUP($D:$D,'P&amp;L by Month'!$A:$N,6,FALSE)-VLOOKUP($E:$E,'P&amp;L by Month'!$A:$N,6,FALSE)</f>
        <v>1724.6799999999996</v>
      </c>
      <c r="AA33" s="46">
        <f>Budget!H33</f>
        <v>19250</v>
      </c>
      <c r="AB33" s="46">
        <f t="shared" si="52"/>
        <v>-17525.32</v>
      </c>
      <c r="AC33" s="46"/>
      <c r="AD33" s="26">
        <f>VLOOKUP($B:$B,'P&amp;L by Month'!$A:$N,7,FALSE)-VLOOKUP($C:$C,'P&amp;L by Month'!$A:$N,7,FALSE)-VLOOKUP($D:$D,'P&amp;L by Month'!$A:$N,7,FALSE)-VLOOKUP($E:$E,'P&amp;L by Month'!$A:$N,7,FALSE)</f>
        <v>3754.9500000000007</v>
      </c>
      <c r="AE33" s="46">
        <f>Budget!I33</f>
        <v>19250</v>
      </c>
      <c r="AF33" s="46">
        <f t="shared" si="53"/>
        <v>-15495.05</v>
      </c>
      <c r="AG33" s="46"/>
      <c r="AH33" s="26">
        <f>VLOOKUP($B:$B,'P&amp;L by Month'!$A:$N,8,FALSE)-VLOOKUP($C:$C,'P&amp;L by Month'!$A:$N,8,FALSE)-VLOOKUP($D:$D,'P&amp;L by Month'!$A:$N,8,FALSE)-VLOOKUP($E:$E,'P&amp;L by Month'!$A:$N,8,FALSE)</f>
        <v>1816.7900000000002</v>
      </c>
      <c r="AI33" s="46">
        <f>Budget!J33</f>
        <v>19250</v>
      </c>
      <c r="AJ33" s="46">
        <f t="shared" si="54"/>
        <v>-17433.21</v>
      </c>
      <c r="AK33" s="46"/>
      <c r="AL33" s="26">
        <f>VLOOKUP($B:$B,'P&amp;L by Month'!$A:$N,9,FALSE)-VLOOKUP($C:$C,'P&amp;L by Month'!$A:$N,9,FALSE)-VLOOKUP($D:$D,'P&amp;L by Month'!$A:$N,9,FALSE)-VLOOKUP($E:$E,'P&amp;L by Month'!$A:$N,9,FALSE)</f>
        <v>5788.4600000000009</v>
      </c>
      <c r="AM33" s="46">
        <f>Budget!K33</f>
        <v>19250</v>
      </c>
      <c r="AN33" s="46">
        <f t="shared" si="55"/>
        <v>-13461.539999999999</v>
      </c>
      <c r="AO33" s="46"/>
      <c r="AP33" s="26">
        <f>VLOOKUP($B:$B,'P&amp;L by Month'!$A:$N,10,FALSE)-VLOOKUP($C:$C,'P&amp;L by Month'!$A:$N,10,FALSE)-VLOOKUP($D:$D,'P&amp;L by Month'!$A:$N,10,FALSE)-VLOOKUP($E:$E,'P&amp;L by Month'!$A:$N,10,FALSE)</f>
        <v>4597.2</v>
      </c>
      <c r="AQ33" s="46">
        <f>Budget!L33</f>
        <v>19250</v>
      </c>
      <c r="AR33" s="46">
        <f t="shared" si="56"/>
        <v>-14652.8</v>
      </c>
      <c r="AS33" s="46"/>
      <c r="AT33" s="26">
        <f>VLOOKUP($B:$B,'P&amp;L by Month'!$A:$N,11,FALSE)-VLOOKUP($C:$C,'P&amp;L by Month'!$A:$N,11,FALSE)-VLOOKUP($D:$D,'P&amp;L by Month'!$A:$N,11,FALSE)-VLOOKUP($E:$E,'P&amp;L by Month'!$A:$N,11,FALSE)</f>
        <v>343.71000000000004</v>
      </c>
      <c r="AU33" s="46">
        <f>Budget!M33</f>
        <v>19250</v>
      </c>
      <c r="AV33" s="46">
        <f t="shared" si="57"/>
        <v>-18906.29</v>
      </c>
      <c r="AW33" s="46"/>
      <c r="AX33" s="26">
        <f>VLOOKUP($B:$B,'P&amp;L by Month'!$A:$N,12,FALSE)-VLOOKUP($C:$C,'P&amp;L by Month'!$A:$N,12,FALSE)-VLOOKUP($D:$D,'P&amp;L by Month'!$A:$N,12,FALSE)-VLOOKUP($E:$E,'P&amp;L by Month'!$A:$N,12,FALSE)</f>
        <v>0</v>
      </c>
      <c r="AY33" s="46">
        <f>Budget!N33</f>
        <v>19250</v>
      </c>
      <c r="AZ33" s="46">
        <f t="shared" si="58"/>
        <v>-19250</v>
      </c>
      <c r="BA33" s="46"/>
      <c r="BB33" s="26">
        <f>VLOOKUP($B:$B,'P&amp;L by Month'!$A:$N,13,FALSE)-VLOOKUP($C:$C,'P&amp;L by Month'!$A:$N,13,FALSE)-VLOOKUP($D:$D,'P&amp;L by Month'!$A:$N,13,FALSE)-VLOOKUP($E:$E,'P&amp;L by Month'!$A:$N,13,FALSE)</f>
        <v>0</v>
      </c>
      <c r="BC33" s="46">
        <f>Budget!O33</f>
        <v>19250</v>
      </c>
      <c r="BD33" s="46">
        <f t="shared" si="59"/>
        <v>-19250</v>
      </c>
      <c r="BE33" s="47"/>
      <c r="BF33" s="47"/>
      <c r="BG33" s="48"/>
    </row>
    <row r="34" spans="1:60" ht="14.4" x14ac:dyDescent="0.3">
      <c r="A34" s="4" t="s">
        <v>32</v>
      </c>
      <c r="B34" s="36" t="s">
        <v>122</v>
      </c>
      <c r="F34" s="7">
        <f t="shared" si="45"/>
        <v>2438.7200000000003</v>
      </c>
      <c r="G34" s="7">
        <f t="shared" si="46"/>
        <v>37200</v>
      </c>
      <c r="H34" s="7">
        <f t="shared" si="47"/>
        <v>-34761.279999999999</v>
      </c>
      <c r="J34" s="26">
        <f>VLOOKUP($B:$B,'P&amp;L by Month'!$A:$N,2,FALSE)</f>
        <v>480.98</v>
      </c>
      <c r="K34" s="26">
        <f>Budget!D34</f>
        <v>3500</v>
      </c>
      <c r="L34" s="26">
        <f t="shared" si="48"/>
        <v>-3019.02</v>
      </c>
      <c r="M34" s="26"/>
      <c r="N34" s="26">
        <f>VLOOKUP($B:$B,'P&amp;L by Month'!$A:$N,3,FALSE)</f>
        <v>637.49</v>
      </c>
      <c r="O34" s="26">
        <f>Budget!E34</f>
        <v>2900</v>
      </c>
      <c r="P34" s="26">
        <f t="shared" si="49"/>
        <v>-2262.5100000000002</v>
      </c>
      <c r="Q34" s="26"/>
      <c r="R34" s="26">
        <f>VLOOKUP($B:$B,'P&amp;L by Month'!$A:$N,4,FALSE)</f>
        <v>269.69</v>
      </c>
      <c r="S34" s="26">
        <f>Budget!F34</f>
        <v>2900</v>
      </c>
      <c r="T34" s="26">
        <f t="shared" si="50"/>
        <v>-2630.31</v>
      </c>
      <c r="U34" s="26"/>
      <c r="V34" s="26">
        <f>VLOOKUP($B:$B,'P&amp;L by Month'!$A:$N,5,FALSE)</f>
        <v>44</v>
      </c>
      <c r="W34" s="26">
        <f>Budget!G34</f>
        <v>3500</v>
      </c>
      <c r="X34" s="26">
        <f t="shared" si="51"/>
        <v>-3456</v>
      </c>
      <c r="Y34" s="26"/>
      <c r="Z34" s="26">
        <f>VLOOKUP($B:$B,'P&amp;L by Month'!$A:$N,6,FALSE)</f>
        <v>194</v>
      </c>
      <c r="AA34" s="26">
        <f>Budget!H34</f>
        <v>2900</v>
      </c>
      <c r="AB34" s="26">
        <f t="shared" si="52"/>
        <v>-2706</v>
      </c>
      <c r="AC34" s="26"/>
      <c r="AD34" s="26">
        <f>VLOOKUP($B:$B,'P&amp;L by Month'!$A:$N,7,FALSE)</f>
        <v>44</v>
      </c>
      <c r="AE34" s="26">
        <f>Budget!I34</f>
        <v>2900</v>
      </c>
      <c r="AF34" s="26">
        <f t="shared" si="53"/>
        <v>-2856</v>
      </c>
      <c r="AG34" s="26"/>
      <c r="AH34" s="26">
        <f>VLOOKUP($B:$B,'P&amp;L by Month'!$A:$N,8,FALSE)</f>
        <v>44</v>
      </c>
      <c r="AI34" s="26">
        <f>Budget!J34</f>
        <v>3500</v>
      </c>
      <c r="AJ34" s="26">
        <f t="shared" si="54"/>
        <v>-3456</v>
      </c>
      <c r="AK34" s="26"/>
      <c r="AL34" s="26">
        <f>VLOOKUP($B:$B,'P&amp;L by Month'!$A:$N,9,FALSE)</f>
        <v>44</v>
      </c>
      <c r="AM34" s="26">
        <f>Budget!K34</f>
        <v>2900</v>
      </c>
      <c r="AN34" s="26">
        <f t="shared" si="55"/>
        <v>-2856</v>
      </c>
      <c r="AO34" s="26"/>
      <c r="AP34" s="26">
        <f>VLOOKUP($B:$B,'P&amp;L by Month'!$A:$N,10,FALSE)</f>
        <v>422.55</v>
      </c>
      <c r="AQ34" s="26">
        <f>Budget!L34</f>
        <v>2900</v>
      </c>
      <c r="AR34" s="26">
        <f t="shared" si="56"/>
        <v>-2477.4499999999998</v>
      </c>
      <c r="AS34" s="26"/>
      <c r="AT34" s="26">
        <f>VLOOKUP($B:$B,'P&amp;L by Month'!$A:$N,11,FALSE)</f>
        <v>258.01</v>
      </c>
      <c r="AU34" s="26">
        <f>Budget!M34</f>
        <v>3500</v>
      </c>
      <c r="AV34" s="26">
        <f t="shared" si="57"/>
        <v>-3241.99</v>
      </c>
      <c r="AW34" s="26"/>
      <c r="AX34" s="26">
        <f>VLOOKUP($B:$B,'P&amp;L by Month'!$A:$N,12,FALSE)</f>
        <v>0</v>
      </c>
      <c r="AY34" s="26">
        <f>Budget!N34</f>
        <v>2900</v>
      </c>
      <c r="AZ34" s="26">
        <f t="shared" si="58"/>
        <v>-2900</v>
      </c>
      <c r="BA34" s="26"/>
      <c r="BB34" s="26">
        <f>VLOOKUP($B:$B,'P&amp;L by Month'!$A:$N,13,FALSE)</f>
        <v>0</v>
      </c>
      <c r="BC34" s="26">
        <f>Budget!O34</f>
        <v>2900</v>
      </c>
      <c r="BD34" s="26">
        <f t="shared" si="59"/>
        <v>-2900</v>
      </c>
      <c r="BE34" s="6"/>
      <c r="BF34" s="6"/>
    </row>
    <row r="35" spans="1:60" ht="14.4" x14ac:dyDescent="0.3">
      <c r="A35" s="4" t="s">
        <v>34</v>
      </c>
      <c r="B35" s="36" t="s">
        <v>136</v>
      </c>
      <c r="F35" s="7">
        <f t="shared" si="45"/>
        <v>8396.24</v>
      </c>
      <c r="G35" s="7">
        <f t="shared" si="46"/>
        <v>3000</v>
      </c>
      <c r="H35" s="7">
        <f t="shared" si="47"/>
        <v>5396.24</v>
      </c>
      <c r="J35" s="26">
        <f>VLOOKUP($B:$B,'P&amp;L by Month'!$A:$N,2,FALSE)</f>
        <v>484.02</v>
      </c>
      <c r="K35" s="26">
        <f>Budget!D35</f>
        <v>250</v>
      </c>
      <c r="L35" s="26">
        <f t="shared" si="48"/>
        <v>234.01999999999998</v>
      </c>
      <c r="M35" s="26"/>
      <c r="N35" s="26">
        <f>VLOOKUP($B:$B,'P&amp;L by Month'!$A:$N,3,FALSE)</f>
        <v>480.65</v>
      </c>
      <c r="O35" s="26">
        <f>Budget!E35</f>
        <v>250</v>
      </c>
      <c r="P35" s="26">
        <f t="shared" si="49"/>
        <v>230.64999999999998</v>
      </c>
      <c r="Q35" s="26"/>
      <c r="R35" s="26">
        <f>VLOOKUP($B:$B,'P&amp;L by Month'!$A:$N,4,FALSE)</f>
        <v>374.39</v>
      </c>
      <c r="S35" s="26">
        <f>Budget!F35</f>
        <v>250</v>
      </c>
      <c r="T35" s="26">
        <f t="shared" si="50"/>
        <v>124.38999999999999</v>
      </c>
      <c r="U35" s="26"/>
      <c r="V35" s="26">
        <f>VLOOKUP($B:$B,'P&amp;L by Month'!$A:$N,5,FALSE)</f>
        <v>2447.65</v>
      </c>
      <c r="W35" s="26">
        <f>Budget!G35</f>
        <v>250</v>
      </c>
      <c r="X35" s="26">
        <f t="shared" si="51"/>
        <v>2197.65</v>
      </c>
      <c r="Y35" s="26"/>
      <c r="Z35" s="26">
        <f>VLOOKUP($B:$B,'P&amp;L by Month'!$A:$N,6,FALSE)</f>
        <v>1222.8699999999999</v>
      </c>
      <c r="AA35" s="26">
        <f>Budget!H35</f>
        <v>250</v>
      </c>
      <c r="AB35" s="26">
        <f t="shared" si="52"/>
        <v>972.86999999999989</v>
      </c>
      <c r="AC35" s="26"/>
      <c r="AD35" s="26">
        <f>VLOOKUP($B:$B,'P&amp;L by Month'!$A:$N,7,FALSE)</f>
        <v>479.63</v>
      </c>
      <c r="AE35" s="26">
        <f>Budget!I35</f>
        <v>250</v>
      </c>
      <c r="AF35" s="26">
        <f t="shared" si="53"/>
        <v>229.63</v>
      </c>
      <c r="AG35" s="26"/>
      <c r="AH35" s="26">
        <f>VLOOKUP($B:$B,'P&amp;L by Month'!$A:$N,8,FALSE)</f>
        <v>551.24</v>
      </c>
      <c r="AI35" s="26">
        <f>Budget!J35</f>
        <v>250</v>
      </c>
      <c r="AJ35" s="26">
        <f t="shared" si="54"/>
        <v>301.24</v>
      </c>
      <c r="AK35" s="26"/>
      <c r="AL35" s="26">
        <f>VLOOKUP($B:$B,'P&amp;L by Month'!$A:$N,9,FALSE)</f>
        <v>2080.6999999999998</v>
      </c>
      <c r="AM35" s="26">
        <f>Budget!K35</f>
        <v>250</v>
      </c>
      <c r="AN35" s="26">
        <f t="shared" si="55"/>
        <v>1830.6999999999998</v>
      </c>
      <c r="AO35" s="26"/>
      <c r="AP35" s="26">
        <f>VLOOKUP($B:$B,'P&amp;L by Month'!$A:$N,10,FALSE)</f>
        <v>275.08999999999997</v>
      </c>
      <c r="AQ35" s="26">
        <f>Budget!L35</f>
        <v>250</v>
      </c>
      <c r="AR35" s="26">
        <f t="shared" si="56"/>
        <v>25.089999999999975</v>
      </c>
      <c r="AS35" s="26"/>
      <c r="AT35" s="26">
        <f>VLOOKUP($B:$B,'P&amp;L by Month'!$A:$N,11,FALSE)</f>
        <v>0</v>
      </c>
      <c r="AU35" s="26">
        <f>Budget!M35</f>
        <v>250</v>
      </c>
      <c r="AV35" s="26">
        <f t="shared" si="57"/>
        <v>-250</v>
      </c>
      <c r="AW35" s="26"/>
      <c r="AX35" s="26">
        <f>VLOOKUP($B:$B,'P&amp;L by Month'!$A:$N,12,FALSE)</f>
        <v>0</v>
      </c>
      <c r="AY35" s="26">
        <f>Budget!N35</f>
        <v>250</v>
      </c>
      <c r="AZ35" s="26">
        <f t="shared" si="58"/>
        <v>-250</v>
      </c>
      <c r="BA35" s="26"/>
      <c r="BB35" s="26">
        <f>VLOOKUP($B:$B,'P&amp;L by Month'!$A:$N,13,FALSE)</f>
        <v>0</v>
      </c>
      <c r="BC35" s="26">
        <f>Budget!O35</f>
        <v>250</v>
      </c>
      <c r="BD35" s="26">
        <f t="shared" si="59"/>
        <v>-250</v>
      </c>
      <c r="BE35" s="6"/>
      <c r="BF35" s="6"/>
    </row>
    <row r="36" spans="1:60" ht="14.4" x14ac:dyDescent="0.3">
      <c r="A36" s="4" t="s">
        <v>13</v>
      </c>
      <c r="B36" s="36" t="s">
        <v>130</v>
      </c>
      <c r="C36" s="42" t="s">
        <v>131</v>
      </c>
      <c r="F36" s="7">
        <f t="shared" si="45"/>
        <v>3165.46</v>
      </c>
      <c r="G36" s="7">
        <f t="shared" si="46"/>
        <v>4620</v>
      </c>
      <c r="H36" s="7">
        <f t="shared" si="47"/>
        <v>-1454.54</v>
      </c>
      <c r="J36" s="26">
        <f>VLOOKUP($B:$B,'P&amp;L by Month'!$A:$N,2,FALSE)+VLOOKUP($C:$C,'P&amp;L by Month'!$A:$N,2,FALSE)</f>
        <v>263.93</v>
      </c>
      <c r="K36" s="26">
        <f>Budget!D36</f>
        <v>385</v>
      </c>
      <c r="L36" s="26">
        <f t="shared" si="48"/>
        <v>-121.07</v>
      </c>
      <c r="M36" s="26"/>
      <c r="N36" s="26">
        <f>VLOOKUP($B:$B,'P&amp;L by Month'!$A:$N,3,FALSE)+VLOOKUP($C:$C,'P&amp;L by Month'!$A:$N,3,FALSE)</f>
        <v>457.08</v>
      </c>
      <c r="O36" s="26">
        <f>Budget!E36</f>
        <v>385</v>
      </c>
      <c r="P36" s="26">
        <f t="shared" si="49"/>
        <v>72.079999999999984</v>
      </c>
      <c r="Q36" s="26"/>
      <c r="R36" s="26">
        <f>VLOOKUP($B:$B,'P&amp;L by Month'!$A:$N,4,FALSE)+VLOOKUP($C:$C,'P&amp;L by Month'!$A:$N,4,FALSE)</f>
        <v>326.48999999999995</v>
      </c>
      <c r="S36" s="26">
        <f>Budget!F36</f>
        <v>385</v>
      </c>
      <c r="T36" s="26">
        <f t="shared" si="50"/>
        <v>-58.510000000000048</v>
      </c>
      <c r="U36" s="26"/>
      <c r="V36" s="26">
        <f>VLOOKUP($B:$B,'P&amp;L by Month'!$A:$N,5,FALSE)+VLOOKUP($C:$C,'P&amp;L by Month'!$A:$N,5,FALSE)</f>
        <v>194.82</v>
      </c>
      <c r="W36" s="26">
        <f>Budget!G36</f>
        <v>385</v>
      </c>
      <c r="X36" s="26">
        <f t="shared" si="51"/>
        <v>-190.18</v>
      </c>
      <c r="Y36" s="26"/>
      <c r="Z36" s="26">
        <f>VLOOKUP($B:$B,'P&amp;L by Month'!$A:$N,6,FALSE)+VLOOKUP($C:$C,'P&amp;L by Month'!$A:$N,6,FALSE)</f>
        <v>153.82</v>
      </c>
      <c r="AA36" s="26">
        <f>Budget!H36</f>
        <v>385</v>
      </c>
      <c r="AB36" s="26">
        <f t="shared" si="52"/>
        <v>-231.18</v>
      </c>
      <c r="AC36" s="26"/>
      <c r="AD36" s="26">
        <f>VLOOKUP($B:$B,'P&amp;L by Month'!$A:$N,7,FALSE)+VLOOKUP($C:$C,'P&amp;L by Month'!$A:$N,7,FALSE)</f>
        <v>735.56</v>
      </c>
      <c r="AE36" s="26">
        <f>Budget!I36</f>
        <v>385</v>
      </c>
      <c r="AF36" s="26">
        <f t="shared" si="53"/>
        <v>350.55999999999995</v>
      </c>
      <c r="AG36" s="26"/>
      <c r="AH36" s="26">
        <f>VLOOKUP($B:$B,'P&amp;L by Month'!$A:$N,8,FALSE)+VLOOKUP($C:$C,'P&amp;L by Month'!$A:$N,8,FALSE)</f>
        <v>562.86</v>
      </c>
      <c r="AI36" s="26">
        <f>Budget!J36</f>
        <v>385</v>
      </c>
      <c r="AJ36" s="26">
        <f t="shared" si="54"/>
        <v>177.86</v>
      </c>
      <c r="AK36" s="26"/>
      <c r="AL36" s="26">
        <f>VLOOKUP($B:$B,'P&amp;L by Month'!$A:$N,9,FALSE)+VLOOKUP($C:$C,'P&amp;L by Month'!$A:$N,9,FALSE)</f>
        <v>222.59</v>
      </c>
      <c r="AM36" s="26">
        <f>Budget!K36</f>
        <v>385</v>
      </c>
      <c r="AN36" s="26">
        <f t="shared" si="55"/>
        <v>-162.41</v>
      </c>
      <c r="AO36" s="26"/>
      <c r="AP36" s="26">
        <f>VLOOKUP($B:$B,'P&amp;L by Month'!$A:$N,10,FALSE)+VLOOKUP($C:$C,'P&amp;L by Month'!$A:$N,10,FALSE)</f>
        <v>180.62</v>
      </c>
      <c r="AQ36" s="26">
        <f>Budget!L36</f>
        <v>385</v>
      </c>
      <c r="AR36" s="26">
        <f t="shared" si="56"/>
        <v>-204.38</v>
      </c>
      <c r="AS36" s="26"/>
      <c r="AT36" s="26">
        <f>VLOOKUP($B:$B,'P&amp;L by Month'!$A:$N,11,FALSE)+VLOOKUP($C:$C,'P&amp;L by Month'!$A:$N,11,FALSE)</f>
        <v>67.69</v>
      </c>
      <c r="AU36" s="26">
        <f>Budget!M36</f>
        <v>385</v>
      </c>
      <c r="AV36" s="26">
        <f t="shared" si="57"/>
        <v>-317.31</v>
      </c>
      <c r="AW36" s="26"/>
      <c r="AX36" s="26">
        <f>VLOOKUP($B:$B,'P&amp;L by Month'!$A:$N,12,FALSE)+VLOOKUP($C:$C,'P&amp;L by Month'!$A:$N,12,FALSE)</f>
        <v>0</v>
      </c>
      <c r="AY36" s="26">
        <f>Budget!N36</f>
        <v>385</v>
      </c>
      <c r="AZ36" s="26">
        <f t="shared" si="58"/>
        <v>-385</v>
      </c>
      <c r="BA36" s="26"/>
      <c r="BB36" s="26">
        <f>VLOOKUP($B:$B,'P&amp;L by Month'!$A:$N,13,FALSE)+VLOOKUP($C:$C,'P&amp;L by Month'!$A:$N,13,FALSE)</f>
        <v>0</v>
      </c>
      <c r="BC36" s="26">
        <f>Budget!O36</f>
        <v>385</v>
      </c>
      <c r="BD36" s="26">
        <f t="shared" si="59"/>
        <v>-385</v>
      </c>
      <c r="BE36" s="6"/>
      <c r="BF36" s="6"/>
    </row>
    <row r="37" spans="1:60" ht="14.4" x14ac:dyDescent="0.3">
      <c r="A37" s="4" t="s">
        <v>35</v>
      </c>
      <c r="B37" s="36" t="s">
        <v>143</v>
      </c>
      <c r="F37" s="7">
        <f t="shared" si="45"/>
        <v>8444.2100000000009</v>
      </c>
      <c r="G37" s="7">
        <f t="shared" si="46"/>
        <v>208080.54687925716</v>
      </c>
      <c r="H37" s="7">
        <f t="shared" si="47"/>
        <v>-199636.33687925717</v>
      </c>
      <c r="J37" s="26">
        <f>VLOOKUP($B:$B,'P&amp;L by Month'!$A:$N,2,FALSE)</f>
        <v>601.04</v>
      </c>
      <c r="K37" s="26">
        <f>Budget!D38</f>
        <v>17932.991160238755</v>
      </c>
      <c r="L37" s="26">
        <f t="shared" si="48"/>
        <v>-17331.951160238754</v>
      </c>
      <c r="M37" s="26"/>
      <c r="N37" s="26">
        <f>VLOOKUP($B:$B,'P&amp;L by Month'!$A:$N,3,FALSE)</f>
        <v>635.20000000000005</v>
      </c>
      <c r="O37" s="26">
        <f>Budget!E38</f>
        <v>17866.553993120953</v>
      </c>
      <c r="P37" s="26">
        <f t="shared" si="49"/>
        <v>-17231.353993120953</v>
      </c>
      <c r="Q37" s="26"/>
      <c r="R37" s="26">
        <f>VLOOKUP($B:$B,'P&amp;L by Month'!$A:$N,4,FALSE)</f>
        <v>2857.45</v>
      </c>
      <c r="S37" s="26">
        <f>Budget!F38</f>
        <v>17799.875437629293</v>
      </c>
      <c r="T37" s="26">
        <f t="shared" si="50"/>
        <v>-14942.425437629292</v>
      </c>
      <c r="U37" s="26"/>
      <c r="V37" s="26">
        <f>VLOOKUP($B:$B,'P&amp;L by Month'!$A:$N,5,FALSE)</f>
        <v>658.84</v>
      </c>
      <c r="W37" s="26">
        <f>Budget!G38</f>
        <v>17732.954616719344</v>
      </c>
      <c r="X37" s="26">
        <f t="shared" si="51"/>
        <v>-17074.114616719344</v>
      </c>
      <c r="Y37" s="26"/>
      <c r="Z37" s="26">
        <f>VLOOKUP($B:$B,'P&amp;L by Month'!$A:$N,6,FALSE)</f>
        <v>852.04</v>
      </c>
      <c r="AA37" s="26">
        <f>Budget!H38</f>
        <v>17665.790650160092</v>
      </c>
      <c r="AB37" s="26">
        <f t="shared" si="52"/>
        <v>-16813.750650160091</v>
      </c>
      <c r="AC37" s="26"/>
      <c r="AD37" s="26">
        <f>VLOOKUP($B:$B,'P&amp;L by Month'!$A:$N,7,FALSE)</f>
        <v>701.47</v>
      </c>
      <c r="AE37" s="26">
        <f>Budget!I38</f>
        <v>18794.632654522338</v>
      </c>
      <c r="AF37" s="26">
        <f t="shared" si="53"/>
        <v>-18093.162654522337</v>
      </c>
      <c r="AG37" s="26"/>
      <c r="AH37" s="26">
        <f>VLOOKUP($B:$B,'P&amp;L by Month'!$A:$N,8,FALSE)</f>
        <v>715.48</v>
      </c>
      <c r="AI37" s="26">
        <f>Budget!J38</f>
        <v>16907.883680667106</v>
      </c>
      <c r="AJ37" s="26">
        <f t="shared" si="54"/>
        <v>-16192.403680667107</v>
      </c>
      <c r="AK37" s="26"/>
      <c r="AL37" s="26">
        <f>VLOOKUP($B:$B,'P&amp;L by Month'!$A:$N,9,FALSE)</f>
        <v>721.68</v>
      </c>
      <c r="AM37" s="26">
        <f>Budget!K38</f>
        <v>16830.949444979608</v>
      </c>
      <c r="AN37" s="26">
        <f t="shared" si="55"/>
        <v>-16109.269444979607</v>
      </c>
      <c r="AO37" s="26"/>
      <c r="AP37" s="26">
        <f>VLOOKUP($B:$B,'P&amp;L by Month'!$A:$N,10,FALSE)</f>
        <v>701.01</v>
      </c>
      <c r="AQ37" s="26">
        <f>Budget!L38</f>
        <v>16753.738948478065</v>
      </c>
      <c r="AR37" s="26">
        <f t="shared" si="56"/>
        <v>-16052.728948478065</v>
      </c>
      <c r="AS37" s="26"/>
      <c r="AT37" s="26">
        <f>VLOOKUP($B:$B,'P&amp;L by Month'!$A:$N,11,FALSE)</f>
        <v>0</v>
      </c>
      <c r="AU37" s="26">
        <f>Budget!M38</f>
        <v>16676.251194901532</v>
      </c>
      <c r="AV37" s="26">
        <f t="shared" si="57"/>
        <v>-16676.251194901532</v>
      </c>
      <c r="AW37" s="26"/>
      <c r="AX37" s="26">
        <f>VLOOKUP($B:$B,'P&amp;L by Month'!$A:$N,12,FALSE)</f>
        <v>0</v>
      </c>
      <c r="AY37" s="26">
        <f>Budget!N38</f>
        <v>16598.485184386445</v>
      </c>
      <c r="AZ37" s="26">
        <f t="shared" si="58"/>
        <v>-16598.485184386445</v>
      </c>
      <c r="BA37" s="26"/>
      <c r="BB37" s="26">
        <f>VLOOKUP($B:$B,'P&amp;L by Month'!$A:$N,13,FALSE)</f>
        <v>0</v>
      </c>
      <c r="BC37" s="26">
        <f>Budget!O38</f>
        <v>16520.439913453625</v>
      </c>
      <c r="BD37" s="26">
        <f t="shared" si="59"/>
        <v>-16520.439913453625</v>
      </c>
      <c r="BE37" s="6"/>
      <c r="BF37" s="6"/>
    </row>
    <row r="38" spans="1:60" ht="14.4" x14ac:dyDescent="0.3">
      <c r="A38" s="4" t="s">
        <v>12</v>
      </c>
      <c r="B38" s="36" t="s">
        <v>94</v>
      </c>
      <c r="F38" s="7">
        <f t="shared" si="45"/>
        <v>24044.75</v>
      </c>
      <c r="G38" s="7" t="e">
        <f t="shared" si="46"/>
        <v>#REF!</v>
      </c>
      <c r="H38" s="7" t="e">
        <f t="shared" si="47"/>
        <v>#REF!</v>
      </c>
      <c r="J38" s="26">
        <f>VLOOKUP($B:$B,'P&amp;L by Month'!$A:$N,2,FALSE)</f>
        <v>0</v>
      </c>
      <c r="K38" s="26" t="e">
        <f>Budget!#REF!</f>
        <v>#REF!</v>
      </c>
      <c r="L38" s="26" t="e">
        <f t="shared" si="48"/>
        <v>#REF!</v>
      </c>
      <c r="M38" s="26"/>
      <c r="N38" s="26">
        <f>VLOOKUP($B:$B,'P&amp;L by Month'!$A:$N,3,FALSE)</f>
        <v>0</v>
      </c>
      <c r="O38" s="26" t="e">
        <f>Budget!#REF!</f>
        <v>#REF!</v>
      </c>
      <c r="P38" s="26" t="e">
        <f t="shared" si="49"/>
        <v>#REF!</v>
      </c>
      <c r="Q38" s="26"/>
      <c r="R38" s="26">
        <f>VLOOKUP($B:$B,'P&amp;L by Month'!$A:$N,4,FALSE)</f>
        <v>11912.5</v>
      </c>
      <c r="S38" s="26" t="e">
        <f>Budget!#REF!</f>
        <v>#REF!</v>
      </c>
      <c r="T38" s="26" t="e">
        <f t="shared" si="50"/>
        <v>#REF!</v>
      </c>
      <c r="U38" s="26"/>
      <c r="V38" s="26">
        <f>VLOOKUP($B:$B,'P&amp;L by Month'!$A:$N,5,FALSE)</f>
        <v>1041.3499999999999</v>
      </c>
      <c r="W38" s="26" t="e">
        <f>Budget!#REF!</f>
        <v>#REF!</v>
      </c>
      <c r="X38" s="26" t="e">
        <f t="shared" si="51"/>
        <v>#REF!</v>
      </c>
      <c r="Y38" s="26"/>
      <c r="Z38" s="26">
        <f>VLOOKUP($B:$B,'P&amp;L by Month'!$A:$N,6,FALSE)</f>
        <v>880</v>
      </c>
      <c r="AA38" s="26" t="e">
        <f>Budget!#REF!</f>
        <v>#REF!</v>
      </c>
      <c r="AB38" s="26" t="e">
        <f t="shared" si="52"/>
        <v>#REF!</v>
      </c>
      <c r="AC38" s="26"/>
      <c r="AD38" s="26">
        <f>VLOOKUP($B:$B,'P&amp;L by Month'!$A:$N,7,FALSE)</f>
        <v>4155.3999999999996</v>
      </c>
      <c r="AE38" s="26" t="e">
        <f>Budget!#REF!</f>
        <v>#REF!</v>
      </c>
      <c r="AF38" s="26" t="e">
        <f t="shared" si="53"/>
        <v>#REF!</v>
      </c>
      <c r="AG38" s="26"/>
      <c r="AH38" s="26">
        <f>VLOOKUP($B:$B,'P&amp;L by Month'!$A:$N,8,FALSE)</f>
        <v>4019</v>
      </c>
      <c r="AI38" s="26" t="e">
        <f>Budget!#REF!</f>
        <v>#REF!</v>
      </c>
      <c r="AJ38" s="26" t="e">
        <f t="shared" si="54"/>
        <v>#REF!</v>
      </c>
      <c r="AK38" s="26"/>
      <c r="AL38" s="26">
        <f>VLOOKUP($B:$B,'P&amp;L by Month'!$A:$N,9,FALSE)</f>
        <v>2000.45</v>
      </c>
      <c r="AM38" s="26" t="e">
        <f>Budget!#REF!</f>
        <v>#REF!</v>
      </c>
      <c r="AN38" s="26" t="e">
        <f t="shared" si="55"/>
        <v>#REF!</v>
      </c>
      <c r="AO38" s="26"/>
      <c r="AP38" s="26">
        <f>VLOOKUP($B:$B,'P&amp;L by Month'!$A:$N,10,FALSE)</f>
        <v>36.049999999999997</v>
      </c>
      <c r="AQ38" s="26" t="e">
        <f>Budget!#REF!</f>
        <v>#REF!</v>
      </c>
      <c r="AR38" s="26" t="e">
        <f t="shared" si="56"/>
        <v>#REF!</v>
      </c>
      <c r="AS38" s="26"/>
      <c r="AT38" s="26">
        <f>VLOOKUP($B:$B,'P&amp;L by Month'!$A:$N,11,FALSE)</f>
        <v>0</v>
      </c>
      <c r="AU38" s="26" t="e">
        <f>Budget!#REF!</f>
        <v>#REF!</v>
      </c>
      <c r="AV38" s="26" t="e">
        <f t="shared" si="57"/>
        <v>#REF!</v>
      </c>
      <c r="AW38" s="26"/>
      <c r="AX38" s="26">
        <f>VLOOKUP($B:$B,'P&amp;L by Month'!$A:$N,12,FALSE)</f>
        <v>0</v>
      </c>
      <c r="AY38" s="26" t="e">
        <f>Budget!#REF!</f>
        <v>#REF!</v>
      </c>
      <c r="AZ38" s="26" t="e">
        <f t="shared" si="58"/>
        <v>#REF!</v>
      </c>
      <c r="BA38" s="26"/>
      <c r="BB38" s="26">
        <f>VLOOKUP($B:$B,'P&amp;L by Month'!$A:$N,13,FALSE)</f>
        <v>0</v>
      </c>
      <c r="BC38" s="26" t="e">
        <f>Budget!#REF!</f>
        <v>#REF!</v>
      </c>
      <c r="BD38" s="26" t="e">
        <f t="shared" si="59"/>
        <v>#REF!</v>
      </c>
      <c r="BE38" s="6"/>
      <c r="BF38" s="6"/>
    </row>
    <row r="39" spans="1:60" s="45" customFormat="1" ht="14.4" x14ac:dyDescent="0.3">
      <c r="A39" s="45" t="s">
        <v>165</v>
      </c>
      <c r="B39" s="42" t="s">
        <v>140</v>
      </c>
      <c r="C39" s="42" t="s">
        <v>141</v>
      </c>
      <c r="F39" s="44">
        <f t="shared" ref="F39" si="60">J39+N39+R39+V39+Z39+AD39+AH39+AL39+AP39+AT39+AX39+BB39</f>
        <v>3182.6099999999997</v>
      </c>
      <c r="G39" s="44">
        <f t="shared" ref="G39" si="61">K39+O39+S39+W39+AA39+AE39+AI39+AM39+AQ39+AU39+AY39+BC39</f>
        <v>0</v>
      </c>
      <c r="H39" s="44">
        <f t="shared" ref="H39" si="62">F39-G39</f>
        <v>3182.6099999999997</v>
      </c>
      <c r="J39" s="46">
        <f>VLOOKUP($B:$B,'P&amp;L by Month'!$A:$N,2,FALSE)+VLOOKUP($C:$C,'P&amp;L by Month'!$A:$N,2,FALSE)</f>
        <v>0</v>
      </c>
      <c r="K39" s="46">
        <v>0</v>
      </c>
      <c r="L39" s="46">
        <f t="shared" si="48"/>
        <v>0</v>
      </c>
      <c r="M39" s="46"/>
      <c r="N39" s="46">
        <f>VLOOKUP($B:$B,'P&amp;L by Month'!$A:$N,3,FALSE)+VLOOKUP($C:$C,'P&amp;L by Month'!$A:$N,3,FALSE)</f>
        <v>0</v>
      </c>
      <c r="O39" s="46">
        <v>0</v>
      </c>
      <c r="P39" s="46">
        <f t="shared" si="49"/>
        <v>0</v>
      </c>
      <c r="Q39" s="46"/>
      <c r="R39" s="46">
        <f>VLOOKUP($B:$B,'P&amp;L by Month'!$A:$N,4,FALSE)+VLOOKUP($C:$C,'P&amp;L by Month'!$A:$N,4,FALSE)</f>
        <v>0</v>
      </c>
      <c r="S39" s="46">
        <v>0</v>
      </c>
      <c r="T39" s="46">
        <f t="shared" si="50"/>
        <v>0</v>
      </c>
      <c r="U39" s="46"/>
      <c r="V39" s="26">
        <f>VLOOKUP($B:$B,'P&amp;L by Month'!$A:$N,5,FALSE)+VLOOKUP($C:$C,'P&amp;L by Month'!$A:$N,5,FALSE)</f>
        <v>49.95</v>
      </c>
      <c r="W39" s="46">
        <v>0</v>
      </c>
      <c r="X39" s="46">
        <f t="shared" si="51"/>
        <v>49.95</v>
      </c>
      <c r="Y39" s="46"/>
      <c r="Z39" s="26">
        <f>VLOOKUP($B:$B,'P&amp;L by Month'!$A:$N,6,FALSE)+VLOOKUP($C:$C,'P&amp;L by Month'!$A:$N,6,FALSE)</f>
        <v>270</v>
      </c>
      <c r="AA39" s="46">
        <v>0</v>
      </c>
      <c r="AB39" s="46">
        <f t="shared" si="52"/>
        <v>270</v>
      </c>
      <c r="AC39" s="46"/>
      <c r="AD39" s="26">
        <f>VLOOKUP($B:$B,'P&amp;L by Month'!$A:$N,7,FALSE)+VLOOKUP($C:$C,'P&amp;L by Month'!$A:$N,7,FALSE)</f>
        <v>0</v>
      </c>
      <c r="AE39" s="46">
        <v>0</v>
      </c>
      <c r="AF39" s="46">
        <f t="shared" si="53"/>
        <v>0</v>
      </c>
      <c r="AG39" s="46"/>
      <c r="AH39" s="26">
        <f>VLOOKUP($B:$B,'P&amp;L by Month'!$A:$N,8,FALSE)+VLOOKUP($C:$C,'P&amp;L by Month'!$A:$N,8,FALSE)</f>
        <v>2550</v>
      </c>
      <c r="AI39" s="46">
        <v>0</v>
      </c>
      <c r="AJ39" s="46">
        <f t="shared" si="54"/>
        <v>2550</v>
      </c>
      <c r="AK39" s="46"/>
      <c r="AL39" s="26">
        <f>VLOOKUP($B:$B,'P&amp;L by Month'!$A:$N,9,FALSE)+VLOOKUP($C:$C,'P&amp;L by Month'!$A:$N,9,FALSE)</f>
        <v>292.65999999999997</v>
      </c>
      <c r="AM39" s="46">
        <v>0</v>
      </c>
      <c r="AN39" s="46">
        <f t="shared" si="55"/>
        <v>292.65999999999997</v>
      </c>
      <c r="AO39" s="46"/>
      <c r="AP39" s="26">
        <f>VLOOKUP($B:$B,'P&amp;L by Month'!$A:$N,10,FALSE)+VLOOKUP($C:$C,'P&amp;L by Month'!$A:$N,10,FALSE)</f>
        <v>20</v>
      </c>
      <c r="AQ39" s="46">
        <v>0</v>
      </c>
      <c r="AR39" s="46">
        <f t="shared" si="56"/>
        <v>20</v>
      </c>
      <c r="AS39" s="46"/>
      <c r="AT39" s="26">
        <f>VLOOKUP($B:$B,'P&amp;L by Month'!$A:$N,11,FALSE)+VLOOKUP($C:$C,'P&amp;L by Month'!$A:$N,11,FALSE)</f>
        <v>0</v>
      </c>
      <c r="AU39" s="46">
        <v>0</v>
      </c>
      <c r="AV39" s="46">
        <f t="shared" si="57"/>
        <v>0</v>
      </c>
      <c r="AW39" s="46"/>
      <c r="AX39" s="26">
        <f>VLOOKUP($B:$B,'P&amp;L by Month'!$A:$N,12,FALSE)+VLOOKUP($C:$C,'P&amp;L by Month'!$A:$N,12,FALSE)</f>
        <v>0</v>
      </c>
      <c r="AY39" s="46">
        <v>0</v>
      </c>
      <c r="AZ39" s="46">
        <f t="shared" si="58"/>
        <v>0</v>
      </c>
      <c r="BA39" s="46"/>
      <c r="BB39" s="26">
        <f>VLOOKUP($B:$B,'P&amp;L by Month'!$A:$N,13,FALSE)+VLOOKUP($C:$C,'P&amp;L by Month'!$A:$N,13,FALSE)</f>
        <v>0</v>
      </c>
      <c r="BC39" s="46">
        <v>0</v>
      </c>
      <c r="BD39" s="46">
        <f t="shared" si="59"/>
        <v>0</v>
      </c>
      <c r="BE39" s="47"/>
      <c r="BF39" s="47"/>
      <c r="BG39" s="48"/>
    </row>
    <row r="40" spans="1:60" s="1" customFormat="1" x14ac:dyDescent="0.25">
      <c r="A40" s="1" t="s">
        <v>16</v>
      </c>
      <c r="F40" s="10">
        <f>SUM(F21:F39)</f>
        <v>310297.03999999998</v>
      </c>
      <c r="G40" s="10" t="e">
        <f t="shared" ref="G40:H40" si="63">SUM(G21:G39)</f>
        <v>#REF!</v>
      </c>
      <c r="H40" s="10" t="e">
        <f t="shared" si="63"/>
        <v>#REF!</v>
      </c>
      <c r="J40" s="22">
        <f>SUM(J21:J39)</f>
        <v>23314.910000000003</v>
      </c>
      <c r="K40" s="22" t="e">
        <f t="shared" ref="K40:L40" si="64">SUM(K21:K39)</f>
        <v>#REF!</v>
      </c>
      <c r="L40" s="22" t="e">
        <f t="shared" si="64"/>
        <v>#REF!</v>
      </c>
      <c r="M40" s="9"/>
      <c r="N40" s="22">
        <f>SUM(N21:N39)</f>
        <v>25762.83</v>
      </c>
      <c r="O40" s="22" t="e">
        <f t="shared" ref="O40" si="65">SUM(O21:O39)</f>
        <v>#REF!</v>
      </c>
      <c r="P40" s="22" t="e">
        <f t="shared" ref="P40" si="66">SUM(P21:P39)</f>
        <v>#REF!</v>
      </c>
      <c r="Q40" s="9"/>
      <c r="R40" s="22">
        <f>SUM(R21:R39)</f>
        <v>37759.79</v>
      </c>
      <c r="S40" s="22" t="e">
        <f t="shared" ref="S40" si="67">SUM(S21:S39)</f>
        <v>#REF!</v>
      </c>
      <c r="T40" s="22" t="e">
        <f t="shared" ref="T40" si="68">SUM(T21:T39)</f>
        <v>#REF!</v>
      </c>
      <c r="U40" s="9"/>
      <c r="V40" s="22">
        <f>SUM(V21:V39)</f>
        <v>37024.749999999993</v>
      </c>
      <c r="W40" s="22" t="e">
        <f t="shared" ref="W40" si="69">SUM(W21:W39)</f>
        <v>#REF!</v>
      </c>
      <c r="X40" s="22" t="e">
        <f t="shared" ref="X40" si="70">SUM(X21:X39)</f>
        <v>#REF!</v>
      </c>
      <c r="Y40" s="9"/>
      <c r="Z40" s="22">
        <f>SUM(Z21:Z39)</f>
        <v>61861.840000000004</v>
      </c>
      <c r="AA40" s="22" t="e">
        <f t="shared" ref="AA40" si="71">SUM(AA21:AA39)</f>
        <v>#REF!</v>
      </c>
      <c r="AB40" s="22" t="e">
        <f t="shared" ref="AB40" si="72">SUM(AB21:AB39)</f>
        <v>#REF!</v>
      </c>
      <c r="AC40" s="9"/>
      <c r="AD40" s="22">
        <f t="shared" ref="AD40:AN40" si="73">SUM(AD21:AD38)</f>
        <v>37167.270000000004</v>
      </c>
      <c r="AE40" s="22" t="e">
        <f t="shared" si="73"/>
        <v>#REF!</v>
      </c>
      <c r="AF40" s="22" t="e">
        <f t="shared" si="73"/>
        <v>#REF!</v>
      </c>
      <c r="AG40" s="9"/>
      <c r="AH40" s="22">
        <f t="shared" si="73"/>
        <v>25857.06</v>
      </c>
      <c r="AI40" s="22" t="e">
        <f t="shared" si="73"/>
        <v>#REF!</v>
      </c>
      <c r="AJ40" s="22" t="e">
        <f t="shared" si="73"/>
        <v>#REF!</v>
      </c>
      <c r="AK40" s="9"/>
      <c r="AL40" s="22">
        <f t="shared" si="73"/>
        <v>23409.27</v>
      </c>
      <c r="AM40" s="22" t="e">
        <f t="shared" si="73"/>
        <v>#REF!</v>
      </c>
      <c r="AN40" s="22" t="e">
        <f t="shared" si="73"/>
        <v>#REF!</v>
      </c>
      <c r="AO40" s="9"/>
      <c r="AP40" s="22">
        <f>SUM(AP21:AP39)</f>
        <v>29419.149999999998</v>
      </c>
      <c r="AQ40" s="22" t="e">
        <f t="shared" ref="AQ40:AR40" si="74">SUM(AQ21:AQ39)</f>
        <v>#REF!</v>
      </c>
      <c r="AR40" s="22" t="e">
        <f t="shared" si="74"/>
        <v>#REF!</v>
      </c>
      <c r="AS40" s="9"/>
      <c r="AT40" s="22">
        <f>SUM(AT21:AT39)</f>
        <v>5877.5099999999993</v>
      </c>
      <c r="AU40" s="22" t="e">
        <f t="shared" ref="AU40" si="75">SUM(AU21:AU39)</f>
        <v>#REF!</v>
      </c>
      <c r="AV40" s="22" t="e">
        <f t="shared" ref="AV40" si="76">SUM(AV21:AV39)</f>
        <v>#REF!</v>
      </c>
      <c r="AW40" s="9"/>
      <c r="AX40" s="22">
        <f>SUM(AX21:AX39)</f>
        <v>0</v>
      </c>
      <c r="AY40" s="22" t="e">
        <f t="shared" ref="AY40" si="77">SUM(AY21:AY39)</f>
        <v>#REF!</v>
      </c>
      <c r="AZ40" s="22" t="e">
        <f t="shared" ref="AZ40" si="78">SUM(AZ21:AZ39)</f>
        <v>#REF!</v>
      </c>
      <c r="BA40" s="9"/>
      <c r="BB40" s="22">
        <f>SUM(BB21:BB39)</f>
        <v>0</v>
      </c>
      <c r="BC40" s="22" t="e">
        <f>SUM(BC21:BC39)</f>
        <v>#REF!</v>
      </c>
      <c r="BD40" s="22" t="e">
        <f>SUM(BD21:BD39)</f>
        <v>#REF!</v>
      </c>
      <c r="BE40" s="9"/>
      <c r="BF40" s="9"/>
      <c r="BG40" s="18"/>
      <c r="BH40" s="18"/>
    </row>
    <row r="41" spans="1:60" s="2" customFormat="1" x14ac:dyDescent="0.25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N41" s="4"/>
      <c r="O41" s="4"/>
      <c r="P41" s="4"/>
      <c r="R41" s="4"/>
      <c r="S41" s="4"/>
      <c r="T41" s="4"/>
      <c r="V41" s="4"/>
      <c r="W41" s="4"/>
      <c r="X41" s="4"/>
      <c r="Z41" s="4"/>
      <c r="AA41" s="4"/>
      <c r="AB41" s="4"/>
      <c r="AD41" s="4"/>
      <c r="AE41" s="4"/>
      <c r="AF41" s="4"/>
      <c r="AH41" s="4"/>
      <c r="AI41" s="4"/>
      <c r="AJ41" s="4"/>
      <c r="AL41" s="4"/>
      <c r="AM41" s="4"/>
      <c r="AN41" s="4"/>
      <c r="AP41" s="4"/>
      <c r="AQ41" s="4"/>
      <c r="AR41" s="4"/>
      <c r="AT41" s="4"/>
      <c r="AU41" s="4"/>
      <c r="AV41" s="4"/>
      <c r="AX41" s="4"/>
      <c r="AY41" s="4"/>
      <c r="AZ41" s="4"/>
      <c r="BB41" s="4"/>
      <c r="BC41" s="4"/>
      <c r="BD41" s="4"/>
      <c r="BE41" s="4"/>
      <c r="BF41" s="4"/>
      <c r="BG41" s="19"/>
    </row>
    <row r="42" spans="1:60" s="1" customFormat="1" x14ac:dyDescent="0.25">
      <c r="A42" s="1" t="s">
        <v>17</v>
      </c>
      <c r="F42" s="10">
        <f>F18+F40</f>
        <v>631072.38</v>
      </c>
      <c r="G42" s="10" t="e">
        <f>G18+G40</f>
        <v>#REF!</v>
      </c>
      <c r="H42" s="10" t="e">
        <f>H18+H40</f>
        <v>#REF!</v>
      </c>
      <c r="J42" s="22">
        <f t="shared" ref="J42" si="79">J18+J40</f>
        <v>50160.540000000008</v>
      </c>
      <c r="K42" s="22" t="e">
        <f t="shared" ref="K42:AY42" si="80">K18+K40</f>
        <v>#REF!</v>
      </c>
      <c r="L42" s="22" t="e">
        <f t="shared" si="80"/>
        <v>#REF!</v>
      </c>
      <c r="M42" s="9"/>
      <c r="N42" s="22">
        <f t="shared" ref="N42" si="81">N18+N40</f>
        <v>57052.460000000006</v>
      </c>
      <c r="O42" s="22" t="e">
        <f t="shared" si="80"/>
        <v>#REF!</v>
      </c>
      <c r="P42" s="22" t="e">
        <f t="shared" ref="P42" si="82">P18+P40</f>
        <v>#REF!</v>
      </c>
      <c r="Q42" s="9"/>
      <c r="R42" s="22">
        <f t="shared" ref="R42" si="83">R18+R40</f>
        <v>77321.110000000015</v>
      </c>
      <c r="S42" s="22" t="e">
        <f t="shared" si="80"/>
        <v>#REF!</v>
      </c>
      <c r="T42" s="22" t="e">
        <f t="shared" ref="T42" si="84">T18+T40</f>
        <v>#REF!</v>
      </c>
      <c r="U42" s="9"/>
      <c r="V42" s="22">
        <f t="shared" ref="V42" si="85">V18+V40</f>
        <v>56262.31</v>
      </c>
      <c r="W42" s="22" t="e">
        <f t="shared" si="80"/>
        <v>#REF!</v>
      </c>
      <c r="X42" s="22" t="e">
        <f t="shared" ref="X42" si="86">X18+X40</f>
        <v>#REF!</v>
      </c>
      <c r="Y42" s="9"/>
      <c r="Z42" s="22">
        <f t="shared" ref="Z42" si="87">Z18+Z40</f>
        <v>95934.09</v>
      </c>
      <c r="AA42" s="22" t="e">
        <f t="shared" si="80"/>
        <v>#REF!</v>
      </c>
      <c r="AB42" s="22" t="e">
        <f t="shared" ref="AB42" si="88">AB18+AB40</f>
        <v>#REF!</v>
      </c>
      <c r="AC42" s="9"/>
      <c r="AD42" s="22">
        <f t="shared" ref="AD42" si="89">AD18+AD40</f>
        <v>99711.450000000012</v>
      </c>
      <c r="AE42" s="22" t="e">
        <f t="shared" si="80"/>
        <v>#REF!</v>
      </c>
      <c r="AF42" s="22" t="e">
        <f t="shared" ref="AF42" si="90">AF18+AF40</f>
        <v>#REF!</v>
      </c>
      <c r="AG42" s="9"/>
      <c r="AH42" s="22">
        <f t="shared" ref="AH42" si="91">AH18+AH40</f>
        <v>58365.05</v>
      </c>
      <c r="AI42" s="22" t="e">
        <f t="shared" si="80"/>
        <v>#REF!</v>
      </c>
      <c r="AJ42" s="22" t="e">
        <f t="shared" ref="AJ42" si="92">AJ18+AJ40</f>
        <v>#REF!</v>
      </c>
      <c r="AK42" s="9"/>
      <c r="AL42" s="22">
        <f t="shared" ref="AL42" si="93">AL18+AL40</f>
        <v>60848.630000000005</v>
      </c>
      <c r="AM42" s="22" t="e">
        <f t="shared" si="80"/>
        <v>#REF!</v>
      </c>
      <c r="AN42" s="22" t="e">
        <f t="shared" ref="AN42" si="94">AN18+AN40</f>
        <v>#REF!</v>
      </c>
      <c r="AO42" s="9"/>
      <c r="AP42" s="22">
        <f t="shared" ref="AP42" si="95">AP18+AP40</f>
        <v>66696.570000000007</v>
      </c>
      <c r="AQ42" s="22" t="e">
        <f t="shared" si="80"/>
        <v>#REF!</v>
      </c>
      <c r="AR42" s="22" t="e">
        <f t="shared" ref="AR42" si="96">AR18+AR40</f>
        <v>#REF!</v>
      </c>
      <c r="AS42" s="9"/>
      <c r="AT42" s="22">
        <f t="shared" ref="AT42:AV42" si="97">AT18+AT40</f>
        <v>5877.5099999999993</v>
      </c>
      <c r="AU42" s="22" t="e">
        <f t="shared" si="80"/>
        <v>#REF!</v>
      </c>
      <c r="AV42" s="22" t="e">
        <f t="shared" si="97"/>
        <v>#REF!</v>
      </c>
      <c r="AW42" s="9"/>
      <c r="AX42" s="22">
        <f t="shared" ref="AX42" si="98">AX18+AX40</f>
        <v>0</v>
      </c>
      <c r="AY42" s="22" t="e">
        <f t="shared" si="80"/>
        <v>#REF!</v>
      </c>
      <c r="AZ42" s="22" t="e">
        <f t="shared" ref="AZ42" si="99">AZ18+AZ40</f>
        <v>#REF!</v>
      </c>
      <c r="BA42" s="9"/>
      <c r="BB42" s="22">
        <f t="shared" ref="BB42:BD42" si="100">BB18+BB40</f>
        <v>0</v>
      </c>
      <c r="BC42" s="22" t="e">
        <f t="shared" si="100"/>
        <v>#REF!</v>
      </c>
      <c r="BD42" s="22" t="e">
        <f t="shared" si="100"/>
        <v>#REF!</v>
      </c>
      <c r="BE42" s="9"/>
      <c r="BF42" s="9"/>
      <c r="BG42" s="18"/>
    </row>
    <row r="43" spans="1:60" s="1" customFormat="1" x14ac:dyDescent="0.25">
      <c r="A43" s="13"/>
      <c r="B43" s="13"/>
      <c r="C43" s="13"/>
      <c r="D43" s="13"/>
      <c r="E43" s="13"/>
      <c r="F43" s="14"/>
      <c r="G43" s="14"/>
      <c r="H43" s="14"/>
      <c r="J43" s="22"/>
      <c r="K43" s="2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18"/>
    </row>
    <row r="44" spans="1:60" s="1" customFormat="1" ht="14.4" thickBot="1" x14ac:dyDescent="0.3">
      <c r="A44" s="1" t="s">
        <v>4</v>
      </c>
      <c r="F44" s="15">
        <f>F12-F42</f>
        <v>-284507.98000000004</v>
      </c>
      <c r="G44" s="15" t="e">
        <f>G12-G42</f>
        <v>#REF!</v>
      </c>
      <c r="H44" s="15" t="e">
        <f>H12-H42</f>
        <v>#REF!</v>
      </c>
      <c r="J44" s="22">
        <f t="shared" ref="J44" si="101">J12-J42</f>
        <v>65575.89</v>
      </c>
      <c r="K44" s="22" t="e">
        <f t="shared" ref="K44:AY44" si="102">K12-K42</f>
        <v>#REF!</v>
      </c>
      <c r="L44" s="22" t="e">
        <f t="shared" si="102"/>
        <v>#REF!</v>
      </c>
      <c r="M44" s="9"/>
      <c r="N44" s="22">
        <f t="shared" ref="N44" si="103">N12-N42</f>
        <v>-42248.250000000007</v>
      </c>
      <c r="O44" s="22" t="e">
        <f t="shared" si="102"/>
        <v>#REF!</v>
      </c>
      <c r="P44" s="22" t="e">
        <f t="shared" ref="P44" si="104">P12-P42</f>
        <v>#REF!</v>
      </c>
      <c r="Q44" s="9"/>
      <c r="R44" s="22">
        <f t="shared" ref="R44" si="105">R12-R42</f>
        <v>-55340.940000000017</v>
      </c>
      <c r="S44" s="22" t="e">
        <f t="shared" si="102"/>
        <v>#REF!</v>
      </c>
      <c r="T44" s="22" t="e">
        <f t="shared" ref="T44" si="106">T12-T42</f>
        <v>#REF!</v>
      </c>
      <c r="U44" s="9"/>
      <c r="V44" s="22">
        <f t="shared" ref="V44" si="107">V12-V42</f>
        <v>-48351.619999999995</v>
      </c>
      <c r="W44" s="22" t="e">
        <f t="shared" si="102"/>
        <v>#REF!</v>
      </c>
      <c r="X44" s="22" t="e">
        <f t="shared" ref="X44" si="108">X12-X42</f>
        <v>#REF!</v>
      </c>
      <c r="Y44" s="9"/>
      <c r="Z44" s="22">
        <f t="shared" ref="Z44" si="109">Z12-Z42</f>
        <v>-71494.609999999986</v>
      </c>
      <c r="AA44" s="22" t="e">
        <f t="shared" si="102"/>
        <v>#REF!</v>
      </c>
      <c r="AB44" s="22" t="e">
        <f t="shared" ref="AB44" si="110">AB12-AB42</f>
        <v>#REF!</v>
      </c>
      <c r="AC44" s="9"/>
      <c r="AD44" s="22">
        <f t="shared" ref="AD44" si="111">AD12-AD42</f>
        <v>-53646.880000000012</v>
      </c>
      <c r="AE44" s="22" t="e">
        <f t="shared" si="102"/>
        <v>#REF!</v>
      </c>
      <c r="AF44" s="22" t="e">
        <f t="shared" ref="AF44" si="112">AF12-AF42</f>
        <v>#REF!</v>
      </c>
      <c r="AG44" s="9"/>
      <c r="AH44" s="22">
        <f t="shared" ref="AH44" si="113">AH12-AH42</f>
        <v>27197.069999999992</v>
      </c>
      <c r="AI44" s="22" t="e">
        <f t="shared" si="102"/>
        <v>#REF!</v>
      </c>
      <c r="AJ44" s="22" t="e">
        <f t="shared" ref="AJ44" si="114">AJ12-AJ42</f>
        <v>#REF!</v>
      </c>
      <c r="AK44" s="9"/>
      <c r="AL44" s="22">
        <f t="shared" ref="AL44" si="115">AL12-AL42</f>
        <v>-44091.960000000006</v>
      </c>
      <c r="AM44" s="22" t="e">
        <f t="shared" si="102"/>
        <v>#REF!</v>
      </c>
      <c r="AN44" s="22" t="e">
        <f t="shared" ref="AN44" si="116">AN12-AN42</f>
        <v>#REF!</v>
      </c>
      <c r="AO44" s="9"/>
      <c r="AP44" s="22">
        <f t="shared" ref="AP44" si="117">AP12-AP42</f>
        <v>-54457.510000000009</v>
      </c>
      <c r="AQ44" s="22" t="e">
        <f t="shared" si="102"/>
        <v>#REF!</v>
      </c>
      <c r="AR44" s="22" t="e">
        <f t="shared" ref="AR44" si="118">AR12-AR42</f>
        <v>#REF!</v>
      </c>
      <c r="AS44" s="9"/>
      <c r="AT44" s="22">
        <f t="shared" ref="AT44:AV44" si="119">AT12-AT42</f>
        <v>-4806.5099999999993</v>
      </c>
      <c r="AU44" s="22" t="e">
        <f t="shared" si="102"/>
        <v>#REF!</v>
      </c>
      <c r="AV44" s="22" t="e">
        <f t="shared" si="119"/>
        <v>#REF!</v>
      </c>
      <c r="AW44" s="9"/>
      <c r="AX44" s="22">
        <f t="shared" ref="AX44" si="120">AX12-AX42</f>
        <v>0</v>
      </c>
      <c r="AY44" s="22" t="e">
        <f t="shared" si="102"/>
        <v>#REF!</v>
      </c>
      <c r="AZ44" s="22" t="e">
        <f t="shared" ref="AZ44" si="121">AZ12-AZ42</f>
        <v>#REF!</v>
      </c>
      <c r="BA44" s="9"/>
      <c r="BB44" s="22">
        <f t="shared" ref="BB44:BD44" si="122">BB12-BB42</f>
        <v>0</v>
      </c>
      <c r="BC44" s="22" t="e">
        <f t="shared" si="122"/>
        <v>#REF!</v>
      </c>
      <c r="BD44" s="22" t="e">
        <f t="shared" si="122"/>
        <v>#REF!</v>
      </c>
      <c r="BE44" s="9"/>
      <c r="BF44" s="9"/>
      <c r="BG44" s="18"/>
    </row>
    <row r="45" spans="1:60" ht="14.4" thickTop="1" x14ac:dyDescent="0.25">
      <c r="F45" s="20">
        <f>F44-'P&amp;L by Month'!N92</f>
        <v>0</v>
      </c>
      <c r="J45" s="24"/>
      <c r="K45" s="24"/>
      <c r="L45" s="9"/>
      <c r="M45" s="9"/>
      <c r="N45" s="9"/>
    </row>
    <row r="46" spans="1:60" x14ac:dyDescent="0.25">
      <c r="F46" s="16"/>
      <c r="G46" s="16"/>
      <c r="H46" s="16"/>
      <c r="J46" s="25"/>
      <c r="K46" s="25"/>
      <c r="L46" s="25"/>
      <c r="M46" s="25"/>
      <c r="N46" s="25"/>
      <c r="O46" s="16"/>
      <c r="P46" s="16"/>
      <c r="Q46" s="25"/>
      <c r="R46" s="16"/>
      <c r="S46" s="16"/>
      <c r="T46" s="16"/>
      <c r="U46" s="25"/>
      <c r="V46" s="16"/>
      <c r="W46" s="16"/>
      <c r="X46" s="16"/>
      <c r="Y46" s="25"/>
      <c r="Z46" s="16"/>
      <c r="AA46" s="16"/>
      <c r="AB46" s="16"/>
      <c r="AC46" s="25"/>
      <c r="AD46" s="16"/>
      <c r="AE46" s="16"/>
      <c r="AF46" s="16"/>
      <c r="AG46" s="25"/>
      <c r="AH46" s="16"/>
      <c r="AI46" s="16"/>
      <c r="AJ46" s="16"/>
      <c r="AK46" s="25"/>
      <c r="AL46" s="16"/>
      <c r="AM46" s="16"/>
      <c r="AN46" s="16"/>
      <c r="AO46" s="25"/>
      <c r="AP46" s="16"/>
      <c r="AQ46" s="16"/>
      <c r="AR46" s="16"/>
      <c r="AS46" s="25"/>
      <c r="AT46" s="16"/>
      <c r="AU46" s="16"/>
      <c r="AV46" s="16"/>
      <c r="AW46" s="25"/>
      <c r="AX46" s="16"/>
      <c r="AY46" s="16"/>
      <c r="AZ46" s="16"/>
      <c r="BA46" s="25"/>
      <c r="BB46" s="16"/>
      <c r="BC46" s="16"/>
      <c r="BD46" s="16"/>
      <c r="BE46" s="16"/>
      <c r="BF46" s="16"/>
    </row>
  </sheetData>
  <mergeCells count="13">
    <mergeCell ref="F4:H4"/>
    <mergeCell ref="AH4:AJ4"/>
    <mergeCell ref="AL4:AN4"/>
    <mergeCell ref="AP4:AR4"/>
    <mergeCell ref="AT4:AV4"/>
    <mergeCell ref="AX4:AZ4"/>
    <mergeCell ref="BB4:BD4"/>
    <mergeCell ref="J4:L4"/>
    <mergeCell ref="N4:P4"/>
    <mergeCell ref="R4:T4"/>
    <mergeCell ref="V4:X4"/>
    <mergeCell ref="Z4:AB4"/>
    <mergeCell ref="AD4:AF4"/>
  </mergeCells>
  <printOptions gridLines="1"/>
  <pageMargins left="0.5" right="0.5" top="0.75" bottom="0.75" header="0" footer="0.26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</vt:lpstr>
      <vt:lpstr>P&amp;L by Month</vt:lpstr>
      <vt:lpstr>BVA</vt:lpstr>
      <vt:lpstr>Budget!Print_Area</vt:lpstr>
      <vt:lpstr>BVA!Print_Area</vt:lpstr>
      <vt:lpstr>Budget!Print_Titles</vt:lpstr>
      <vt:lpstr>BVA!Print_Titles</vt:lpstr>
    </vt:vector>
  </TitlesOfParts>
  <Company>Boys &amp; Girls Clubs Of Middle Tennesee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Maden</dc:creator>
  <cp:lastModifiedBy>Kay Kretsch</cp:lastModifiedBy>
  <cp:lastPrinted>2021-03-23T20:39:26Z</cp:lastPrinted>
  <dcterms:created xsi:type="dcterms:W3CDTF">2006-06-06T12:29:36Z</dcterms:created>
  <dcterms:modified xsi:type="dcterms:W3CDTF">2022-09-07T18:50:33Z</dcterms:modified>
</cp:coreProperties>
</file>