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BE0A1714-5160-47BD-8E7C-3811105E09E2}" xr6:coauthVersionLast="47" xr6:coauthVersionMax="47" xr10:uidLastSave="{00000000-0000-0000-0000-000000000000}"/>
  <bookViews>
    <workbookView xWindow="20370" yWindow="-120" windowWidth="29040" windowHeight="15840" xr2:uid="{CA021828-6EFD-477B-A0FA-4E2DD9AFE60B}"/>
  </bookViews>
  <sheets>
    <sheet name="2022 Draft v2" sheetId="7" r:id="rId1"/>
    <sheet name="2021 Actuals" sheetId="4" r:id="rId2"/>
  </sheets>
  <definedNames>
    <definedName name="_xlnm.Print_Area" localSheetId="1">'2021 Actuals'!$B$3:$Q$104</definedName>
    <definedName name="_xlnm.Print_Titles" localSheetId="1">'2021 Actuals'!$3:$10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7" l="1"/>
  <c r="P108" i="7"/>
  <c r="P69" i="7"/>
  <c r="O69" i="7"/>
  <c r="O68" i="7"/>
  <c r="R55" i="7"/>
  <c r="O55" i="7"/>
  <c r="P62" i="7"/>
  <c r="P61" i="7"/>
  <c r="P60" i="7"/>
  <c r="O26" i="7"/>
  <c r="P37" i="7"/>
  <c r="P41" i="7"/>
  <c r="P40" i="7" s="1"/>
  <c r="R105" i="7"/>
  <c r="O105" i="7"/>
  <c r="P106" i="7"/>
  <c r="R90" i="7"/>
  <c r="O90" i="7"/>
  <c r="P107" i="7"/>
  <c r="P102" i="7"/>
  <c r="P101" i="7"/>
  <c r="P98" i="7"/>
  <c r="P97" i="7"/>
  <c r="P96" i="7"/>
  <c r="P95" i="7"/>
  <c r="P94" i="7"/>
  <c r="P93" i="7"/>
  <c r="P92" i="7"/>
  <c r="B60" i="7"/>
  <c r="C60" i="7"/>
  <c r="D60" i="7"/>
  <c r="E60" i="7"/>
  <c r="F60" i="7"/>
  <c r="G60" i="7"/>
  <c r="H60" i="7"/>
  <c r="I60" i="7"/>
  <c r="J60" i="7"/>
  <c r="K60" i="7"/>
  <c r="L60" i="7"/>
  <c r="M60" i="7"/>
  <c r="O64" i="7"/>
  <c r="P64" i="7" s="1"/>
  <c r="R80" i="7"/>
  <c r="P80" i="7" s="1"/>
  <c r="P87" i="7"/>
  <c r="P86" i="7"/>
  <c r="P84" i="7"/>
  <c r="P83" i="7"/>
  <c r="P82" i="7"/>
  <c r="P81" i="7"/>
  <c r="P78" i="7"/>
  <c r="P77" i="7"/>
  <c r="U77" i="7" s="1"/>
  <c r="P76" i="7"/>
  <c r="P74" i="7"/>
  <c r="P73" i="7"/>
  <c r="P72" i="7"/>
  <c r="P71" i="7"/>
  <c r="P66" i="7"/>
  <c r="U78" i="7"/>
  <c r="M54" i="7"/>
  <c r="L54" i="7"/>
  <c r="K54" i="7"/>
  <c r="J54" i="7"/>
  <c r="I54" i="7"/>
  <c r="H54" i="7"/>
  <c r="G54" i="7"/>
  <c r="F54" i="7"/>
  <c r="E54" i="7"/>
  <c r="D54" i="7"/>
  <c r="C54" i="7"/>
  <c r="B54" i="7"/>
  <c r="O58" i="7"/>
  <c r="P58" i="7" s="1"/>
  <c r="P54" i="7"/>
  <c r="O59" i="7"/>
  <c r="P59" i="7" s="1"/>
  <c r="O63" i="7"/>
  <c r="P63" i="7" s="1"/>
  <c r="O40" i="7"/>
  <c r="R40" i="7"/>
  <c r="P36" i="7"/>
  <c r="P35" i="7"/>
  <c r="P34" i="7"/>
  <c r="P33" i="7"/>
  <c r="P32" i="7"/>
  <c r="P31" i="7"/>
  <c r="P30" i="7"/>
  <c r="P29" i="7"/>
  <c r="P28" i="7"/>
  <c r="P27" i="7"/>
  <c r="P23" i="7"/>
  <c r="P19" i="7"/>
  <c r="P18" i="7"/>
  <c r="P17" i="7"/>
  <c r="P13" i="7"/>
  <c r="P12" i="7"/>
  <c r="P11" i="7"/>
  <c r="P10" i="7"/>
  <c r="P9" i="7"/>
  <c r="P8" i="7"/>
  <c r="P7" i="7"/>
  <c r="R26" i="7"/>
  <c r="R16" i="7"/>
  <c r="O6" i="7"/>
  <c r="T6" i="7"/>
  <c r="T40" i="7"/>
  <c r="O16" i="7"/>
  <c r="T16" i="7"/>
  <c r="R6" i="7"/>
  <c r="O67" i="7" l="1"/>
  <c r="P67" i="7" s="1"/>
  <c r="R52" i="7"/>
  <c r="R111" i="7" s="1"/>
  <c r="P68" i="7"/>
  <c r="P55" i="7"/>
  <c r="P105" i="7"/>
  <c r="P90" i="7"/>
  <c r="O61" i="7"/>
  <c r="P16" i="7"/>
  <c r="P6" i="7"/>
  <c r="P26" i="7"/>
  <c r="T45" i="7"/>
  <c r="R45" i="7"/>
  <c r="O45" i="7"/>
  <c r="R114" i="7" l="1"/>
  <c r="O52" i="7"/>
  <c r="O111" i="7" s="1"/>
  <c r="O46" i="7"/>
  <c r="P45" i="7"/>
  <c r="P52" i="7" l="1"/>
  <c r="P111" i="7"/>
  <c r="O114" i="7"/>
  <c r="P114" i="7" s="1"/>
  <c r="C14" i="4"/>
  <c r="P14" i="4" s="1"/>
  <c r="D14" i="4"/>
  <c r="F14" i="4"/>
  <c r="H14" i="4"/>
  <c r="I14" i="4"/>
  <c r="I47" i="4" s="1"/>
  <c r="I104" i="4" s="1"/>
  <c r="J14" i="4"/>
  <c r="K14" i="4"/>
  <c r="L14" i="4"/>
  <c r="M14" i="4"/>
  <c r="M47" i="4" s="1"/>
  <c r="M104" i="4" s="1"/>
  <c r="N14" i="4"/>
  <c r="R14" i="4"/>
  <c r="P15" i="4"/>
  <c r="P18" i="4"/>
  <c r="R18" i="4"/>
  <c r="P21" i="4"/>
  <c r="R21" i="4"/>
  <c r="P22" i="4"/>
  <c r="R22" i="4"/>
  <c r="P24" i="4"/>
  <c r="R24" i="4"/>
  <c r="P27" i="4"/>
  <c r="P29" i="4"/>
  <c r="R29" i="4"/>
  <c r="C44" i="4"/>
  <c r="C47" i="4" s="1"/>
  <c r="D44" i="4"/>
  <c r="E44" i="4"/>
  <c r="F44" i="4"/>
  <c r="F47" i="4" s="1"/>
  <c r="G44" i="4"/>
  <c r="G47" i="4" s="1"/>
  <c r="G104" i="4" s="1"/>
  <c r="H44" i="4"/>
  <c r="I44" i="4"/>
  <c r="J44" i="4"/>
  <c r="J47" i="4" s="1"/>
  <c r="J104" i="4" s="1"/>
  <c r="K44" i="4"/>
  <c r="L44" i="4"/>
  <c r="M44" i="4"/>
  <c r="N44" i="4"/>
  <c r="N47" i="4" s="1"/>
  <c r="N104" i="4" s="1"/>
  <c r="P44" i="4"/>
  <c r="P45" i="4"/>
  <c r="R45" i="4"/>
  <c r="D47" i="4"/>
  <c r="E47" i="4"/>
  <c r="H47" i="4"/>
  <c r="K47" i="4"/>
  <c r="K104" i="4" s="1"/>
  <c r="L47" i="4"/>
  <c r="R47" i="4"/>
  <c r="P53" i="4"/>
  <c r="R53" i="4"/>
  <c r="P54" i="4"/>
  <c r="R54" i="4"/>
  <c r="R101" i="4" s="1"/>
  <c r="C60" i="4"/>
  <c r="D60" i="4"/>
  <c r="E60" i="4"/>
  <c r="P60" i="4" s="1"/>
  <c r="F60" i="4"/>
  <c r="G60" i="4"/>
  <c r="H60" i="4"/>
  <c r="I60" i="4"/>
  <c r="I101" i="4" s="1"/>
  <c r="J60" i="4"/>
  <c r="K60" i="4"/>
  <c r="L60" i="4"/>
  <c r="M60" i="4"/>
  <c r="M101" i="4" s="1"/>
  <c r="N60" i="4"/>
  <c r="C61" i="4"/>
  <c r="D61" i="4"/>
  <c r="D101" i="4" s="1"/>
  <c r="D104" i="4" s="1"/>
  <c r="E61" i="4"/>
  <c r="F61" i="4"/>
  <c r="G61" i="4"/>
  <c r="H61" i="4"/>
  <c r="H101" i="4" s="1"/>
  <c r="H104" i="4" s="1"/>
  <c r="I61" i="4"/>
  <c r="J61" i="4"/>
  <c r="K61" i="4"/>
  <c r="L61" i="4"/>
  <c r="L101" i="4" s="1"/>
  <c r="L104" i="4" s="1"/>
  <c r="M61" i="4"/>
  <c r="N61" i="4"/>
  <c r="R62" i="4"/>
  <c r="D63" i="4"/>
  <c r="P63" i="4" s="1"/>
  <c r="R63" i="4"/>
  <c r="P64" i="4"/>
  <c r="P65" i="4"/>
  <c r="R65" i="4"/>
  <c r="I66" i="4"/>
  <c r="P66" i="4"/>
  <c r="C67" i="4"/>
  <c r="P67" i="4" s="1"/>
  <c r="H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P68" i="4"/>
  <c r="R68" i="4"/>
  <c r="C69" i="4"/>
  <c r="D69" i="4"/>
  <c r="P69" i="4" s="1"/>
  <c r="E69" i="4"/>
  <c r="F69" i="4"/>
  <c r="G69" i="4"/>
  <c r="H69" i="4"/>
  <c r="I69" i="4"/>
  <c r="J69" i="4"/>
  <c r="K69" i="4"/>
  <c r="L69" i="4"/>
  <c r="M69" i="4"/>
  <c r="N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P70" i="4"/>
  <c r="R70" i="4"/>
  <c r="E71" i="4"/>
  <c r="F71" i="4"/>
  <c r="P71" i="4" s="1"/>
  <c r="K71" i="4"/>
  <c r="R71" i="4"/>
  <c r="D72" i="4"/>
  <c r="P72" i="4"/>
  <c r="R72" i="4"/>
  <c r="P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P74" i="4"/>
  <c r="R74" i="4"/>
  <c r="E75" i="4"/>
  <c r="P75" i="4"/>
  <c r="R75" i="4"/>
  <c r="P76" i="4"/>
  <c r="R76" i="4"/>
  <c r="P77" i="4"/>
  <c r="R77" i="4"/>
  <c r="P83" i="4"/>
  <c r="R83" i="4"/>
  <c r="I84" i="4"/>
  <c r="P84" i="4"/>
  <c r="R84" i="4"/>
  <c r="P85" i="4"/>
  <c r="R85" i="4"/>
  <c r="P86" i="4"/>
  <c r="R86" i="4"/>
  <c r="I87" i="4"/>
  <c r="P87" i="4"/>
  <c r="R87" i="4"/>
  <c r="I88" i="4"/>
  <c r="P88" i="4" s="1"/>
  <c r="R88" i="4"/>
  <c r="I89" i="4"/>
  <c r="P89" i="4" s="1"/>
  <c r="R89" i="4"/>
  <c r="P91" i="4"/>
  <c r="R91" i="4"/>
  <c r="F95" i="4"/>
  <c r="N95" i="4"/>
  <c r="P95" i="4"/>
  <c r="F96" i="4"/>
  <c r="F101" i="4" s="1"/>
  <c r="M96" i="4"/>
  <c r="N96" i="4"/>
  <c r="P98" i="4"/>
  <c r="C101" i="4"/>
  <c r="G101" i="4"/>
  <c r="J101" i="4"/>
  <c r="K101" i="4"/>
  <c r="N101" i="4"/>
  <c r="P101" i="4" l="1"/>
  <c r="C104" i="4"/>
  <c r="P47" i="4"/>
  <c r="F104" i="4"/>
  <c r="E101" i="4"/>
  <c r="E104" i="4" s="1"/>
  <c r="P61" i="4"/>
  <c r="P104" i="4" l="1"/>
</calcChain>
</file>

<file path=xl/sharedStrings.xml><?xml version="1.0" encoding="utf-8"?>
<sst xmlns="http://schemas.openxmlformats.org/spreadsheetml/2006/main" count="229" uniqueCount="179">
  <si>
    <t>INCOME</t>
  </si>
  <si>
    <t xml:space="preserve"> Corporate Contributions</t>
  </si>
  <si>
    <t xml:space="preserve"> Individual Contributions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</si>
  <si>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</si>
  <si>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</si>
  <si>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</si>
  <si>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</si>
  <si>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</si>
  <si>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</si>
  <si>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</si>
  <si>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</si>
  <si>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</si>
  <si>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</si>
  <si>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</si>
  <si>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</si>
  <si>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</si>
  <si>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EXPENSES</t>
  </si>
  <si>
    <t>Notes</t>
  </si>
  <si>
    <t xml:space="preserve"> Grants</t>
  </si>
  <si>
    <t>General and Administrative</t>
  </si>
  <si>
    <t>Program  Expenses</t>
  </si>
  <si>
    <t xml:space="preserve"> Single familes support</t>
  </si>
  <si>
    <t xml:space="preserve">   Rent</t>
  </si>
  <si>
    <t xml:space="preserve">   Utilities</t>
  </si>
  <si>
    <t>FUNDRAISING</t>
  </si>
  <si>
    <t>CONTRIBUTIONS</t>
  </si>
  <si>
    <t>Fundraising</t>
  </si>
  <si>
    <t xml:space="preserve">  Hashbrowns for Hope</t>
  </si>
  <si>
    <t xml:space="preserve">   In-kind</t>
  </si>
  <si>
    <t>Letter campaign</t>
  </si>
  <si>
    <t>YTD</t>
  </si>
  <si>
    <t>Total Income</t>
  </si>
  <si>
    <t>Hashbrowns committee 2021 should have input</t>
  </si>
  <si>
    <t>Any other committee ideals for 2021?</t>
  </si>
  <si>
    <t xml:space="preserve"> Big Pay Back</t>
  </si>
  <si>
    <t>With new board members coming, may boast in 2021</t>
  </si>
  <si>
    <t>net after fees</t>
  </si>
  <si>
    <t xml:space="preserve">   Event production</t>
  </si>
  <si>
    <t xml:space="preserve">   Food</t>
  </si>
  <si>
    <t>virtual or on location ?</t>
  </si>
  <si>
    <t xml:space="preserve">   Merchant fees</t>
  </si>
  <si>
    <t xml:space="preserve">   Venue</t>
  </si>
  <si>
    <t xml:space="preserve">   Postage</t>
  </si>
  <si>
    <t xml:space="preserve">   Supplies</t>
  </si>
  <si>
    <t>Bank fees</t>
  </si>
  <si>
    <t>Donations</t>
  </si>
  <si>
    <t>Retreat</t>
  </si>
  <si>
    <t>donation to Corinthian in 2020</t>
  </si>
  <si>
    <t>Dues and memberships</t>
  </si>
  <si>
    <t>Equipment and sofware</t>
  </si>
  <si>
    <t>License and permit</t>
  </si>
  <si>
    <t>Merchant fees</t>
  </si>
  <si>
    <t>Office Supplies</t>
  </si>
  <si>
    <t>Office Supplies - Ink</t>
  </si>
  <si>
    <t>Postage</t>
  </si>
  <si>
    <t>Financial Review</t>
  </si>
  <si>
    <t>Inkind - Promotion</t>
  </si>
  <si>
    <t>Inkind - other</t>
  </si>
  <si>
    <t>marketing support</t>
  </si>
  <si>
    <t>Tech support</t>
  </si>
  <si>
    <t>Telephone</t>
  </si>
  <si>
    <t>Website fee</t>
  </si>
  <si>
    <t>Total Expenses</t>
  </si>
  <si>
    <t>What we did in 2019 $30, 400. 94 families</t>
  </si>
  <si>
    <t>board retreat</t>
  </si>
  <si>
    <t>additonal equipment needs? We purchased laptops recently</t>
  </si>
  <si>
    <t>SOS, chariable solicitations board</t>
  </si>
  <si>
    <t>paypal fees</t>
  </si>
  <si>
    <t>box renewal, stamps</t>
  </si>
  <si>
    <t>Zoom, Tech soup</t>
  </si>
  <si>
    <t>any anticiapted fees?</t>
  </si>
  <si>
    <t>Change in net assets</t>
  </si>
  <si>
    <t>Directors and Officers Insurance</t>
  </si>
  <si>
    <t>Professional Fees ( Financial Review)</t>
  </si>
  <si>
    <t>Metro PCS</t>
  </si>
  <si>
    <t>Auction company stripe fees</t>
  </si>
  <si>
    <t>Center for Non-Profit Management , Sams club membership</t>
  </si>
  <si>
    <t>Rent</t>
  </si>
  <si>
    <t>Miscellaneous</t>
  </si>
  <si>
    <t xml:space="preserve">Executive director </t>
  </si>
  <si>
    <t>Office rent - actual</t>
  </si>
  <si>
    <t>&lt;---   AllState, Microsoft , Other Grants</t>
  </si>
  <si>
    <t xml:space="preserve">Other Income </t>
  </si>
  <si>
    <t xml:space="preserve"> Healing Trust</t>
  </si>
  <si>
    <t xml:space="preserve"> Hashbrowns for Hope(HBH)</t>
  </si>
  <si>
    <t xml:space="preserve">   In-kind support - HBH</t>
  </si>
  <si>
    <t xml:space="preserve">   Donations - HBH</t>
  </si>
  <si>
    <t xml:space="preserve"> Letter Campaign</t>
  </si>
  <si>
    <t xml:space="preserve">Bank of America </t>
  </si>
  <si>
    <t>Sharing Change ( Middle TN Electric )</t>
  </si>
  <si>
    <t xml:space="preserve">Community Foundation - Mary Murphy Charitable Foundation </t>
  </si>
  <si>
    <t>Community Foundation- Tornado Relief</t>
  </si>
  <si>
    <t xml:space="preserve">United Way -COVID </t>
  </si>
  <si>
    <t>Community Foundation- Turner Nashe Foundation</t>
  </si>
  <si>
    <t xml:space="preserve">Jackson Health </t>
  </si>
  <si>
    <t xml:space="preserve">Regions </t>
  </si>
  <si>
    <t>California Community Foundation - Cheryl Mason</t>
  </si>
  <si>
    <t xml:space="preserve">Rutherford Rental Relief ( Reimbursable) </t>
  </si>
  <si>
    <t>Darrell Freeman Fund</t>
  </si>
  <si>
    <t xml:space="preserve">Jack and Jill Foundation of Williamson </t>
  </si>
  <si>
    <t xml:space="preserve">largest contributors this year - Mary Murphy $20,000 </t>
  </si>
  <si>
    <t>Staff - Executive Director</t>
  </si>
  <si>
    <t>Contract Services - DL</t>
  </si>
  <si>
    <t>Contract Services - AS-Grant Writer (part-time)</t>
  </si>
  <si>
    <t>Contract Services - DH</t>
  </si>
  <si>
    <t>Accountant - AD</t>
  </si>
  <si>
    <t>Contract Services - LH (Rutherford County Rent Relief)</t>
  </si>
  <si>
    <t xml:space="preserve">CapStar - Pending </t>
  </si>
  <si>
    <t xml:space="preserve">BUDGET 2021  </t>
  </si>
  <si>
    <t xml:space="preserve">   Counseling services(Healing Trust and Tree of Life)</t>
  </si>
  <si>
    <t>Hashbrowns for Hope</t>
  </si>
  <si>
    <t>Healing Trust</t>
  </si>
  <si>
    <t>Joe C Davis (Hopeful Hearts)</t>
  </si>
  <si>
    <t>Memorial Foundation</t>
  </si>
  <si>
    <t>Cyber Liability</t>
  </si>
  <si>
    <t>Business Owner's Insurance</t>
  </si>
  <si>
    <t>Board Retreat</t>
  </si>
  <si>
    <t>VAR</t>
  </si>
  <si>
    <t>YTD Projected</t>
  </si>
  <si>
    <t>Individual Contributions (Non-grant)</t>
  </si>
  <si>
    <t>Big Pay Back / Letter Campaign</t>
  </si>
  <si>
    <t>Corporate/Family Foundations</t>
  </si>
  <si>
    <t xml:space="preserve">  Mary Murphy Charitable Foundation - 20K</t>
  </si>
  <si>
    <t xml:space="preserve">  Turner Nashe Foundation - 10K</t>
  </si>
  <si>
    <t xml:space="preserve">  Darrell Freeman Fund - 5K</t>
  </si>
  <si>
    <t xml:space="preserve">  Cheryl Mason (California Community Foundation) - 5K</t>
  </si>
  <si>
    <t>PROPOSED</t>
  </si>
  <si>
    <t>TOTAL INCOME</t>
  </si>
  <si>
    <t xml:space="preserve">  HBH Revenue</t>
  </si>
  <si>
    <t xml:space="preserve">  HBH In-Kind Donation</t>
  </si>
  <si>
    <t>GRANTS</t>
  </si>
  <si>
    <t xml:space="preserve">  Pamela Carter Foundation</t>
  </si>
  <si>
    <t>Unknown Line Item from 2020</t>
  </si>
  <si>
    <t>Community Foundation - Tornado Relief</t>
  </si>
  <si>
    <t xml:space="preserve">United Way - COVID </t>
  </si>
  <si>
    <t>Metro Action Commission - The Hope Fund</t>
  </si>
  <si>
    <t>Labor</t>
  </si>
  <si>
    <t xml:space="preserve">  Executive Director</t>
  </si>
  <si>
    <t>Contract Services</t>
  </si>
  <si>
    <t xml:space="preserve">  Rutherford County Rent Relief</t>
  </si>
  <si>
    <t xml:space="preserve">  Marketing Support</t>
  </si>
  <si>
    <t xml:space="preserve">  Grant Writer</t>
  </si>
  <si>
    <t>GENERAL AND ADMINISTRATIVE</t>
  </si>
  <si>
    <t xml:space="preserve">  Decor</t>
  </si>
  <si>
    <t xml:space="preserve">  Payroll Tax</t>
  </si>
  <si>
    <t xml:space="preserve">  Venue</t>
  </si>
  <si>
    <t xml:space="preserve">  Event Production</t>
  </si>
  <si>
    <t xml:space="preserve">  In-Kind</t>
  </si>
  <si>
    <t xml:space="preserve">  Food</t>
  </si>
  <si>
    <t xml:space="preserve">  Postage</t>
  </si>
  <si>
    <t xml:space="preserve">  Supplies</t>
  </si>
  <si>
    <t>Letter Writing Campaign</t>
  </si>
  <si>
    <t>PROGRAM EXPENSES</t>
  </si>
  <si>
    <t>ACTUAL</t>
  </si>
  <si>
    <t>Infinity (Website Management)</t>
  </si>
  <si>
    <t>New Sources of Income/Revenue</t>
  </si>
  <si>
    <t xml:space="preserve">      Hourly Rate</t>
  </si>
  <si>
    <t xml:space="preserve">       Commission 1% Rate</t>
  </si>
  <si>
    <t xml:space="preserve">  Hope Station Contractor</t>
  </si>
  <si>
    <t xml:space="preserve">  Professional Fees (CPA)</t>
  </si>
  <si>
    <t xml:space="preserve">     Hope Station</t>
  </si>
  <si>
    <t xml:space="preserve">     Rutherford County</t>
  </si>
  <si>
    <t>Equipment and Software</t>
  </si>
  <si>
    <t>Website Fee</t>
  </si>
  <si>
    <t>Merchant Fees</t>
  </si>
  <si>
    <t>Bank Fees</t>
  </si>
  <si>
    <t>Dues and Memberships</t>
  </si>
  <si>
    <t>License and Permit</t>
  </si>
  <si>
    <t>Technology (Zoom, Tech Soup)</t>
  </si>
  <si>
    <t xml:space="preserve">  Cause Pilot</t>
  </si>
  <si>
    <t xml:space="preserve">  Merchant Fees</t>
  </si>
  <si>
    <t>Traditional Program (100 Families)</t>
  </si>
  <si>
    <t>Hopeful Hearts (50 Clients)</t>
  </si>
  <si>
    <t xml:space="preserve">      Bank of America (2021 - 25K, 2020 - 25K)</t>
  </si>
  <si>
    <t xml:space="preserve">      Jackson Health (2021 - 10K, 2020 - 24K)</t>
  </si>
  <si>
    <t xml:space="preserve">      Regions (2021 - 5K, 2020 - 1K)</t>
  </si>
  <si>
    <t>TOTAL EXPENSES</t>
  </si>
  <si>
    <t>CHANGE IN NET ASSETS</t>
  </si>
  <si>
    <t>PROPOSED 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</si>
</sst>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i/>
      <sz val="12"/>
      <color theme="5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2"/>
      <color theme="5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5">
    <xf numFmtId="0" fontId="0" fillId="0" borderId="0" xfId="0"/>
    <xf numFmtId="44" fontId="0" fillId="0" borderId="0" xfId="1" applyFont="1"/>
    <xf numFmtId="44" fontId="0" fillId="0" borderId="0" xfId="1" applyFont="1" applyFill="1"/>
    <xf numFmtId="44" fontId="0" fillId="0" borderId="1" xfId="1" applyFont="1" applyBorder="1"/>
    <xf numFmtId="44" fontId="0" fillId="0" borderId="0" xfId="1" applyFont="1" applyBorder="1"/>
    <xf numFmtId="44" fontId="13" fillId="0" borderId="0" xfId="1" applyFont="1"/>
    <xf numFmtId="44" fontId="0" fillId="0" borderId="6" xfId="1" applyFont="1" applyBorder="1"/>
    <xf numFmtId="44" fontId="12" fillId="0" borderId="0" xfId="1" applyFont="1"/>
    <xf numFmtId="44" fontId="6" fillId="0" borderId="1" xfId="1" applyFont="1" applyBorder="1"/>
    <xf numFmtId="44" fontId="4" fillId="0" borderId="5" xfId="1" applyFont="1" applyBorder="1"/>
    <xf numFmtId="44" fontId="4" fillId="0" borderId="7" xfId="1" applyFont="1" applyBorder="1"/>
    <xf numFmtId="44" fontId="0" fillId="0" borderId="0" xfId="1" applyFont="1" applyBorder="1" applyAlignment="1">
      <alignment horizontal="center"/>
    </xf>
    <xf numFmtId="44" fontId="14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15" fillId="0" borderId="0" xfId="1" applyFont="1" applyAlignment="1">
      <alignment horizontal="center"/>
    </xf>
    <xf numFmtId="44" fontId="11" fillId="0" borderId="0" xfId="1" applyFont="1" applyAlignment="1">
      <alignment horizontal="center"/>
    </xf>
    <xf numFmtId="44" fontId="10" fillId="0" borderId="1" xfId="1" applyFont="1" applyBorder="1" applyAlignment="1">
      <alignment horizontal="center"/>
    </xf>
    <xf numFmtId="44" fontId="6" fillId="0" borderId="0" xfId="1" applyFont="1" applyBorder="1"/>
    <xf numFmtId="44" fontId="8" fillId="0" borderId="0" xfId="1" applyFont="1" applyBorder="1"/>
    <xf numFmtId="44" fontId="4" fillId="0" borderId="0" xfId="1" applyFont="1"/>
    <xf numFmtId="44" fontId="4" fillId="0" borderId="1" xfId="1" applyFont="1" applyBorder="1"/>
    <xf numFmtId="44" fontId="16" fillId="0" borderId="0" xfId="1" applyFont="1"/>
    <xf numFmtId="44" fontId="17" fillId="0" borderId="0" xfId="1" applyFont="1"/>
    <xf numFmtId="44" fontId="6" fillId="0" borderId="0" xfId="1" applyFont="1"/>
    <xf numFmtId="44" fontId="4" fillId="0" borderId="0" xfId="1" applyFont="1" applyBorder="1"/>
    <xf numFmtId="44" fontId="7" fillId="0" borderId="1" xfId="1" applyFont="1" applyBorder="1"/>
    <xf numFmtId="44" fontId="7" fillId="0" borderId="0" xfId="1" applyFont="1" applyBorder="1"/>
    <xf numFmtId="44" fontId="9" fillId="0" borderId="0" xfId="1" applyFont="1" applyBorder="1"/>
    <xf numFmtId="44" fontId="13" fillId="0" borderId="0" xfId="1" applyFont="1" applyFill="1"/>
    <xf numFmtId="44" fontId="10" fillId="0" borderId="0" xfId="1" applyFont="1"/>
    <xf numFmtId="44" fontId="5" fillId="0" borderId="0" xfId="1" applyFont="1"/>
    <xf numFmtId="44" fontId="3" fillId="0" borderId="0" xfId="1" applyFont="1"/>
    <xf numFmtId="44" fontId="2" fillId="0" borderId="0" xfId="1" applyFont="1"/>
    <xf numFmtId="0" fontId="20" fillId="0" borderId="0" xfId="1" applyNumberFormat="1" applyFont="1" applyAlignment="1">
      <alignment horizontal="center"/>
    </xf>
    <xf numFmtId="44" fontId="20" fillId="0" borderId="0" xfId="1" applyFont="1" applyBorder="1"/>
    <xf numFmtId="44" fontId="18" fillId="0" borderId="1" xfId="1" applyFont="1" applyBorder="1"/>
    <xf numFmtId="44" fontId="23" fillId="0" borderId="0" xfId="1" applyFont="1" applyAlignment="1">
      <alignment horizontal="center"/>
    </xf>
    <xf numFmtId="44" fontId="24" fillId="0" borderId="0" xfId="1" applyFont="1" applyAlignment="1">
      <alignment horizontal="center"/>
    </xf>
    <xf numFmtId="44" fontId="25" fillId="0" borderId="0" xfId="1" applyFont="1" applyAlignment="1">
      <alignment horizontal="center"/>
    </xf>
    <xf numFmtId="44" fontId="2" fillId="0" borderId="0" xfId="1" applyFont="1" applyFill="1"/>
    <xf numFmtId="44" fontId="26" fillId="0" borderId="0" xfId="1" applyFont="1"/>
    <xf numFmtId="44" fontId="2" fillId="0" borderId="0" xfId="1" applyFont="1" applyBorder="1"/>
    <xf numFmtId="44" fontId="18" fillId="0" borderId="0" xfId="1" applyFont="1" applyBorder="1"/>
    <xf numFmtId="44" fontId="27" fillId="0" borderId="0" xfId="1" applyFont="1"/>
    <xf numFmtId="44" fontId="28" fillId="0" borderId="0" xfId="1" applyFont="1"/>
    <xf numFmtId="44" fontId="2" fillId="0" borderId="1" xfId="1" applyFont="1" applyBorder="1"/>
    <xf numFmtId="44" fontId="20" fillId="0" borderId="1" xfId="1" applyFont="1" applyBorder="1"/>
    <xf numFmtId="44" fontId="18" fillId="0" borderId="0" xfId="1" applyFont="1"/>
    <xf numFmtId="44" fontId="18" fillId="0" borderId="5" xfId="1" applyFont="1" applyBorder="1"/>
    <xf numFmtId="44" fontId="20" fillId="0" borderId="0" xfId="1" applyFont="1"/>
    <xf numFmtId="44" fontId="29" fillId="0" borderId="0" xfId="1" applyFont="1"/>
    <xf numFmtId="44" fontId="2" fillId="0" borderId="6" xfId="1" applyFont="1" applyBorder="1"/>
    <xf numFmtId="44" fontId="19" fillId="0" borderId="0" xfId="1" applyFont="1"/>
    <xf numFmtId="44" fontId="31" fillId="0" borderId="0" xfId="1" applyFont="1"/>
    <xf numFmtId="44" fontId="31" fillId="0" borderId="0" xfId="1" applyFont="1" applyFill="1"/>
    <xf numFmtId="44" fontId="2" fillId="0" borderId="0" xfId="1" applyFont="1" applyAlignment="1">
      <alignment horizontal="center"/>
    </xf>
    <xf numFmtId="9" fontId="18" fillId="0" borderId="1" xfId="2" applyFont="1" applyBorder="1" applyAlignment="1">
      <alignment horizontal="center"/>
    </xf>
    <xf numFmtId="44" fontId="28" fillId="0" borderId="0" xfId="1" applyFont="1" applyAlignment="1">
      <alignment horizontal="center"/>
    </xf>
    <xf numFmtId="44" fontId="20" fillId="0" borderId="0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9" fontId="2" fillId="0" borderId="0" xfId="1" applyNumberFormat="1" applyFont="1" applyAlignment="1">
      <alignment horizontal="center"/>
    </xf>
    <xf numFmtId="9" fontId="31" fillId="0" borderId="0" xfId="1" applyNumberFormat="1" applyFont="1" applyAlignment="1">
      <alignment horizontal="center"/>
    </xf>
    <xf numFmtId="9" fontId="18" fillId="0" borderId="1" xfId="1" applyNumberFormat="1" applyFont="1" applyBorder="1" applyAlignment="1">
      <alignment horizontal="center"/>
    </xf>
    <xf numFmtId="44" fontId="32" fillId="0" borderId="0" xfId="1" applyFont="1"/>
    <xf numFmtId="9" fontId="32" fillId="0" borderId="0" xfId="1" applyNumberFormat="1" applyFont="1" applyAlignment="1">
      <alignment horizontal="center"/>
    </xf>
    <xf numFmtId="44" fontId="22" fillId="3" borderId="1" xfId="1" applyFont="1" applyFill="1" applyBorder="1"/>
    <xf numFmtId="44" fontId="22" fillId="2" borderId="1" xfId="1" applyFont="1" applyFill="1" applyBorder="1"/>
    <xf numFmtId="44" fontId="18" fillId="0" borderId="2" xfId="1" applyFont="1" applyBorder="1"/>
    <xf numFmtId="9" fontId="18" fillId="0" borderId="4" xfId="1" applyNumberFormat="1" applyFont="1" applyBorder="1" applyAlignment="1">
      <alignment horizontal="center"/>
    </xf>
    <xf numFmtId="44" fontId="34" fillId="0" borderId="0" xfId="1" applyFont="1"/>
    <xf numFmtId="9" fontId="34" fillId="0" borderId="0" xfId="1" applyNumberFormat="1" applyFont="1" applyAlignment="1">
      <alignment horizontal="center"/>
    </xf>
    <xf numFmtId="44" fontId="26" fillId="0" borderId="0" xfId="1" applyFont="1" applyBorder="1"/>
    <xf numFmtId="44" fontId="19" fillId="0" borderId="0" xfId="1" applyFont="1" applyBorder="1" applyAlignment="1"/>
    <xf numFmtId="44" fontId="19" fillId="0" borderId="0" xfId="1" applyFont="1" applyBorder="1" applyAlignment="1">
      <alignment horizontal="center"/>
    </xf>
    <xf numFmtId="44" fontId="33" fillId="3" borderId="1" xfId="1" applyFont="1" applyFill="1" applyBorder="1" applyAlignment="1">
      <alignment horizontal="center"/>
    </xf>
    <xf numFmtId="44" fontId="21" fillId="2" borderId="1" xfId="1" applyFont="1" applyFill="1" applyBorder="1" applyAlignment="1">
      <alignment horizontal="center"/>
    </xf>
    <xf numFmtId="10" fontId="27" fillId="0" borderId="0" xfId="2" applyNumberFormat="1" applyFont="1"/>
    <xf numFmtId="44" fontId="0" fillId="0" borderId="0" xfId="1" applyFont="1" applyAlignment="1">
      <alignment horizontal="right"/>
    </xf>
    <xf numFmtId="44" fontId="13" fillId="0" borderId="0" xfId="1" applyFont="1" applyAlignment="1">
      <alignment horizontal="right"/>
    </xf>
    <xf numFmtId="44" fontId="6" fillId="0" borderId="0" xfId="1" applyFont="1" applyAlignment="1">
      <alignment horizontal="right"/>
    </xf>
    <xf numFmtId="44" fontId="30" fillId="0" borderId="1" xfId="1" applyFont="1" applyBorder="1"/>
    <xf numFmtId="44" fontId="2" fillId="0" borderId="0" xfId="1" applyFont="1" applyFill="1" applyBorder="1"/>
    <xf numFmtId="44" fontId="33" fillId="0" borderId="0" xfId="1" applyFont="1" applyFill="1" applyBorder="1"/>
    <xf numFmtId="44" fontId="33" fillId="0" borderId="0" xfId="1" applyFont="1" applyFill="1" applyBorder="1" applyAlignment="1">
      <alignment horizontal="center"/>
    </xf>
    <xf numFmtId="44" fontId="22" fillId="0" borderId="0" xfId="1" applyFont="1" applyFill="1" applyBorder="1"/>
    <xf numFmtId="9" fontId="2" fillId="0" borderId="1" xfId="2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44" fontId="35" fillId="0" borderId="0" xfId="1" applyFont="1"/>
    <xf numFmtId="9" fontId="35" fillId="0" borderId="0" xfId="1" applyNumberFormat="1" applyFont="1" applyAlignment="1">
      <alignment horizontal="center"/>
    </xf>
    <xf numFmtId="44" fontId="2" fillId="3" borderId="0" xfId="1" applyFont="1" applyFill="1"/>
    <xf numFmtId="9" fontId="26" fillId="0" borderId="0" xfId="1" applyNumberFormat="1" applyFont="1" applyAlignment="1">
      <alignment horizontal="center"/>
    </xf>
    <xf numFmtId="44" fontId="1" fillId="0" borderId="0" xfId="1" applyFont="1"/>
    <xf numFmtId="9" fontId="18" fillId="0" borderId="0" xfId="1" applyNumberFormat="1" applyFont="1" applyBorder="1" applyAlignment="1">
      <alignment horizontal="center"/>
    </xf>
    <xf numFmtId="44" fontId="36" fillId="0" borderId="0" xfId="1" applyFont="1" applyBorder="1"/>
    <xf numFmtId="44" fontId="2" fillId="4" borderId="0" xfId="1" applyFont="1" applyFill="1"/>
    <xf numFmtId="44" fontId="18" fillId="0" borderId="6" xfId="1" applyFont="1" applyBorder="1"/>
    <xf numFmtId="44" fontId="18" fillId="0" borderId="8" xfId="1" applyFont="1" applyBorder="1"/>
    <xf numFmtId="44" fontId="32" fillId="4" borderId="0" xfId="1" applyFont="1" applyFill="1"/>
    <xf numFmtId="44" fontId="35" fillId="4" borderId="0" xfId="1" applyFont="1" applyFill="1"/>
    <xf numFmtId="44" fontId="33" fillId="3" borderId="0" xfId="1" applyFont="1" applyFill="1"/>
    <xf numFmtId="0" fontId="33" fillId="3" borderId="0" xfId="1" applyNumberFormat="1" applyFont="1" applyFill="1" applyAlignment="1">
      <alignment horizontal="center"/>
    </xf>
    <xf numFmtId="44" fontId="21" fillId="2" borderId="0" xfId="1" applyFont="1" applyFill="1"/>
    <xf numFmtId="0" fontId="21" fillId="2" borderId="0" xfId="1" applyNumberFormat="1" applyFont="1" applyFill="1" applyAlignment="1">
      <alignment horizontal="center"/>
    </xf>
    <xf numFmtId="44" fontId="2" fillId="2" borderId="0" xfId="1" applyFont="1" applyFill="1"/>
    <xf numFmtId="44" fontId="33" fillId="3" borderId="0" xfId="1" applyFont="1" applyFill="1" applyBorder="1" applyAlignment="1">
      <alignment horizontal="center" vertical="center"/>
    </xf>
    <xf numFmtId="44" fontId="33" fillId="3" borderId="1" xfId="1" applyFont="1" applyFill="1" applyBorder="1" applyAlignment="1">
      <alignment horizontal="center" vertical="center"/>
    </xf>
    <xf numFmtId="44" fontId="21" fillId="2" borderId="0" xfId="1" applyFont="1" applyFill="1" applyBorder="1" applyAlignment="1">
      <alignment horizontal="center" vertical="center"/>
    </xf>
    <xf numFmtId="44" fontId="21" fillId="2" borderId="1" xfId="1" applyFont="1" applyFill="1" applyBorder="1" applyAlignment="1">
      <alignment horizontal="center" vertical="center"/>
    </xf>
    <xf numFmtId="44" fontId="37" fillId="0" borderId="2" xfId="1" applyFont="1" applyBorder="1" applyAlignment="1">
      <alignment horizontal="center"/>
    </xf>
    <xf numFmtId="44" fontId="37" fillId="0" borderId="3" xfId="1" applyFont="1" applyBorder="1" applyAlignment="1">
      <alignment horizontal="center"/>
    </xf>
    <xf numFmtId="44" fontId="37" fillId="0" borderId="4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299760</xdr:colOff>
      <xdr:row>2</xdr:row>
      <xdr:rowOff>171450</xdr:rowOff>
    </xdr:from>
    <xdr:ext cx="1890772" cy="1316566"/>
    <xdr:pic>
      <xdr:nvPicPr>
        <xdr:cNvPr id="2" name="Picture 1">
          <a:extLst>
            <a:ext uri="{FF2B5EF4-FFF2-40B4-BE49-F238E27FC236}">
              <a16:creationId xmlns:a16="http://schemas.microsoft.com/office/drawing/2014/main" id="{BF6F80B0-EF7B-074D-AD92-25547D689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260" y="552450"/>
          <a:ext cx="1890772" cy="1316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2B38-F74D-B544-8530-3CE88086C865}">
  <sheetPr>
    <pageSetUpPr fitToPage="1"/>
  </sheetPr>
  <dimension ref="A1:Y114"/>
  <sheetViews>
    <sheetView tabSelected="1" topLeftCell="A4" zoomScale="119" workbookViewId="0">
      <selection sqref="A1:T1"/>
    </sheetView>
  </sheetViews>
  <sheetFormatPr defaultColWidth="9.140625" defaultRowHeight="15.75" outlineLevelRow="2" outlineLevelCol="1" x14ac:dyDescent="0.25"/>
  <cols>
    <col min="1" max="1" width="56.85546875" style="33" customWidth="1"/>
    <col min="2" max="2" width="12" style="33" hidden="1" customWidth="1" outlineLevel="1"/>
    <col min="3" max="3" width="11.7109375" style="33" hidden="1" customWidth="1" outlineLevel="1"/>
    <col min="4" max="4" width="11.85546875" style="33" hidden="1" customWidth="1" outlineLevel="1"/>
    <col min="5" max="5" width="12.7109375" style="33" hidden="1" customWidth="1" outlineLevel="1"/>
    <col min="6" max="7" width="11.85546875" style="33" hidden="1" customWidth="1" outlineLevel="1"/>
    <col min="8" max="8" width="13.140625" style="33" hidden="1" customWidth="1" outlineLevel="1"/>
    <col min="9" max="9" width="12.42578125" style="33" hidden="1" customWidth="1" outlineLevel="1"/>
    <col min="10" max="10" width="12.140625" style="33" hidden="1" customWidth="1" outlineLevel="1"/>
    <col min="11" max="11" width="11.7109375" style="33" hidden="1" customWidth="1" outlineLevel="1"/>
    <col min="12" max="12" width="12.28515625" style="33" hidden="1" customWidth="1" outlineLevel="1"/>
    <col min="13" max="13" width="11.42578125" style="33" hidden="1" customWidth="1" outlineLevel="1"/>
    <col min="14" max="14" width="1.7109375" style="33" customWidth="1" collapsed="1"/>
    <col min="15" max="15" width="16.85546875" style="33" customWidth="1"/>
    <col min="16" max="16" width="10.85546875" style="56" customWidth="1"/>
    <col min="17" max="17" width="1.7109375" style="33" customWidth="1"/>
    <col min="18" max="18" width="16.85546875" style="33" customWidth="1" outlineLevel="1"/>
    <col min="19" max="19" width="1.7109375" style="33" customWidth="1"/>
    <col min="20" max="20" width="16.85546875" style="33" hidden="1" customWidth="1" outlineLevel="1"/>
    <col min="21" max="21" width="1.7109375" style="33" customWidth="1" collapsed="1"/>
    <col min="22" max="22" width="11.42578125" style="33" bestFit="1" customWidth="1"/>
    <col min="23" max="23" width="10.140625" style="33" bestFit="1" customWidth="1"/>
    <col min="24" max="24" width="9.140625" style="33"/>
    <col min="25" max="25" width="10.140625" style="33" bestFit="1" customWidth="1"/>
    <col min="26" max="16384" width="9.140625" style="33"/>
  </cols>
  <sheetData>
    <row r="1" spans="1:21" s="53" customFormat="1" ht="21.75" thickBot="1" x14ac:dyDescent="0.4">
      <c r="A1" s="109" t="s">
        <v>178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1" s="53" customFormat="1" ht="18.75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3"/>
      <c r="R2" s="73"/>
      <c r="S2" s="73"/>
      <c r="T2" s="73"/>
      <c r="U2" s="73"/>
    </row>
    <row r="3" spans="1:21" ht="18.75" x14ac:dyDescent="0.3">
      <c r="A3" s="107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103">
        <v>2022</v>
      </c>
      <c r="P3" s="107" t="s">
        <v>117</v>
      </c>
      <c r="Q3" s="103"/>
      <c r="R3" s="103">
        <v>2021</v>
      </c>
      <c r="S3" s="104"/>
      <c r="T3" s="103">
        <v>2020</v>
      </c>
      <c r="U3" s="34"/>
    </row>
    <row r="4" spans="1:21" ht="18.75" x14ac:dyDescent="0.3">
      <c r="A4" s="108"/>
      <c r="B4" s="76" t="s">
        <v>4</v>
      </c>
      <c r="C4" s="76" t="s">
        <v>5</v>
      </c>
      <c r="D4" s="76" t="s">
        <v>6</v>
      </c>
      <c r="E4" s="76" t="s">
        <v>7</v>
      </c>
      <c r="F4" s="76" t="s">
        <v>8</v>
      </c>
      <c r="G4" s="76" t="s">
        <v>9</v>
      </c>
      <c r="H4" s="76" t="s">
        <v>10</v>
      </c>
      <c r="I4" s="76" t="s">
        <v>11</v>
      </c>
      <c r="J4" s="76" t="s">
        <v>12</v>
      </c>
      <c r="K4" s="76" t="s">
        <v>13</v>
      </c>
      <c r="L4" s="76" t="s">
        <v>14</v>
      </c>
      <c r="M4" s="76" t="s">
        <v>15</v>
      </c>
      <c r="N4" s="76"/>
      <c r="O4" s="76" t="s">
        <v>126</v>
      </c>
      <c r="P4" s="108"/>
      <c r="Q4" s="76"/>
      <c r="R4" s="76" t="s">
        <v>118</v>
      </c>
      <c r="S4" s="67"/>
      <c r="T4" s="76" t="s">
        <v>153</v>
      </c>
    </row>
    <row r="5" spans="1:2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9"/>
      <c r="P5" s="39"/>
      <c r="Q5" s="38"/>
      <c r="R5" s="39"/>
      <c r="S5" s="38"/>
      <c r="T5" s="39"/>
    </row>
    <row r="6" spans="1:21" x14ac:dyDescent="0.25">
      <c r="A6" s="36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>
        <f>SUM(O7:O8)</f>
        <v>50000</v>
      </c>
      <c r="P6" s="57">
        <f>(O6-R6)/R6</f>
        <v>-0.1608485499462943</v>
      </c>
      <c r="Q6" s="36"/>
      <c r="R6" s="36">
        <f>SUM(R7:R8)</f>
        <v>59584</v>
      </c>
      <c r="S6" s="36"/>
      <c r="T6" s="36">
        <f>SUM(T7:T8)</f>
        <v>38758.92</v>
      </c>
    </row>
    <row r="7" spans="1:21" x14ac:dyDescent="0.25">
      <c r="A7" s="33" t="s">
        <v>119</v>
      </c>
      <c r="B7" s="33">
        <v>1232</v>
      </c>
      <c r="C7" s="33">
        <v>1232</v>
      </c>
      <c r="D7" s="33">
        <v>1232</v>
      </c>
      <c r="E7" s="33">
        <v>1232</v>
      </c>
      <c r="F7" s="33">
        <v>1232</v>
      </c>
      <c r="G7" s="33">
        <v>1232</v>
      </c>
      <c r="H7" s="33">
        <v>1232</v>
      </c>
      <c r="I7" s="33">
        <v>1232</v>
      </c>
      <c r="J7" s="33">
        <v>1232</v>
      </c>
      <c r="K7" s="33">
        <v>1232</v>
      </c>
      <c r="L7" s="33">
        <v>1232</v>
      </c>
      <c r="M7" s="33">
        <v>1232</v>
      </c>
      <c r="O7" s="33">
        <v>15000</v>
      </c>
      <c r="P7" s="61">
        <f t="shared" ref="P7:P26" si="0">(O7-R7)/R7</f>
        <v>1.461038961038961E-2</v>
      </c>
      <c r="R7" s="33">
        <v>14784</v>
      </c>
      <c r="T7" s="33">
        <v>4467.4799999999996</v>
      </c>
    </row>
    <row r="8" spans="1:21" x14ac:dyDescent="0.25">
      <c r="A8" s="33" t="s">
        <v>121</v>
      </c>
      <c r="B8" s="33">
        <v>3733.3333333333335</v>
      </c>
      <c r="C8" s="33">
        <v>3733.3333333333335</v>
      </c>
      <c r="D8" s="33">
        <v>3733.3333333333335</v>
      </c>
      <c r="E8" s="33">
        <v>3733.3333333333335</v>
      </c>
      <c r="F8" s="33">
        <v>3733.3333333333335</v>
      </c>
      <c r="G8" s="33">
        <v>3733.3333333333335</v>
      </c>
      <c r="H8" s="33">
        <v>3733.3333333333335</v>
      </c>
      <c r="I8" s="33">
        <v>3733.3333333333335</v>
      </c>
      <c r="J8" s="33">
        <v>3733.3333333333335</v>
      </c>
      <c r="K8" s="33">
        <v>3733.3333333333335</v>
      </c>
      <c r="L8" s="33">
        <v>3733.3333333333335</v>
      </c>
      <c r="M8" s="33">
        <v>3733.3333333333335</v>
      </c>
      <c r="O8" s="33">
        <v>35000</v>
      </c>
      <c r="P8" s="61">
        <f t="shared" si="0"/>
        <v>-0.21875</v>
      </c>
      <c r="R8" s="33">
        <v>44800</v>
      </c>
      <c r="T8" s="33">
        <v>34291.440000000002</v>
      </c>
    </row>
    <row r="9" spans="1:21" s="54" customFormat="1" hidden="1" outlineLevel="1" x14ac:dyDescent="0.25">
      <c r="A9" s="54" t="s">
        <v>122</v>
      </c>
      <c r="O9" s="54">
        <v>20000</v>
      </c>
      <c r="P9" s="62">
        <f t="shared" si="0"/>
        <v>0</v>
      </c>
      <c r="R9" s="54">
        <v>20000</v>
      </c>
      <c r="T9" s="54">
        <v>20000</v>
      </c>
    </row>
    <row r="10" spans="1:21" s="54" customFormat="1" hidden="1" outlineLevel="1" x14ac:dyDescent="0.25">
      <c r="A10" s="54" t="s">
        <v>131</v>
      </c>
      <c r="O10" s="54">
        <v>0</v>
      </c>
      <c r="P10" s="62" t="e">
        <f t="shared" si="0"/>
        <v>#DIV/0!</v>
      </c>
      <c r="R10" s="54">
        <v>0</v>
      </c>
      <c r="T10" s="54">
        <v>10000</v>
      </c>
    </row>
    <row r="11" spans="1:21" s="54" customFormat="1" hidden="1" outlineLevel="1" x14ac:dyDescent="0.25">
      <c r="A11" s="54" t="s">
        <v>123</v>
      </c>
      <c r="O11" s="54">
        <v>10000</v>
      </c>
      <c r="P11" s="62">
        <f t="shared" si="0"/>
        <v>0</v>
      </c>
      <c r="R11" s="54">
        <v>10000</v>
      </c>
      <c r="T11" s="54">
        <v>0</v>
      </c>
    </row>
    <row r="12" spans="1:21" s="54" customFormat="1" hidden="1" outlineLevel="1" x14ac:dyDescent="0.25">
      <c r="A12" s="54" t="s">
        <v>124</v>
      </c>
      <c r="O12" s="54">
        <v>0</v>
      </c>
      <c r="P12" s="62">
        <f t="shared" si="0"/>
        <v>-1</v>
      </c>
      <c r="R12" s="54">
        <v>5000</v>
      </c>
      <c r="T12" s="54">
        <v>0</v>
      </c>
    </row>
    <row r="13" spans="1:21" s="54" customFormat="1" hidden="1" outlineLevel="1" x14ac:dyDescent="0.25">
      <c r="A13" s="54" t="s">
        <v>125</v>
      </c>
      <c r="O13" s="54">
        <v>5000</v>
      </c>
      <c r="P13" s="62">
        <f t="shared" si="0"/>
        <v>0</v>
      </c>
      <c r="R13" s="54">
        <v>5000</v>
      </c>
      <c r="T13" s="54">
        <v>0</v>
      </c>
    </row>
    <row r="14" spans="1:21" collapsed="1" x14ac:dyDescent="0.25">
      <c r="P14" s="61"/>
    </row>
    <row r="15" spans="1:21" x14ac:dyDescent="0.25">
      <c r="P15" s="61"/>
    </row>
    <row r="16" spans="1:21" ht="15" customHeight="1" x14ac:dyDescent="0.25">
      <c r="A16" s="36" t="s">
        <v>24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>
        <f>SUM(O17:O18)</f>
        <v>155000</v>
      </c>
      <c r="P16" s="63">
        <f t="shared" si="0"/>
        <v>0.47033713407577454</v>
      </c>
      <c r="Q16" s="36"/>
      <c r="R16" s="36">
        <f>SUM(R17:R18)</f>
        <v>105418</v>
      </c>
      <c r="S16" s="36"/>
      <c r="T16" s="36">
        <f>SUM(T17:T18)</f>
        <v>52446.74</v>
      </c>
    </row>
    <row r="17" spans="1:20" ht="15" customHeight="1" x14ac:dyDescent="0.25">
      <c r="A17" s="33" t="s">
        <v>120</v>
      </c>
      <c r="F17" s="33">
        <v>5000</v>
      </c>
      <c r="O17" s="33">
        <v>5000</v>
      </c>
      <c r="P17" s="61">
        <f t="shared" si="0"/>
        <v>1.7502750275027503</v>
      </c>
      <c r="R17" s="33">
        <v>1818</v>
      </c>
      <c r="T17" s="33">
        <v>6133.61</v>
      </c>
    </row>
    <row r="18" spans="1:20" s="70" customFormat="1" x14ac:dyDescent="0.25">
      <c r="A18" s="70" t="s">
        <v>110</v>
      </c>
      <c r="H18" s="70">
        <v>150000</v>
      </c>
      <c r="O18" s="70">
        <v>150000</v>
      </c>
      <c r="P18" s="71">
        <f t="shared" si="0"/>
        <v>0.44787644787644787</v>
      </c>
      <c r="R18" s="70">
        <v>103600</v>
      </c>
      <c r="T18" s="70">
        <v>46313.13</v>
      </c>
    </row>
    <row r="19" spans="1:20" s="54" customFormat="1" hidden="1" outlineLevel="1" x14ac:dyDescent="0.25">
      <c r="A19" s="54" t="s">
        <v>128</v>
      </c>
      <c r="H19" s="55">
        <v>120000</v>
      </c>
      <c r="O19" s="54">
        <v>120000</v>
      </c>
      <c r="P19" s="62">
        <f t="shared" si="0"/>
        <v>0.51898734177215189</v>
      </c>
      <c r="R19" s="54">
        <v>79000</v>
      </c>
      <c r="T19" s="54">
        <v>33813.129999999997</v>
      </c>
    </row>
    <row r="20" spans="1:20" s="54" customFormat="1" hidden="1" outlineLevel="2" x14ac:dyDescent="0.25">
      <c r="A20" s="54" t="s">
        <v>173</v>
      </c>
      <c r="H20" s="55"/>
      <c r="P20" s="62"/>
    </row>
    <row r="21" spans="1:20" s="54" customFormat="1" hidden="1" outlineLevel="2" x14ac:dyDescent="0.25">
      <c r="A21" s="54" t="s">
        <v>174</v>
      </c>
      <c r="H21" s="55"/>
      <c r="P21" s="62"/>
    </row>
    <row r="22" spans="1:20" s="54" customFormat="1" hidden="1" outlineLevel="2" x14ac:dyDescent="0.25">
      <c r="A22" s="54" t="s">
        <v>175</v>
      </c>
      <c r="H22" s="55"/>
      <c r="P22" s="62"/>
    </row>
    <row r="23" spans="1:20" s="54" customFormat="1" hidden="1" outlineLevel="1" x14ac:dyDescent="0.25">
      <c r="A23" s="54" t="s">
        <v>129</v>
      </c>
      <c r="H23" s="55">
        <v>30000</v>
      </c>
      <c r="O23" s="54">
        <v>30000</v>
      </c>
      <c r="P23" s="62">
        <f>(O23-R23)/R23</f>
        <v>0.21951219512195122</v>
      </c>
      <c r="R23" s="54">
        <v>24600</v>
      </c>
      <c r="T23" s="54">
        <v>12500</v>
      </c>
    </row>
    <row r="24" spans="1:20" collapsed="1" x14ac:dyDescent="0.25"/>
    <row r="25" spans="1:20" x14ac:dyDescent="0.25">
      <c r="H25" s="40"/>
      <c r="P25" s="61"/>
    </row>
    <row r="26" spans="1:20" x14ac:dyDescent="0.25">
      <c r="A26" s="36" t="s">
        <v>130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>
        <f>SUM(O27:O37)</f>
        <v>328991.2</v>
      </c>
      <c r="P26" s="63">
        <f t="shared" si="0"/>
        <v>3.8187383634699777E-2</v>
      </c>
      <c r="Q26" s="36"/>
      <c r="R26" s="36">
        <f>SUM(R27:R36)</f>
        <v>316890</v>
      </c>
      <c r="S26" s="36"/>
      <c r="T26" s="36">
        <v>457227.73</v>
      </c>
    </row>
    <row r="27" spans="1:20" s="44" customFormat="1" x14ac:dyDescent="0.25">
      <c r="A27" s="64" t="s">
        <v>134</v>
      </c>
      <c r="B27" s="64">
        <v>8333.33</v>
      </c>
      <c r="C27" s="64">
        <v>8333.33</v>
      </c>
      <c r="D27" s="64">
        <v>8333.33</v>
      </c>
      <c r="E27" s="64">
        <v>8333.33</v>
      </c>
      <c r="F27" s="64">
        <v>8333.33</v>
      </c>
      <c r="G27" s="64">
        <v>8333.33</v>
      </c>
      <c r="H27" s="64">
        <v>8333.33</v>
      </c>
      <c r="I27" s="64">
        <v>8333.33</v>
      </c>
      <c r="J27" s="64">
        <v>8333.33</v>
      </c>
      <c r="K27" s="64">
        <v>8333.33</v>
      </c>
      <c r="L27" s="64">
        <v>8333.33</v>
      </c>
      <c r="M27" s="64">
        <v>8333.33</v>
      </c>
      <c r="N27" s="64"/>
      <c r="O27" s="64">
        <v>100000</v>
      </c>
      <c r="P27" s="65">
        <f>IF(R27=0,"-",(O27-R27)/R27)</f>
        <v>-0.59389213775178684</v>
      </c>
      <c r="Q27" s="64"/>
      <c r="R27" s="64">
        <v>246240</v>
      </c>
      <c r="T27" s="98"/>
    </row>
    <row r="28" spans="1:20" s="44" customFormat="1" x14ac:dyDescent="0.25">
      <c r="A28" s="64" t="s">
        <v>135</v>
      </c>
      <c r="B28" s="64">
        <v>8333.33</v>
      </c>
      <c r="C28" s="64">
        <v>8333.33</v>
      </c>
      <c r="D28" s="64">
        <v>8333.33</v>
      </c>
      <c r="E28" s="64">
        <v>8333.33</v>
      </c>
      <c r="F28" s="64">
        <v>8333.33</v>
      </c>
      <c r="G28" s="64">
        <v>8333.33</v>
      </c>
      <c r="H28" s="64">
        <v>8333.33</v>
      </c>
      <c r="I28" s="64">
        <v>8333.33</v>
      </c>
      <c r="J28" s="64">
        <v>8333.33</v>
      </c>
      <c r="K28" s="64">
        <v>8333.33</v>
      </c>
      <c r="L28" s="64">
        <v>8333.33</v>
      </c>
      <c r="M28" s="64">
        <v>8333.33</v>
      </c>
      <c r="N28" s="64"/>
      <c r="O28" s="64">
        <v>100000</v>
      </c>
      <c r="P28" s="65" t="str">
        <f t="shared" ref="P28:P37" si="1">IF(R28=0,"-",(O28-R28)/R28)</f>
        <v>-</v>
      </c>
      <c r="Q28" s="64"/>
      <c r="R28" s="64">
        <v>0</v>
      </c>
      <c r="T28" s="98"/>
    </row>
    <row r="29" spans="1:20" x14ac:dyDescent="0.25">
      <c r="A29" s="33" t="s">
        <v>97</v>
      </c>
      <c r="B29" s="33">
        <v>3766.67</v>
      </c>
      <c r="C29" s="33">
        <v>3766.67</v>
      </c>
      <c r="D29" s="33">
        <v>3766.67</v>
      </c>
      <c r="E29" s="33">
        <v>3766.67</v>
      </c>
      <c r="F29" s="33">
        <v>3766.67</v>
      </c>
      <c r="G29" s="33">
        <v>3766.67</v>
      </c>
      <c r="H29" s="33">
        <v>3766.66</v>
      </c>
      <c r="I29" s="33">
        <v>3766.66</v>
      </c>
      <c r="J29" s="33">
        <v>3766.66</v>
      </c>
      <c r="O29" s="33">
        <v>33900</v>
      </c>
      <c r="P29" s="61">
        <f t="shared" si="1"/>
        <v>2</v>
      </c>
      <c r="R29" s="33">
        <v>11300</v>
      </c>
      <c r="T29" s="95"/>
    </row>
    <row r="30" spans="1:20" x14ac:dyDescent="0.25">
      <c r="A30" s="33" t="s">
        <v>133</v>
      </c>
      <c r="O30" s="33">
        <v>25000</v>
      </c>
      <c r="P30" s="61">
        <f t="shared" si="1"/>
        <v>0</v>
      </c>
      <c r="R30" s="33">
        <v>25000</v>
      </c>
      <c r="T30" s="95"/>
    </row>
    <row r="31" spans="1:20" x14ac:dyDescent="0.25">
      <c r="A31" s="33" t="s">
        <v>111</v>
      </c>
      <c r="O31" s="33">
        <v>25000</v>
      </c>
      <c r="P31" s="61">
        <f t="shared" si="1"/>
        <v>0.25</v>
      </c>
      <c r="R31" s="33">
        <v>20000</v>
      </c>
      <c r="T31" s="95"/>
    </row>
    <row r="32" spans="1:20" s="41" customFormat="1" x14ac:dyDescent="0.25">
      <c r="A32" s="88" t="s">
        <v>113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>
        <v>20000</v>
      </c>
      <c r="P32" s="89" t="str">
        <f t="shared" si="1"/>
        <v>-</v>
      </c>
      <c r="Q32" s="88"/>
      <c r="R32" s="88">
        <v>0</v>
      </c>
      <c r="T32" s="99"/>
    </row>
    <row r="33" spans="1:21" x14ac:dyDescent="0.25">
      <c r="A33" s="33" t="s">
        <v>107</v>
      </c>
      <c r="O33" s="33">
        <v>5000</v>
      </c>
      <c r="P33" s="61">
        <f t="shared" si="1"/>
        <v>0</v>
      </c>
      <c r="R33" s="33">
        <v>5000</v>
      </c>
      <c r="T33" s="95"/>
    </row>
    <row r="34" spans="1:21" x14ac:dyDescent="0.25">
      <c r="A34" s="42" t="s">
        <v>89</v>
      </c>
      <c r="O34" s="33">
        <v>4000</v>
      </c>
      <c r="P34" s="61">
        <f t="shared" si="1"/>
        <v>0</v>
      </c>
      <c r="R34" s="33">
        <v>4000</v>
      </c>
      <c r="T34" s="95"/>
    </row>
    <row r="35" spans="1:21" x14ac:dyDescent="0.25">
      <c r="A35" s="33" t="s">
        <v>112</v>
      </c>
      <c r="O35" s="33">
        <v>3750</v>
      </c>
      <c r="P35" s="61">
        <f t="shared" si="1"/>
        <v>2</v>
      </c>
      <c r="R35" s="33">
        <v>1250</v>
      </c>
      <c r="T35" s="95"/>
    </row>
    <row r="36" spans="1:21" x14ac:dyDescent="0.25">
      <c r="A36" s="33" t="s">
        <v>99</v>
      </c>
      <c r="O36" s="33">
        <v>0</v>
      </c>
      <c r="P36" s="61">
        <f t="shared" si="1"/>
        <v>-1</v>
      </c>
      <c r="R36" s="33">
        <v>4100</v>
      </c>
      <c r="T36" s="95"/>
    </row>
    <row r="37" spans="1:21" x14ac:dyDescent="0.25">
      <c r="A37" s="92" t="s">
        <v>155</v>
      </c>
      <c r="O37" s="33">
        <v>12341.2</v>
      </c>
      <c r="P37" s="61" t="str">
        <f t="shared" si="1"/>
        <v>-</v>
      </c>
      <c r="R37" s="33">
        <v>0</v>
      </c>
      <c r="T37" s="95"/>
    </row>
    <row r="38" spans="1:21" x14ac:dyDescent="0.25">
      <c r="P38" s="61"/>
    </row>
    <row r="39" spans="1:21" x14ac:dyDescent="0.25">
      <c r="A39" s="43"/>
      <c r="P39" s="61"/>
    </row>
    <row r="40" spans="1:21" x14ac:dyDescent="0.25">
      <c r="A40" s="36" t="s">
        <v>82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>
        <f>SUM(O41:O42)</f>
        <v>4450</v>
      </c>
      <c r="P40" s="36">
        <f>SUM(P41:P42)</f>
        <v>-1</v>
      </c>
      <c r="Q40" s="36"/>
      <c r="R40" s="36">
        <f>SUM(R41:R42)</f>
        <v>7600</v>
      </c>
      <c r="S40" s="36"/>
      <c r="T40" s="36">
        <f>SUM(T41:T42)</f>
        <v>7600</v>
      </c>
    </row>
    <row r="41" spans="1:21" s="41" customFormat="1" x14ac:dyDescent="0.25">
      <c r="A41" s="41" t="s">
        <v>154</v>
      </c>
      <c r="O41" s="41">
        <v>4450</v>
      </c>
      <c r="P41" s="91">
        <f t="shared" ref="P41" si="2">IF(R41=0,"-",(O41-R41)/R41)</f>
        <v>0</v>
      </c>
      <c r="R41" s="41">
        <v>4450</v>
      </c>
      <c r="T41" s="41">
        <v>4450</v>
      </c>
    </row>
    <row r="42" spans="1:21" s="88" customFormat="1" x14ac:dyDescent="0.25">
      <c r="A42" s="88" t="s">
        <v>132</v>
      </c>
      <c r="O42" s="88">
        <v>0</v>
      </c>
      <c r="P42" s="89">
        <f>IF(R42=0,"-",(O42-R42)/R42)</f>
        <v>-1</v>
      </c>
      <c r="R42" s="88">
        <v>3150</v>
      </c>
      <c r="T42" s="88">
        <v>3150</v>
      </c>
    </row>
    <row r="43" spans="1:21" s="44" customFormat="1" x14ac:dyDescent="0.25">
      <c r="O43" s="45"/>
      <c r="P43" s="58"/>
      <c r="R43" s="45"/>
      <c r="T43" s="45"/>
    </row>
    <row r="44" spans="1:21" ht="16.5" thickBot="1" x14ac:dyDescent="0.3">
      <c r="A44" s="9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35"/>
      <c r="P44" s="59"/>
      <c r="Q44" s="42"/>
      <c r="R44" s="47"/>
      <c r="S44" s="42"/>
      <c r="T44" s="47"/>
      <c r="U44" s="42"/>
    </row>
    <row r="45" spans="1:21" ht="16.5" thickBot="1" x14ac:dyDescent="0.3">
      <c r="A45" s="97" t="s">
        <v>127</v>
      </c>
      <c r="B45" s="48">
        <v>30341</v>
      </c>
      <c r="C45" s="48">
        <v>30341</v>
      </c>
      <c r="D45" s="48">
        <v>30341</v>
      </c>
      <c r="E45" s="48">
        <v>30341</v>
      </c>
      <c r="F45" s="48">
        <v>32159</v>
      </c>
      <c r="G45" s="48">
        <v>30341</v>
      </c>
      <c r="H45" s="48">
        <v>121841</v>
      </c>
      <c r="I45" s="48">
        <v>30341</v>
      </c>
      <c r="J45" s="48">
        <v>30341</v>
      </c>
      <c r="K45" s="48">
        <v>34107</v>
      </c>
      <c r="L45" s="48">
        <v>34107</v>
      </c>
      <c r="M45" s="48">
        <v>34107</v>
      </c>
      <c r="N45" s="48"/>
      <c r="O45" s="68">
        <f>O26+O16+O6+O40</f>
        <v>538441.19999999995</v>
      </c>
      <c r="P45" s="69">
        <f t="shared" ref="P45" si="3">IF(R45=0,"-",(O45-R45)/R45)</f>
        <v>9.9999999999999908E-2</v>
      </c>
      <c r="Q45" s="48"/>
      <c r="R45" s="49">
        <f>R26+R16+R6+R40</f>
        <v>489492</v>
      </c>
      <c r="S45" s="48"/>
      <c r="T45" s="49">
        <f>T26+T16+T6+T40</f>
        <v>556033.39</v>
      </c>
    </row>
    <row r="46" spans="1:21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94">
        <f>O45-R45</f>
        <v>48949.199999999953</v>
      </c>
      <c r="P46" s="93"/>
      <c r="Q46" s="48"/>
      <c r="R46" s="43"/>
      <c r="S46" s="48"/>
      <c r="T46" s="43"/>
    </row>
    <row r="49" spans="1:20" ht="18.75" x14ac:dyDescent="0.3">
      <c r="A49" s="105" t="s">
        <v>16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1"/>
      <c r="O49" s="101">
        <v>2022</v>
      </c>
      <c r="P49" s="105" t="s">
        <v>117</v>
      </c>
      <c r="Q49" s="101"/>
      <c r="R49" s="101">
        <v>2021</v>
      </c>
      <c r="S49" s="90"/>
      <c r="T49" s="101">
        <v>2020</v>
      </c>
    </row>
    <row r="50" spans="1:20" s="42" customFormat="1" ht="18.75" x14ac:dyDescent="0.3">
      <c r="A50" s="106"/>
      <c r="B50" s="75" t="s">
        <v>4</v>
      </c>
      <c r="C50" s="75" t="s">
        <v>5</v>
      </c>
      <c r="D50" s="75" t="s">
        <v>6</v>
      </c>
      <c r="E50" s="75" t="s">
        <v>7</v>
      </c>
      <c r="F50" s="75" t="s">
        <v>8</v>
      </c>
      <c r="G50" s="75" t="s">
        <v>9</v>
      </c>
      <c r="H50" s="75" t="s">
        <v>10</v>
      </c>
      <c r="I50" s="75" t="s">
        <v>11</v>
      </c>
      <c r="J50" s="75" t="s">
        <v>12</v>
      </c>
      <c r="K50" s="75" t="s">
        <v>13</v>
      </c>
      <c r="L50" s="75" t="s">
        <v>14</v>
      </c>
      <c r="M50" s="75" t="s">
        <v>15</v>
      </c>
      <c r="N50" s="75"/>
      <c r="O50" s="75" t="s">
        <v>126</v>
      </c>
      <c r="P50" s="106"/>
      <c r="Q50" s="75"/>
      <c r="R50" s="75" t="s">
        <v>118</v>
      </c>
      <c r="S50" s="66"/>
      <c r="T50" s="75" t="s">
        <v>153</v>
      </c>
    </row>
    <row r="51" spans="1:20" s="82" customFormat="1" ht="18.75" x14ac:dyDescent="0.3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  <c r="T51" s="84"/>
    </row>
    <row r="52" spans="1:20" x14ac:dyDescent="0.25">
      <c r="A52" s="81" t="s">
        <v>142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>
        <f>SUM(O53:O87)-O61-O62-O68-O69</f>
        <v>184654</v>
      </c>
      <c r="P52" s="86">
        <f t="shared" ref="P52:P63" si="4">IF(R52=0,"-",(O52-R52)/R52)</f>
        <v>0.38507321714222176</v>
      </c>
      <c r="Q52" s="46"/>
      <c r="R52" s="46">
        <f>SUM(R53:R87)-R61-R62-R68-R69</f>
        <v>133317.14000000001</v>
      </c>
      <c r="S52" s="46"/>
      <c r="T52" s="46"/>
    </row>
    <row r="53" spans="1:20" x14ac:dyDescent="0.25">
      <c r="A53" s="72" t="s">
        <v>136</v>
      </c>
    </row>
    <row r="54" spans="1:20" x14ac:dyDescent="0.25">
      <c r="A54" s="33" t="s">
        <v>137</v>
      </c>
      <c r="B54" s="33">
        <f>72000/12</f>
        <v>6000</v>
      </c>
      <c r="C54" s="33">
        <f t="shared" ref="C54:M54" si="5">72000/12</f>
        <v>6000</v>
      </c>
      <c r="D54" s="33">
        <f t="shared" si="5"/>
        <v>6000</v>
      </c>
      <c r="E54" s="33">
        <f t="shared" si="5"/>
        <v>6000</v>
      </c>
      <c r="F54" s="33">
        <f t="shared" si="5"/>
        <v>6000</v>
      </c>
      <c r="G54" s="33">
        <f t="shared" si="5"/>
        <v>6000</v>
      </c>
      <c r="H54" s="33">
        <f t="shared" si="5"/>
        <v>6000</v>
      </c>
      <c r="I54" s="33">
        <f t="shared" si="5"/>
        <v>6000</v>
      </c>
      <c r="J54" s="33">
        <f t="shared" si="5"/>
        <v>6000</v>
      </c>
      <c r="K54" s="33">
        <f t="shared" si="5"/>
        <v>6000</v>
      </c>
      <c r="L54" s="33">
        <f t="shared" si="5"/>
        <v>6000</v>
      </c>
      <c r="M54" s="33">
        <f t="shared" si="5"/>
        <v>6000</v>
      </c>
      <c r="O54" s="33">
        <v>72000</v>
      </c>
      <c r="P54" s="61">
        <f t="shared" si="4"/>
        <v>7.4691026329930146E-2</v>
      </c>
      <c r="R54" s="33">
        <v>66996</v>
      </c>
      <c r="T54" s="33">
        <v>14760.17</v>
      </c>
    </row>
    <row r="55" spans="1:20" s="41" customFormat="1" x14ac:dyDescent="0.25">
      <c r="A55" s="41" t="s">
        <v>144</v>
      </c>
      <c r="O55" s="41">
        <f>0.08*(O54)</f>
        <v>5760</v>
      </c>
      <c r="P55" s="91">
        <f t="shared" si="4"/>
        <v>7.4691026329930091E-2</v>
      </c>
      <c r="R55" s="41">
        <f>0.08*R54</f>
        <v>5359.68</v>
      </c>
    </row>
    <row r="56" spans="1:20" x14ac:dyDescent="0.25">
      <c r="P56" s="61"/>
    </row>
    <row r="57" spans="1:20" x14ac:dyDescent="0.25">
      <c r="A57" s="33" t="s">
        <v>138</v>
      </c>
      <c r="P57" s="61"/>
    </row>
    <row r="58" spans="1:20" x14ac:dyDescent="0.25">
      <c r="A58" s="92" t="s">
        <v>158</v>
      </c>
      <c r="B58" s="33">
        <v>3120</v>
      </c>
      <c r="C58" s="33">
        <v>3120</v>
      </c>
      <c r="D58" s="33">
        <v>3120</v>
      </c>
      <c r="E58" s="33">
        <v>3120</v>
      </c>
      <c r="F58" s="33">
        <v>3120</v>
      </c>
      <c r="G58" s="33">
        <v>3120</v>
      </c>
      <c r="H58" s="33">
        <v>3120</v>
      </c>
      <c r="I58" s="33">
        <v>3120</v>
      </c>
      <c r="J58" s="33">
        <v>3120</v>
      </c>
      <c r="K58" s="33">
        <v>3120</v>
      </c>
      <c r="L58" s="33">
        <v>3120</v>
      </c>
      <c r="M58" s="33">
        <v>3120</v>
      </c>
      <c r="O58" s="33">
        <f>18*40*52</f>
        <v>37440</v>
      </c>
      <c r="P58" s="61">
        <f>IF(R58=0,"-",(O58-R58)/R58)</f>
        <v>0.2</v>
      </c>
      <c r="R58" s="33">
        <v>31200</v>
      </c>
      <c r="T58" s="33">
        <v>0</v>
      </c>
    </row>
    <row r="59" spans="1:20" x14ac:dyDescent="0.25">
      <c r="A59" s="33" t="s">
        <v>139</v>
      </c>
      <c r="B59" s="33">
        <v>3120</v>
      </c>
      <c r="C59" s="33">
        <v>3120</v>
      </c>
      <c r="D59" s="33">
        <v>3120</v>
      </c>
      <c r="E59" s="33">
        <v>3120</v>
      </c>
      <c r="F59" s="33">
        <v>3120</v>
      </c>
      <c r="G59" s="33">
        <v>3120</v>
      </c>
      <c r="H59" s="33">
        <v>3120</v>
      </c>
      <c r="I59" s="33">
        <v>3120</v>
      </c>
      <c r="J59" s="33">
        <v>3120</v>
      </c>
      <c r="O59" s="33">
        <f>SUM(B59:M59)</f>
        <v>28080</v>
      </c>
      <c r="P59" s="61">
        <f t="shared" si="4"/>
        <v>2.9</v>
      </c>
      <c r="R59" s="33">
        <v>7200</v>
      </c>
    </row>
    <row r="60" spans="1:20" s="41" customFormat="1" x14ac:dyDescent="0.25">
      <c r="A60" s="41" t="s">
        <v>141</v>
      </c>
      <c r="B60" s="41">
        <f>10*18</f>
        <v>180</v>
      </c>
      <c r="C60" s="41">
        <f t="shared" ref="C60:M60" si="6">10*18</f>
        <v>180</v>
      </c>
      <c r="D60" s="41">
        <f t="shared" si="6"/>
        <v>180</v>
      </c>
      <c r="E60" s="41">
        <f t="shared" si="6"/>
        <v>180</v>
      </c>
      <c r="F60" s="41">
        <f t="shared" si="6"/>
        <v>180</v>
      </c>
      <c r="G60" s="41">
        <f t="shared" si="6"/>
        <v>180</v>
      </c>
      <c r="H60" s="41">
        <f t="shared" si="6"/>
        <v>180</v>
      </c>
      <c r="I60" s="41">
        <f t="shared" si="6"/>
        <v>180</v>
      </c>
      <c r="J60" s="41">
        <f t="shared" si="6"/>
        <v>180</v>
      </c>
      <c r="K60" s="41">
        <f t="shared" si="6"/>
        <v>180</v>
      </c>
      <c r="L60" s="41">
        <f t="shared" si="6"/>
        <v>180</v>
      </c>
      <c r="M60" s="41">
        <f t="shared" si="6"/>
        <v>180</v>
      </c>
      <c r="O60" s="41">
        <v>5660</v>
      </c>
      <c r="P60" s="91">
        <f>IF(R60=0,"-",(O60-R60)/R60)</f>
        <v>0.97212543554006969</v>
      </c>
      <c r="R60" s="41">
        <v>2870</v>
      </c>
    </row>
    <row r="61" spans="1:20" s="54" customFormat="1" outlineLevel="1" x14ac:dyDescent="0.25">
      <c r="A61" s="54" t="s">
        <v>156</v>
      </c>
      <c r="H61" s="55"/>
      <c r="O61" s="54">
        <f>SUM(B60:M60)</f>
        <v>2160</v>
      </c>
      <c r="P61" s="62" t="str">
        <f>IF(R61=0,"-",(O61-R61)/R61)</f>
        <v>-</v>
      </c>
      <c r="R61" s="54">
        <v>0</v>
      </c>
    </row>
    <row r="62" spans="1:20" s="54" customFormat="1" outlineLevel="1" x14ac:dyDescent="0.25">
      <c r="A62" s="54" t="s">
        <v>157</v>
      </c>
      <c r="H62" s="55"/>
      <c r="O62" s="54">
        <v>3500</v>
      </c>
      <c r="P62" s="62" t="str">
        <f>IF(R62=0,"-",(O62-R62)/R62)</f>
        <v>-</v>
      </c>
      <c r="R62" s="54">
        <v>0</v>
      </c>
    </row>
    <row r="63" spans="1:20" x14ac:dyDescent="0.25">
      <c r="A63" s="33" t="s">
        <v>140</v>
      </c>
      <c r="B63" s="33">
        <v>500</v>
      </c>
      <c r="C63" s="33">
        <v>500</v>
      </c>
      <c r="D63" s="33">
        <v>500</v>
      </c>
      <c r="E63" s="33">
        <v>500</v>
      </c>
      <c r="F63" s="33">
        <v>500</v>
      </c>
      <c r="G63" s="33">
        <v>500</v>
      </c>
      <c r="H63" s="33">
        <v>500</v>
      </c>
      <c r="I63" s="33">
        <v>500</v>
      </c>
      <c r="J63" s="33">
        <v>500</v>
      </c>
      <c r="K63" s="33">
        <v>500</v>
      </c>
      <c r="L63" s="33">
        <v>500</v>
      </c>
      <c r="M63" s="33">
        <v>500</v>
      </c>
      <c r="O63" s="33">
        <f>SUM(B63:M63)</f>
        <v>6000</v>
      </c>
      <c r="P63" s="61">
        <f t="shared" si="4"/>
        <v>4</v>
      </c>
      <c r="R63" s="33">
        <v>1200</v>
      </c>
    </row>
    <row r="64" spans="1:20" x14ac:dyDescent="0.25">
      <c r="A64" s="92" t="s">
        <v>159</v>
      </c>
      <c r="B64" s="33">
        <v>500</v>
      </c>
      <c r="C64" s="33">
        <v>4500</v>
      </c>
      <c r="D64" s="33">
        <v>500</v>
      </c>
      <c r="E64" s="33">
        <v>500</v>
      </c>
      <c r="F64" s="33">
        <v>500</v>
      </c>
      <c r="G64" s="33">
        <v>500</v>
      </c>
      <c r="H64" s="33">
        <v>500</v>
      </c>
      <c r="I64" s="33">
        <v>500</v>
      </c>
      <c r="J64" s="33">
        <v>500</v>
      </c>
      <c r="K64" s="33">
        <v>500</v>
      </c>
      <c r="L64" s="33">
        <v>500</v>
      </c>
      <c r="M64" s="33">
        <v>500</v>
      </c>
      <c r="O64" s="33">
        <f>SUM(B64:M64)</f>
        <v>10000</v>
      </c>
      <c r="P64" s="61">
        <f>IF(R64=0,"-",(O64-R64)/R64)</f>
        <v>0.33333333333333331</v>
      </c>
      <c r="R64" s="33">
        <v>7500</v>
      </c>
      <c r="T64" s="33">
        <v>1500</v>
      </c>
    </row>
    <row r="65" spans="1:25" x14ac:dyDescent="0.25">
      <c r="P65" s="61"/>
    </row>
    <row r="66" spans="1:25" x14ac:dyDescent="0.25">
      <c r="A66" s="41" t="s">
        <v>77</v>
      </c>
      <c r="B66" s="33">
        <v>500</v>
      </c>
      <c r="C66" s="33">
        <v>500</v>
      </c>
      <c r="D66" s="33">
        <v>500</v>
      </c>
      <c r="E66" s="33">
        <v>500</v>
      </c>
      <c r="F66" s="33">
        <v>500</v>
      </c>
      <c r="G66" s="33">
        <v>500</v>
      </c>
      <c r="H66" s="33">
        <v>500</v>
      </c>
      <c r="I66" s="33">
        <v>500</v>
      </c>
      <c r="J66" s="33">
        <v>500</v>
      </c>
      <c r="K66" s="33">
        <v>500</v>
      </c>
      <c r="L66" s="33">
        <v>500</v>
      </c>
      <c r="M66" s="33">
        <v>500</v>
      </c>
      <c r="O66" s="41">
        <v>6000</v>
      </c>
      <c r="P66" s="61">
        <f t="shared" ref="P66" si="7">IF(R66=0,"-",(O66-R66)/R66)</f>
        <v>0</v>
      </c>
      <c r="R66" s="41">
        <v>6000</v>
      </c>
      <c r="T66" s="41">
        <v>3600</v>
      </c>
      <c r="X66" s="78"/>
      <c r="Y66" s="1"/>
    </row>
    <row r="67" spans="1:25" x14ac:dyDescent="0.25">
      <c r="A67" s="33" t="s">
        <v>60</v>
      </c>
      <c r="B67" s="33">
        <v>70</v>
      </c>
      <c r="C67" s="33">
        <v>70</v>
      </c>
      <c r="D67" s="33">
        <v>70</v>
      </c>
      <c r="E67" s="33">
        <v>70</v>
      </c>
      <c r="F67" s="33">
        <v>70</v>
      </c>
      <c r="G67" s="33">
        <v>70</v>
      </c>
      <c r="H67" s="33">
        <v>70</v>
      </c>
      <c r="I67" s="33">
        <v>70</v>
      </c>
      <c r="J67" s="33">
        <v>70</v>
      </c>
      <c r="K67" s="33">
        <v>70</v>
      </c>
      <c r="L67" s="33">
        <v>70</v>
      </c>
      <c r="M67" s="33">
        <v>70</v>
      </c>
      <c r="O67" s="33">
        <f>SUM(O68:O69)</f>
        <v>1245</v>
      </c>
      <c r="P67" s="61">
        <f t="shared" ref="P67:P69" si="8">IF(R67=0,"-",(O67-R67)/R67)</f>
        <v>1.2554347826086956</v>
      </c>
      <c r="R67" s="33">
        <v>552</v>
      </c>
      <c r="T67" s="33">
        <v>414</v>
      </c>
      <c r="X67" s="78"/>
      <c r="Y67" s="1"/>
    </row>
    <row r="68" spans="1:25" s="54" customFormat="1" outlineLevel="1" x14ac:dyDescent="0.25">
      <c r="A68" s="54" t="s">
        <v>160</v>
      </c>
      <c r="H68" s="55"/>
      <c r="O68" s="54">
        <f>840</f>
        <v>840</v>
      </c>
      <c r="P68" s="62">
        <f t="shared" si="8"/>
        <v>0.52173913043478259</v>
      </c>
      <c r="R68" s="54">
        <v>552</v>
      </c>
      <c r="T68" s="54">
        <v>414</v>
      </c>
    </row>
    <row r="69" spans="1:25" s="54" customFormat="1" outlineLevel="1" x14ac:dyDescent="0.25">
      <c r="A69" s="54" t="s">
        <v>161</v>
      </c>
      <c r="H69" s="55"/>
      <c r="O69" s="54">
        <f>9*45</f>
        <v>405</v>
      </c>
      <c r="P69" s="62" t="str">
        <f t="shared" si="8"/>
        <v>-</v>
      </c>
    </row>
    <row r="70" spans="1:25" x14ac:dyDescent="0.25">
      <c r="X70" s="78"/>
      <c r="Y70" s="1"/>
    </row>
    <row r="71" spans="1:25" x14ac:dyDescent="0.25">
      <c r="A71" s="92" t="s">
        <v>167</v>
      </c>
      <c r="O71" s="33">
        <v>165</v>
      </c>
      <c r="P71" s="61">
        <f t="shared" ref="P71:P74" si="9">IF(R71=0,"-",(O71-R71)/R71)</f>
        <v>2.8293655739748173E-2</v>
      </c>
      <c r="R71" s="33">
        <v>160.46</v>
      </c>
      <c r="T71" s="33">
        <v>160.46</v>
      </c>
      <c r="X71" s="78"/>
      <c r="Y71" s="1"/>
    </row>
    <row r="72" spans="1:25" x14ac:dyDescent="0.25">
      <c r="A72" s="92" t="s">
        <v>166</v>
      </c>
      <c r="O72" s="33">
        <v>300</v>
      </c>
      <c r="P72" s="61">
        <f t="shared" si="9"/>
        <v>0.22448979591836735</v>
      </c>
      <c r="R72" s="33">
        <v>245</v>
      </c>
      <c r="T72" s="33">
        <v>45</v>
      </c>
      <c r="X72" s="78"/>
      <c r="Y72" s="1"/>
    </row>
    <row r="73" spans="1:25" x14ac:dyDescent="0.25">
      <c r="A73" s="92" t="s">
        <v>165</v>
      </c>
      <c r="O73" s="33">
        <v>326</v>
      </c>
      <c r="P73" s="61">
        <f t="shared" si="9"/>
        <v>0</v>
      </c>
      <c r="R73" s="33">
        <v>326</v>
      </c>
      <c r="T73" s="33">
        <v>244.5</v>
      </c>
      <c r="X73" s="78"/>
      <c r="Y73" s="1"/>
    </row>
    <row r="74" spans="1:25" x14ac:dyDescent="0.25">
      <c r="A74" s="92" t="s">
        <v>164</v>
      </c>
      <c r="O74" s="33">
        <v>57</v>
      </c>
      <c r="P74" s="61">
        <f t="shared" si="9"/>
        <v>0</v>
      </c>
      <c r="R74" s="33">
        <v>57</v>
      </c>
      <c r="T74" s="33">
        <v>42.64</v>
      </c>
      <c r="X74" s="78"/>
      <c r="Y74" s="1"/>
    </row>
    <row r="75" spans="1:25" x14ac:dyDescent="0.25">
      <c r="X75" s="78"/>
      <c r="Y75" s="1"/>
    </row>
    <row r="76" spans="1:25" x14ac:dyDescent="0.25">
      <c r="A76" s="33" t="s">
        <v>72</v>
      </c>
      <c r="O76" s="33">
        <v>750</v>
      </c>
      <c r="P76" s="61">
        <f t="shared" ref="P76:P78" si="10">IF(R76=0,"-",(O76-R76)/R76)</f>
        <v>0</v>
      </c>
      <c r="R76" s="33">
        <v>750</v>
      </c>
      <c r="X76" s="78"/>
      <c r="Y76" s="1"/>
    </row>
    <row r="77" spans="1:25" x14ac:dyDescent="0.25">
      <c r="A77" s="33" t="s">
        <v>115</v>
      </c>
      <c r="B77" s="56"/>
      <c r="O77" s="33">
        <v>714</v>
      </c>
      <c r="P77" s="61" t="str">
        <f t="shared" si="10"/>
        <v>-</v>
      </c>
      <c r="R77" s="33">
        <v>0</v>
      </c>
      <c r="U77" s="77" t="e">
        <f>1+(T77-P77)/P77</f>
        <v>#VALUE!</v>
      </c>
      <c r="X77" s="78"/>
      <c r="Y77" s="1"/>
    </row>
    <row r="78" spans="1:25" x14ac:dyDescent="0.25">
      <c r="A78" s="33" t="s">
        <v>114</v>
      </c>
      <c r="B78" s="56"/>
      <c r="O78" s="33">
        <v>437</v>
      </c>
      <c r="P78" s="61" t="str">
        <f t="shared" si="10"/>
        <v>-</v>
      </c>
      <c r="R78" s="33">
        <v>0</v>
      </c>
      <c r="U78" s="77" t="e">
        <f>1+(T78-P78)/P78</f>
        <v>#VALUE!</v>
      </c>
      <c r="X78" s="78"/>
      <c r="Y78" s="1"/>
    </row>
    <row r="79" spans="1:25" x14ac:dyDescent="0.25">
      <c r="X79" s="78"/>
      <c r="Y79" s="1"/>
    </row>
    <row r="80" spans="1:25" x14ac:dyDescent="0.25">
      <c r="A80" s="33" t="s">
        <v>52</v>
      </c>
      <c r="O80" s="33">
        <v>2858</v>
      </c>
      <c r="P80" s="61">
        <f t="shared" ref="P80:P83" si="11">IF(R80=0,"-",(O80-R80)/R80)</f>
        <v>0.85705003248862899</v>
      </c>
      <c r="R80" s="33">
        <f>1421+118</f>
        <v>1539</v>
      </c>
      <c r="T80" s="33">
        <v>1065.6400000000001</v>
      </c>
      <c r="X80" s="78"/>
      <c r="Y80" s="1"/>
    </row>
    <row r="81" spans="1:25" x14ac:dyDescent="0.25">
      <c r="A81" s="92" t="s">
        <v>162</v>
      </c>
      <c r="O81" s="33">
        <v>5500</v>
      </c>
      <c r="P81" s="61" t="str">
        <f t="shared" si="11"/>
        <v>-</v>
      </c>
      <c r="R81" s="33">
        <v>0</v>
      </c>
      <c r="T81" s="33">
        <v>264</v>
      </c>
      <c r="X81" s="79"/>
      <c r="Y81" s="1"/>
    </row>
    <row r="82" spans="1:25" x14ac:dyDescent="0.25">
      <c r="A82" s="92" t="s">
        <v>168</v>
      </c>
      <c r="O82" s="33">
        <v>220</v>
      </c>
      <c r="P82" s="61">
        <f t="shared" si="11"/>
        <v>0</v>
      </c>
      <c r="R82" s="33">
        <v>220</v>
      </c>
      <c r="T82" s="33">
        <v>217.87</v>
      </c>
      <c r="X82" s="80"/>
      <c r="Y82" s="1"/>
    </row>
    <row r="83" spans="1:25" x14ac:dyDescent="0.25">
      <c r="A83" s="33" t="s">
        <v>54</v>
      </c>
      <c r="O83" s="33">
        <v>292</v>
      </c>
      <c r="P83" s="61">
        <f t="shared" si="11"/>
        <v>0</v>
      </c>
      <c r="R83" s="33">
        <v>292</v>
      </c>
      <c r="T83" s="33">
        <v>179.95</v>
      </c>
      <c r="X83" s="78"/>
      <c r="Y83" s="1"/>
    </row>
    <row r="84" spans="1:25" x14ac:dyDescent="0.25">
      <c r="A84" s="92" t="s">
        <v>163</v>
      </c>
      <c r="O84" s="33">
        <v>0</v>
      </c>
      <c r="P84" s="61" t="str">
        <f t="shared" ref="P84" si="12">IF(R84=0,"-",(O84-R84)/R84)</f>
        <v>-</v>
      </c>
      <c r="R84" s="33">
        <v>0</v>
      </c>
      <c r="T84" s="33">
        <v>48</v>
      </c>
      <c r="X84" s="78"/>
      <c r="Y84" s="1"/>
    </row>
    <row r="86" spans="1:25" x14ac:dyDescent="0.25">
      <c r="A86" s="33" t="s">
        <v>116</v>
      </c>
      <c r="O86" s="33">
        <v>250</v>
      </c>
      <c r="P86" s="61">
        <f t="shared" ref="P86:P87" si="13">IF(R86=0,"-",(O86-R86)/R86)</f>
        <v>0</v>
      </c>
      <c r="R86" s="33">
        <v>250</v>
      </c>
      <c r="T86" s="33">
        <v>173</v>
      </c>
    </row>
    <row r="87" spans="1:25" x14ac:dyDescent="0.25">
      <c r="A87" s="33" t="s">
        <v>78</v>
      </c>
      <c r="O87" s="33">
        <v>600</v>
      </c>
      <c r="P87" s="61">
        <f t="shared" si="13"/>
        <v>0</v>
      </c>
      <c r="R87" s="33">
        <v>600</v>
      </c>
    </row>
    <row r="90" spans="1:25" x14ac:dyDescent="0.25">
      <c r="A90" s="36" t="s">
        <v>24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>
        <f>SUM(O92:O102)</f>
        <v>43500</v>
      </c>
      <c r="P90" s="87">
        <f t="shared" ref="P90:P98" si="14">IF(R90=0,"-",(O90-R90)/R90)</f>
        <v>0.73306772908366535</v>
      </c>
      <c r="Q90" s="46"/>
      <c r="R90" s="46">
        <f>SUM(R92:R102)</f>
        <v>25100</v>
      </c>
      <c r="S90" s="46"/>
      <c r="T90" s="46"/>
      <c r="U90" s="46"/>
    </row>
    <row r="91" spans="1:25" x14ac:dyDescent="0.25">
      <c r="A91" s="42" t="s">
        <v>110</v>
      </c>
    </row>
    <row r="92" spans="1:25" x14ac:dyDescent="0.25">
      <c r="A92" s="50" t="s">
        <v>147</v>
      </c>
      <c r="H92" s="41"/>
      <c r="O92" s="51">
        <v>30000</v>
      </c>
      <c r="P92" s="61">
        <f t="shared" si="14"/>
        <v>0.21951219512195122</v>
      </c>
      <c r="R92" s="51">
        <v>24600</v>
      </c>
      <c r="T92" s="51">
        <v>12500</v>
      </c>
    </row>
    <row r="93" spans="1:25" x14ac:dyDescent="0.25">
      <c r="A93" s="33" t="s">
        <v>146</v>
      </c>
      <c r="O93" s="33">
        <v>4000</v>
      </c>
      <c r="P93" s="61" t="str">
        <f t="shared" si="14"/>
        <v>-</v>
      </c>
      <c r="R93" s="33">
        <v>0</v>
      </c>
      <c r="T93" s="33">
        <v>4000</v>
      </c>
    </row>
    <row r="94" spans="1:25" x14ac:dyDescent="0.25">
      <c r="A94" s="33" t="s">
        <v>148</v>
      </c>
      <c r="O94" s="33">
        <v>4500</v>
      </c>
      <c r="P94" s="61" t="str">
        <f t="shared" si="14"/>
        <v>-</v>
      </c>
      <c r="R94" s="33">
        <v>0</v>
      </c>
      <c r="T94" s="33">
        <v>0</v>
      </c>
    </row>
    <row r="95" spans="1:25" x14ac:dyDescent="0.25">
      <c r="A95" s="33" t="s">
        <v>145</v>
      </c>
      <c r="O95" s="33">
        <v>3000</v>
      </c>
      <c r="P95" s="61" t="str">
        <f t="shared" si="14"/>
        <v>-</v>
      </c>
      <c r="R95" s="33">
        <v>0</v>
      </c>
      <c r="T95" s="33">
        <v>0</v>
      </c>
    </row>
    <row r="96" spans="1:25" x14ac:dyDescent="0.25">
      <c r="A96" s="92" t="s">
        <v>169</v>
      </c>
      <c r="O96" s="33">
        <v>700</v>
      </c>
      <c r="P96" s="61" t="str">
        <f t="shared" si="14"/>
        <v>-</v>
      </c>
    </row>
    <row r="97" spans="1:20" x14ac:dyDescent="0.25">
      <c r="A97" s="33" t="s">
        <v>143</v>
      </c>
      <c r="O97" s="33">
        <v>800</v>
      </c>
      <c r="P97" s="61" t="str">
        <f t="shared" si="14"/>
        <v>-</v>
      </c>
    </row>
    <row r="98" spans="1:20" x14ac:dyDescent="0.25">
      <c r="A98" s="92" t="s">
        <v>170</v>
      </c>
      <c r="O98" s="33">
        <v>225</v>
      </c>
      <c r="P98" s="61">
        <f t="shared" si="14"/>
        <v>0</v>
      </c>
      <c r="R98" s="33">
        <v>225</v>
      </c>
      <c r="T98" s="33">
        <v>139.55000000000001</v>
      </c>
    </row>
    <row r="100" spans="1:20" x14ac:dyDescent="0.25">
      <c r="A100" s="33" t="s">
        <v>151</v>
      </c>
    </row>
    <row r="101" spans="1:20" x14ac:dyDescent="0.25">
      <c r="A101" s="33" t="s">
        <v>149</v>
      </c>
      <c r="O101" s="33">
        <v>175</v>
      </c>
      <c r="P101" s="61">
        <f t="shared" ref="P101:P102" si="15">IF(R101=0,"-",(O101-R101)/R101)</f>
        <v>0</v>
      </c>
      <c r="R101" s="33">
        <v>175</v>
      </c>
      <c r="T101" s="33">
        <v>108.05</v>
      </c>
    </row>
    <row r="102" spans="1:20" x14ac:dyDescent="0.25">
      <c r="A102" s="33" t="s">
        <v>150</v>
      </c>
      <c r="O102" s="33">
        <v>100</v>
      </c>
      <c r="P102" s="61">
        <f t="shared" si="15"/>
        <v>0</v>
      </c>
      <c r="R102" s="33">
        <v>100</v>
      </c>
      <c r="T102" s="33">
        <v>56.76</v>
      </c>
    </row>
    <row r="105" spans="1:20" x14ac:dyDescent="0.25">
      <c r="A105" s="36" t="s">
        <v>152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>
        <f>SUM(O106:O108)</f>
        <v>92500</v>
      </c>
      <c r="P105" s="87">
        <f t="shared" ref="P105" si="16">IF(R105=0,"-",(O105-R105)/R105)</f>
        <v>-0.68649367647577675</v>
      </c>
      <c r="Q105" s="46"/>
      <c r="R105" s="46">
        <f>SUM(R106:R108)</f>
        <v>295049.87</v>
      </c>
      <c r="S105" s="46"/>
      <c r="T105" s="46"/>
    </row>
    <row r="106" spans="1:20" x14ac:dyDescent="0.25">
      <c r="A106" s="92" t="s">
        <v>171</v>
      </c>
      <c r="O106" s="33">
        <v>50000</v>
      </c>
      <c r="P106" s="61">
        <f>IF(R106=0,"-",(O106-R106)/R106)</f>
        <v>0.55531299585322458</v>
      </c>
      <c r="R106" s="33">
        <v>32147.87</v>
      </c>
    </row>
    <row r="107" spans="1:20" x14ac:dyDescent="0.25">
      <c r="A107" s="92" t="s">
        <v>172</v>
      </c>
      <c r="O107" s="33">
        <v>42500</v>
      </c>
      <c r="P107" s="61">
        <f>IF(R107=0,"-",(O107-R107)/R107)</f>
        <v>1.5507141999759932</v>
      </c>
      <c r="R107" s="33">
        <v>16662</v>
      </c>
      <c r="S107" s="33">
        <v>2083</v>
      </c>
    </row>
    <row r="108" spans="1:20" x14ac:dyDescent="0.25">
      <c r="A108" s="92" t="s">
        <v>134</v>
      </c>
      <c r="O108" s="33">
        <v>0</v>
      </c>
      <c r="P108" s="61">
        <f t="shared" ref="P108" si="17">IF(R108=0,"-",(O108-R108)/R108)</f>
        <v>-1</v>
      </c>
      <c r="R108" s="33">
        <v>246240</v>
      </c>
    </row>
    <row r="110" spans="1:20" ht="16.5" thickBot="1" x14ac:dyDescent="0.3">
      <c r="A110" s="9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O110" s="46"/>
      <c r="P110" s="60"/>
      <c r="R110" s="46"/>
      <c r="T110" s="46"/>
    </row>
    <row r="111" spans="1:20" ht="16.5" thickBot="1" x14ac:dyDescent="0.3">
      <c r="A111" s="97" t="s">
        <v>176</v>
      </c>
      <c r="O111" s="68">
        <f>O105+O90+O52</f>
        <v>320654</v>
      </c>
      <c r="P111" s="69">
        <f t="shared" ref="P111:P114" si="18">IF(R111=0,"-",(O111-R111)/R111)</f>
        <v>-0.29288351097470133</v>
      </c>
      <c r="Q111" s="48"/>
      <c r="R111" s="49">
        <f>R105+R90+R52</f>
        <v>453467.01</v>
      </c>
      <c r="T111" s="49">
        <v>59893.08</v>
      </c>
    </row>
    <row r="112" spans="1:20" x14ac:dyDescent="0.25">
      <c r="A112" s="43"/>
      <c r="O112" s="43"/>
      <c r="P112" s="93"/>
      <c r="Q112" s="43"/>
      <c r="R112" s="43"/>
      <c r="T112" s="43"/>
    </row>
    <row r="113" spans="1:20" ht="16.5" thickBot="1" x14ac:dyDescent="0.3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O113" s="52"/>
      <c r="P113" s="52"/>
      <c r="Q113" s="42"/>
      <c r="R113" s="52"/>
      <c r="T113" s="52"/>
    </row>
    <row r="114" spans="1:20" ht="16.5" thickBot="1" x14ac:dyDescent="0.3">
      <c r="A114" s="48" t="s">
        <v>177</v>
      </c>
      <c r="O114" s="68">
        <f>O45-O111</f>
        <v>217787.19999999995</v>
      </c>
      <c r="P114" s="69">
        <f t="shared" si="18"/>
        <v>5.0454478960299509</v>
      </c>
      <c r="Q114" s="48"/>
      <c r="R114" s="49">
        <f>R45-R111</f>
        <v>36024.989999999991</v>
      </c>
    </row>
  </sheetData>
  <mergeCells count="5">
    <mergeCell ref="A49:A50"/>
    <mergeCell ref="P49:P50"/>
    <mergeCell ref="A3:A4"/>
    <mergeCell ref="P3:P4"/>
    <mergeCell ref="A1:T1"/>
  </mergeCells>
  <pageMargins left="0.7" right="0.7" top="0.75" bottom="0.75" header="0.3" footer="0.3"/>
  <pageSetup scale="78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47BA2-58DF-7A42-80BF-69A288021C96}">
  <dimension ref="B7:Z104"/>
  <sheetViews>
    <sheetView topLeftCell="A3" zoomScale="106" zoomScaleNormal="150" workbookViewId="0">
      <pane xSplit="2" ySplit="8" topLeftCell="C70" activePane="bottomRight" state="frozen"/>
      <selection activeCell="A3" sqref="A3"/>
      <selection pane="topRight" activeCell="E3" sqref="E3"/>
      <selection pane="bottomLeft" activeCell="A11" sqref="A11"/>
      <selection pane="bottomRight" activeCell="A84" sqref="A84:XFD84"/>
    </sheetView>
  </sheetViews>
  <sheetFormatPr defaultColWidth="9.140625" defaultRowHeight="15" x14ac:dyDescent="0.25"/>
  <cols>
    <col min="1" max="1" width="3.140625" style="1" customWidth="1"/>
    <col min="2" max="2" width="56.85546875" style="1" customWidth="1"/>
    <col min="3" max="3" width="12" style="1" customWidth="1"/>
    <col min="4" max="4" width="11.7109375" style="1" bestFit="1" customWidth="1"/>
    <col min="5" max="5" width="11.85546875" style="1" bestFit="1" customWidth="1"/>
    <col min="6" max="6" width="12.7109375" style="1" customWidth="1"/>
    <col min="7" max="8" width="11.85546875" style="1" bestFit="1" customWidth="1"/>
    <col min="9" max="9" width="12.42578125" style="1" bestFit="1" customWidth="1"/>
    <col min="10" max="10" width="12.42578125" style="1" customWidth="1"/>
    <col min="11" max="11" width="11.85546875" style="1" bestFit="1" customWidth="1"/>
    <col min="12" max="12" width="11.42578125" style="1" customWidth="1"/>
    <col min="13" max="13" width="12.28515625" style="1" customWidth="1"/>
    <col min="14" max="14" width="11.42578125" style="1" customWidth="1"/>
    <col min="15" max="15" width="4.7109375" style="1" customWidth="1"/>
    <col min="16" max="16" width="13" style="1" bestFit="1" customWidth="1"/>
    <col min="17" max="17" width="1.7109375" style="1" customWidth="1"/>
    <col min="18" max="18" width="10.42578125" style="1" hidden="1" customWidth="1"/>
    <col min="19" max="19" width="4.7109375" style="1" customWidth="1"/>
    <col min="20" max="16384" width="9.140625" style="1"/>
  </cols>
  <sheetData>
    <row r="7" spans="2:26" ht="15.75" thickBot="1" x14ac:dyDescent="0.3"/>
    <row r="8" spans="2:26" ht="15.75" thickBot="1" x14ac:dyDescent="0.3">
      <c r="C8" s="112" t="s">
        <v>108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4"/>
      <c r="Q8" s="11"/>
    </row>
    <row r="9" spans="2:26" x14ac:dyDescent="0.25">
      <c r="P9" s="12">
        <v>2021</v>
      </c>
      <c r="Q9" s="13"/>
      <c r="R9" s="13">
        <v>2020</v>
      </c>
    </row>
    <row r="10" spans="2:26" x14ac:dyDescent="0.25">
      <c r="C10" s="14" t="s">
        <v>4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9</v>
      </c>
      <c r="I10" s="14" t="s">
        <v>10</v>
      </c>
      <c r="J10" s="14" t="s">
        <v>11</v>
      </c>
      <c r="K10" s="14" t="s">
        <v>12</v>
      </c>
      <c r="L10" s="14" t="s">
        <v>13</v>
      </c>
      <c r="M10" s="14" t="s">
        <v>14</v>
      </c>
      <c r="N10" s="14" t="s">
        <v>15</v>
      </c>
      <c r="P10" s="15" t="s">
        <v>3</v>
      </c>
      <c r="Q10" s="16"/>
      <c r="R10" s="16" t="s">
        <v>30</v>
      </c>
      <c r="T10" s="17" t="s">
        <v>17</v>
      </c>
      <c r="U10" s="3"/>
      <c r="V10" s="3"/>
      <c r="W10" s="3"/>
      <c r="X10" s="3"/>
      <c r="Y10" s="3"/>
      <c r="Z10" s="3"/>
    </row>
    <row r="11" spans="2:26" x14ac:dyDescent="0.25">
      <c r="B11" s="8" t="s">
        <v>0</v>
      </c>
    </row>
    <row r="12" spans="2:26" x14ac:dyDescent="0.25">
      <c r="B12" s="18"/>
    </row>
    <row r="13" spans="2:26" x14ac:dyDescent="0.25">
      <c r="B13" s="19" t="s">
        <v>25</v>
      </c>
    </row>
    <row r="14" spans="2:26" x14ac:dyDescent="0.25">
      <c r="B14" s="1" t="s">
        <v>1</v>
      </c>
      <c r="C14" s="1">
        <f>400</f>
        <v>400</v>
      </c>
      <c r="D14" s="1">
        <f>400</f>
        <v>400</v>
      </c>
      <c r="E14" s="32">
        <v>400</v>
      </c>
      <c r="F14" s="1">
        <f>400</f>
        <v>400</v>
      </c>
      <c r="G14" s="32">
        <v>400</v>
      </c>
      <c r="H14" s="1">
        <f>400</f>
        <v>400</v>
      </c>
      <c r="I14" s="1">
        <f>400</f>
        <v>400</v>
      </c>
      <c r="J14" s="1">
        <f>400</f>
        <v>400</v>
      </c>
      <c r="K14" s="1">
        <f>400</f>
        <v>400</v>
      </c>
      <c r="L14" s="1">
        <f>400</f>
        <v>400</v>
      </c>
      <c r="M14" s="1">
        <f>400</f>
        <v>400</v>
      </c>
      <c r="N14" s="1">
        <f>400</f>
        <v>400</v>
      </c>
      <c r="P14" s="1">
        <f>SUM(C14:N14)</f>
        <v>4800</v>
      </c>
      <c r="R14" s="1">
        <f>34291.44</f>
        <v>34291.440000000002</v>
      </c>
      <c r="T14" s="1" t="s">
        <v>100</v>
      </c>
    </row>
    <row r="15" spans="2:26" x14ac:dyDescent="0.25">
      <c r="B15" s="1" t="s">
        <v>2</v>
      </c>
      <c r="C15" s="1">
        <v>1232</v>
      </c>
      <c r="D15" s="1">
        <v>1232</v>
      </c>
      <c r="E15" s="1">
        <v>1232</v>
      </c>
      <c r="F15" s="1">
        <v>1232</v>
      </c>
      <c r="G15" s="1">
        <v>1232</v>
      </c>
      <c r="H15" s="1">
        <v>1232</v>
      </c>
      <c r="I15" s="1">
        <v>1232</v>
      </c>
      <c r="J15" s="1">
        <v>1232</v>
      </c>
      <c r="K15" s="1">
        <v>1232</v>
      </c>
      <c r="L15" s="1">
        <v>1232</v>
      </c>
      <c r="M15" s="1">
        <v>1232</v>
      </c>
      <c r="N15" s="1">
        <v>1232</v>
      </c>
      <c r="P15" s="1">
        <f>SUM(C15:N15)</f>
        <v>14784</v>
      </c>
      <c r="R15" s="1">
        <v>4467.4799999999996</v>
      </c>
    </row>
    <row r="16" spans="2:26" ht="6.75" customHeight="1" x14ac:dyDescent="0.25"/>
    <row r="17" spans="2:20" ht="15" customHeight="1" x14ac:dyDescent="0.25">
      <c r="B17" s="21" t="s">
        <v>24</v>
      </c>
    </row>
    <row r="18" spans="2:20" ht="15" customHeight="1" x14ac:dyDescent="0.25">
      <c r="B18" s="22" t="s">
        <v>34</v>
      </c>
      <c r="G18" s="1">
        <v>1818</v>
      </c>
      <c r="P18" s="1">
        <f>SUM(C18:N18)</f>
        <v>1818</v>
      </c>
      <c r="R18" s="1">
        <f>2998.61</f>
        <v>2998.61</v>
      </c>
      <c r="T18" s="1" t="s">
        <v>36</v>
      </c>
    </row>
    <row r="19" spans="2:20" ht="15" customHeight="1" x14ac:dyDescent="0.25"/>
    <row r="20" spans="2:20" x14ac:dyDescent="0.25">
      <c r="B20" s="23" t="s">
        <v>84</v>
      </c>
    </row>
    <row r="21" spans="2:20" x14ac:dyDescent="0.25">
      <c r="B21" s="24" t="s">
        <v>85</v>
      </c>
      <c r="I21" s="2">
        <v>12500</v>
      </c>
      <c r="P21" s="7">
        <f>SUM(C21:N21)</f>
        <v>12500</v>
      </c>
      <c r="R21" s="1">
        <f>12500</f>
        <v>12500</v>
      </c>
    </row>
    <row r="22" spans="2:20" x14ac:dyDescent="0.25">
      <c r="B22" s="1" t="s">
        <v>86</v>
      </c>
      <c r="I22" s="2">
        <v>79000</v>
      </c>
      <c r="P22" s="1">
        <f>SUM(C22:N22)</f>
        <v>79000</v>
      </c>
      <c r="R22" s="1">
        <f>46313.13-12500</f>
        <v>33813.129999999997</v>
      </c>
      <c r="T22" s="1" t="s">
        <v>32</v>
      </c>
    </row>
    <row r="23" spans="2:20" x14ac:dyDescent="0.25">
      <c r="I23" s="2"/>
    </row>
    <row r="24" spans="2:20" x14ac:dyDescent="0.25">
      <c r="B24" s="22" t="s">
        <v>87</v>
      </c>
      <c r="I24" s="2"/>
      <c r="P24" s="1">
        <f>SUM(C24:N24)</f>
        <v>0</v>
      </c>
      <c r="R24" s="1">
        <f>3135</f>
        <v>3135</v>
      </c>
      <c r="T24" s="1" t="s">
        <v>35</v>
      </c>
    </row>
    <row r="25" spans="2:20" x14ac:dyDescent="0.25">
      <c r="I25" s="2"/>
    </row>
    <row r="26" spans="2:20" x14ac:dyDescent="0.25">
      <c r="B26" s="21" t="s">
        <v>82</v>
      </c>
      <c r="I26" s="2"/>
    </row>
    <row r="27" spans="2:20" x14ac:dyDescent="0.25">
      <c r="B27" s="1" t="s">
        <v>83</v>
      </c>
      <c r="C27" s="1">
        <v>1666</v>
      </c>
      <c r="D27" s="1">
        <v>1666</v>
      </c>
      <c r="E27" s="1">
        <v>1666</v>
      </c>
      <c r="F27" s="1">
        <v>1666</v>
      </c>
      <c r="G27" s="1">
        <v>1666</v>
      </c>
      <c r="H27" s="1">
        <v>1666</v>
      </c>
      <c r="I27" s="1">
        <v>1666</v>
      </c>
      <c r="J27" s="1">
        <v>1666</v>
      </c>
      <c r="K27" s="1">
        <v>1666</v>
      </c>
      <c r="L27" s="1">
        <v>1666</v>
      </c>
      <c r="M27" s="1">
        <v>1666</v>
      </c>
      <c r="N27" s="1">
        <v>1666</v>
      </c>
      <c r="P27" s="1">
        <f>SUM(C27:N27)</f>
        <v>19992</v>
      </c>
      <c r="T27" s="1" t="s">
        <v>33</v>
      </c>
    </row>
    <row r="28" spans="2:20" x14ac:dyDescent="0.25">
      <c r="I28" s="2"/>
    </row>
    <row r="29" spans="2:20" x14ac:dyDescent="0.25">
      <c r="B29" s="25" t="s">
        <v>18</v>
      </c>
      <c r="P29" s="1">
        <f>SUM(C29:N29)</f>
        <v>0</v>
      </c>
      <c r="R29" s="1">
        <f>457227.73</f>
        <v>457227.73</v>
      </c>
      <c r="T29" s="1" t="s">
        <v>81</v>
      </c>
    </row>
    <row r="30" spans="2:20" x14ac:dyDescent="0.25">
      <c r="B30" s="1" t="s">
        <v>88</v>
      </c>
      <c r="C30" s="1">
        <v>2083</v>
      </c>
      <c r="D30" s="1">
        <v>2083</v>
      </c>
      <c r="E30" s="1">
        <v>2083</v>
      </c>
      <c r="F30" s="1">
        <v>2083</v>
      </c>
      <c r="G30" s="1">
        <v>2083</v>
      </c>
      <c r="H30" s="1">
        <v>2083</v>
      </c>
      <c r="I30" s="1">
        <v>2083</v>
      </c>
      <c r="J30" s="1">
        <v>2083</v>
      </c>
      <c r="K30" s="1">
        <v>2083</v>
      </c>
      <c r="L30" s="1">
        <v>2083</v>
      </c>
      <c r="M30" s="1">
        <v>2083</v>
      </c>
      <c r="N30" s="1">
        <v>2083</v>
      </c>
    </row>
    <row r="31" spans="2:20" x14ac:dyDescent="0.25">
      <c r="B31" s="4" t="s">
        <v>89</v>
      </c>
      <c r="C31" s="1">
        <v>333</v>
      </c>
      <c r="D31" s="1">
        <v>333</v>
      </c>
      <c r="E31" s="1">
        <v>333</v>
      </c>
      <c r="F31" s="1">
        <v>333</v>
      </c>
      <c r="G31" s="1">
        <v>333</v>
      </c>
      <c r="H31" s="1">
        <v>333</v>
      </c>
      <c r="I31" s="1">
        <v>333</v>
      </c>
      <c r="J31" s="1">
        <v>333</v>
      </c>
      <c r="K31" s="1">
        <v>333</v>
      </c>
      <c r="L31" s="1">
        <v>333</v>
      </c>
      <c r="M31" s="1">
        <v>333</v>
      </c>
      <c r="N31" s="1">
        <v>333</v>
      </c>
    </row>
    <row r="32" spans="2:20" x14ac:dyDescent="0.25">
      <c r="B32" s="1" t="s">
        <v>90</v>
      </c>
      <c r="C32" s="1">
        <v>1666</v>
      </c>
      <c r="D32" s="1">
        <v>1666</v>
      </c>
      <c r="E32" s="1">
        <v>1666</v>
      </c>
      <c r="F32" s="1">
        <v>1666</v>
      </c>
      <c r="G32" s="1">
        <v>1666</v>
      </c>
      <c r="H32" s="1">
        <v>1666</v>
      </c>
      <c r="I32" s="1">
        <v>1666</v>
      </c>
      <c r="J32" s="1">
        <v>1666</v>
      </c>
      <c r="K32" s="1">
        <v>1666</v>
      </c>
      <c r="L32" s="1">
        <v>1666</v>
      </c>
      <c r="M32" s="1">
        <v>1666</v>
      </c>
      <c r="N32" s="1">
        <v>1666</v>
      </c>
    </row>
    <row r="33" spans="2:20" x14ac:dyDescent="0.25">
      <c r="B33" s="1" t="s">
        <v>91</v>
      </c>
      <c r="C33" s="1">
        <v>2083</v>
      </c>
      <c r="D33" s="1">
        <v>2083</v>
      </c>
      <c r="E33" s="1">
        <v>2083</v>
      </c>
      <c r="F33" s="1">
        <v>2083</v>
      </c>
      <c r="G33" s="1">
        <v>2083</v>
      </c>
      <c r="H33" s="1">
        <v>2083</v>
      </c>
      <c r="I33" s="1">
        <v>2083</v>
      </c>
      <c r="J33" s="1">
        <v>2083</v>
      </c>
      <c r="K33" s="1">
        <v>2083</v>
      </c>
      <c r="L33" s="1">
        <v>2083</v>
      </c>
      <c r="M33" s="1">
        <v>2083</v>
      </c>
      <c r="N33" s="1">
        <v>2083</v>
      </c>
    </row>
    <row r="34" spans="2:20" x14ac:dyDescent="0.25">
      <c r="B34" s="1" t="s">
        <v>92</v>
      </c>
      <c r="C34" s="1">
        <v>20520</v>
      </c>
      <c r="D34" s="1">
        <v>20520</v>
      </c>
      <c r="E34" s="1">
        <v>20520</v>
      </c>
      <c r="F34" s="1">
        <v>20520</v>
      </c>
      <c r="G34" s="1">
        <v>20520</v>
      </c>
      <c r="H34" s="1">
        <v>20520</v>
      </c>
      <c r="I34" s="1">
        <v>20520</v>
      </c>
      <c r="J34" s="1">
        <v>20520</v>
      </c>
      <c r="K34" s="1">
        <v>20520</v>
      </c>
      <c r="L34" s="1">
        <v>20520</v>
      </c>
      <c r="M34" s="1">
        <v>20520</v>
      </c>
      <c r="N34" s="1">
        <v>20520</v>
      </c>
    </row>
    <row r="35" spans="2:20" x14ac:dyDescent="0.25">
      <c r="B35" s="1" t="s">
        <v>93</v>
      </c>
      <c r="C35" s="1">
        <v>833</v>
      </c>
      <c r="D35" s="1">
        <v>833</v>
      </c>
      <c r="E35" s="1">
        <v>833</v>
      </c>
      <c r="F35" s="1">
        <v>833</v>
      </c>
      <c r="G35" s="1">
        <v>833</v>
      </c>
      <c r="H35" s="1">
        <v>833</v>
      </c>
      <c r="I35" s="1">
        <v>833</v>
      </c>
      <c r="J35" s="1">
        <v>833</v>
      </c>
      <c r="K35" s="1">
        <v>833</v>
      </c>
      <c r="L35" s="1">
        <v>833</v>
      </c>
      <c r="M35" s="1">
        <v>833</v>
      </c>
      <c r="N35" s="1">
        <v>833</v>
      </c>
    </row>
    <row r="36" spans="2:20" x14ac:dyDescent="0.25">
      <c r="B36" s="1" t="s">
        <v>94</v>
      </c>
      <c r="C36" s="1">
        <v>2000</v>
      </c>
      <c r="D36" s="1">
        <v>2000</v>
      </c>
      <c r="E36" s="1">
        <v>2000</v>
      </c>
      <c r="F36" s="1">
        <v>2000</v>
      </c>
      <c r="G36" s="1">
        <v>2000</v>
      </c>
      <c r="H36" s="1">
        <v>2000</v>
      </c>
      <c r="I36" s="1">
        <v>2000</v>
      </c>
      <c r="J36" s="1">
        <v>2000</v>
      </c>
      <c r="K36" s="1">
        <v>2000</v>
      </c>
      <c r="L36" s="1">
        <v>2000</v>
      </c>
      <c r="M36" s="1">
        <v>2000</v>
      </c>
      <c r="N36" s="1">
        <v>2000</v>
      </c>
    </row>
    <row r="37" spans="2:20" x14ac:dyDescent="0.25">
      <c r="B37" s="1" t="s">
        <v>95</v>
      </c>
      <c r="C37" s="1">
        <v>83</v>
      </c>
      <c r="D37" s="1">
        <v>83</v>
      </c>
      <c r="E37" s="1">
        <v>83</v>
      </c>
      <c r="F37" s="1">
        <v>83</v>
      </c>
      <c r="G37" s="1">
        <v>83</v>
      </c>
      <c r="H37" s="1">
        <v>83</v>
      </c>
      <c r="I37" s="1">
        <v>83</v>
      </c>
      <c r="J37" s="1">
        <v>83</v>
      </c>
      <c r="K37" s="1">
        <v>83</v>
      </c>
      <c r="L37" s="1">
        <v>83</v>
      </c>
      <c r="M37" s="1">
        <v>83</v>
      </c>
      <c r="N37" s="1">
        <v>83</v>
      </c>
    </row>
    <row r="38" spans="2:20" x14ac:dyDescent="0.25">
      <c r="B38" s="1" t="s">
        <v>97</v>
      </c>
      <c r="L38" s="1">
        <v>3766</v>
      </c>
      <c r="M38" s="1">
        <v>3766</v>
      </c>
      <c r="N38" s="1">
        <v>3766</v>
      </c>
    </row>
    <row r="39" spans="2:20" x14ac:dyDescent="0.25">
      <c r="B39" s="1" t="s">
        <v>96</v>
      </c>
      <c r="C39" s="1">
        <v>416</v>
      </c>
      <c r="D39" s="1">
        <v>416</v>
      </c>
      <c r="E39" s="1">
        <v>416</v>
      </c>
      <c r="F39" s="1">
        <v>416</v>
      </c>
      <c r="G39" s="1">
        <v>416</v>
      </c>
      <c r="H39" s="1">
        <v>416</v>
      </c>
      <c r="I39" s="1">
        <v>416</v>
      </c>
      <c r="J39" s="1">
        <v>416</v>
      </c>
      <c r="K39" s="1">
        <v>416</v>
      </c>
      <c r="L39" s="1">
        <v>416</v>
      </c>
      <c r="M39" s="1">
        <v>416</v>
      </c>
      <c r="N39" s="1">
        <v>416</v>
      </c>
    </row>
    <row r="40" spans="2:20" x14ac:dyDescent="0.25">
      <c r="B40" s="1" t="s">
        <v>98</v>
      </c>
      <c r="C40" s="1">
        <v>416</v>
      </c>
      <c r="D40" s="1">
        <v>416</v>
      </c>
      <c r="E40" s="1">
        <v>416</v>
      </c>
      <c r="F40" s="1">
        <v>416</v>
      </c>
      <c r="G40" s="1">
        <v>416</v>
      </c>
      <c r="H40" s="1">
        <v>416</v>
      </c>
      <c r="I40" s="1">
        <v>416</v>
      </c>
      <c r="J40" s="1">
        <v>416</v>
      </c>
      <c r="K40" s="1">
        <v>416</v>
      </c>
      <c r="L40" s="1">
        <v>416</v>
      </c>
      <c r="M40" s="1">
        <v>416</v>
      </c>
      <c r="N40" s="1">
        <v>416</v>
      </c>
    </row>
    <row r="41" spans="2:20" x14ac:dyDescent="0.25">
      <c r="B41" s="1" t="s">
        <v>99</v>
      </c>
      <c r="C41" s="1">
        <v>341</v>
      </c>
      <c r="D41" s="1">
        <v>341</v>
      </c>
      <c r="E41" s="1">
        <v>341</v>
      </c>
      <c r="F41" s="1">
        <v>341</v>
      </c>
      <c r="G41" s="1">
        <v>341</v>
      </c>
      <c r="H41" s="1">
        <v>341</v>
      </c>
      <c r="I41" s="1">
        <v>341</v>
      </c>
      <c r="J41" s="1">
        <v>341</v>
      </c>
      <c r="K41" s="1">
        <v>341</v>
      </c>
      <c r="L41" s="1">
        <v>341</v>
      </c>
      <c r="M41" s="1">
        <v>341</v>
      </c>
      <c r="N41" s="1">
        <v>341</v>
      </c>
    </row>
    <row r="42" spans="2:20" x14ac:dyDescent="0.25">
      <c r="B42" s="25" t="s">
        <v>107</v>
      </c>
      <c r="C42" s="1">
        <v>416</v>
      </c>
      <c r="D42" s="1">
        <v>416</v>
      </c>
      <c r="E42" s="1">
        <v>416</v>
      </c>
      <c r="F42" s="1">
        <v>416</v>
      </c>
      <c r="G42" s="1">
        <v>416</v>
      </c>
      <c r="H42" s="1">
        <v>416</v>
      </c>
      <c r="I42" s="1">
        <v>416</v>
      </c>
      <c r="J42" s="1">
        <v>416</v>
      </c>
      <c r="K42" s="1">
        <v>416</v>
      </c>
      <c r="L42" s="1">
        <v>416</v>
      </c>
      <c r="M42" s="1">
        <v>416</v>
      </c>
      <c r="N42" s="1">
        <v>416</v>
      </c>
    </row>
    <row r="43" spans="2:20" x14ac:dyDescent="0.25">
      <c r="B43" s="20"/>
    </row>
    <row r="44" spans="2:20" x14ac:dyDescent="0.25">
      <c r="B44" s="1" t="s">
        <v>56</v>
      </c>
      <c r="C44" s="1">
        <f t="shared" ref="C44:N44" si="0">4450/12</f>
        <v>370.83333333333331</v>
      </c>
      <c r="D44" s="1">
        <f t="shared" si="0"/>
        <v>370.83333333333331</v>
      </c>
      <c r="E44" s="1">
        <f t="shared" si="0"/>
        <v>370.83333333333331</v>
      </c>
      <c r="F44" s="1">
        <f t="shared" si="0"/>
        <v>370.83333333333331</v>
      </c>
      <c r="G44" s="1">
        <f t="shared" si="0"/>
        <v>370.83333333333331</v>
      </c>
      <c r="H44" s="1">
        <f t="shared" si="0"/>
        <v>370.83333333333331</v>
      </c>
      <c r="I44" s="1">
        <f t="shared" si="0"/>
        <v>370.83333333333331</v>
      </c>
      <c r="J44" s="1">
        <f t="shared" si="0"/>
        <v>370.83333333333331</v>
      </c>
      <c r="K44" s="1">
        <f t="shared" si="0"/>
        <v>370.83333333333331</v>
      </c>
      <c r="L44" s="1">
        <f t="shared" si="0"/>
        <v>370.83333333333331</v>
      </c>
      <c r="M44" s="1">
        <f t="shared" si="0"/>
        <v>370.83333333333331</v>
      </c>
      <c r="N44" s="1">
        <f t="shared" si="0"/>
        <v>370.83333333333331</v>
      </c>
      <c r="P44" s="7">
        <f>SUM(C44:N44)</f>
        <v>4450.0000000000009</v>
      </c>
      <c r="R44" s="1">
        <v>4450</v>
      </c>
      <c r="T44" s="1" t="s">
        <v>58</v>
      </c>
    </row>
    <row r="45" spans="2:20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8">
        <f>SUM(C45:N45)</f>
        <v>0</v>
      </c>
      <c r="Q45" s="4"/>
      <c r="R45" s="3">
        <f>450*7</f>
        <v>3150</v>
      </c>
    </row>
    <row r="46" spans="2:20" ht="15.75" thickBot="1" x14ac:dyDescent="0.3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4"/>
      <c r="Q46" s="4"/>
      <c r="R46" s="4"/>
    </row>
    <row r="47" spans="2:20" ht="15.75" thickBot="1" x14ac:dyDescent="0.3">
      <c r="B47" s="20" t="s">
        <v>31</v>
      </c>
      <c r="C47" s="1">
        <f t="shared" ref="C47:N47" si="1">SUM(C14:C45)</f>
        <v>34858.833333333336</v>
      </c>
      <c r="D47" s="1">
        <f t="shared" si="1"/>
        <v>34858.833333333336</v>
      </c>
      <c r="E47" s="1">
        <f t="shared" si="1"/>
        <v>34858.833333333336</v>
      </c>
      <c r="F47" s="1">
        <f t="shared" si="1"/>
        <v>34858.833333333336</v>
      </c>
      <c r="G47" s="1">
        <f t="shared" si="1"/>
        <v>36676.833333333336</v>
      </c>
      <c r="H47" s="1">
        <f t="shared" si="1"/>
        <v>34858.833333333336</v>
      </c>
      <c r="I47" s="1">
        <f t="shared" si="1"/>
        <v>126358.83333333333</v>
      </c>
      <c r="J47" s="1">
        <f t="shared" si="1"/>
        <v>34858.833333333336</v>
      </c>
      <c r="K47" s="1">
        <f t="shared" si="1"/>
        <v>34858.833333333336</v>
      </c>
      <c r="L47" s="1">
        <f t="shared" si="1"/>
        <v>38624.833333333336</v>
      </c>
      <c r="M47" s="1">
        <f t="shared" si="1"/>
        <v>38624.833333333336</v>
      </c>
      <c r="N47" s="1">
        <f t="shared" si="1"/>
        <v>38624.833333333336</v>
      </c>
      <c r="P47" s="9">
        <f>SUM(C47:N47)</f>
        <v>522921.99999999994</v>
      </c>
      <c r="R47" s="1">
        <f>562705.64</f>
        <v>562705.64</v>
      </c>
    </row>
    <row r="50" spans="2:20" x14ac:dyDescent="0.25">
      <c r="B50" s="26" t="s">
        <v>16</v>
      </c>
    </row>
    <row r="51" spans="2:20" x14ac:dyDescent="0.25">
      <c r="B51" s="27"/>
    </row>
    <row r="52" spans="2:20" x14ac:dyDescent="0.25">
      <c r="B52" s="28" t="s">
        <v>19</v>
      </c>
    </row>
    <row r="53" spans="2:20" x14ac:dyDescent="0.25">
      <c r="B53" s="1" t="s">
        <v>101</v>
      </c>
      <c r="C53" s="1">
        <v>5583</v>
      </c>
      <c r="D53" s="1">
        <v>5583</v>
      </c>
      <c r="E53" s="1">
        <v>5583</v>
      </c>
      <c r="F53" s="1">
        <v>5583</v>
      </c>
      <c r="G53" s="1">
        <v>5583</v>
      </c>
      <c r="H53" s="1">
        <v>5583</v>
      </c>
      <c r="I53" s="1">
        <v>5583</v>
      </c>
      <c r="J53" s="1">
        <v>5583</v>
      </c>
      <c r="K53" s="1">
        <v>5583</v>
      </c>
      <c r="L53" s="1">
        <v>5583</v>
      </c>
      <c r="M53" s="1">
        <v>5583</v>
      </c>
      <c r="N53" s="1">
        <v>5583</v>
      </c>
      <c r="P53" s="1">
        <f>SUM(C53:N53)</f>
        <v>66996</v>
      </c>
      <c r="R53" s="1">
        <f>14760.17</f>
        <v>14760.17</v>
      </c>
      <c r="T53" s="1" t="s">
        <v>79</v>
      </c>
    </row>
    <row r="54" spans="2:20" x14ac:dyDescent="0.25">
      <c r="B54" s="1" t="s">
        <v>102</v>
      </c>
      <c r="C54" s="1">
        <v>2400</v>
      </c>
      <c r="D54" s="1">
        <v>2400</v>
      </c>
      <c r="E54" s="1">
        <v>2400</v>
      </c>
      <c r="F54" s="1">
        <v>2400</v>
      </c>
      <c r="G54" s="1">
        <v>2400</v>
      </c>
      <c r="H54" s="1">
        <v>2400</v>
      </c>
      <c r="I54" s="1">
        <v>2400</v>
      </c>
      <c r="J54" s="1">
        <v>2400</v>
      </c>
      <c r="K54" s="1">
        <v>2400</v>
      </c>
      <c r="L54" s="1">
        <v>2400</v>
      </c>
      <c r="M54" s="1">
        <v>2880</v>
      </c>
      <c r="N54" s="1">
        <v>2880</v>
      </c>
      <c r="P54" s="1">
        <f>SUM(C54:N54)</f>
        <v>29760</v>
      </c>
      <c r="R54" s="1">
        <f>0</f>
        <v>0</v>
      </c>
    </row>
    <row r="55" spans="2:20" x14ac:dyDescent="0.25">
      <c r="B55" s="1" t="s">
        <v>103</v>
      </c>
      <c r="F55" s="1">
        <v>82.5</v>
      </c>
      <c r="G55" s="1">
        <v>135</v>
      </c>
      <c r="H55" s="1">
        <v>172.5</v>
      </c>
      <c r="I55" s="1">
        <v>997.5</v>
      </c>
      <c r="J55" s="1">
        <v>232.5</v>
      </c>
      <c r="K55" s="1">
        <v>165</v>
      </c>
      <c r="L55" s="1">
        <v>725</v>
      </c>
      <c r="M55" s="1">
        <v>180</v>
      </c>
      <c r="N55" s="1">
        <v>180</v>
      </c>
    </row>
    <row r="56" spans="2:20" x14ac:dyDescent="0.25">
      <c r="B56" s="1" t="s">
        <v>106</v>
      </c>
      <c r="L56" s="1">
        <v>1440</v>
      </c>
      <c r="M56" s="1">
        <v>2880</v>
      </c>
      <c r="N56" s="1">
        <v>2880</v>
      </c>
    </row>
    <row r="57" spans="2:20" x14ac:dyDescent="0.25">
      <c r="B57" s="1" t="s">
        <v>104</v>
      </c>
      <c r="I57" s="1">
        <v>200</v>
      </c>
      <c r="J57" s="1">
        <v>200</v>
      </c>
      <c r="K57" s="1">
        <v>200</v>
      </c>
      <c r="L57" s="1">
        <v>200</v>
      </c>
      <c r="M57" s="1">
        <v>200</v>
      </c>
      <c r="N57" s="1">
        <v>200</v>
      </c>
    </row>
    <row r="58" spans="2:20" x14ac:dyDescent="0.25">
      <c r="B58" s="1" t="s">
        <v>105</v>
      </c>
      <c r="C58" s="1">
        <v>500</v>
      </c>
      <c r="D58" s="1">
        <v>500</v>
      </c>
      <c r="E58" s="1">
        <v>500</v>
      </c>
      <c r="F58" s="1">
        <v>500</v>
      </c>
      <c r="G58" s="1">
        <v>500</v>
      </c>
      <c r="H58" s="1">
        <v>500</v>
      </c>
      <c r="I58" s="1">
        <v>500</v>
      </c>
      <c r="J58" s="1">
        <v>500</v>
      </c>
      <c r="K58" s="1">
        <v>500</v>
      </c>
      <c r="L58" s="1">
        <v>500</v>
      </c>
      <c r="M58" s="1">
        <v>500</v>
      </c>
      <c r="N58" s="1">
        <v>500</v>
      </c>
    </row>
    <row r="60" spans="2:20" x14ac:dyDescent="0.25">
      <c r="B60" s="1" t="s">
        <v>78</v>
      </c>
      <c r="C60" s="1">
        <f>50</f>
        <v>50</v>
      </c>
      <c r="D60" s="1">
        <f>50</f>
        <v>50</v>
      </c>
      <c r="E60" s="1">
        <f>50</f>
        <v>50</v>
      </c>
      <c r="F60" s="1">
        <f>50</f>
        <v>50</v>
      </c>
      <c r="G60" s="1">
        <f>50</f>
        <v>50</v>
      </c>
      <c r="H60" s="1">
        <f>50</f>
        <v>50</v>
      </c>
      <c r="I60" s="1">
        <f>50</f>
        <v>50</v>
      </c>
      <c r="J60" s="1">
        <f>50</f>
        <v>50</v>
      </c>
      <c r="K60" s="1">
        <f>50</f>
        <v>50</v>
      </c>
      <c r="L60" s="1">
        <f>50</f>
        <v>50</v>
      </c>
      <c r="M60" s="1">
        <f>50</f>
        <v>50</v>
      </c>
      <c r="N60" s="1">
        <f>50</f>
        <v>50</v>
      </c>
      <c r="P60" s="1">
        <f>SUM(C60:N60)</f>
        <v>600</v>
      </c>
    </row>
    <row r="61" spans="2:20" x14ac:dyDescent="0.25">
      <c r="B61" s="1" t="s">
        <v>44</v>
      </c>
      <c r="C61" s="1">
        <f t="shared" ref="C61:N61" si="2">326/12</f>
        <v>27.166666666666668</v>
      </c>
      <c r="D61" s="1">
        <f t="shared" si="2"/>
        <v>27.166666666666668</v>
      </c>
      <c r="E61" s="1">
        <f t="shared" si="2"/>
        <v>27.166666666666668</v>
      </c>
      <c r="F61" s="1">
        <f t="shared" si="2"/>
        <v>27.166666666666668</v>
      </c>
      <c r="G61" s="1">
        <f t="shared" si="2"/>
        <v>27.166666666666668</v>
      </c>
      <c r="H61" s="1">
        <f t="shared" si="2"/>
        <v>27.166666666666668</v>
      </c>
      <c r="I61" s="1">
        <f t="shared" si="2"/>
        <v>27.166666666666668</v>
      </c>
      <c r="J61" s="1">
        <f t="shared" si="2"/>
        <v>27.166666666666668</v>
      </c>
      <c r="K61" s="1">
        <f t="shared" si="2"/>
        <v>27.166666666666668</v>
      </c>
      <c r="L61" s="1">
        <f t="shared" si="2"/>
        <v>27.166666666666668</v>
      </c>
      <c r="M61" s="1">
        <f t="shared" si="2"/>
        <v>27.166666666666668</v>
      </c>
      <c r="N61" s="1">
        <f t="shared" si="2"/>
        <v>27.166666666666668</v>
      </c>
      <c r="P61" s="1">
        <f>SUM(C61:N61)</f>
        <v>326</v>
      </c>
      <c r="R61" s="29">
        <v>244.5</v>
      </c>
    </row>
    <row r="62" spans="2:20" x14ac:dyDescent="0.25">
      <c r="B62" s="1" t="s">
        <v>45</v>
      </c>
      <c r="R62" s="1">
        <f>1000</f>
        <v>1000</v>
      </c>
      <c r="T62" s="1" t="s">
        <v>47</v>
      </c>
    </row>
    <row r="63" spans="2:20" x14ac:dyDescent="0.25">
      <c r="B63" s="1" t="s">
        <v>46</v>
      </c>
      <c r="D63" s="1">
        <f>200+50</f>
        <v>250</v>
      </c>
      <c r="P63" s="1">
        <f t="shared" ref="P63:P77" si="3">SUM(C63:N63)</f>
        <v>250</v>
      </c>
      <c r="R63" s="1">
        <f>173</f>
        <v>173</v>
      </c>
      <c r="T63" s="1" t="s">
        <v>64</v>
      </c>
    </row>
    <row r="64" spans="2:20" x14ac:dyDescent="0.25">
      <c r="B64" s="1" t="s">
        <v>48</v>
      </c>
      <c r="C64" s="1">
        <v>200</v>
      </c>
      <c r="J64" s="1">
        <v>45</v>
      </c>
      <c r="P64" s="1">
        <f t="shared" si="3"/>
        <v>245</v>
      </c>
      <c r="R64" s="1">
        <v>45</v>
      </c>
      <c r="T64" s="1" t="s">
        <v>76</v>
      </c>
    </row>
    <row r="65" spans="2:20" x14ac:dyDescent="0.25">
      <c r="B65" s="1" t="s">
        <v>49</v>
      </c>
      <c r="P65" s="1">
        <f t="shared" si="3"/>
        <v>0</v>
      </c>
      <c r="R65" s="1">
        <f>264</f>
        <v>264</v>
      </c>
      <c r="T65" s="1" t="s">
        <v>65</v>
      </c>
    </row>
    <row r="66" spans="2:20" x14ac:dyDescent="0.25">
      <c r="B66" s="1" t="s">
        <v>72</v>
      </c>
      <c r="I66" s="1">
        <f>750</f>
        <v>750</v>
      </c>
      <c r="P66" s="1">
        <f t="shared" si="3"/>
        <v>750</v>
      </c>
    </row>
    <row r="67" spans="2:20" x14ac:dyDescent="0.25">
      <c r="B67" s="1" t="s">
        <v>50</v>
      </c>
      <c r="C67" s="1">
        <f>20.46</f>
        <v>20.46</v>
      </c>
      <c r="H67" s="1">
        <f>140</f>
        <v>140</v>
      </c>
      <c r="P67" s="1">
        <f t="shared" si="3"/>
        <v>160.46</v>
      </c>
      <c r="R67" s="1">
        <f>160.46</f>
        <v>160.46</v>
      </c>
      <c r="T67" s="1" t="s">
        <v>66</v>
      </c>
    </row>
    <row r="68" spans="2:20" x14ac:dyDescent="0.25">
      <c r="B68" s="1" t="s">
        <v>51</v>
      </c>
      <c r="C68" s="1">
        <f t="shared" ref="C68:N68" si="4">57/12</f>
        <v>4.75</v>
      </c>
      <c r="D68" s="1">
        <f t="shared" si="4"/>
        <v>4.75</v>
      </c>
      <c r="E68" s="1">
        <f t="shared" si="4"/>
        <v>4.75</v>
      </c>
      <c r="F68" s="1">
        <f t="shared" si="4"/>
        <v>4.75</v>
      </c>
      <c r="G68" s="1">
        <f t="shared" si="4"/>
        <v>4.75</v>
      </c>
      <c r="H68" s="1">
        <f t="shared" si="4"/>
        <v>4.75</v>
      </c>
      <c r="I68" s="1">
        <f t="shared" si="4"/>
        <v>4.75</v>
      </c>
      <c r="J68" s="1">
        <f t="shared" si="4"/>
        <v>4.75</v>
      </c>
      <c r="K68" s="1">
        <f t="shared" si="4"/>
        <v>4.75</v>
      </c>
      <c r="L68" s="1">
        <f t="shared" si="4"/>
        <v>4.75</v>
      </c>
      <c r="M68" s="1">
        <f t="shared" si="4"/>
        <v>4.75</v>
      </c>
      <c r="N68" s="1">
        <f t="shared" si="4"/>
        <v>4.75</v>
      </c>
      <c r="P68" s="1">
        <f t="shared" si="3"/>
        <v>57</v>
      </c>
      <c r="R68" s="1">
        <f>42.64</f>
        <v>42.64</v>
      </c>
      <c r="T68" s="1" t="s">
        <v>67</v>
      </c>
    </row>
    <row r="69" spans="2:20" x14ac:dyDescent="0.25">
      <c r="B69" s="1" t="s">
        <v>52</v>
      </c>
      <c r="C69" s="1">
        <f t="shared" ref="C69:N69" si="5">1421/12</f>
        <v>118.41666666666667</v>
      </c>
      <c r="D69" s="1">
        <f t="shared" si="5"/>
        <v>118.41666666666667</v>
      </c>
      <c r="E69" s="1">
        <f t="shared" si="5"/>
        <v>118.41666666666667</v>
      </c>
      <c r="F69" s="1">
        <f t="shared" si="5"/>
        <v>118.41666666666667</v>
      </c>
      <c r="G69" s="1">
        <f t="shared" si="5"/>
        <v>118.41666666666667</v>
      </c>
      <c r="H69" s="1">
        <f t="shared" si="5"/>
        <v>118.41666666666667</v>
      </c>
      <c r="I69" s="1">
        <f t="shared" si="5"/>
        <v>118.41666666666667</v>
      </c>
      <c r="J69" s="1">
        <f t="shared" si="5"/>
        <v>118.41666666666667</v>
      </c>
      <c r="K69" s="1">
        <f t="shared" si="5"/>
        <v>118.41666666666667</v>
      </c>
      <c r="L69" s="1">
        <f t="shared" si="5"/>
        <v>118.41666666666667</v>
      </c>
      <c r="M69" s="1">
        <f t="shared" si="5"/>
        <v>118.41666666666667</v>
      </c>
      <c r="N69" s="1">
        <f t="shared" si="5"/>
        <v>118.41666666666667</v>
      </c>
      <c r="P69" s="1">
        <f t="shared" si="3"/>
        <v>1421.0000000000002</v>
      </c>
      <c r="R69" s="1">
        <f>1065.64</f>
        <v>1065.6400000000001</v>
      </c>
    </row>
    <row r="70" spans="2:20" x14ac:dyDescent="0.25">
      <c r="B70" s="1" t="s">
        <v>53</v>
      </c>
      <c r="C70" s="1">
        <f t="shared" ref="C70:N70" si="6">118/12</f>
        <v>9.8333333333333339</v>
      </c>
      <c r="D70" s="1">
        <f t="shared" si="6"/>
        <v>9.8333333333333339</v>
      </c>
      <c r="E70" s="1">
        <f t="shared" si="6"/>
        <v>9.8333333333333339</v>
      </c>
      <c r="F70" s="1">
        <f t="shared" si="6"/>
        <v>9.8333333333333339</v>
      </c>
      <c r="G70" s="1">
        <f t="shared" si="6"/>
        <v>9.8333333333333339</v>
      </c>
      <c r="H70" s="1">
        <f t="shared" si="6"/>
        <v>9.8333333333333339</v>
      </c>
      <c r="I70" s="1">
        <f t="shared" si="6"/>
        <v>9.8333333333333339</v>
      </c>
      <c r="J70" s="1">
        <f t="shared" si="6"/>
        <v>9.8333333333333339</v>
      </c>
      <c r="K70" s="1">
        <f t="shared" si="6"/>
        <v>9.8333333333333339</v>
      </c>
      <c r="L70" s="1">
        <f t="shared" si="6"/>
        <v>9.8333333333333339</v>
      </c>
      <c r="M70" s="1">
        <f t="shared" si="6"/>
        <v>9.8333333333333339</v>
      </c>
      <c r="N70" s="1">
        <f t="shared" si="6"/>
        <v>9.8333333333333339</v>
      </c>
      <c r="P70" s="1">
        <f t="shared" si="3"/>
        <v>117.99999999999999</v>
      </c>
      <c r="R70" s="1">
        <f>88.85</f>
        <v>88.85</v>
      </c>
    </row>
    <row r="71" spans="2:20" x14ac:dyDescent="0.25">
      <c r="B71" s="1" t="s">
        <v>54</v>
      </c>
      <c r="E71" s="1">
        <f>92</f>
        <v>92</v>
      </c>
      <c r="F71" s="1">
        <f>50</f>
        <v>50</v>
      </c>
      <c r="I71" s="1">
        <v>50</v>
      </c>
      <c r="K71" s="1">
        <f>50</f>
        <v>50</v>
      </c>
      <c r="M71" s="1">
        <v>50</v>
      </c>
      <c r="P71" s="1">
        <f t="shared" si="3"/>
        <v>292</v>
      </c>
      <c r="R71" s="1">
        <f>179.95</f>
        <v>179.95</v>
      </c>
      <c r="T71" s="1" t="s">
        <v>68</v>
      </c>
    </row>
    <row r="72" spans="2:20" x14ac:dyDescent="0.25">
      <c r="B72" s="1" t="s">
        <v>73</v>
      </c>
      <c r="D72" s="1">
        <f>1500</f>
        <v>1500</v>
      </c>
      <c r="P72" s="1">
        <f t="shared" si="3"/>
        <v>1500</v>
      </c>
      <c r="R72" s="1">
        <f>1500</f>
        <v>1500</v>
      </c>
      <c r="T72" s="1" t="s">
        <v>55</v>
      </c>
    </row>
    <row r="73" spans="2:20" x14ac:dyDescent="0.25">
      <c r="B73" s="5" t="s">
        <v>77</v>
      </c>
      <c r="C73" s="1">
        <v>500</v>
      </c>
      <c r="D73" s="1">
        <v>500</v>
      </c>
      <c r="E73" s="1">
        <v>500</v>
      </c>
      <c r="F73" s="1">
        <v>500</v>
      </c>
      <c r="G73" s="1">
        <v>500</v>
      </c>
      <c r="H73" s="1">
        <v>500</v>
      </c>
      <c r="I73" s="1">
        <v>500</v>
      </c>
      <c r="J73" s="1">
        <v>500</v>
      </c>
      <c r="K73" s="1">
        <v>500</v>
      </c>
      <c r="L73" s="1">
        <v>500</v>
      </c>
      <c r="M73" s="1">
        <v>500</v>
      </c>
      <c r="N73" s="1">
        <v>500</v>
      </c>
      <c r="P73" s="5">
        <f t="shared" si="3"/>
        <v>6000</v>
      </c>
      <c r="R73" s="1">
        <f>3600</f>
        <v>3600</v>
      </c>
      <c r="T73" s="1" t="s">
        <v>80</v>
      </c>
    </row>
    <row r="74" spans="2:20" x14ac:dyDescent="0.25">
      <c r="B74" s="24" t="s">
        <v>57</v>
      </c>
      <c r="C74" s="1">
        <f t="shared" ref="C74:N74" si="7">4450/12</f>
        <v>370.83333333333331</v>
      </c>
      <c r="D74" s="1">
        <f t="shared" si="7"/>
        <v>370.83333333333331</v>
      </c>
      <c r="E74" s="1">
        <f t="shared" si="7"/>
        <v>370.83333333333331</v>
      </c>
      <c r="F74" s="1">
        <f t="shared" si="7"/>
        <v>370.83333333333331</v>
      </c>
      <c r="G74" s="1">
        <f t="shared" si="7"/>
        <v>370.83333333333331</v>
      </c>
      <c r="H74" s="1">
        <f t="shared" si="7"/>
        <v>370.83333333333331</v>
      </c>
      <c r="I74" s="1">
        <f t="shared" si="7"/>
        <v>370.83333333333331</v>
      </c>
      <c r="J74" s="1">
        <f t="shared" si="7"/>
        <v>370.83333333333331</v>
      </c>
      <c r="K74" s="1">
        <f t="shared" si="7"/>
        <v>370.83333333333331</v>
      </c>
      <c r="L74" s="1">
        <f t="shared" si="7"/>
        <v>370.83333333333331</v>
      </c>
      <c r="M74" s="1">
        <f t="shared" si="7"/>
        <v>370.83333333333331</v>
      </c>
      <c r="N74" s="1">
        <f t="shared" si="7"/>
        <v>370.83333333333331</v>
      </c>
      <c r="P74" s="7">
        <f t="shared" si="3"/>
        <v>4450.0000000000009</v>
      </c>
      <c r="R74" s="1">
        <f>4450</f>
        <v>4450</v>
      </c>
      <c r="T74" s="1" t="s">
        <v>58</v>
      </c>
    </row>
    <row r="75" spans="2:20" x14ac:dyDescent="0.25">
      <c r="B75" s="1" t="s">
        <v>59</v>
      </c>
      <c r="E75" s="1">
        <f>220</f>
        <v>220</v>
      </c>
      <c r="P75" s="1">
        <f t="shared" si="3"/>
        <v>220</v>
      </c>
      <c r="R75" s="1">
        <f>217.87</f>
        <v>217.87</v>
      </c>
      <c r="T75" s="1" t="s">
        <v>69</v>
      </c>
    </row>
    <row r="76" spans="2:20" x14ac:dyDescent="0.25">
      <c r="B76" s="1" t="s">
        <v>60</v>
      </c>
      <c r="C76" s="1">
        <v>46</v>
      </c>
      <c r="D76" s="1">
        <v>46</v>
      </c>
      <c r="E76" s="1">
        <v>46</v>
      </c>
      <c r="F76" s="1">
        <v>46</v>
      </c>
      <c r="G76" s="1">
        <v>46</v>
      </c>
      <c r="H76" s="1">
        <v>46</v>
      </c>
      <c r="I76" s="1">
        <v>46</v>
      </c>
      <c r="J76" s="1">
        <v>46</v>
      </c>
      <c r="K76" s="1">
        <v>46</v>
      </c>
      <c r="L76" s="1">
        <v>46</v>
      </c>
      <c r="M76" s="1">
        <v>46</v>
      </c>
      <c r="N76" s="1">
        <v>46</v>
      </c>
      <c r="P76" s="1">
        <f t="shared" si="3"/>
        <v>552</v>
      </c>
      <c r="R76" s="1">
        <f>414</f>
        <v>414</v>
      </c>
      <c r="T76" s="1" t="s">
        <v>74</v>
      </c>
    </row>
    <row r="77" spans="2:20" x14ac:dyDescent="0.25">
      <c r="B77" s="1" t="s">
        <v>61</v>
      </c>
      <c r="P77" s="1">
        <f t="shared" si="3"/>
        <v>0</v>
      </c>
      <c r="R77" s="1">
        <f>48</f>
        <v>48</v>
      </c>
      <c r="T77" s="1" t="s">
        <v>70</v>
      </c>
    </row>
    <row r="78" spans="2:20" x14ac:dyDescent="0.25">
      <c r="B78" s="1" t="s">
        <v>92</v>
      </c>
      <c r="C78" s="1">
        <v>20520</v>
      </c>
      <c r="D78" s="1">
        <v>20520</v>
      </c>
      <c r="E78" s="1">
        <v>20520</v>
      </c>
      <c r="F78" s="1">
        <v>20520</v>
      </c>
      <c r="G78" s="1">
        <v>20520</v>
      </c>
      <c r="H78" s="1">
        <v>20520</v>
      </c>
      <c r="I78" s="1">
        <v>20520</v>
      </c>
      <c r="J78" s="1">
        <v>20520</v>
      </c>
      <c r="K78" s="1">
        <v>20520</v>
      </c>
      <c r="L78" s="1">
        <v>20520</v>
      </c>
      <c r="M78" s="1">
        <v>20520</v>
      </c>
      <c r="N78" s="1">
        <v>20520</v>
      </c>
    </row>
    <row r="81" spans="2:20" x14ac:dyDescent="0.25">
      <c r="B81" s="20" t="s">
        <v>26</v>
      </c>
      <c r="T81" s="1" t="s">
        <v>32</v>
      </c>
    </row>
    <row r="82" spans="2:20" x14ac:dyDescent="0.25">
      <c r="B82" s="3" t="s">
        <v>27</v>
      </c>
    </row>
    <row r="83" spans="2:20" x14ac:dyDescent="0.25">
      <c r="B83" s="24" t="s">
        <v>28</v>
      </c>
      <c r="I83" s="5"/>
      <c r="P83" s="7">
        <f>SUM(C83:N83)</f>
        <v>0</v>
      </c>
      <c r="R83" s="1">
        <f>12500</f>
        <v>12500</v>
      </c>
    </row>
    <row r="84" spans="2:20" x14ac:dyDescent="0.25">
      <c r="B84" s="1" t="s">
        <v>37</v>
      </c>
      <c r="I84" s="1">
        <f>4000</f>
        <v>4000</v>
      </c>
      <c r="P84" s="1">
        <f>SUM(C84:N84)</f>
        <v>4000</v>
      </c>
      <c r="R84" s="1">
        <f>4000</f>
        <v>4000</v>
      </c>
    </row>
    <row r="85" spans="2:20" x14ac:dyDescent="0.25">
      <c r="B85" s="1" t="s">
        <v>38</v>
      </c>
      <c r="P85" s="1">
        <f>0</f>
        <v>0</v>
      </c>
      <c r="R85" s="1">
        <f>0</f>
        <v>0</v>
      </c>
      <c r="T85" s="1" t="s">
        <v>39</v>
      </c>
    </row>
    <row r="86" spans="2:20" x14ac:dyDescent="0.25">
      <c r="B86" s="1" t="s">
        <v>41</v>
      </c>
      <c r="P86" s="1">
        <f>0</f>
        <v>0</v>
      </c>
      <c r="R86" s="1">
        <f>0</f>
        <v>0</v>
      </c>
      <c r="T86" s="1" t="s">
        <v>39</v>
      </c>
    </row>
    <row r="87" spans="2:20" x14ac:dyDescent="0.25">
      <c r="B87" s="1" t="s">
        <v>40</v>
      </c>
      <c r="I87" s="1">
        <f>225</f>
        <v>225</v>
      </c>
      <c r="P87" s="1">
        <f>SUM(C87:N87)</f>
        <v>225</v>
      </c>
      <c r="R87" s="1">
        <f>139.55</f>
        <v>139.55000000000001</v>
      </c>
      <c r="T87" s="1" t="s">
        <v>75</v>
      </c>
    </row>
    <row r="88" spans="2:20" x14ac:dyDescent="0.25">
      <c r="B88" s="1" t="s">
        <v>42</v>
      </c>
      <c r="I88" s="1">
        <f>175</f>
        <v>175</v>
      </c>
      <c r="P88" s="1">
        <f>SUM(C88:N88)</f>
        <v>175</v>
      </c>
      <c r="R88" s="1">
        <f>108.05</f>
        <v>108.05</v>
      </c>
    </row>
    <row r="89" spans="2:20" x14ac:dyDescent="0.25">
      <c r="B89" s="1" t="s">
        <v>43</v>
      </c>
      <c r="I89" s="1">
        <f>100</f>
        <v>100</v>
      </c>
      <c r="P89" s="1">
        <f>SUM(C89:N89)</f>
        <v>100</v>
      </c>
      <c r="R89" s="1">
        <f>56.76</f>
        <v>56.76</v>
      </c>
    </row>
    <row r="91" spans="2:20" x14ac:dyDescent="0.25">
      <c r="B91" s="1" t="s">
        <v>29</v>
      </c>
      <c r="P91" s="1">
        <f>SUM(C91:N91)</f>
        <v>0</v>
      </c>
      <c r="R91" s="1">
        <f>368.29</f>
        <v>368.29</v>
      </c>
    </row>
    <row r="93" spans="2:20" x14ac:dyDescent="0.25">
      <c r="B93" s="30" t="s">
        <v>20</v>
      </c>
    </row>
    <row r="94" spans="2:20" x14ac:dyDescent="0.25">
      <c r="B94" s="31" t="s">
        <v>21</v>
      </c>
    </row>
    <row r="95" spans="2:20" x14ac:dyDescent="0.25">
      <c r="B95" s="1" t="s">
        <v>22</v>
      </c>
      <c r="C95" s="1">
        <v>3797.12</v>
      </c>
      <c r="D95" s="1">
        <v>715.67</v>
      </c>
      <c r="E95" s="1">
        <v>1000</v>
      </c>
      <c r="F95" s="1">
        <f>-B4</f>
        <v>0</v>
      </c>
      <c r="G95" s="1">
        <v>1500</v>
      </c>
      <c r="H95" s="1">
        <v>2700</v>
      </c>
      <c r="I95" s="1">
        <v>4851.41</v>
      </c>
      <c r="J95" s="1">
        <v>2268</v>
      </c>
      <c r="K95" s="1">
        <v>2000</v>
      </c>
      <c r="L95" s="1">
        <v>3500</v>
      </c>
      <c r="M95" s="1">
        <v>499</v>
      </c>
      <c r="N95" s="1">
        <f>23000/12</f>
        <v>1916.6666666666667</v>
      </c>
      <c r="P95" s="1">
        <f>SUM(C95:N95)</f>
        <v>24747.866666666669</v>
      </c>
      <c r="R95" s="1">
        <v>11381.6</v>
      </c>
      <c r="T95" s="7" t="s">
        <v>63</v>
      </c>
    </row>
    <row r="96" spans="2:20" x14ac:dyDescent="0.25">
      <c r="B96" s="1" t="s">
        <v>23</v>
      </c>
      <c r="C96" s="1">
        <v>2131.23</v>
      </c>
      <c r="D96" s="1">
        <v>0</v>
      </c>
      <c r="E96" s="1">
        <v>0</v>
      </c>
      <c r="F96" s="1">
        <f>-F93</f>
        <v>0</v>
      </c>
      <c r="G96" s="1">
        <v>0</v>
      </c>
      <c r="H96" s="1">
        <v>1297.56</v>
      </c>
      <c r="I96" s="1">
        <v>376.47</v>
      </c>
      <c r="J96" s="1">
        <v>1122.98</v>
      </c>
      <c r="K96" s="1">
        <v>838.71</v>
      </c>
      <c r="L96" s="1">
        <v>894.92</v>
      </c>
      <c r="M96" s="1">
        <f>7400/12</f>
        <v>616.66666666666663</v>
      </c>
      <c r="N96" s="1">
        <f>7400/12</f>
        <v>616.66666666666663</v>
      </c>
      <c r="P96" s="1">
        <v>7400</v>
      </c>
      <c r="R96" s="1">
        <v>3084.75</v>
      </c>
    </row>
    <row r="98" spans="2:18" x14ac:dyDescent="0.25">
      <c r="B98" s="1" t="s">
        <v>109</v>
      </c>
      <c r="C98" s="1">
        <v>765</v>
      </c>
      <c r="D98" s="1">
        <v>765</v>
      </c>
      <c r="E98" s="1">
        <v>1445</v>
      </c>
      <c r="F98" s="1">
        <v>1105</v>
      </c>
      <c r="G98" s="1">
        <v>1360</v>
      </c>
      <c r="H98" s="1">
        <v>1360</v>
      </c>
      <c r="I98" s="1">
        <v>765</v>
      </c>
      <c r="J98" s="1">
        <v>765</v>
      </c>
      <c r="K98" s="1">
        <v>2083</v>
      </c>
      <c r="L98" s="1">
        <v>2083</v>
      </c>
      <c r="M98" s="1">
        <v>2083</v>
      </c>
      <c r="N98" s="1">
        <v>2083</v>
      </c>
      <c r="P98" s="1">
        <f>SUM(C98:O98)</f>
        <v>16662</v>
      </c>
      <c r="Q98" s="1">
        <v>2083</v>
      </c>
    </row>
    <row r="99" spans="2:18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P99" s="3"/>
      <c r="R99" s="3"/>
    </row>
    <row r="100" spans="2:18" ht="15.75" thickBot="1" x14ac:dyDescent="0.3"/>
    <row r="101" spans="2:18" ht="15.75" thickBot="1" x14ac:dyDescent="0.3">
      <c r="B101" s="20" t="s">
        <v>62</v>
      </c>
      <c r="C101" s="1">
        <f t="shared" ref="C101:N101" si="8">SUM(C53:C98)</f>
        <v>37043.810000000005</v>
      </c>
      <c r="D101" s="1">
        <f t="shared" si="8"/>
        <v>33360.67</v>
      </c>
      <c r="E101" s="1">
        <f t="shared" si="8"/>
        <v>32887</v>
      </c>
      <c r="F101" s="1">
        <f t="shared" si="8"/>
        <v>31367.5</v>
      </c>
      <c r="G101" s="1">
        <f t="shared" si="8"/>
        <v>33125</v>
      </c>
      <c r="H101" s="1">
        <f t="shared" si="8"/>
        <v>35800.06</v>
      </c>
      <c r="I101" s="1">
        <f t="shared" si="8"/>
        <v>42620.380000000005</v>
      </c>
      <c r="J101" s="1">
        <f t="shared" si="8"/>
        <v>34763.480000000003</v>
      </c>
      <c r="K101" s="1">
        <f t="shared" si="8"/>
        <v>35466.71</v>
      </c>
      <c r="L101" s="1">
        <f t="shared" si="8"/>
        <v>38972.92</v>
      </c>
      <c r="M101" s="1">
        <f t="shared" si="8"/>
        <v>37118.666666666664</v>
      </c>
      <c r="N101" s="1">
        <f t="shared" si="8"/>
        <v>38486.333333333328</v>
      </c>
      <c r="P101" s="9">
        <f>SUM(C101:N101)</f>
        <v>431012.53</v>
      </c>
      <c r="R101" s="1">
        <f>SUM(R53:R96)</f>
        <v>59893.08</v>
      </c>
    </row>
    <row r="102" spans="2:18" ht="15.75" thickBot="1" x14ac:dyDescent="0.3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2:18" ht="8.25" customHeight="1" thickBot="1" x14ac:dyDescent="0.3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6"/>
    </row>
    <row r="104" spans="2:18" ht="15.75" thickBot="1" x14ac:dyDescent="0.3">
      <c r="B104" s="20" t="s">
        <v>71</v>
      </c>
      <c r="C104" s="1">
        <f t="shared" ref="C104:N104" si="9">C47-C101</f>
        <v>-2184.9766666666692</v>
      </c>
      <c r="D104" s="1">
        <f t="shared" si="9"/>
        <v>1498.1633333333375</v>
      </c>
      <c r="E104" s="1">
        <f t="shared" si="9"/>
        <v>1971.8333333333358</v>
      </c>
      <c r="F104" s="1">
        <f t="shared" si="9"/>
        <v>3491.3333333333358</v>
      </c>
      <c r="G104" s="1">
        <f t="shared" si="9"/>
        <v>3551.8333333333358</v>
      </c>
      <c r="H104" s="1">
        <f t="shared" si="9"/>
        <v>-941.22666666666191</v>
      </c>
      <c r="I104" s="1">
        <f t="shared" si="9"/>
        <v>83738.453333333324</v>
      </c>
      <c r="J104" s="1">
        <f t="shared" si="9"/>
        <v>95.353333333332557</v>
      </c>
      <c r="K104" s="1">
        <f t="shared" si="9"/>
        <v>-607.87666666666337</v>
      </c>
      <c r="L104" s="1">
        <f t="shared" si="9"/>
        <v>-348.0866666666625</v>
      </c>
      <c r="M104" s="1">
        <f t="shared" si="9"/>
        <v>1506.1666666666715</v>
      </c>
      <c r="N104" s="1">
        <f t="shared" si="9"/>
        <v>138.50000000000728</v>
      </c>
      <c r="P104" s="10">
        <f>P47-P101</f>
        <v>91909.469999999914</v>
      </c>
    </row>
  </sheetData>
  <mergeCells count="1">
    <mergeCell ref="C8:P8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Draft v2</vt:lpstr>
      <vt:lpstr>2021 Actuals</vt:lpstr>
      <vt:lpstr>'2021 Actuals'!Print_Area</vt:lpstr>
      <vt:lpstr>'2021 Actuals'!Print_Titles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Quintina Sisney</cp:lastModifiedBy>
  <cp:lastPrinted>2020-11-11T17:48:51Z</cp:lastPrinted>
  <dcterms:created xsi:type="dcterms:W3CDTF">2020-10-11T22:53:40Z</dcterms:created>
  <dcterms:modified xsi:type="dcterms:W3CDTF">2021-11-11T14:35:37Z</dcterms:modified>
</cp:coreProperties>
</file>