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64537BAA-0D5E-4981-B854-ACAE86D5B796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2017 Budget" sheetId="1" r:id="rId1"/>
    <sheet name="2018 Budget" sheetId="2" r:id="rId2"/>
    <sheet name="2019 Budget" sheetId="3" r:id="rId3"/>
    <sheet name="2020 Budget" sheetId="4" r:id="rId4"/>
  </sheets>
  <definedNames>
    <definedName name="FY">'2017 Budget'!$G$1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4" l="1"/>
  <c r="L26" i="4"/>
  <c r="K45" i="4"/>
  <c r="K26" i="4"/>
  <c r="K17" i="4"/>
  <c r="K9" i="4"/>
  <c r="I45" i="4"/>
  <c r="D45" i="4"/>
  <c r="C45" i="4"/>
  <c r="H44" i="4"/>
  <c r="G44" i="4"/>
  <c r="E44" i="4"/>
  <c r="F44" i="4" s="1"/>
  <c r="J43" i="4"/>
  <c r="H43" i="4"/>
  <c r="F43" i="4"/>
  <c r="E43" i="4"/>
  <c r="G43" i="4" s="1"/>
  <c r="J42" i="4"/>
  <c r="H42" i="4"/>
  <c r="E42" i="4"/>
  <c r="G42" i="4" s="1"/>
  <c r="J41" i="4"/>
  <c r="H41" i="4"/>
  <c r="G41" i="4"/>
  <c r="F41" i="4"/>
  <c r="E41" i="4"/>
  <c r="J40" i="4"/>
  <c r="H40" i="4"/>
  <c r="G40" i="4"/>
  <c r="F40" i="4"/>
  <c r="H39" i="4"/>
  <c r="G39" i="4"/>
  <c r="F39" i="4"/>
  <c r="E39" i="4"/>
  <c r="J38" i="4"/>
  <c r="H38" i="4"/>
  <c r="E38" i="4"/>
  <c r="G38" i="4" s="1"/>
  <c r="J37" i="4"/>
  <c r="H37" i="4"/>
  <c r="G37" i="4"/>
  <c r="F37" i="4"/>
  <c r="J36" i="4"/>
  <c r="H36" i="4"/>
  <c r="F36" i="4"/>
  <c r="E36" i="4"/>
  <c r="G36" i="4" s="1"/>
  <c r="J35" i="4"/>
  <c r="G35" i="4"/>
  <c r="F35" i="4"/>
  <c r="J34" i="4"/>
  <c r="H34" i="4"/>
  <c r="F34" i="4"/>
  <c r="E34" i="4"/>
  <c r="G34" i="4" s="1"/>
  <c r="H33" i="4"/>
  <c r="E33" i="4"/>
  <c r="G33" i="4" s="1"/>
  <c r="G32" i="4"/>
  <c r="F32" i="4"/>
  <c r="J31" i="4"/>
  <c r="H31" i="4"/>
  <c r="H45" i="4" s="1"/>
  <c r="G31" i="4"/>
  <c r="E31" i="4"/>
  <c r="F31" i="4" s="1"/>
  <c r="J30" i="4"/>
  <c r="G30" i="4"/>
  <c r="E30" i="4"/>
  <c r="F30" i="4" s="1"/>
  <c r="J29" i="4"/>
  <c r="G29" i="4"/>
  <c r="E29" i="4"/>
  <c r="F29" i="4" s="1"/>
  <c r="J28" i="4"/>
  <c r="J45" i="4" s="1"/>
  <c r="G28" i="4"/>
  <c r="E28" i="4"/>
  <c r="E45" i="4" s="1"/>
  <c r="J26" i="4"/>
  <c r="I26" i="4"/>
  <c r="H26" i="4"/>
  <c r="G26" i="4"/>
  <c r="F26" i="4"/>
  <c r="E26" i="4"/>
  <c r="D26" i="4"/>
  <c r="C26" i="4"/>
  <c r="J17" i="4"/>
  <c r="I17" i="4"/>
  <c r="H17" i="4"/>
  <c r="D17" i="4"/>
  <c r="C17" i="4"/>
  <c r="G16" i="4"/>
  <c r="F16" i="4"/>
  <c r="G15" i="4"/>
  <c r="F15" i="4"/>
  <c r="J14" i="4"/>
  <c r="G14" i="4"/>
  <c r="F14" i="4"/>
  <c r="E13" i="4"/>
  <c r="F13" i="4" s="1"/>
  <c r="G12" i="4"/>
  <c r="F12" i="4"/>
  <c r="G11" i="4"/>
  <c r="F11" i="4"/>
  <c r="E11" i="4"/>
  <c r="J9" i="4"/>
  <c r="I9" i="4"/>
  <c r="H9" i="4"/>
  <c r="G9" i="4"/>
  <c r="F9" i="4"/>
  <c r="E9" i="4"/>
  <c r="D9" i="4"/>
  <c r="C9" i="4"/>
  <c r="I45" i="3"/>
  <c r="J42" i="3"/>
  <c r="H37" i="3"/>
  <c r="J14" i="3"/>
  <c r="J37" i="3"/>
  <c r="F37" i="3"/>
  <c r="G37" i="3"/>
  <c r="J38" i="3"/>
  <c r="J29" i="3"/>
  <c r="J28" i="3"/>
  <c r="J35" i="3"/>
  <c r="J45" i="3"/>
  <c r="J30" i="3"/>
  <c r="J41" i="3"/>
  <c r="J43" i="3"/>
  <c r="F35" i="3"/>
  <c r="G35" i="3"/>
  <c r="J34" i="3"/>
  <c r="J40" i="3"/>
  <c r="J36" i="3"/>
  <c r="J31" i="3"/>
  <c r="J26" i="3"/>
  <c r="I17" i="3"/>
  <c r="J17" i="3"/>
  <c r="J9" i="3"/>
  <c r="F17" i="4" l="1"/>
  <c r="G45" i="4"/>
  <c r="G13" i="4"/>
  <c r="G17" i="4" s="1"/>
  <c r="F28" i="4"/>
  <c r="F38" i="4"/>
  <c r="F42" i="4"/>
  <c r="E17" i="4"/>
  <c r="F33" i="4"/>
  <c r="I26" i="3"/>
  <c r="I9" i="3"/>
  <c r="D45" i="3"/>
  <c r="C45" i="3"/>
  <c r="H44" i="3"/>
  <c r="E44" i="3"/>
  <c r="G44" i="3" s="1"/>
  <c r="H43" i="3"/>
  <c r="E43" i="3"/>
  <c r="F43" i="3" s="1"/>
  <c r="H42" i="3"/>
  <c r="E42" i="3"/>
  <c r="G42" i="3" s="1"/>
  <c r="H41" i="3"/>
  <c r="E41" i="3"/>
  <c r="G41" i="3" s="1"/>
  <c r="H40" i="3"/>
  <c r="G40" i="3"/>
  <c r="F40" i="3"/>
  <c r="H39" i="3"/>
  <c r="E39" i="3"/>
  <c r="F39" i="3" s="1"/>
  <c r="H38" i="3"/>
  <c r="E38" i="3"/>
  <c r="G38" i="3" s="1"/>
  <c r="H36" i="3"/>
  <c r="E36" i="3"/>
  <c r="F36" i="3" s="1"/>
  <c r="H34" i="3"/>
  <c r="E34" i="3"/>
  <c r="G34" i="3" s="1"/>
  <c r="H33" i="3"/>
  <c r="E33" i="3"/>
  <c r="F33" i="3" s="1"/>
  <c r="G32" i="3"/>
  <c r="F32" i="3"/>
  <c r="H31" i="3"/>
  <c r="E31" i="3"/>
  <c r="F31" i="3" s="1"/>
  <c r="E30" i="3"/>
  <c r="G30" i="3" s="1"/>
  <c r="E29" i="3"/>
  <c r="G29" i="3" s="1"/>
  <c r="F28" i="3"/>
  <c r="E28" i="3"/>
  <c r="G28" i="3" s="1"/>
  <c r="H26" i="3"/>
  <c r="G26" i="3"/>
  <c r="F26" i="3"/>
  <c r="E26" i="3"/>
  <c r="D26" i="3"/>
  <c r="C26" i="3"/>
  <c r="H17" i="3"/>
  <c r="D17" i="3"/>
  <c r="C17" i="3"/>
  <c r="G16" i="3"/>
  <c r="F16" i="3"/>
  <c r="G15" i="3"/>
  <c r="F15" i="3"/>
  <c r="G14" i="3"/>
  <c r="F14" i="3"/>
  <c r="E13" i="3"/>
  <c r="G13" i="3" s="1"/>
  <c r="G12" i="3"/>
  <c r="F12" i="3"/>
  <c r="E11" i="3"/>
  <c r="G11" i="3" s="1"/>
  <c r="H9" i="3"/>
  <c r="G9" i="3"/>
  <c r="F9" i="3"/>
  <c r="E9" i="3"/>
  <c r="D9" i="3"/>
  <c r="C9" i="3"/>
  <c r="F45" i="4" l="1"/>
  <c r="F41" i="3"/>
  <c r="G31" i="3"/>
  <c r="G39" i="3"/>
  <c r="F42" i="3"/>
  <c r="F34" i="3"/>
  <c r="H45" i="3"/>
  <c r="G43" i="3"/>
  <c r="G36" i="3"/>
  <c r="F29" i="3"/>
  <c r="F38" i="3"/>
  <c r="F44" i="3"/>
  <c r="F11" i="3"/>
  <c r="F30" i="3"/>
  <c r="G33" i="3"/>
  <c r="G17" i="3"/>
  <c r="F13" i="3"/>
  <c r="F17" i="3" s="1"/>
  <c r="E17" i="3"/>
  <c r="E45" i="3"/>
  <c r="H34" i="2"/>
  <c r="H42" i="2"/>
  <c r="H38" i="2"/>
  <c r="H41" i="2"/>
  <c r="H40" i="2"/>
  <c r="H36" i="2"/>
  <c r="H39" i="2"/>
  <c r="H37" i="2"/>
  <c r="H43" i="2" s="1"/>
  <c r="H35" i="2"/>
  <c r="H33" i="2"/>
  <c r="H31" i="2"/>
  <c r="H26" i="2"/>
  <c r="H17" i="2"/>
  <c r="H9" i="2"/>
  <c r="G9" i="2"/>
  <c r="D43" i="2"/>
  <c r="C43" i="2"/>
  <c r="E42" i="2"/>
  <c r="G42" i="2" s="1"/>
  <c r="E41" i="2"/>
  <c r="G41" i="2" s="1"/>
  <c r="E40" i="2"/>
  <c r="G40" i="2" s="1"/>
  <c r="G39" i="2"/>
  <c r="F39" i="2"/>
  <c r="E39" i="2"/>
  <c r="G38" i="2"/>
  <c r="F38" i="2"/>
  <c r="E37" i="2"/>
  <c r="G37" i="2" s="1"/>
  <c r="G36" i="2"/>
  <c r="F36" i="2"/>
  <c r="E36" i="2"/>
  <c r="E35" i="2"/>
  <c r="G35" i="2" s="1"/>
  <c r="E34" i="2"/>
  <c r="F34" i="2" s="1"/>
  <c r="E33" i="2"/>
  <c r="F33" i="2" s="1"/>
  <c r="G32" i="2"/>
  <c r="F32" i="2"/>
  <c r="G31" i="2"/>
  <c r="E31" i="2"/>
  <c r="F31" i="2" s="1"/>
  <c r="E30" i="2"/>
  <c r="F30" i="2" s="1"/>
  <c r="E29" i="2"/>
  <c r="G29" i="2" s="1"/>
  <c r="E28" i="2"/>
  <c r="E43" i="2" s="1"/>
  <c r="G26" i="2"/>
  <c r="F26" i="2"/>
  <c r="E26" i="2"/>
  <c r="D26" i="2"/>
  <c r="C26" i="2"/>
  <c r="D17" i="2"/>
  <c r="C17" i="2"/>
  <c r="G16" i="2"/>
  <c r="F16" i="2"/>
  <c r="G15" i="2"/>
  <c r="F15" i="2"/>
  <c r="G14" i="2"/>
  <c r="F14" i="2"/>
  <c r="E13" i="2"/>
  <c r="G13" i="2" s="1"/>
  <c r="G12" i="2"/>
  <c r="F12" i="2"/>
  <c r="E11" i="2"/>
  <c r="G11" i="2" s="1"/>
  <c r="G17" i="2" s="1"/>
  <c r="F9" i="2"/>
  <c r="E9" i="2"/>
  <c r="D9" i="2"/>
  <c r="C9" i="2"/>
  <c r="E13" i="1"/>
  <c r="E28" i="1"/>
  <c r="F45" i="3" l="1"/>
  <c r="G45" i="3"/>
  <c r="F13" i="2"/>
  <c r="G33" i="2"/>
  <c r="F37" i="2"/>
  <c r="F40" i="2"/>
  <c r="G30" i="2"/>
  <c r="G34" i="2"/>
  <c r="E17" i="2"/>
  <c r="F11" i="2"/>
  <c r="F17" i="2" s="1"/>
  <c r="F28" i="2"/>
  <c r="F42" i="2"/>
  <c r="G28" i="2"/>
  <c r="G43" i="2" s="1"/>
  <c r="F29" i="2"/>
  <c r="F35" i="2"/>
  <c r="F41" i="2"/>
  <c r="E11" i="1"/>
  <c r="E41" i="1"/>
  <c r="E29" i="1"/>
  <c r="E31" i="1"/>
  <c r="G31" i="1" s="1"/>
  <c r="F31" i="1"/>
  <c r="E37" i="1"/>
  <c r="E40" i="1"/>
  <c r="E30" i="1"/>
  <c r="E42" i="1"/>
  <c r="E39" i="1"/>
  <c r="E36" i="1"/>
  <c r="E34" i="1"/>
  <c r="E33" i="1"/>
  <c r="E35" i="1"/>
  <c r="F14" i="1"/>
  <c r="G14" i="1"/>
  <c r="F43" i="2" l="1"/>
  <c r="F33" i="1"/>
  <c r="G33" i="1"/>
  <c r="G28" i="1" l="1"/>
  <c r="G29" i="1"/>
  <c r="G30" i="1"/>
  <c r="G32" i="1"/>
  <c r="G34" i="1"/>
  <c r="G35" i="1"/>
  <c r="G36" i="1"/>
  <c r="G37" i="1"/>
  <c r="G38" i="1"/>
  <c r="G39" i="1"/>
  <c r="G40" i="1"/>
  <c r="G41" i="1"/>
  <c r="G42" i="1"/>
  <c r="G11" i="1"/>
  <c r="G12" i="1"/>
  <c r="G13" i="1"/>
  <c r="G15" i="1"/>
  <c r="G16" i="1"/>
  <c r="F34" i="1"/>
  <c r="G17" i="1" l="1"/>
  <c r="G43" i="1"/>
  <c r="G26" i="1" l="1"/>
  <c r="G9" i="1"/>
  <c r="F28" i="1"/>
  <c r="F29" i="1"/>
  <c r="F30" i="1"/>
  <c r="F32" i="1"/>
  <c r="F35" i="1"/>
  <c r="F36" i="1"/>
  <c r="F37" i="1"/>
  <c r="F38" i="1"/>
  <c r="F39" i="1"/>
  <c r="F40" i="1"/>
  <c r="F41" i="1"/>
  <c r="F42" i="1"/>
  <c r="D43" i="1"/>
  <c r="E43" i="1"/>
  <c r="C43" i="1"/>
  <c r="F26" i="1"/>
  <c r="E26" i="1"/>
  <c r="D26" i="1"/>
  <c r="C26" i="1"/>
  <c r="F11" i="1"/>
  <c r="F12" i="1"/>
  <c r="F13" i="1"/>
  <c r="F15" i="1"/>
  <c r="F16" i="1"/>
  <c r="D17" i="1"/>
  <c r="E17" i="1"/>
  <c r="C17" i="1"/>
  <c r="F9" i="1"/>
  <c r="E9" i="1"/>
  <c r="F43" i="1" l="1"/>
  <c r="F17" i="1"/>
  <c r="D9" i="1" l="1"/>
  <c r="C9" i="1"/>
</calcChain>
</file>

<file path=xl/sharedStrings.xml><?xml version="1.0" encoding="utf-8"?>
<sst xmlns="http://schemas.openxmlformats.org/spreadsheetml/2006/main" count="170" uniqueCount="49">
  <si>
    <t>Foundation</t>
  </si>
  <si>
    <t>Fundraisers and events</t>
  </si>
  <si>
    <t>Interest income</t>
  </si>
  <si>
    <t>Miscellaneous</t>
  </si>
  <si>
    <t>Insurance</t>
  </si>
  <si>
    <t>Travel and meetings</t>
  </si>
  <si>
    <t>Telephone</t>
  </si>
  <si>
    <t>Benefits</t>
  </si>
  <si>
    <t>Utilities</t>
  </si>
  <si>
    <t>Marketing/advertising</t>
  </si>
  <si>
    <t>Postage</t>
  </si>
  <si>
    <t>Professional fees</t>
  </si>
  <si>
    <t>Web fees (website, meeting space, etc.)</t>
  </si>
  <si>
    <t>FISCAL YEAR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</si>
  <si>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</si>
  <si>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</si>
  <si>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</si>
  <si>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</si>
  <si>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</si>
  <si>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</si>
  <si>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</si>
  <si>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</si>
  <si>
    <t>B Love Foundation Budget</t>
  </si>
  <si>
    <t>Food/meals</t>
  </si>
  <si>
    <t>Program/Consultative Services</t>
  </si>
  <si>
    <t>Donations (through 5/31/17)</t>
  </si>
  <si>
    <t>Rent/exhibit space</t>
  </si>
  <si>
    <t xml:space="preserve">Equipment </t>
  </si>
  <si>
    <t>Manufacturing/raw material expense</t>
  </si>
  <si>
    <t>Supplies/material</t>
  </si>
  <si>
    <t xml:space="preserve">Salaries/Independent Contractor </t>
  </si>
  <si>
    <t>Donations (through fiscal year)</t>
  </si>
  <si>
    <t>Column1</t>
  </si>
  <si>
    <t xml:space="preserve"> </t>
  </si>
  <si>
    <t>2017 PROPOSED</t>
  </si>
  <si>
    <t>2017 ACTUAL</t>
  </si>
  <si>
    <t xml:space="preserve"> 2018 ACTUAL </t>
  </si>
  <si>
    <t>2019 PROPOSED</t>
  </si>
  <si>
    <t xml:space="preserve">2019 ACTUAL </t>
  </si>
  <si>
    <t xml:space="preserve">2018 ACTUAL </t>
  </si>
  <si>
    <t xml:space="preserve">2019 PROPOSED </t>
  </si>
  <si>
    <t>Business Vehicle Expenses</t>
  </si>
  <si>
    <t>Benefits/Donations</t>
  </si>
  <si>
    <t>Marketing/advertising/promotions</t>
  </si>
  <si>
    <t>Business Banking/Credit Account Expenses</t>
  </si>
  <si>
    <t>2020 PROPOSED</t>
  </si>
  <si>
    <t xml:space="preserve">2020 ACTUAL </t>
  </si>
  <si>
    <t xml:space="preserve">2020 PROPOSED </t>
  </si>
  <si>
    <t>2020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</si>
</sst>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</numFmts>
  <fonts count="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37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" applyNumberFormat="1" applyFont="1" applyAlignment="1">
      <alignment horizontal="righ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right" vertical="center" indent="1"/>
    </xf>
    <xf numFmtId="7" fontId="0" fillId="0" borderId="0" xfId="0" applyNumberFormat="1" applyFont="1" applyFill="1" applyBorder="1" applyAlignment="1">
      <alignment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/>
    <xf numFmtId="0" fontId="0" fillId="0" borderId="0" xfId="0" applyFill="1"/>
    <xf numFmtId="164" fontId="0" fillId="0" borderId="0" xfId="0" applyNumberFormat="1" applyFill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3" fillId="0" borderId="1" xfId="6" applyFill="1" applyBorder="1">
      <alignment horizontal="right"/>
    </xf>
    <xf numFmtId="0" fontId="3" fillId="0" borderId="1" xfId="6" applyFill="1" applyBorder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ill="1" applyAlignment="1">
      <alignment vertical="center"/>
    </xf>
  </cellXfs>
  <cellStyles count="7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Percent" xfId="1" builtinId="5"/>
    <cellStyle name="Title" xfId="2" builtinId="15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5"/>
      </font>
    </dxf>
    <dxf>
      <font>
        <color theme="5"/>
      </font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5"/>
      </font>
    </dxf>
    <dxf>
      <font>
        <color theme="5"/>
      </font>
    </dxf>
    <dxf>
      <font>
        <color theme="5"/>
      </font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 xr9:uid="{00000000-0011-0000-FFFF-FFFF00000000}">
      <tableStyleElement type="wholeTable" dxfId="160"/>
      <tableStyleElement type="headerRow" dxfId="159"/>
      <tableStyleElement type="totalRow" dxfId="158"/>
      <tableStyleElement type="firstColumn" dxfId="157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RevenueTable[[#Headers],[REVENUE]]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Budget'!$C$9:$C$10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Budget'!$C$17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FEF-8FA0-B44791532665}"/>
            </c:ext>
          </c:extLst>
        </c:ser>
        <c:ser>
          <c:idx val="1"/>
          <c:order val="1"/>
          <c:tx>
            <c:strRef>
              <c:f>'2017 Budget'!$D$9:$D$10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Budget'!$D$17</c:f>
              <c:numCache>
                <c:formatCode>"$"#,##0.00_);\("$"#,##0.00\)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FEF-8FA0-B44791532665}"/>
            </c:ext>
          </c:extLst>
        </c:ser>
        <c:ser>
          <c:idx val="2"/>
          <c:order val="2"/>
          <c:tx>
            <c:strRef>
              <c:f>'2017 Budget'!$E$9:$E$10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Budget'!$E$17</c:f>
              <c:numCache>
                <c:formatCode>"$"#,##0.00_);\("$"#,##0.00\)</c:formatCode>
                <c:ptCount val="1"/>
                <c:pt idx="0">
                  <c:v>41772.479999999996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2-4FEF-8FA0-B4479153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066880"/>
        <c:axId val="107068416"/>
      </c:barChart>
      <c:catAx>
        <c:axId val="10706688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068416"/>
        <c:crosses val="autoZero"/>
        <c:auto val="1"/>
        <c:lblAlgn val="ctr"/>
        <c:lblOffset val="100"/>
        <c:noMultiLvlLbl val="0"/>
      </c:catAx>
      <c:valAx>
        <c:axId val="1070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66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3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ExpenseTable[[#Headers],[EXPENSES]]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Budget'!$C$26:$C$27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Budget'!$C$43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9-4EAD-82FE-F629D82BDFAA}"/>
            </c:ext>
          </c:extLst>
        </c:ser>
        <c:ser>
          <c:idx val="1"/>
          <c:order val="1"/>
          <c:tx>
            <c:strRef>
              <c:f>'2017 Budget'!$D$26:$D$27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'2017 Budget'!$D$43</c:f>
              <c:numCache>
                <c:formatCode>"$"#,##0.00_);\("$"#,##0.00\)</c:formatCode>
                <c:ptCount val="1"/>
                <c:pt idx="0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49-4EAD-82FE-F629D82BDFAA}"/>
            </c:ext>
          </c:extLst>
        </c:ser>
        <c:ser>
          <c:idx val="2"/>
          <c:order val="2"/>
          <c:tx>
            <c:strRef>
              <c:f>'2017 Budget'!$E$26:$E$27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Budget'!$E$43</c:f>
              <c:numCache>
                <c:formatCode>"$"#,##0.00_);\("$"#,##0.00\)</c:formatCode>
                <c:ptCount val="1"/>
                <c:pt idx="0">
                  <c:v>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49-4EAD-82FE-F629D82BD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124608"/>
        <c:axId val="107126144"/>
      </c:barChart>
      <c:catAx>
        <c:axId val="1071246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126144"/>
        <c:crosses val="autoZero"/>
        <c:auto val="1"/>
        <c:lblAlgn val="ctr"/>
        <c:lblOffset val="100"/>
        <c:noMultiLvlLbl val="0"/>
      </c:catAx>
      <c:valAx>
        <c:axId val="10712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4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3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Budget'!$C$9:$C$10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Budget'!$C$17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5-477F-BE62-94B891FAF1A7}"/>
            </c:ext>
          </c:extLst>
        </c:ser>
        <c:ser>
          <c:idx val="1"/>
          <c:order val="1"/>
          <c:tx>
            <c:strRef>
              <c:f>'2017 Budget'!$D$9:$D$10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Budget'!$D$17</c:f>
              <c:numCache>
                <c:formatCode>"$"#,##0.00_);\("$"#,##0.00\)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5-477F-BE62-94B891FAF1A7}"/>
            </c:ext>
          </c:extLst>
        </c:ser>
        <c:ser>
          <c:idx val="2"/>
          <c:order val="2"/>
          <c:tx>
            <c:strRef>
              <c:f>'2017 Budget'!$E$9:$E$10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Budget'!$E$17</c:f>
              <c:numCache>
                <c:formatCode>"$"#,##0.00_);\("$"#,##0.00\)</c:formatCode>
                <c:ptCount val="1"/>
                <c:pt idx="0">
                  <c:v>41772.479999999996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E5-477F-BE62-94B891FA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066880"/>
        <c:axId val="107068416"/>
      </c:barChart>
      <c:catAx>
        <c:axId val="10706688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068416"/>
        <c:crosses val="autoZero"/>
        <c:auto val="1"/>
        <c:lblAlgn val="ctr"/>
        <c:lblOffset val="100"/>
        <c:noMultiLvlLbl val="0"/>
      </c:catAx>
      <c:valAx>
        <c:axId val="1070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66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3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Budget'!$B$27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Budget'!$C$26:$C$27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Budget'!$C$43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6-4332-A92D-45A70E9901F2}"/>
            </c:ext>
          </c:extLst>
        </c:ser>
        <c:ser>
          <c:idx val="1"/>
          <c:order val="1"/>
          <c:tx>
            <c:strRef>
              <c:f>'2017 Budget'!$D$26:$D$27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'2017 Budget'!$D$43</c:f>
              <c:numCache>
                <c:formatCode>"$"#,##0.00_);\("$"#,##0.00\)</c:formatCode>
                <c:ptCount val="1"/>
                <c:pt idx="0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6-4332-A92D-45A70E9901F2}"/>
            </c:ext>
          </c:extLst>
        </c:ser>
        <c:ser>
          <c:idx val="2"/>
          <c:order val="2"/>
          <c:tx>
            <c:strRef>
              <c:f>'2017 Budget'!$E$26:$E$27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Budget'!$E$43</c:f>
              <c:numCache>
                <c:formatCode>"$"#,##0.00_);\("$"#,##0.00\)</c:formatCode>
                <c:ptCount val="1"/>
                <c:pt idx="0">
                  <c:v>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6-4332-A92D-45A70E99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124608"/>
        <c:axId val="107126144"/>
      </c:barChart>
      <c:catAx>
        <c:axId val="1071246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126144"/>
        <c:crosses val="autoZero"/>
        <c:auto val="1"/>
        <c:lblAlgn val="ctr"/>
        <c:lblOffset val="100"/>
        <c:noMultiLvlLbl val="0"/>
      </c:catAx>
      <c:valAx>
        <c:axId val="10712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4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3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Budget'!$C$9:$C$10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Budget'!$C$17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4-484C-B29F-220BEE7B2B92}"/>
            </c:ext>
          </c:extLst>
        </c:ser>
        <c:ser>
          <c:idx val="1"/>
          <c:order val="1"/>
          <c:tx>
            <c:strRef>
              <c:f>'2017 Budget'!$D$9:$D$10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Budget'!$D$17</c:f>
              <c:numCache>
                <c:formatCode>"$"#,##0.00_);\("$"#,##0.00\)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4-484C-B29F-220BEE7B2B92}"/>
            </c:ext>
          </c:extLst>
        </c:ser>
        <c:ser>
          <c:idx val="2"/>
          <c:order val="2"/>
          <c:tx>
            <c:strRef>
              <c:f>'2017 Budget'!$E$9:$E$10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Budget'!$E$17</c:f>
              <c:numCache>
                <c:formatCode>"$"#,##0.00_);\("$"#,##0.00\)</c:formatCode>
                <c:ptCount val="1"/>
                <c:pt idx="0">
                  <c:v>41772.479999999996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4-484C-B29F-220BEE7B2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066880"/>
        <c:axId val="107068416"/>
      </c:barChart>
      <c:catAx>
        <c:axId val="10706688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068416"/>
        <c:crosses val="autoZero"/>
        <c:auto val="1"/>
        <c:lblAlgn val="ctr"/>
        <c:lblOffset val="100"/>
        <c:noMultiLvlLbl val="0"/>
      </c:catAx>
      <c:valAx>
        <c:axId val="1070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66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Budget'!$B$27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Budget'!$C$26:$C$27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Budget'!$C$43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C-4C39-94C2-97044B008258}"/>
            </c:ext>
          </c:extLst>
        </c:ser>
        <c:ser>
          <c:idx val="1"/>
          <c:order val="1"/>
          <c:tx>
            <c:strRef>
              <c:f>'2017 Budget'!$D$26:$D$27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'2017 Budget'!$D$43</c:f>
              <c:numCache>
                <c:formatCode>"$"#,##0.00_);\("$"#,##0.00\)</c:formatCode>
                <c:ptCount val="1"/>
                <c:pt idx="0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C-4C39-94C2-97044B008258}"/>
            </c:ext>
          </c:extLst>
        </c:ser>
        <c:ser>
          <c:idx val="2"/>
          <c:order val="2"/>
          <c:tx>
            <c:strRef>
              <c:f>'2017 Budget'!$E$26:$E$27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Budget'!$E$43</c:f>
              <c:numCache>
                <c:formatCode>"$"#,##0.00_);\("$"#,##0.00\)</c:formatCode>
                <c:ptCount val="1"/>
                <c:pt idx="0">
                  <c:v>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EC-4C39-94C2-97044B008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124608"/>
        <c:axId val="107126144"/>
      </c:barChart>
      <c:catAx>
        <c:axId val="1071246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126144"/>
        <c:crosses val="autoZero"/>
        <c:auto val="1"/>
        <c:lblAlgn val="ctr"/>
        <c:lblOffset val="100"/>
        <c:noMultiLvlLbl val="0"/>
      </c:catAx>
      <c:valAx>
        <c:axId val="10712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4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Budget'!$C$9:$C$10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Budget'!$C$17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A-43A9-BD59-A799EFC5B6A0}"/>
            </c:ext>
          </c:extLst>
        </c:ser>
        <c:ser>
          <c:idx val="1"/>
          <c:order val="1"/>
          <c:tx>
            <c:strRef>
              <c:f>'2017 Budget'!$D$9:$D$10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Budget'!$D$17</c:f>
              <c:numCache>
                <c:formatCode>"$"#,##0.00_);\("$"#,##0.00\)</c:formatCode>
                <c:ptCount val="1"/>
                <c:pt idx="0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A-43A9-BD59-A799EFC5B6A0}"/>
            </c:ext>
          </c:extLst>
        </c:ser>
        <c:ser>
          <c:idx val="2"/>
          <c:order val="2"/>
          <c:tx>
            <c:strRef>
              <c:f>'2017 Budget'!$E$9:$E$10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'2017 Budget'!$E$17</c:f>
              <c:numCache>
                <c:formatCode>"$"#,##0.00_);\("$"#,##0.00\)</c:formatCode>
                <c:ptCount val="1"/>
                <c:pt idx="0">
                  <c:v>41772.479999999996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A-43A9-BD59-A799EFC5B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066880"/>
        <c:axId val="107068416"/>
      </c:barChart>
      <c:catAx>
        <c:axId val="10706688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068416"/>
        <c:crosses val="autoZero"/>
        <c:auto val="1"/>
        <c:lblAlgn val="ctr"/>
        <c:lblOffset val="100"/>
        <c:noMultiLvlLbl val="0"/>
      </c:catAx>
      <c:valAx>
        <c:axId val="107068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066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'2017 Budget'!$B$27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9E-2"/>
          <c:y val="4.432159138002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74E-2"/>
          <c:y val="0.47319353501864908"/>
          <c:w val="0.92740343627259381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'2017 Budget'!$C$26:$C$27</c:f>
              <c:strCache>
                <c:ptCount val="2"/>
                <c:pt idx="0">
                  <c:v>FY 2016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Budget'!$C$43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E-456A-B874-6094D246D127}"/>
            </c:ext>
          </c:extLst>
        </c:ser>
        <c:ser>
          <c:idx val="1"/>
          <c:order val="1"/>
          <c:tx>
            <c:strRef>
              <c:f>'2017 Budget'!$D$26:$D$27</c:f>
              <c:strCache>
                <c:ptCount val="2"/>
                <c:pt idx="0">
                  <c:v>FY 2017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'2017 Budget'!$D$43</c:f>
              <c:numCache>
                <c:formatCode>"$"#,##0.00_);\("$"#,##0.00\)</c:formatCode>
                <c:ptCount val="1"/>
                <c:pt idx="0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E-456A-B874-6094D246D127}"/>
            </c:ext>
          </c:extLst>
        </c:ser>
        <c:ser>
          <c:idx val="2"/>
          <c:order val="2"/>
          <c:tx>
            <c:strRef>
              <c:f>'2017 Budget'!$E$26:$E$27</c:f>
              <c:strCache>
                <c:ptCount val="2"/>
                <c:pt idx="0">
                  <c:v>FY 2017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'2017 Budget'!$E$43</c:f>
              <c:numCache>
                <c:formatCode>"$"#,##0.00_);\("$"#,##0.00\)</c:formatCode>
                <c:ptCount val="1"/>
                <c:pt idx="0">
                  <c:v>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E-456A-B874-6094D246D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07124608"/>
        <c:axId val="107126144"/>
      </c:barChart>
      <c:catAx>
        <c:axId val="10712460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07126144"/>
        <c:crosses val="autoZero"/>
        <c:auto val="1"/>
        <c:lblAlgn val="ctr"/>
        <c:lblOffset val="100"/>
        <c:noMultiLvlLbl val="0"/>
      </c:catAx>
      <c:valAx>
        <c:axId val="10712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46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4E-2"/>
                <c:y val="0.85525127780080146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19</xdr:row>
      <xdr:rowOff>38100</xdr:rowOff>
    </xdr:from>
    <xdr:to>
      <xdr:col>7</xdr:col>
      <xdr:colOff>95250</xdr:colOff>
      <xdr:row>25</xdr:row>
      <xdr:rowOff>19050</xdr:rowOff>
    </xdr:to>
    <xdr:graphicFrame macro="">
      <xdr:nvGraphicFramePr>
        <xdr:cNvPr id="7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127254</xdr:colOff>
      <xdr:row>1</xdr:row>
      <xdr:rowOff>213360</xdr:rowOff>
    </xdr:from>
    <xdr:to>
      <xdr:col>7</xdr:col>
      <xdr:colOff>148590</xdr:colOff>
      <xdr:row>7</xdr:row>
      <xdr:rowOff>194310</xdr:rowOff>
    </xdr:to>
    <xdr:graphicFrame macro="">
      <xdr:nvGraphicFramePr>
        <xdr:cNvPr id="4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3DC31BD2-FCA4-4483-A896-ECD463B29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19</xdr:row>
      <xdr:rowOff>38100</xdr:rowOff>
    </xdr:from>
    <xdr:to>
      <xdr:col>7</xdr:col>
      <xdr:colOff>95250</xdr:colOff>
      <xdr:row>25</xdr:row>
      <xdr:rowOff>19050</xdr:rowOff>
    </xdr:to>
    <xdr:graphicFrame macro="">
      <xdr:nvGraphicFramePr>
        <xdr:cNvPr id="5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3176B5DA-4DB5-4E55-BDDE-4209F379A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127254</xdr:colOff>
      <xdr:row>1</xdr:row>
      <xdr:rowOff>213360</xdr:rowOff>
    </xdr:from>
    <xdr:to>
      <xdr:col>7</xdr:col>
      <xdr:colOff>148590</xdr:colOff>
      <xdr:row>7</xdr:row>
      <xdr:rowOff>194310</xdr:rowOff>
    </xdr:to>
    <xdr:graphicFrame macro="">
      <xdr:nvGraphicFramePr>
        <xdr:cNvPr id="6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05666E1B-775E-421F-B6DC-E3BFE6A40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19</xdr:row>
      <xdr:rowOff>38100</xdr:rowOff>
    </xdr:from>
    <xdr:to>
      <xdr:col>7</xdr:col>
      <xdr:colOff>95250</xdr:colOff>
      <xdr:row>25</xdr:row>
      <xdr:rowOff>19050</xdr:rowOff>
    </xdr:to>
    <xdr:graphicFrame macro="">
      <xdr:nvGraphicFramePr>
        <xdr:cNvPr id="7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2D559FDF-6EBE-4EF1-BC81-17896D215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127254</xdr:colOff>
      <xdr:row>1</xdr:row>
      <xdr:rowOff>213360</xdr:rowOff>
    </xdr:from>
    <xdr:to>
      <xdr:col>7</xdr:col>
      <xdr:colOff>148590</xdr:colOff>
      <xdr:row>7</xdr:row>
      <xdr:rowOff>194310</xdr:rowOff>
    </xdr:to>
    <xdr:graphicFrame macro="">
      <xdr:nvGraphicFramePr>
        <xdr:cNvPr id="4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EB9644DE-BB1B-44D7-9B62-738D528BB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19</xdr:row>
      <xdr:rowOff>38100</xdr:rowOff>
    </xdr:from>
    <xdr:to>
      <xdr:col>7</xdr:col>
      <xdr:colOff>95250</xdr:colOff>
      <xdr:row>25</xdr:row>
      <xdr:rowOff>19050</xdr:rowOff>
    </xdr:to>
    <xdr:graphicFrame macro="">
      <xdr:nvGraphicFramePr>
        <xdr:cNvPr id="5" name="Revenue" descr="Bar chart comparing Prior, Proposed and Actual revenue for the fiscal year.">
          <a:extLst>
            <a:ext uri="{FF2B5EF4-FFF2-40B4-BE49-F238E27FC236}">
              <a16:creationId xmlns:a16="http://schemas.microsoft.com/office/drawing/2014/main" id="{149792E0-846A-422E-A2CD-2387F4C92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venueTable" displayName="RevenueTable" ref="B10:G17" totalsRowCount="1" headerRowDxfId="156" dataDxfId="155" totalsRowDxfId="154">
  <tableColumns count="6">
    <tableColumn id="1" xr3:uid="{00000000-0010-0000-0000-000001000000}" name="REVENUE" totalsRowLabel="TOTALS" dataDxfId="153" totalsRowDxfId="152"/>
    <tableColumn id="2" xr3:uid="{00000000-0010-0000-0000-000002000000}" name="PRIOR YEAR" totalsRowFunction="sum" dataDxfId="151" totalsRowDxfId="150"/>
    <tableColumn id="3" xr3:uid="{00000000-0010-0000-0000-000003000000}" name="PROPOSED" totalsRowFunction="sum" dataDxfId="149" totalsRowDxfId="148"/>
    <tableColumn id="4" xr3:uid="{00000000-0010-0000-0000-000004000000}" name="ACTUAL" totalsRowFunction="sum" dataDxfId="147" totalsRowDxfId="146"/>
    <tableColumn id="5" xr3:uid="{00000000-0010-0000-0000-000005000000}" name="VARIANCE" totalsRowFunction="sum" dataDxfId="145" totalsRowDxfId="144">
      <calculatedColumnFormula>RevenueTable[[#This Row],[ACTUAL]]-RevenueTable[[#This Row],[PROPOSED]]</calculatedColumnFormula>
    </tableColumn>
    <tableColumn id="6" xr3:uid="{00000000-0010-0000-0000-000006000000}" name="+/- PRIOR YEAR" totalsRowFunction="min" dataDxfId="143" totalsRowDxfId="142">
      <calculatedColumnFormula>RevenueTable[[#This Row],[ACTUAL]]-RevenueTable[[#This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xpenseTable" displayName="ExpenseTable" ref="B27:G43" totalsRowCount="1" dataDxfId="141" totalsRowDxfId="140">
  <tableColumns count="6">
    <tableColumn id="1" xr3:uid="{00000000-0010-0000-0100-000001000000}" name="EXPENSES" totalsRowLabel="TOTALS" dataDxfId="139" totalsRowDxfId="138"/>
    <tableColumn id="2" xr3:uid="{00000000-0010-0000-0100-000002000000}" name="PRIOR YEAR" totalsRowFunction="sum" dataDxfId="137" totalsRowDxfId="136"/>
    <tableColumn id="3" xr3:uid="{00000000-0010-0000-0100-000003000000}" name="PROPOSED" totalsRowFunction="sum" dataDxfId="135" totalsRowDxfId="134"/>
    <tableColumn id="4" xr3:uid="{00000000-0010-0000-0100-000004000000}" name="ACTUAL" totalsRowFunction="sum" dataDxfId="133" totalsRowDxfId="132"/>
    <tableColumn id="5" xr3:uid="{00000000-0010-0000-0100-000005000000}" name="VARIANCE" totalsRowFunction="sum" dataDxfId="131" totalsRowDxfId="130">
      <calculatedColumnFormula>ExpenseTable[[#This Row],[ACTUAL]]-ExpenseTable[[#This Row],[PROPOSED]]</calculatedColumnFormula>
    </tableColumn>
    <tableColumn id="6" xr3:uid="{00000000-0010-0000-0100-000006000000}" name="+/- PRIOR YEAR" totalsRowFunction="sum" dataDxfId="129" totalsRowDxfId="128" dataCellStyle="Percent">
      <calculatedColumnFormula>ExpenseTable[[#This Row],[ACTUAL]]-ExpenseTable[[#This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B644C15-B2B0-4C50-80B5-69D3A3E7A98F}" name="RevenueTable6" displayName="RevenueTable6" ref="B10:H17" totalsRowCount="1" headerRowDxfId="127" dataDxfId="126" totalsRowDxfId="125">
  <tableColumns count="7">
    <tableColumn id="1" xr3:uid="{E976AFE8-C165-4285-B2C7-90D98EE3B3C3}" name="REVENUE" totalsRowLabel="TOTALS" dataDxfId="124" totalsRowDxfId="123"/>
    <tableColumn id="2" xr3:uid="{7839401C-B96A-4618-805E-F7FED789D889}" name="PRIOR YEAR" totalsRowFunction="sum" dataDxfId="122" totalsRowDxfId="121"/>
    <tableColumn id="3" xr3:uid="{999F10EC-9260-476F-A2CA-B64C76ECAE5A}" name="PROPOSED" totalsRowFunction="sum" dataDxfId="120" totalsRowDxfId="119"/>
    <tableColumn id="4" xr3:uid="{CA11E85F-BF6D-479B-9979-531C2D52A172}" name="ACTUAL" totalsRowFunction="sum" dataDxfId="118" totalsRowDxfId="117"/>
    <tableColumn id="5" xr3:uid="{FD960DFC-0F1B-4AE3-AECA-6A33827F80E3}" name="VARIANCE" totalsRowFunction="sum" dataDxfId="116" totalsRowDxfId="115">
      <calculatedColumnFormula>RevenueTable6[[#This Row],[ACTUAL]]-RevenueTable6[[#This Row],[PROPOSED]]</calculatedColumnFormula>
    </tableColumn>
    <tableColumn id="6" xr3:uid="{D79441EC-B10C-4A69-A09F-E9B48E5C9375}" name="+/- PRIOR YEAR" totalsRowFunction="sum" dataDxfId="114" totalsRowDxfId="113">
      <calculatedColumnFormula>RevenueTable6[[#This Row],[ACTUAL]]-RevenueTable6[[#This Row],[PRIOR YEAR]]</calculatedColumnFormula>
    </tableColumn>
    <tableColumn id="7" xr3:uid="{C85EF3FF-B1CA-4664-8FDB-390BFF10CF89}" name=" " totalsRowFunction="sum" dataDxfId="112" totalsRowDxfId="111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CEC9EFE-943C-43C5-9DE0-03C6CE53864C}" name="ExpenseTable7" displayName="ExpenseTable7" ref="B27:H43" totalsRowCount="1" dataDxfId="110" totalsRowDxfId="109">
  <tableColumns count="7">
    <tableColumn id="1" xr3:uid="{E07E5966-0CD3-44EB-8270-BBD06513055B}" name="EXPENSES" totalsRowLabel="TOTALS" dataDxfId="108" totalsRowDxfId="107"/>
    <tableColumn id="2" xr3:uid="{DC08CCA4-EEDA-4EFD-BBEF-1D46CB47F77D}" name="PRIOR YEAR" totalsRowFunction="sum" dataDxfId="106" totalsRowDxfId="105"/>
    <tableColumn id="3" xr3:uid="{B07E64D2-CA32-4DF3-AD00-9DC14ACEFF93}" name="PROPOSED" totalsRowFunction="sum" dataDxfId="104" totalsRowDxfId="103"/>
    <tableColumn id="4" xr3:uid="{F1EE6C57-E431-4DB7-8F03-0DCE69355074}" name="ACTUAL" totalsRowFunction="sum" dataDxfId="102" totalsRowDxfId="101"/>
    <tableColumn id="5" xr3:uid="{569E6F2E-C887-458F-AC43-6829B845F88B}" name="VARIANCE" totalsRowFunction="sum" dataDxfId="100" totalsRowDxfId="99">
      <calculatedColumnFormula>ExpenseTable7[[#This Row],[ACTUAL]]-ExpenseTable7[[#This Row],[PROPOSED]]</calculatedColumnFormula>
    </tableColumn>
    <tableColumn id="6" xr3:uid="{8F88B61A-6994-47D9-8A79-0B5821745B3C}" name="+/- PRIOR YEAR" totalsRowFunction="sum" dataDxfId="98" totalsRowDxfId="97" dataCellStyle="Percent">
      <calculatedColumnFormula>ExpenseTable7[[#This Row],[ACTUAL]]-ExpenseTable7[[#This Row],[PRIOR YEAR]]</calculatedColumnFormula>
    </tableColumn>
    <tableColumn id="7" xr3:uid="{1C84F7E4-6021-43B1-8424-F880620036D0}" name="Column1" totalsRowFunction="sum" dataDxfId="96" totalsRowDxfId="95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AAE194C-0324-4E2B-8D00-DFB4BF2F63CF}" name="RevenueTable610" displayName="RevenueTable610" ref="B10:J17" totalsRowCount="1" headerRowDxfId="94" dataDxfId="93" totalsRowDxfId="92">
  <tableColumns count="9">
    <tableColumn id="1" xr3:uid="{F76058EA-8F80-4090-9BF1-68B4469D5B6E}" name="REVENUE" totalsRowLabel="TOTALS" dataDxfId="91" totalsRowDxfId="68"/>
    <tableColumn id="2" xr3:uid="{18AC104C-E846-494D-B518-798FDE33CE1A}" name="PRIOR YEAR" totalsRowFunction="sum" dataDxfId="90" totalsRowDxfId="67"/>
    <tableColumn id="3" xr3:uid="{18D3441B-76F5-4EF5-BB2A-FECBA405D8F4}" name="2017 PROPOSED" totalsRowFunction="sum" dataDxfId="89" totalsRowDxfId="66"/>
    <tableColumn id="4" xr3:uid="{C10FED71-9F44-4F96-A027-55FC3F8CF72C}" name="2017 ACTUAL" totalsRowFunction="sum" dataDxfId="88" totalsRowDxfId="65"/>
    <tableColumn id="5" xr3:uid="{8299F2A9-9C7A-4828-BBC4-DD8600117EEB}" name="VARIANCE" totalsRowFunction="sum" dataDxfId="87" totalsRowDxfId="64">
      <calculatedColumnFormula>RevenueTable610[[#This Row],[2017 ACTUAL]]-RevenueTable610[[#This Row],[2017 PROPOSED]]</calculatedColumnFormula>
    </tableColumn>
    <tableColumn id="6" xr3:uid="{4696702F-306F-4319-A3CA-350E54AD8A8C}" name="+/- PRIOR YEAR" totalsRowFunction="sum" dataDxfId="86" totalsRowDxfId="63">
      <calculatedColumnFormula>RevenueTable610[[#This Row],[2017 ACTUAL]]-RevenueTable610[[#This Row],[PRIOR YEAR]]</calculatedColumnFormula>
    </tableColumn>
    <tableColumn id="7" xr3:uid="{07C939BB-46E0-4859-A223-16E436C3D0A2}" name=" 2018 ACTUAL " totalsRowFunction="sum" dataDxfId="85" totalsRowDxfId="62"/>
    <tableColumn id="8" xr3:uid="{027B06F7-E0F0-4140-854C-C60CDFCB551E}" name="2019 PROPOSED" totalsRowFunction="sum" dataDxfId="84" totalsRowDxfId="61"/>
    <tableColumn id="9" xr3:uid="{346F9FA9-3473-4508-819A-C97D761B6700}" name="2019 ACTUAL " totalsRowFunction="sum" dataDxfId="83" totalsRowDxfId="60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B3D25DF-4353-43FE-9EAE-D5262DDAB3E7}" name="ExpenseTable711" displayName="ExpenseTable711" ref="B27:J45" totalsRowCount="1" dataDxfId="82" totalsRowDxfId="81">
  <tableColumns count="9">
    <tableColumn id="1" xr3:uid="{267D521E-8CB8-4E37-979B-53280CFB1F1D}" name="EXPENSES" totalsRowLabel="TOTALS" dataDxfId="80" totalsRowDxfId="59"/>
    <tableColumn id="2" xr3:uid="{B0538F7B-1734-49A0-8898-416AA0BC37B3}" name="PRIOR YEAR" totalsRowFunction="sum" dataDxfId="79" totalsRowDxfId="58"/>
    <tableColumn id="3" xr3:uid="{6A96B97A-3B22-4AC5-A4F8-4E252D633BA4}" name="2017 PROPOSED" totalsRowFunction="sum" dataDxfId="78" totalsRowDxfId="57"/>
    <tableColumn id="4" xr3:uid="{0F35BB5C-AB8D-4065-AAF0-E59E8E4836B5}" name="2017 ACTUAL" totalsRowFunction="sum" dataDxfId="77" totalsRowDxfId="56"/>
    <tableColumn id="5" xr3:uid="{0D7D3839-F3C0-41D6-92AE-4586844740EC}" name="VARIANCE" totalsRowFunction="sum" dataDxfId="76" totalsRowDxfId="55">
      <calculatedColumnFormula>ExpenseTable711[[#This Row],[2017 ACTUAL]]-ExpenseTable711[[#This Row],[2017 PROPOSED]]</calculatedColumnFormula>
    </tableColumn>
    <tableColumn id="6" xr3:uid="{4F8006FB-F880-41D0-AEAA-1A7CB3676368}" name="+/- PRIOR YEAR" totalsRowFunction="sum" dataDxfId="75" totalsRowDxfId="54" dataCellStyle="Percent">
      <calculatedColumnFormula>ExpenseTable711[[#This Row],[2017 ACTUAL]]-ExpenseTable711[[#This Row],[PRIOR YEAR]]</calculatedColumnFormula>
    </tableColumn>
    <tableColumn id="7" xr3:uid="{F139358F-5987-47A7-B66D-01CF0A43BB36}" name="2018 ACTUAL " totalsRowFunction="sum" dataDxfId="74" totalsRowDxfId="53"/>
    <tableColumn id="8" xr3:uid="{A722FA1A-57F8-47BF-8437-4223A6AB23B8}" name="2019 PROPOSED " totalsRowFunction="sum" dataDxfId="73" totalsRowDxfId="52"/>
    <tableColumn id="9" xr3:uid="{A2EBA6C7-8333-4A9C-BF5B-85415E2BD8D5}" name="2019 ACTUAL " totalsRowFunction="sum" dataDxfId="72" totalsRowDxfId="51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C9F9A22-03CC-4361-9FB1-4536FCFB5627}" name="RevenueTable6108" displayName="RevenueTable6108" ref="B10:L17" totalsRowCount="1" headerRowDxfId="37" dataDxfId="36" totalsRowDxfId="35">
  <tableColumns count="11">
    <tableColumn id="1" xr3:uid="{3FEBD25B-8C50-4D7D-B403-B0B1AB3C6FC1}" name="REVENUE" totalsRowLabel="TOTALS" dataDxfId="34" totalsRowDxfId="10"/>
    <tableColumn id="2" xr3:uid="{17CBA163-78B3-40CF-BAB5-2A7342A31609}" name="PRIOR YEAR" totalsRowFunction="sum" dataDxfId="33" totalsRowDxfId="9"/>
    <tableColumn id="3" xr3:uid="{15433140-AB0C-4B40-8E3E-FBD53517990C}" name="2017 PROPOSED" totalsRowFunction="sum" dataDxfId="32" totalsRowDxfId="8"/>
    <tableColumn id="4" xr3:uid="{301CA000-1A57-4D66-A39D-E6FCF1B9CBC4}" name="2017 ACTUAL" totalsRowFunction="sum" dataDxfId="31" totalsRowDxfId="7"/>
    <tableColumn id="5" xr3:uid="{2D64B9A5-5943-4E4E-A735-3F2531A7A4DA}" name="VARIANCE" totalsRowFunction="sum" dataDxfId="30" totalsRowDxfId="6">
      <calculatedColumnFormula>RevenueTable6108[[#This Row],[2017 ACTUAL]]-RevenueTable6108[[#This Row],[2017 PROPOSED]]</calculatedColumnFormula>
    </tableColumn>
    <tableColumn id="6" xr3:uid="{1F66A0C6-A3B7-4D3B-834A-0D8A3A10410B}" name="+/- PRIOR YEAR" totalsRowFunction="sum" dataDxfId="29" totalsRowDxfId="5">
      <calculatedColumnFormula>RevenueTable6108[[#This Row],[2017 ACTUAL]]-RevenueTable6108[[#This Row],[PRIOR YEAR]]</calculatedColumnFormula>
    </tableColumn>
    <tableColumn id="7" xr3:uid="{2C5AE6A5-E086-4D46-825C-C98D2985F26A}" name=" 2018 ACTUAL " totalsRowFunction="sum" dataDxfId="28" totalsRowDxfId="4"/>
    <tableColumn id="8" xr3:uid="{953DB34C-870A-4BCB-A4EC-84E60830F058}" name="2019 PROPOSED" totalsRowFunction="sum" dataDxfId="27" totalsRowDxfId="3"/>
    <tableColumn id="9" xr3:uid="{E2359C67-4846-4966-B971-C1D8D20A1C5F}" name="2019 ACTUAL " totalsRowFunction="sum" dataDxfId="26" totalsRowDxfId="2"/>
    <tableColumn id="10" xr3:uid="{C407E8DA-0523-4533-85B6-AD3E8B15EC6E}" name="2020 PROPOSED" totalsRowFunction="sum" dataDxfId="25" totalsRowDxfId="1"/>
    <tableColumn id="11" xr3:uid="{6919CA79-101D-4B7A-8AD4-D1D255C6A01D}" name="2020 ACTUAL" dataDxfId="11" totalsRowDxfId="0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DA2D7CA-9D5A-42EB-93FC-CA6FA03CF823}" name="ExpenseTable7119" displayName="ExpenseTable7119" ref="B27:L45" totalsRowCount="1" dataDxfId="48" totalsRowDxfId="47">
  <tableColumns count="11">
    <tableColumn id="1" xr3:uid="{B0C3546E-8966-4B7A-B748-8643F687DCEC}" name="EXPENSES" totalsRowLabel="TOTALS" dataDxfId="46" totalsRowDxfId="22"/>
    <tableColumn id="2" xr3:uid="{56816131-9B98-4CC6-9AB4-D5A0980E94EF}" name="PRIOR YEAR" totalsRowFunction="sum" dataDxfId="45" totalsRowDxfId="21"/>
    <tableColumn id="3" xr3:uid="{B662F074-35E0-4D36-B99F-19ADDE6A8264}" name="2017 PROPOSED" totalsRowFunction="sum" dataDxfId="44" totalsRowDxfId="20"/>
    <tableColumn id="4" xr3:uid="{13357D84-578D-4402-AE9A-017E01A82DAC}" name="2017 ACTUAL" totalsRowFunction="sum" dataDxfId="43" totalsRowDxfId="19"/>
    <tableColumn id="5" xr3:uid="{86EF460A-A43E-40B0-A213-045025099397}" name="VARIANCE" totalsRowFunction="sum" dataDxfId="42" totalsRowDxfId="18">
      <calculatedColumnFormula>ExpenseTable7119[[#This Row],[2017 ACTUAL]]-ExpenseTable7119[[#This Row],[2017 PROPOSED]]</calculatedColumnFormula>
    </tableColumn>
    <tableColumn id="6" xr3:uid="{AE16765B-7303-465B-86A8-663F6A30276D}" name="+/- PRIOR YEAR" totalsRowFunction="sum" dataDxfId="41" totalsRowDxfId="17" dataCellStyle="Percent">
      <calculatedColumnFormula>ExpenseTable7119[[#This Row],[2017 ACTUAL]]-ExpenseTable7119[[#This Row],[PRIOR YEAR]]</calculatedColumnFormula>
    </tableColumn>
    <tableColumn id="7" xr3:uid="{DE411C3F-DBDE-4305-9914-70DA52EF2B05}" name="2018 ACTUAL " totalsRowFunction="sum" dataDxfId="40" totalsRowDxfId="16"/>
    <tableColumn id="8" xr3:uid="{89B96CBB-AC24-48C9-A9EF-43DF1BCE79B9}" name="2019 PROPOSED " totalsRowFunction="sum" dataDxfId="39" totalsRowDxfId="15"/>
    <tableColumn id="9" xr3:uid="{402D607E-94FF-4DCB-9EFE-988C869C97F4}" name="2019 ACTUAL " totalsRowFunction="sum" dataDxfId="38" totalsRowDxfId="14"/>
    <tableColumn id="10" xr3:uid="{F232A4A3-43E8-4571-BF7B-7BA93272CFA4}" name="2020 PROPOSED " totalsRowFunction="sum" dataDxfId="24" totalsRowDxfId="13"/>
    <tableColumn id="11" xr3:uid="{7DC13FF9-6ED5-417B-ABF4-C00AC29C835C}" name="2020 ACTUAL " dataDxfId="23" totalsRowDxfId="12"/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G43"/>
  <sheetViews>
    <sheetView showGridLines="0" zoomScaleNormal="100" workbookViewId="0">
      <selection activeCell="L11" sqref="L11"/>
    </sheetView>
  </sheetViews>
  <sheetFormatPr defaultRowHeight="24" customHeight="1" x14ac:dyDescent="0.3"/>
  <cols>
    <col min="1" max="1" width="2.88671875" customWidth="1"/>
    <col min="2" max="2" width="38.6640625" customWidth="1"/>
    <col min="3" max="7" width="18.88671875" customWidth="1"/>
    <col min="8" max="8" width="2.88671875" customWidth="1"/>
  </cols>
  <sheetData>
    <row r="1" spans="2:7" ht="58.5" customHeight="1" x14ac:dyDescent="0.85">
      <c r="B1" s="3" t="s">
        <v>22</v>
      </c>
      <c r="F1" s="10" t="s">
        <v>13</v>
      </c>
      <c r="G1" s="2">
        <v>2017</v>
      </c>
    </row>
    <row r="2" spans="2:7" s="1" customFormat="1" ht="24" customHeight="1" x14ac:dyDescent="0.85">
      <c r="B2" s="3"/>
      <c r="F2" s="10"/>
      <c r="G2" s="2"/>
    </row>
    <row r="3" spans="2:7" s="1" customFormat="1" ht="24" customHeight="1" x14ac:dyDescent="0.3"/>
    <row r="4" spans="2:7" s="1" customFormat="1" ht="24" customHeight="1" x14ac:dyDescent="0.3"/>
    <row r="5" spans="2:7" s="1" customFormat="1" ht="24" customHeight="1" x14ac:dyDescent="0.3"/>
    <row r="6" spans="2:7" s="1" customFormat="1" ht="24" customHeight="1" x14ac:dyDescent="0.3"/>
    <row r="7" spans="2:7" s="1" customFormat="1" ht="24" customHeight="1" x14ac:dyDescent="0.3"/>
    <row r="8" spans="2:7" s="1" customFormat="1" ht="24" customHeight="1" x14ac:dyDescent="0.3"/>
    <row r="9" spans="2:7" ht="24" customHeight="1" x14ac:dyDescent="0.35">
      <c r="B9" s="16"/>
      <c r="C9" s="20" t="str">
        <f>CONCATENATE("FY ",FY-1)</f>
        <v>FY 2016</v>
      </c>
      <c r="D9" s="20" t="str">
        <f>CONCATENATE("FY ",FY)</f>
        <v>FY 2017</v>
      </c>
      <c r="E9" s="20" t="str">
        <f>CONCATENATE("FY ",FY)</f>
        <v>FY 2017</v>
      </c>
      <c r="F9" s="20" t="str">
        <f>CONCATENATE("FY ",FY)</f>
        <v>FY 2017</v>
      </c>
      <c r="G9" s="21" t="str">
        <f>CONCATENATE("FY ",FY)</f>
        <v>FY 2017</v>
      </c>
    </row>
    <row r="10" spans="2:7" ht="24" customHeight="1" x14ac:dyDescent="0.3">
      <c r="B10" s="24" t="s">
        <v>18</v>
      </c>
      <c r="C10" s="22" t="s">
        <v>14</v>
      </c>
      <c r="D10" s="22" t="s">
        <v>15</v>
      </c>
      <c r="E10" s="22" t="s">
        <v>16</v>
      </c>
      <c r="F10" s="22" t="s">
        <v>21</v>
      </c>
      <c r="G10" s="23" t="s">
        <v>17</v>
      </c>
    </row>
    <row r="11" spans="2:7" ht="24" customHeight="1" x14ac:dyDescent="0.3">
      <c r="B11" s="11" t="s">
        <v>1</v>
      </c>
      <c r="C11" s="12">
        <v>0</v>
      </c>
      <c r="D11" s="12">
        <v>2500</v>
      </c>
      <c r="E11" s="12">
        <f>2371+920+2532</f>
        <v>5823</v>
      </c>
      <c r="F11" s="12">
        <f>RevenueTable[[#This Row],[ACTUAL]]-RevenueTable[[#This Row],[PROPOSED]]</f>
        <v>3323</v>
      </c>
      <c r="G11" s="13">
        <f>RevenueTable[[#This Row],[ACTUAL]]-RevenueTable[[#This Row],[PRIOR YEAR]]</f>
        <v>5823</v>
      </c>
    </row>
    <row r="12" spans="2:7" ht="24" customHeight="1" x14ac:dyDescent="0.3">
      <c r="B12" s="11" t="s">
        <v>0</v>
      </c>
      <c r="C12" s="12">
        <v>0</v>
      </c>
      <c r="D12" s="12">
        <v>5000</v>
      </c>
      <c r="E12" s="12">
        <v>1600</v>
      </c>
      <c r="F12" s="12">
        <f>RevenueTable[[#This Row],[ACTUAL]]-RevenueTable[[#This Row],[PROPOSED]]</f>
        <v>-3400</v>
      </c>
      <c r="G12" s="13">
        <f>RevenueTable[[#This Row],[ACTUAL]]-RevenueTable[[#This Row],[PRIOR YEAR]]</f>
        <v>1600</v>
      </c>
    </row>
    <row r="13" spans="2:7" ht="24" customHeight="1" x14ac:dyDescent="0.3">
      <c r="B13" s="11" t="s">
        <v>25</v>
      </c>
      <c r="C13" s="12">
        <v>400</v>
      </c>
      <c r="D13" s="12">
        <v>1500</v>
      </c>
      <c r="E13" s="12">
        <f>150+100+200+200+150+25+25+175+100+400+700+500+400+250+1750</f>
        <v>5125</v>
      </c>
      <c r="F13" s="12">
        <f>RevenueTable[[#This Row],[ACTUAL]]-RevenueTable[[#This Row],[PROPOSED]]</f>
        <v>3625</v>
      </c>
      <c r="G13" s="13">
        <f>RevenueTable[[#This Row],[ACTUAL]]-RevenueTable[[#This Row],[PRIOR YEAR]]</f>
        <v>4725</v>
      </c>
    </row>
    <row r="14" spans="2:7" s="1" customFormat="1" ht="24" customHeight="1" x14ac:dyDescent="0.3">
      <c r="B14" s="11" t="s">
        <v>24</v>
      </c>
      <c r="C14" s="12"/>
      <c r="D14" s="12"/>
      <c r="E14" s="12">
        <v>29224.48</v>
      </c>
      <c r="F14" s="12">
        <f>RevenueTable[[#This Row],[ACTUAL]]-RevenueTable[[#This Row],[PROPOSED]]</f>
        <v>29224.48</v>
      </c>
      <c r="G14" s="13">
        <f>RevenueTable[[#This Row],[ACTUAL]]-RevenueTable[[#This Row],[PRIOR YEAR]]</f>
        <v>29224.48</v>
      </c>
    </row>
    <row r="15" spans="2:7" ht="24" customHeight="1" x14ac:dyDescent="0.3">
      <c r="B15" s="11" t="s">
        <v>2</v>
      </c>
      <c r="C15" s="12"/>
      <c r="D15" s="12"/>
      <c r="E15" s="12"/>
      <c r="F15" s="12">
        <f>RevenueTable[[#This Row],[ACTUAL]]-RevenueTable[[#This Row],[PROPOSED]]</f>
        <v>0</v>
      </c>
      <c r="G15" s="13">
        <f>RevenueTable[[#This Row],[ACTUAL]]-RevenueTable[[#This Row],[PRIOR YEAR]]</f>
        <v>0</v>
      </c>
    </row>
    <row r="16" spans="2:7" ht="24" customHeight="1" x14ac:dyDescent="0.3">
      <c r="B16" s="11" t="s">
        <v>3</v>
      </c>
      <c r="C16" s="12"/>
      <c r="D16" s="12"/>
      <c r="E16" s="12"/>
      <c r="F16" s="12">
        <f>RevenueTable[[#This Row],[ACTUAL]]-RevenueTable[[#This Row],[PROPOSED]]</f>
        <v>0</v>
      </c>
      <c r="G16" s="13">
        <f>RevenueTable[[#This Row],[ACTUAL]]-RevenueTable[[#This Row],[PRIOR YEAR]]</f>
        <v>0</v>
      </c>
    </row>
    <row r="17" spans="2:7" ht="24" customHeight="1" x14ac:dyDescent="0.3">
      <c r="B17" s="11" t="s">
        <v>20</v>
      </c>
      <c r="C17" s="14">
        <f>SUBTOTAL(109,RevenueTable[PRIOR YEAR])</f>
        <v>400</v>
      </c>
      <c r="D17" s="14">
        <f>SUBTOTAL(109,RevenueTable[PROPOSED])</f>
        <v>9000</v>
      </c>
      <c r="E17" s="14">
        <f>SUBTOTAL(109,RevenueTable[ACTUAL])</f>
        <v>41772.479999999996</v>
      </c>
      <c r="F17" s="14">
        <f>SUBTOTAL(109,RevenueTable[VARIANCE])</f>
        <v>32772.479999999996</v>
      </c>
      <c r="G17" s="15">
        <f>SUBTOTAL(105,RevenueTable[+/- PRIOR YEAR])</f>
        <v>0</v>
      </c>
    </row>
    <row r="18" spans="2:7" s="16" customFormat="1" ht="24" customHeight="1" x14ac:dyDescent="0.3">
      <c r="B18" s="35"/>
      <c r="C18" s="35"/>
      <c r="D18" s="35"/>
      <c r="E18" s="35"/>
      <c r="F18" s="35"/>
      <c r="G18" s="35"/>
    </row>
    <row r="19" spans="2:7" s="16" customFormat="1" ht="24" customHeight="1" x14ac:dyDescent="0.3">
      <c r="B19" s="17"/>
      <c r="C19" s="18"/>
      <c r="D19" s="18"/>
      <c r="E19" s="18"/>
      <c r="F19" s="18"/>
      <c r="G19" s="19"/>
    </row>
    <row r="20" spans="2:7" s="16" customFormat="1" ht="24" customHeight="1" x14ac:dyDescent="0.3">
      <c r="B20" s="17"/>
      <c r="C20" s="18"/>
      <c r="D20" s="18"/>
      <c r="E20" s="18"/>
      <c r="F20" s="18"/>
      <c r="G20" s="19"/>
    </row>
    <row r="21" spans="2:7" s="16" customFormat="1" ht="24" customHeight="1" x14ac:dyDescent="0.3">
      <c r="B21" s="17"/>
      <c r="C21" s="18"/>
      <c r="D21" s="18"/>
      <c r="E21" s="18"/>
      <c r="F21" s="18"/>
      <c r="G21" s="19"/>
    </row>
    <row r="22" spans="2:7" s="16" customFormat="1" ht="24" customHeight="1" x14ac:dyDescent="0.3">
      <c r="B22" s="17"/>
      <c r="C22" s="18"/>
      <c r="D22" s="18"/>
      <c r="E22" s="18"/>
      <c r="F22" s="18"/>
      <c r="G22" s="19"/>
    </row>
    <row r="23" spans="2:7" s="16" customFormat="1" ht="24" customHeight="1" x14ac:dyDescent="0.3">
      <c r="B23" s="34"/>
      <c r="C23" s="34"/>
      <c r="D23" s="34"/>
      <c r="E23" s="34"/>
      <c r="F23" s="34"/>
    </row>
    <row r="25" spans="2:7" s="1" customFormat="1" ht="24" customHeight="1" x14ac:dyDescent="0.3"/>
    <row r="26" spans="2:7" ht="24" customHeight="1" x14ac:dyDescent="0.35">
      <c r="C26" s="20" t="str">
        <f>CONCATENATE("FY ",FY-1)</f>
        <v>FY 2016</v>
      </c>
      <c r="D26" s="20" t="str">
        <f>CONCATENATE("FY ",FY)</f>
        <v>FY 2017</v>
      </c>
      <c r="E26" s="20" t="str">
        <f>CONCATENATE("FY ",FY)</f>
        <v>FY 2017</v>
      </c>
      <c r="F26" s="20" t="str">
        <f>CONCATENATE("FY ",FY)</f>
        <v>FY 2017</v>
      </c>
      <c r="G26" s="21" t="str">
        <f>CONCATENATE("FY ",FY)</f>
        <v>FY 2017</v>
      </c>
    </row>
    <row r="27" spans="2:7" ht="24" customHeight="1" x14ac:dyDescent="0.3">
      <c r="B27" s="5" t="s">
        <v>19</v>
      </c>
      <c r="C27" s="22" t="s">
        <v>14</v>
      </c>
      <c r="D27" s="22" t="s">
        <v>15</v>
      </c>
      <c r="E27" s="22" t="s">
        <v>16</v>
      </c>
      <c r="F27" s="22" t="s">
        <v>21</v>
      </c>
      <c r="G27" s="23" t="s">
        <v>17</v>
      </c>
    </row>
    <row r="28" spans="2:7" ht="24" customHeight="1" x14ac:dyDescent="0.3">
      <c r="B28" s="4" t="s">
        <v>30</v>
      </c>
      <c r="C28" s="6">
        <v>0</v>
      </c>
      <c r="D28" s="6">
        <v>1000</v>
      </c>
      <c r="E28" s="6">
        <f>400+1295+8475+303+14612.24</f>
        <v>25085.239999999998</v>
      </c>
      <c r="F28" s="6">
        <f>ExpenseTable[[#This Row],[ACTUAL]]-ExpenseTable[[#This Row],[PROPOSED]]</f>
        <v>24085.239999999998</v>
      </c>
      <c r="G28" s="7">
        <f>ExpenseTable[[#This Row],[ACTUAL]]-ExpenseTable[[#This Row],[PRIOR YEAR]]</f>
        <v>25085.239999999998</v>
      </c>
    </row>
    <row r="29" spans="2:7" ht="24" customHeight="1" x14ac:dyDescent="0.3">
      <c r="B29" s="4" t="s">
        <v>7</v>
      </c>
      <c r="C29" s="6">
        <v>10</v>
      </c>
      <c r="D29" s="6">
        <v>750</v>
      </c>
      <c r="E29" s="6">
        <f>127+250+250</f>
        <v>627</v>
      </c>
      <c r="F29" s="6">
        <f>ExpenseTable[[#This Row],[ACTUAL]]-ExpenseTable[[#This Row],[PROPOSED]]</f>
        <v>-123</v>
      </c>
      <c r="G29" s="7">
        <f>ExpenseTable[[#This Row],[ACTUAL]]-ExpenseTable[[#This Row],[PRIOR YEAR]]</f>
        <v>617</v>
      </c>
    </row>
    <row r="30" spans="2:7" ht="24" customHeight="1" x14ac:dyDescent="0.3">
      <c r="B30" s="4" t="s">
        <v>26</v>
      </c>
      <c r="C30" s="6">
        <v>0</v>
      </c>
      <c r="D30" s="6">
        <v>0</v>
      </c>
      <c r="E30" s="6">
        <f>1717</f>
        <v>1717</v>
      </c>
      <c r="F30" s="6">
        <f>ExpenseTable[[#This Row],[ACTUAL]]-ExpenseTable[[#This Row],[PROPOSED]]</f>
        <v>1717</v>
      </c>
      <c r="G30" s="7">
        <f>ExpenseTable[[#This Row],[ACTUAL]]-ExpenseTable[[#This Row],[PRIOR YEAR]]</f>
        <v>1717</v>
      </c>
    </row>
    <row r="31" spans="2:7" s="1" customFormat="1" ht="24" customHeight="1" x14ac:dyDescent="0.3">
      <c r="B31" s="4" t="s">
        <v>28</v>
      </c>
      <c r="C31" s="6"/>
      <c r="D31" s="6"/>
      <c r="E31" s="6">
        <f>3063.25+321.9</f>
        <v>3385.15</v>
      </c>
      <c r="F31" s="6">
        <f>ExpenseTable[[#This Row],[ACTUAL]]-ExpenseTable[[#This Row],[PROPOSED]]</f>
        <v>3385.15</v>
      </c>
      <c r="G31" s="7">
        <f>ExpenseTable[[#This Row],[ACTUAL]]-ExpenseTable[[#This Row],[PRIOR YEAR]]</f>
        <v>3385.15</v>
      </c>
    </row>
    <row r="32" spans="2:7" ht="24" customHeight="1" x14ac:dyDescent="0.3">
      <c r="B32" s="4" t="s">
        <v>8</v>
      </c>
      <c r="C32" s="6">
        <v>0</v>
      </c>
      <c r="D32" s="6">
        <v>0</v>
      </c>
      <c r="E32" s="6">
        <v>0</v>
      </c>
      <c r="F32" s="6">
        <f>ExpenseTable[[#This Row],[ACTUAL]]-ExpenseTable[[#This Row],[PROPOSED]]</f>
        <v>0</v>
      </c>
      <c r="G32" s="7">
        <f>ExpenseTable[[#This Row],[ACTUAL]]-ExpenseTable[[#This Row],[PRIOR YEAR]]</f>
        <v>0</v>
      </c>
    </row>
    <row r="33" spans="2:7" s="1" customFormat="1" ht="24" customHeight="1" x14ac:dyDescent="0.3">
      <c r="B33" s="4" t="s">
        <v>23</v>
      </c>
      <c r="C33" s="6">
        <v>0</v>
      </c>
      <c r="D33" s="6">
        <v>1000</v>
      </c>
      <c r="E33" s="6">
        <f>3703.51</f>
        <v>3703.51</v>
      </c>
      <c r="F33" s="6">
        <f>ExpenseTable[[#This Row],[ACTUAL]]-ExpenseTable[[#This Row],[PROPOSED]]</f>
        <v>2703.51</v>
      </c>
      <c r="G33" s="7">
        <f>ExpenseTable[[#This Row],[ACTUAL]]-ExpenseTable[[#This Row],[PRIOR YEAR]]</f>
        <v>3703.51</v>
      </c>
    </row>
    <row r="34" spans="2:7" ht="24" customHeight="1" x14ac:dyDescent="0.3">
      <c r="B34" s="4" t="s">
        <v>5</v>
      </c>
      <c r="C34" s="6">
        <v>90</v>
      </c>
      <c r="D34" s="6">
        <v>1000</v>
      </c>
      <c r="E34" s="6">
        <f>7817.85+3398.75+1844.08</f>
        <v>13060.68</v>
      </c>
      <c r="F34" s="6">
        <f>ExpenseTable[[#This Row],[ACTUAL]]-ExpenseTable[[#This Row],[PROPOSED]]</f>
        <v>12060.68</v>
      </c>
      <c r="G34" s="7">
        <f>ExpenseTable[[#This Row],[ACTUAL]]-ExpenseTable[[#This Row],[PRIOR YEAR]]</f>
        <v>12970.68</v>
      </c>
    </row>
    <row r="35" spans="2:7" ht="24" customHeight="1" x14ac:dyDescent="0.3">
      <c r="B35" s="4" t="s">
        <v>11</v>
      </c>
      <c r="C35" s="6">
        <v>290</v>
      </c>
      <c r="D35" s="6">
        <v>70</v>
      </c>
      <c r="E35" s="6">
        <f>200+40+50+45</f>
        <v>335</v>
      </c>
      <c r="F35" s="6">
        <f>ExpenseTable[[#This Row],[ACTUAL]]-ExpenseTable[[#This Row],[PROPOSED]]</f>
        <v>265</v>
      </c>
      <c r="G35" s="7">
        <f>ExpenseTable[[#This Row],[ACTUAL]]-ExpenseTable[[#This Row],[PRIOR YEAR]]</f>
        <v>45</v>
      </c>
    </row>
    <row r="36" spans="2:7" ht="24" customHeight="1" x14ac:dyDescent="0.3">
      <c r="B36" s="4" t="s">
        <v>9</v>
      </c>
      <c r="C36" s="6"/>
      <c r="D36" s="6">
        <v>1000</v>
      </c>
      <c r="E36" s="6">
        <f>3965.47</f>
        <v>3965.47</v>
      </c>
      <c r="F36" s="6">
        <f>ExpenseTable[[#This Row],[ACTUAL]]-ExpenseTable[[#This Row],[PROPOSED]]</f>
        <v>2965.47</v>
      </c>
      <c r="G36" s="7">
        <f>ExpenseTable[[#This Row],[ACTUAL]]-ExpenseTable[[#This Row],[PRIOR YEAR]]</f>
        <v>3965.47</v>
      </c>
    </row>
    <row r="37" spans="2:7" ht="24" customHeight="1" x14ac:dyDescent="0.3">
      <c r="B37" s="4" t="s">
        <v>4</v>
      </c>
      <c r="C37" s="6"/>
      <c r="D37" s="6"/>
      <c r="E37" s="6">
        <f>350</f>
        <v>350</v>
      </c>
      <c r="F37" s="6">
        <f>ExpenseTable[[#This Row],[ACTUAL]]-ExpenseTable[[#This Row],[PROPOSED]]</f>
        <v>350</v>
      </c>
      <c r="G37" s="7">
        <f>ExpenseTable[[#This Row],[ACTUAL]]-ExpenseTable[[#This Row],[PRIOR YEAR]]</f>
        <v>350</v>
      </c>
    </row>
    <row r="38" spans="2:7" ht="24" customHeight="1" x14ac:dyDescent="0.3">
      <c r="B38" s="4" t="s">
        <v>6</v>
      </c>
      <c r="C38" s="6"/>
      <c r="D38" s="6"/>
      <c r="E38" s="6">
        <v>2880</v>
      </c>
      <c r="F38" s="6">
        <f>ExpenseTable[[#This Row],[ACTUAL]]-ExpenseTable[[#This Row],[PROPOSED]]</f>
        <v>2880</v>
      </c>
      <c r="G38" s="7">
        <f>ExpenseTable[[#This Row],[ACTUAL]]-ExpenseTable[[#This Row],[PRIOR YEAR]]</f>
        <v>2880</v>
      </c>
    </row>
    <row r="39" spans="2:7" ht="24" customHeight="1" x14ac:dyDescent="0.3">
      <c r="B39" s="4" t="s">
        <v>12</v>
      </c>
      <c r="C39" s="6"/>
      <c r="D39" s="6">
        <v>150</v>
      </c>
      <c r="E39" s="6">
        <f>1325</f>
        <v>1325</v>
      </c>
      <c r="F39" s="6">
        <f>ExpenseTable[[#This Row],[ACTUAL]]-ExpenseTable[[#This Row],[PROPOSED]]</f>
        <v>1175</v>
      </c>
      <c r="G39" s="7">
        <f>ExpenseTable[[#This Row],[ACTUAL]]-ExpenseTable[[#This Row],[PRIOR YEAR]]</f>
        <v>1325</v>
      </c>
    </row>
    <row r="40" spans="2:7" ht="24" customHeight="1" x14ac:dyDescent="0.3">
      <c r="B40" s="4" t="s">
        <v>27</v>
      </c>
      <c r="C40" s="6"/>
      <c r="D40" s="6"/>
      <c r="E40" s="6">
        <f>2524+905.06</f>
        <v>3429.06</v>
      </c>
      <c r="F40" s="6">
        <f>ExpenseTable[[#This Row],[ACTUAL]]-ExpenseTable[[#This Row],[PROPOSED]]</f>
        <v>3429.06</v>
      </c>
      <c r="G40" s="7">
        <f>ExpenseTable[[#This Row],[ACTUAL]]-ExpenseTable[[#This Row],[PRIOR YEAR]]</f>
        <v>3429.06</v>
      </c>
    </row>
    <row r="41" spans="2:7" ht="24" customHeight="1" x14ac:dyDescent="0.3">
      <c r="B41" s="4" t="s">
        <v>29</v>
      </c>
      <c r="C41" s="6"/>
      <c r="D41" s="6"/>
      <c r="E41" s="6">
        <f>64.25+620.36</f>
        <v>684.61</v>
      </c>
      <c r="F41" s="6">
        <f>ExpenseTable[[#This Row],[ACTUAL]]-ExpenseTable[[#This Row],[PROPOSED]]</f>
        <v>684.61</v>
      </c>
      <c r="G41" s="7">
        <f>ExpenseTable[[#This Row],[ACTUAL]]-ExpenseTable[[#This Row],[PRIOR YEAR]]</f>
        <v>684.61</v>
      </c>
    </row>
    <row r="42" spans="2:7" ht="24" customHeight="1" x14ac:dyDescent="0.3">
      <c r="B42" s="4" t="s">
        <v>10</v>
      </c>
      <c r="C42" s="6">
        <v>10</v>
      </c>
      <c r="D42" s="6">
        <v>150</v>
      </c>
      <c r="E42" s="6">
        <f>330.28</f>
        <v>330.28</v>
      </c>
      <c r="F42" s="6">
        <f>ExpenseTable[[#This Row],[ACTUAL]]-ExpenseTable[[#This Row],[PROPOSED]]</f>
        <v>180.27999999999997</v>
      </c>
      <c r="G42" s="7">
        <f>ExpenseTable[[#This Row],[ACTUAL]]-ExpenseTable[[#This Row],[PRIOR YEAR]]</f>
        <v>320.27999999999997</v>
      </c>
    </row>
    <row r="43" spans="2:7" ht="24" customHeight="1" x14ac:dyDescent="0.3">
      <c r="B43" s="4" t="s">
        <v>20</v>
      </c>
      <c r="C43" s="8">
        <f>SUBTOTAL(109,ExpenseTable[PRIOR YEAR])</f>
        <v>400</v>
      </c>
      <c r="D43" s="8">
        <f>SUBTOTAL(109,ExpenseTable[PROPOSED])</f>
        <v>5120</v>
      </c>
      <c r="E43" s="8">
        <f>SUBTOTAL(109,ExpenseTable[ACTUAL])</f>
        <v>60878</v>
      </c>
      <c r="F43" s="8">
        <f>SUBTOTAL(109,ExpenseTable[VARIANCE])</f>
        <v>55758</v>
      </c>
      <c r="G43" s="9">
        <f>SUBTOTAL(109,ExpenseTable[+/- PRIOR YEAR])</f>
        <v>60478</v>
      </c>
    </row>
  </sheetData>
  <mergeCells count="2">
    <mergeCell ref="B23:F23"/>
    <mergeCell ref="B18:G18"/>
  </mergeCells>
  <conditionalFormatting sqref="C11:G17 C28:G43">
    <cfRule type="expression" dxfId="71" priority="3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37093-318E-4C0A-A219-AA711D903DA4}">
  <dimension ref="B1:H43"/>
  <sheetViews>
    <sheetView workbookViewId="0">
      <selection activeCell="M5" sqref="M5:N7"/>
    </sheetView>
  </sheetViews>
  <sheetFormatPr defaultRowHeight="24" customHeight="1" x14ac:dyDescent="0.3"/>
  <cols>
    <col min="1" max="1" width="2.88671875" style="1" customWidth="1"/>
    <col min="2" max="2" width="38.6640625" style="1" customWidth="1"/>
    <col min="3" max="8" width="18.88671875" style="1" customWidth="1"/>
    <col min="9" max="16384" width="8.88671875" style="1"/>
  </cols>
  <sheetData>
    <row r="1" spans="2:8" ht="58.5" customHeight="1" x14ac:dyDescent="0.85">
      <c r="B1" s="3" t="s">
        <v>22</v>
      </c>
      <c r="F1" s="10" t="s">
        <v>13</v>
      </c>
      <c r="G1" s="2">
        <v>2018</v>
      </c>
    </row>
    <row r="2" spans="2:8" ht="24" customHeight="1" x14ac:dyDescent="0.85">
      <c r="B2" s="3"/>
      <c r="F2" s="10"/>
      <c r="G2" s="2"/>
    </row>
    <row r="9" spans="2:8" ht="24" customHeight="1" x14ac:dyDescent="0.35">
      <c r="B9" s="25"/>
      <c r="C9" s="20" t="str">
        <f>CONCATENATE("FY ",FY-1)</f>
        <v>FY 2016</v>
      </c>
      <c r="D9" s="20" t="str">
        <f>CONCATENATE("FY ",FY)</f>
        <v>FY 2017</v>
      </c>
      <c r="E9" s="20" t="str">
        <f>CONCATENATE("FY ",FY)</f>
        <v>FY 2017</v>
      </c>
      <c r="F9" s="20" t="str">
        <f>CONCATENATE("FY ",FY)</f>
        <v>FY 2017</v>
      </c>
      <c r="G9" s="21" t="str">
        <f>CONCATENATE("FY ",FY)</f>
        <v>FY 2017</v>
      </c>
      <c r="H9" s="21" t="str">
        <f>CONCATENATE("FY ",FY+1)</f>
        <v>FY 2018</v>
      </c>
    </row>
    <row r="10" spans="2:8" ht="24" customHeight="1" x14ac:dyDescent="0.3">
      <c r="B10" s="24" t="s">
        <v>18</v>
      </c>
      <c r="C10" s="22" t="s">
        <v>14</v>
      </c>
      <c r="D10" s="22" t="s">
        <v>15</v>
      </c>
      <c r="E10" s="22" t="s">
        <v>16</v>
      </c>
      <c r="F10" s="22" t="s">
        <v>21</v>
      </c>
      <c r="G10" s="23" t="s">
        <v>17</v>
      </c>
      <c r="H10" s="22" t="s">
        <v>33</v>
      </c>
    </row>
    <row r="11" spans="2:8" ht="24" customHeight="1" x14ac:dyDescent="0.3">
      <c r="B11" s="11" t="s">
        <v>1</v>
      </c>
      <c r="C11" s="12">
        <v>0</v>
      </c>
      <c r="D11" s="12">
        <v>2500</v>
      </c>
      <c r="E11" s="12">
        <f>2371+920+2532</f>
        <v>5823</v>
      </c>
      <c r="F11" s="12">
        <f>RevenueTable6[[#This Row],[ACTUAL]]-RevenueTable6[[#This Row],[PROPOSED]]</f>
        <v>3323</v>
      </c>
      <c r="G11" s="13">
        <f>RevenueTable6[[#This Row],[ACTUAL]]-RevenueTable6[[#This Row],[PRIOR YEAR]]</f>
        <v>5823</v>
      </c>
      <c r="H11" s="27">
        <v>255</v>
      </c>
    </row>
    <row r="12" spans="2:8" ht="24" customHeight="1" x14ac:dyDescent="0.3">
      <c r="B12" s="11" t="s">
        <v>0</v>
      </c>
      <c r="C12" s="12">
        <v>0</v>
      </c>
      <c r="D12" s="12">
        <v>5000</v>
      </c>
      <c r="E12" s="12">
        <v>1600</v>
      </c>
      <c r="F12" s="12">
        <f>RevenueTable6[[#This Row],[ACTUAL]]-RevenueTable6[[#This Row],[PROPOSED]]</f>
        <v>-3400</v>
      </c>
      <c r="G12" s="13">
        <f>RevenueTable6[[#This Row],[ACTUAL]]-RevenueTable6[[#This Row],[PRIOR YEAR]]</f>
        <v>1600</v>
      </c>
      <c r="H12" s="27"/>
    </row>
    <row r="13" spans="2:8" ht="24" customHeight="1" x14ac:dyDescent="0.3">
      <c r="B13" s="11" t="s">
        <v>31</v>
      </c>
      <c r="C13" s="12">
        <v>400</v>
      </c>
      <c r="D13" s="12">
        <v>1500</v>
      </c>
      <c r="E13" s="12">
        <f>150+100+200+200+150+25+25+175+100+400+700+500+400+250+1750</f>
        <v>5125</v>
      </c>
      <c r="F13" s="12">
        <f>RevenueTable6[[#This Row],[ACTUAL]]-RevenueTable6[[#This Row],[PROPOSED]]</f>
        <v>3625</v>
      </c>
      <c r="G13" s="13">
        <f>RevenueTable6[[#This Row],[ACTUAL]]-RevenueTable6[[#This Row],[PRIOR YEAR]]</f>
        <v>4725</v>
      </c>
      <c r="H13" s="27">
        <v>4325</v>
      </c>
    </row>
    <row r="14" spans="2:8" ht="24" customHeight="1" x14ac:dyDescent="0.3">
      <c r="B14" s="11" t="s">
        <v>24</v>
      </c>
      <c r="C14" s="12"/>
      <c r="D14" s="12"/>
      <c r="E14" s="12">
        <v>29224.48</v>
      </c>
      <c r="F14" s="12">
        <f>RevenueTable6[[#This Row],[ACTUAL]]-RevenueTable6[[#This Row],[PROPOSED]]</f>
        <v>29224.48</v>
      </c>
      <c r="G14" s="13">
        <f>RevenueTable6[[#This Row],[ACTUAL]]-RevenueTable6[[#This Row],[PRIOR YEAR]]</f>
        <v>29224.48</v>
      </c>
      <c r="H14" s="27">
        <v>12546.67</v>
      </c>
    </row>
    <row r="15" spans="2:8" ht="24" customHeight="1" x14ac:dyDescent="0.3">
      <c r="B15" s="11" t="s">
        <v>2</v>
      </c>
      <c r="C15" s="12"/>
      <c r="D15" s="12"/>
      <c r="E15" s="12"/>
      <c r="F15" s="12">
        <f>RevenueTable6[[#This Row],[ACTUAL]]-RevenueTable6[[#This Row],[PROPOSED]]</f>
        <v>0</v>
      </c>
      <c r="G15" s="13">
        <f>RevenueTable6[[#This Row],[ACTUAL]]-RevenueTable6[[#This Row],[PRIOR YEAR]]</f>
        <v>0</v>
      </c>
      <c r="H15" s="27"/>
    </row>
    <row r="16" spans="2:8" ht="24" customHeight="1" x14ac:dyDescent="0.3">
      <c r="B16" s="11" t="s">
        <v>3</v>
      </c>
      <c r="C16" s="12"/>
      <c r="D16" s="12"/>
      <c r="E16" s="12"/>
      <c r="F16" s="12">
        <f>RevenueTable6[[#This Row],[ACTUAL]]-RevenueTable6[[#This Row],[PROPOSED]]</f>
        <v>0</v>
      </c>
      <c r="G16" s="13">
        <f>RevenueTable6[[#This Row],[ACTUAL]]-RevenueTable6[[#This Row],[PRIOR YEAR]]</f>
        <v>0</v>
      </c>
      <c r="H16" s="27"/>
    </row>
    <row r="17" spans="2:8" ht="24" customHeight="1" x14ac:dyDescent="0.3">
      <c r="B17" s="11" t="s">
        <v>20</v>
      </c>
      <c r="C17" s="14">
        <f>SUBTOTAL(109,RevenueTable6[PRIOR YEAR])</f>
        <v>400</v>
      </c>
      <c r="D17" s="14">
        <f>SUBTOTAL(109,RevenueTable6[PROPOSED])</f>
        <v>9000</v>
      </c>
      <c r="E17" s="14">
        <f>SUBTOTAL(109,RevenueTable6[ACTUAL])</f>
        <v>41772.479999999996</v>
      </c>
      <c r="F17" s="14">
        <f>SUBTOTAL(109,RevenueTable6[VARIANCE])</f>
        <v>32772.479999999996</v>
      </c>
      <c r="G17" s="15">
        <f>SUBTOTAL(109,RevenueTable6[+/- PRIOR YEAR])</f>
        <v>41372.479999999996</v>
      </c>
      <c r="H17" s="14">
        <f>SUBTOTAL(109,RevenueTable6[[ ]])</f>
        <v>17126.669999999998</v>
      </c>
    </row>
    <row r="18" spans="2:8" s="25" customFormat="1" ht="24" customHeight="1" x14ac:dyDescent="0.3">
      <c r="B18" s="35"/>
      <c r="C18" s="35"/>
      <c r="D18" s="35"/>
      <c r="E18" s="35"/>
      <c r="F18" s="35"/>
      <c r="G18" s="35"/>
    </row>
    <row r="19" spans="2:8" s="25" customFormat="1" ht="24" customHeight="1" x14ac:dyDescent="0.3">
      <c r="B19" s="17"/>
      <c r="C19" s="18"/>
      <c r="D19" s="18"/>
      <c r="E19" s="18"/>
      <c r="F19" s="18"/>
      <c r="G19" s="19"/>
    </row>
    <row r="20" spans="2:8" s="25" customFormat="1" ht="24" customHeight="1" x14ac:dyDescent="0.3">
      <c r="B20" s="17"/>
      <c r="C20" s="18"/>
      <c r="D20" s="18"/>
      <c r="E20" s="18"/>
      <c r="F20" s="18"/>
      <c r="G20" s="19"/>
    </row>
    <row r="21" spans="2:8" s="25" customFormat="1" ht="24" customHeight="1" x14ac:dyDescent="0.3">
      <c r="B21" s="17"/>
      <c r="C21" s="18"/>
      <c r="D21" s="18"/>
      <c r="E21" s="18"/>
      <c r="F21" s="18"/>
      <c r="G21" s="19"/>
    </row>
    <row r="22" spans="2:8" s="25" customFormat="1" ht="24" customHeight="1" x14ac:dyDescent="0.3">
      <c r="B22" s="17"/>
      <c r="C22" s="18"/>
      <c r="D22" s="18"/>
      <c r="E22" s="18"/>
      <c r="F22" s="18"/>
      <c r="G22" s="19"/>
    </row>
    <row r="23" spans="2:8" s="25" customFormat="1" ht="24" customHeight="1" x14ac:dyDescent="0.3">
      <c r="B23" s="34"/>
      <c r="C23" s="34"/>
      <c r="D23" s="34"/>
      <c r="E23" s="34"/>
      <c r="F23" s="34"/>
    </row>
    <row r="26" spans="2:8" ht="24" customHeight="1" x14ac:dyDescent="0.35">
      <c r="C26" s="20" t="str">
        <f>CONCATENATE("FY ",FY-1)</f>
        <v>FY 2016</v>
      </c>
      <c r="D26" s="20" t="str">
        <f>CONCATENATE("FY ",FY)</f>
        <v>FY 2017</v>
      </c>
      <c r="E26" s="20" t="str">
        <f>CONCATENATE("FY ",FY)</f>
        <v>FY 2017</v>
      </c>
      <c r="F26" s="20" t="str">
        <f>CONCATENATE("FY ",FY)</f>
        <v>FY 2017</v>
      </c>
      <c r="G26" s="21" t="str">
        <f>CONCATENATE("FY ",FY)</f>
        <v>FY 2017</v>
      </c>
      <c r="H26" s="21" t="str">
        <f>CONCATENATE("FY ",FY+1)</f>
        <v>FY 2018</v>
      </c>
    </row>
    <row r="27" spans="2:8" ht="24" customHeight="1" x14ac:dyDescent="0.3">
      <c r="B27" s="5" t="s">
        <v>19</v>
      </c>
      <c r="C27" s="22" t="s">
        <v>14</v>
      </c>
      <c r="D27" s="22" t="s">
        <v>15</v>
      </c>
      <c r="E27" s="22" t="s">
        <v>16</v>
      </c>
      <c r="F27" s="22" t="s">
        <v>21</v>
      </c>
      <c r="G27" s="23" t="s">
        <v>17</v>
      </c>
      <c r="H27" s="1" t="s">
        <v>32</v>
      </c>
    </row>
    <row r="28" spans="2:8" ht="24" customHeight="1" x14ac:dyDescent="0.3">
      <c r="B28" s="4" t="s">
        <v>30</v>
      </c>
      <c r="C28" s="6">
        <v>0</v>
      </c>
      <c r="D28" s="6">
        <v>1000</v>
      </c>
      <c r="E28" s="6">
        <f>400+1295+8475+303+14612.24</f>
        <v>25085.239999999998</v>
      </c>
      <c r="F28" s="6">
        <f>ExpenseTable7[[#This Row],[ACTUAL]]-ExpenseTable7[[#This Row],[PROPOSED]]</f>
        <v>24085.239999999998</v>
      </c>
      <c r="G28" s="7">
        <f>ExpenseTable7[[#This Row],[ACTUAL]]-ExpenseTable7[[#This Row],[PRIOR YEAR]]</f>
        <v>25085.239999999998</v>
      </c>
      <c r="H28" s="6">
        <v>0</v>
      </c>
    </row>
    <row r="29" spans="2:8" ht="24" customHeight="1" x14ac:dyDescent="0.3">
      <c r="B29" s="4" t="s">
        <v>7</v>
      </c>
      <c r="C29" s="6">
        <v>10</v>
      </c>
      <c r="D29" s="6">
        <v>750</v>
      </c>
      <c r="E29" s="6">
        <f>127+250+250</f>
        <v>627</v>
      </c>
      <c r="F29" s="6">
        <f>ExpenseTable7[[#This Row],[ACTUAL]]-ExpenseTable7[[#This Row],[PROPOSED]]</f>
        <v>-123</v>
      </c>
      <c r="G29" s="7">
        <f>ExpenseTable7[[#This Row],[ACTUAL]]-ExpenseTable7[[#This Row],[PRIOR YEAR]]</f>
        <v>617</v>
      </c>
      <c r="H29" s="6">
        <v>0</v>
      </c>
    </row>
    <row r="30" spans="2:8" ht="24" customHeight="1" x14ac:dyDescent="0.3">
      <c r="B30" s="4" t="s">
        <v>26</v>
      </c>
      <c r="C30" s="6">
        <v>0</v>
      </c>
      <c r="D30" s="6">
        <v>0</v>
      </c>
      <c r="E30" s="6">
        <f>1717</f>
        <v>1717</v>
      </c>
      <c r="F30" s="6">
        <f>ExpenseTable7[[#This Row],[ACTUAL]]-ExpenseTable7[[#This Row],[PROPOSED]]</f>
        <v>1717</v>
      </c>
      <c r="G30" s="7">
        <f>ExpenseTable7[[#This Row],[ACTUAL]]-ExpenseTable7[[#This Row],[PRIOR YEAR]]</f>
        <v>1717</v>
      </c>
      <c r="H30" s="6">
        <v>0</v>
      </c>
    </row>
    <row r="31" spans="2:8" ht="24" customHeight="1" x14ac:dyDescent="0.3">
      <c r="B31" s="4" t="s">
        <v>28</v>
      </c>
      <c r="C31" s="6"/>
      <c r="D31" s="6"/>
      <c r="E31" s="6">
        <f>3063.25+321.9</f>
        <v>3385.15</v>
      </c>
      <c r="F31" s="6">
        <f>ExpenseTable7[[#This Row],[ACTUAL]]-ExpenseTable7[[#This Row],[PROPOSED]]</f>
        <v>3385.15</v>
      </c>
      <c r="G31" s="7">
        <f>ExpenseTable7[[#This Row],[ACTUAL]]-ExpenseTable7[[#This Row],[PRIOR YEAR]]</f>
        <v>3385.15</v>
      </c>
      <c r="H31" s="6">
        <f>2167.75+124.72</f>
        <v>2292.4699999999998</v>
      </c>
    </row>
    <row r="32" spans="2:8" ht="24" customHeight="1" x14ac:dyDescent="0.3">
      <c r="B32" s="4" t="s">
        <v>8</v>
      </c>
      <c r="C32" s="6">
        <v>0</v>
      </c>
      <c r="D32" s="6">
        <v>0</v>
      </c>
      <c r="E32" s="6">
        <v>0</v>
      </c>
      <c r="F32" s="6">
        <f>ExpenseTable7[[#This Row],[ACTUAL]]-ExpenseTable7[[#This Row],[PROPOSED]]</f>
        <v>0</v>
      </c>
      <c r="G32" s="7">
        <f>ExpenseTable7[[#This Row],[ACTUAL]]-ExpenseTable7[[#This Row],[PRIOR YEAR]]</f>
        <v>0</v>
      </c>
      <c r="H32" s="6">
        <v>0</v>
      </c>
    </row>
    <row r="33" spans="2:8" ht="24" customHeight="1" x14ac:dyDescent="0.3">
      <c r="B33" s="4" t="s">
        <v>23</v>
      </c>
      <c r="C33" s="6">
        <v>0</v>
      </c>
      <c r="D33" s="6">
        <v>1000</v>
      </c>
      <c r="E33" s="6">
        <f>3703.51</f>
        <v>3703.51</v>
      </c>
      <c r="F33" s="6">
        <f>ExpenseTable7[[#This Row],[ACTUAL]]-ExpenseTable7[[#This Row],[PROPOSED]]</f>
        <v>2703.51</v>
      </c>
      <c r="G33" s="7">
        <f>ExpenseTable7[[#This Row],[ACTUAL]]-ExpenseTable7[[#This Row],[PRIOR YEAR]]</f>
        <v>3703.51</v>
      </c>
      <c r="H33" s="6">
        <f>5156.53</f>
        <v>5156.53</v>
      </c>
    </row>
    <row r="34" spans="2:8" ht="24" customHeight="1" x14ac:dyDescent="0.3">
      <c r="B34" s="4" t="s">
        <v>5</v>
      </c>
      <c r="C34" s="6">
        <v>90</v>
      </c>
      <c r="D34" s="6">
        <v>1000</v>
      </c>
      <c r="E34" s="6">
        <f>7817.85+3398.75+1844.08</f>
        <v>13060.68</v>
      </c>
      <c r="F34" s="6">
        <f>ExpenseTable7[[#This Row],[ACTUAL]]-ExpenseTable7[[#This Row],[PROPOSED]]</f>
        <v>12060.68</v>
      </c>
      <c r="G34" s="7">
        <f>ExpenseTable7[[#This Row],[ACTUAL]]-ExpenseTable7[[#This Row],[PRIOR YEAR]]</f>
        <v>12970.68</v>
      </c>
      <c r="H34" s="6">
        <f>1053.97+3922.38+8528.11+176</f>
        <v>13680.460000000001</v>
      </c>
    </row>
    <row r="35" spans="2:8" ht="24" customHeight="1" x14ac:dyDescent="0.3">
      <c r="B35" s="4" t="s">
        <v>11</v>
      </c>
      <c r="C35" s="6">
        <v>290</v>
      </c>
      <c r="D35" s="6">
        <v>70</v>
      </c>
      <c r="E35" s="6">
        <f>200+40+50+45</f>
        <v>335</v>
      </c>
      <c r="F35" s="6">
        <f>ExpenseTable7[[#This Row],[ACTUAL]]-ExpenseTable7[[#This Row],[PROPOSED]]</f>
        <v>265</v>
      </c>
      <c r="G35" s="7">
        <f>ExpenseTable7[[#This Row],[ACTUAL]]-ExpenseTable7[[#This Row],[PRIOR YEAR]]</f>
        <v>45</v>
      </c>
      <c r="H35" s="6">
        <f>300+45+20</f>
        <v>365</v>
      </c>
    </row>
    <row r="36" spans="2:8" ht="24" customHeight="1" x14ac:dyDescent="0.3">
      <c r="B36" s="4" t="s">
        <v>9</v>
      </c>
      <c r="C36" s="6"/>
      <c r="D36" s="6">
        <v>1000</v>
      </c>
      <c r="E36" s="6">
        <f>3965.47</f>
        <v>3965.47</v>
      </c>
      <c r="F36" s="6">
        <f>ExpenseTable7[[#This Row],[ACTUAL]]-ExpenseTable7[[#This Row],[PROPOSED]]</f>
        <v>2965.47</v>
      </c>
      <c r="G36" s="7">
        <f>ExpenseTable7[[#This Row],[ACTUAL]]-ExpenseTable7[[#This Row],[PRIOR YEAR]]</f>
        <v>3965.47</v>
      </c>
      <c r="H36" s="6">
        <f>120.31</f>
        <v>120.31</v>
      </c>
    </row>
    <row r="37" spans="2:8" ht="24" customHeight="1" x14ac:dyDescent="0.3">
      <c r="B37" s="4" t="s">
        <v>4</v>
      </c>
      <c r="C37" s="6"/>
      <c r="D37" s="6"/>
      <c r="E37" s="6">
        <f>350</f>
        <v>350</v>
      </c>
      <c r="F37" s="6">
        <f>ExpenseTable7[[#This Row],[ACTUAL]]-ExpenseTable7[[#This Row],[PROPOSED]]</f>
        <v>350</v>
      </c>
      <c r="G37" s="7">
        <f>ExpenseTable7[[#This Row],[ACTUAL]]-ExpenseTable7[[#This Row],[PRIOR YEAR]]</f>
        <v>350</v>
      </c>
      <c r="H37" s="6">
        <f>350</f>
        <v>350</v>
      </c>
    </row>
    <row r="38" spans="2:8" ht="24" customHeight="1" x14ac:dyDescent="0.3">
      <c r="B38" s="4" t="s">
        <v>6</v>
      </c>
      <c r="C38" s="6"/>
      <c r="D38" s="6"/>
      <c r="E38" s="6">
        <v>2880</v>
      </c>
      <c r="F38" s="6">
        <f>ExpenseTable7[[#This Row],[ACTUAL]]-ExpenseTable7[[#This Row],[PROPOSED]]</f>
        <v>2880</v>
      </c>
      <c r="G38" s="7">
        <f>ExpenseTable7[[#This Row],[ACTUAL]]-ExpenseTable7[[#This Row],[PRIOR YEAR]]</f>
        <v>2880</v>
      </c>
      <c r="H38" s="6">
        <f>2640</f>
        <v>2640</v>
      </c>
    </row>
    <row r="39" spans="2:8" ht="24" customHeight="1" x14ac:dyDescent="0.3">
      <c r="B39" s="4" t="s">
        <v>12</v>
      </c>
      <c r="C39" s="6"/>
      <c r="D39" s="6">
        <v>150</v>
      </c>
      <c r="E39" s="6">
        <f>1325</f>
        <v>1325</v>
      </c>
      <c r="F39" s="6">
        <f>ExpenseTable7[[#This Row],[ACTUAL]]-ExpenseTable7[[#This Row],[PROPOSED]]</f>
        <v>1175</v>
      </c>
      <c r="G39" s="7">
        <f>ExpenseTable7[[#This Row],[ACTUAL]]-ExpenseTable7[[#This Row],[PRIOR YEAR]]</f>
        <v>1325</v>
      </c>
      <c r="H39" s="6">
        <f>1848</f>
        <v>1848</v>
      </c>
    </row>
    <row r="40" spans="2:8" ht="24" customHeight="1" x14ac:dyDescent="0.3">
      <c r="B40" s="4" t="s">
        <v>27</v>
      </c>
      <c r="C40" s="6"/>
      <c r="D40" s="6"/>
      <c r="E40" s="6">
        <f>2524+905.06</f>
        <v>3429.06</v>
      </c>
      <c r="F40" s="6">
        <f>ExpenseTable7[[#This Row],[ACTUAL]]-ExpenseTable7[[#This Row],[PROPOSED]]</f>
        <v>3429.06</v>
      </c>
      <c r="G40" s="7">
        <f>ExpenseTable7[[#This Row],[ACTUAL]]-ExpenseTable7[[#This Row],[PRIOR YEAR]]</f>
        <v>3429.06</v>
      </c>
      <c r="H40" s="6">
        <f>1749.77+390.21</f>
        <v>2139.98</v>
      </c>
    </row>
    <row r="41" spans="2:8" ht="24" customHeight="1" x14ac:dyDescent="0.3">
      <c r="B41" s="4" t="s">
        <v>29</v>
      </c>
      <c r="C41" s="6"/>
      <c r="D41" s="6"/>
      <c r="E41" s="6">
        <f>64.25+620.36</f>
        <v>684.61</v>
      </c>
      <c r="F41" s="6">
        <f>ExpenseTable7[[#This Row],[ACTUAL]]-ExpenseTable7[[#This Row],[PROPOSED]]</f>
        <v>684.61</v>
      </c>
      <c r="G41" s="7">
        <f>ExpenseTable7[[#This Row],[ACTUAL]]-ExpenseTable7[[#This Row],[PRIOR YEAR]]</f>
        <v>684.61</v>
      </c>
      <c r="H41" s="6">
        <f>528.1</f>
        <v>528.1</v>
      </c>
    </row>
    <row r="42" spans="2:8" ht="24" customHeight="1" x14ac:dyDescent="0.3">
      <c r="B42" s="4" t="s">
        <v>10</v>
      </c>
      <c r="C42" s="6">
        <v>10</v>
      </c>
      <c r="D42" s="6">
        <v>150</v>
      </c>
      <c r="E42" s="6">
        <f>330.28</f>
        <v>330.28</v>
      </c>
      <c r="F42" s="6">
        <f>ExpenseTable7[[#This Row],[ACTUAL]]-ExpenseTable7[[#This Row],[PROPOSED]]</f>
        <v>180.27999999999997</v>
      </c>
      <c r="G42" s="7">
        <f>ExpenseTable7[[#This Row],[ACTUAL]]-ExpenseTable7[[#This Row],[PRIOR YEAR]]</f>
        <v>320.27999999999997</v>
      </c>
      <c r="H42" s="6">
        <f>127.93</f>
        <v>127.93</v>
      </c>
    </row>
    <row r="43" spans="2:8" ht="24" customHeight="1" x14ac:dyDescent="0.3">
      <c r="B43" s="4" t="s">
        <v>20</v>
      </c>
      <c r="C43" s="8">
        <f>SUBTOTAL(109,ExpenseTable7[PRIOR YEAR])</f>
        <v>400</v>
      </c>
      <c r="D43" s="8">
        <f>SUBTOTAL(109,ExpenseTable7[PROPOSED])</f>
        <v>5120</v>
      </c>
      <c r="E43" s="8">
        <f>SUBTOTAL(109,ExpenseTable7[ACTUAL])</f>
        <v>60878</v>
      </c>
      <c r="F43" s="8">
        <f>SUBTOTAL(109,ExpenseTable7[VARIANCE])</f>
        <v>55758</v>
      </c>
      <c r="G43" s="9">
        <f>SUBTOTAL(109,ExpenseTable7[+/- PRIOR YEAR])</f>
        <v>60478</v>
      </c>
      <c r="H43" s="8">
        <f>SUBTOTAL(109,ExpenseTable7[Column1])</f>
        <v>29248.78</v>
      </c>
    </row>
  </sheetData>
  <mergeCells count="2">
    <mergeCell ref="B18:G18"/>
    <mergeCell ref="B23:F23"/>
  </mergeCells>
  <conditionalFormatting sqref="C11:G17 C28:G43">
    <cfRule type="expression" dxfId="70" priority="1">
      <formula>C11&lt;0</formula>
    </cfRule>
  </conditionalFormatting>
  <pageMargins left="0.7" right="0.7" top="0.75" bottom="0.75" header="0.3" footer="0.3"/>
  <pageSetup orientation="portrait" verticalDpi="300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96549-0B7F-4546-84B4-D0409A60A166}">
  <dimension ref="A1:J45"/>
  <sheetViews>
    <sheetView topLeftCell="B1" workbookViewId="0">
      <pane xSplit="1" topLeftCell="D1" activePane="topRight" state="frozen"/>
      <selection activeCell="B20" sqref="B20"/>
      <selection pane="topRight" activeCell="B1" sqref="A1:XFD1048576"/>
    </sheetView>
  </sheetViews>
  <sheetFormatPr defaultRowHeight="24" customHeight="1" x14ac:dyDescent="0.3"/>
  <cols>
    <col min="1" max="1" width="2.88671875" style="1" hidden="1" customWidth="1"/>
    <col min="2" max="2" width="38.6640625" style="1" customWidth="1"/>
    <col min="3" max="8" width="18.88671875" style="1" customWidth="1"/>
    <col min="9" max="9" width="13.88671875" style="1" bestFit="1" customWidth="1"/>
    <col min="10" max="10" width="13.109375" style="1" customWidth="1"/>
    <col min="11" max="16384" width="8.88671875" style="1"/>
  </cols>
  <sheetData>
    <row r="1" spans="1:10" ht="58.5" customHeight="1" x14ac:dyDescent="0.85">
      <c r="B1" s="3" t="s">
        <v>22</v>
      </c>
      <c r="F1" s="10" t="s">
        <v>13</v>
      </c>
      <c r="G1" s="2">
        <v>2019</v>
      </c>
    </row>
    <row r="2" spans="1:10" ht="24" customHeight="1" x14ac:dyDescent="0.85">
      <c r="B2" s="3"/>
      <c r="F2" s="10"/>
      <c r="G2" s="2"/>
    </row>
    <row r="9" spans="1:10" ht="24" customHeight="1" x14ac:dyDescent="0.35">
      <c r="A9" s="28"/>
      <c r="B9" s="29"/>
      <c r="C9" s="30" t="str">
        <f>CONCATENATE("FY ",FY-1)</f>
        <v>FY 2016</v>
      </c>
      <c r="D9" s="30" t="str">
        <f>CONCATENATE("FY ",FY)</f>
        <v>FY 2017</v>
      </c>
      <c r="E9" s="30" t="str">
        <f>CONCATENATE("FY ",FY)</f>
        <v>FY 2017</v>
      </c>
      <c r="F9" s="30" t="str">
        <f>CONCATENATE("FY ",FY)</f>
        <v>FY 2017</v>
      </c>
      <c r="G9" s="31" t="str">
        <f>CONCATENATE("FY ",FY)</f>
        <v>FY 2017</v>
      </c>
      <c r="H9" s="31" t="str">
        <f>CONCATENATE("FY ",FY+1)</f>
        <v>FY 2018</v>
      </c>
      <c r="I9" s="31" t="str">
        <f>CONCATENATE("FY ",FY+2)</f>
        <v>FY 2019</v>
      </c>
      <c r="J9" s="31" t="str">
        <f>CONCATENATE("FY ",FY+2)</f>
        <v>FY 2019</v>
      </c>
    </row>
    <row r="10" spans="1:10" ht="24" customHeight="1" x14ac:dyDescent="0.3">
      <c r="B10" s="24" t="s">
        <v>18</v>
      </c>
      <c r="C10" s="22" t="s">
        <v>14</v>
      </c>
      <c r="D10" s="22" t="s">
        <v>34</v>
      </c>
      <c r="E10" s="22" t="s">
        <v>35</v>
      </c>
      <c r="F10" s="22" t="s">
        <v>21</v>
      </c>
      <c r="G10" s="23" t="s">
        <v>17</v>
      </c>
      <c r="H10" s="22" t="s">
        <v>36</v>
      </c>
      <c r="I10" s="22" t="s">
        <v>37</v>
      </c>
      <c r="J10" s="22" t="s">
        <v>38</v>
      </c>
    </row>
    <row r="11" spans="1:10" ht="24" customHeight="1" x14ac:dyDescent="0.3">
      <c r="B11" s="11" t="s">
        <v>1</v>
      </c>
      <c r="C11" s="12">
        <v>0</v>
      </c>
      <c r="D11" s="12">
        <v>2500</v>
      </c>
      <c r="E11" s="12">
        <f>2371+920+2532</f>
        <v>5823</v>
      </c>
      <c r="F11" s="12">
        <f>RevenueTable610[[#This Row],[2017 ACTUAL]]-RevenueTable610[[#This Row],[2017 PROPOSED]]</f>
        <v>3323</v>
      </c>
      <c r="G11" s="13">
        <f>RevenueTable610[[#This Row],[2017 ACTUAL]]-RevenueTable610[[#This Row],[PRIOR YEAR]]</f>
        <v>5823</v>
      </c>
      <c r="H11" s="27">
        <v>255</v>
      </c>
      <c r="I11" s="27">
        <v>5000</v>
      </c>
      <c r="J11" s="27">
        <v>841.55</v>
      </c>
    </row>
    <row r="12" spans="1:10" ht="24" customHeight="1" x14ac:dyDescent="0.3">
      <c r="B12" s="11" t="s">
        <v>0</v>
      </c>
      <c r="C12" s="12">
        <v>0</v>
      </c>
      <c r="D12" s="12">
        <v>5000</v>
      </c>
      <c r="E12" s="12">
        <v>1600</v>
      </c>
      <c r="F12" s="12">
        <f>RevenueTable610[[#This Row],[2017 ACTUAL]]-RevenueTable610[[#This Row],[2017 PROPOSED]]</f>
        <v>-3400</v>
      </c>
      <c r="G12" s="13">
        <f>RevenueTable610[[#This Row],[2017 ACTUAL]]-RevenueTable610[[#This Row],[PRIOR YEAR]]</f>
        <v>1600</v>
      </c>
      <c r="H12" s="27"/>
      <c r="I12" s="27"/>
      <c r="J12" s="27"/>
    </row>
    <row r="13" spans="1:10" ht="24" customHeight="1" x14ac:dyDescent="0.3">
      <c r="B13" s="11" t="s">
        <v>31</v>
      </c>
      <c r="C13" s="12">
        <v>400</v>
      </c>
      <c r="D13" s="12">
        <v>1500</v>
      </c>
      <c r="E13" s="12">
        <f>150+100+200+200+150+25+25+175+100+400+700+500+400+250+1750</f>
        <v>5125</v>
      </c>
      <c r="F13" s="12">
        <f>RevenueTable610[[#This Row],[2017 ACTUAL]]-RevenueTable610[[#This Row],[2017 PROPOSED]]</f>
        <v>3625</v>
      </c>
      <c r="G13" s="13">
        <f>RevenueTable610[[#This Row],[2017 ACTUAL]]-RevenueTable610[[#This Row],[PRIOR YEAR]]</f>
        <v>4725</v>
      </c>
      <c r="H13" s="27">
        <v>4325</v>
      </c>
      <c r="I13" s="27">
        <v>10000</v>
      </c>
      <c r="J13" s="27">
        <v>4380</v>
      </c>
    </row>
    <row r="14" spans="1:10" ht="24" customHeight="1" x14ac:dyDescent="0.3">
      <c r="B14" s="11" t="s">
        <v>24</v>
      </c>
      <c r="C14" s="12"/>
      <c r="D14" s="12"/>
      <c r="E14" s="12">
        <v>29224.48</v>
      </c>
      <c r="F14" s="12">
        <f>RevenueTable610[[#This Row],[2017 ACTUAL]]-RevenueTable610[[#This Row],[2017 PROPOSED]]</f>
        <v>29224.48</v>
      </c>
      <c r="G14" s="13">
        <f>RevenueTable610[[#This Row],[2017 ACTUAL]]-RevenueTable610[[#This Row],[PRIOR YEAR]]</f>
        <v>29224.48</v>
      </c>
      <c r="H14" s="27">
        <v>12546.67</v>
      </c>
      <c r="I14" s="27">
        <v>50000</v>
      </c>
      <c r="J14" s="27">
        <f>74379.8+1500</f>
        <v>75879.8</v>
      </c>
    </row>
    <row r="15" spans="1:10" ht="24" customHeight="1" x14ac:dyDescent="0.3">
      <c r="B15" s="11" t="s">
        <v>2</v>
      </c>
      <c r="C15" s="12"/>
      <c r="D15" s="12"/>
      <c r="E15" s="12"/>
      <c r="F15" s="12">
        <f>RevenueTable610[[#This Row],[2017 ACTUAL]]-RevenueTable610[[#This Row],[2017 PROPOSED]]</f>
        <v>0</v>
      </c>
      <c r="G15" s="13">
        <f>RevenueTable610[[#This Row],[2017 ACTUAL]]-RevenueTable610[[#This Row],[PRIOR YEAR]]</f>
        <v>0</v>
      </c>
      <c r="H15" s="27">
        <v>0</v>
      </c>
      <c r="I15" s="27">
        <v>0</v>
      </c>
      <c r="J15" s="27">
        <v>0</v>
      </c>
    </row>
    <row r="16" spans="1:10" ht="24" customHeight="1" x14ac:dyDescent="0.3">
      <c r="B16" s="11" t="s">
        <v>3</v>
      </c>
      <c r="C16" s="12"/>
      <c r="D16" s="12"/>
      <c r="E16" s="12"/>
      <c r="F16" s="12">
        <f>RevenueTable610[[#This Row],[2017 ACTUAL]]-RevenueTable610[[#This Row],[2017 PROPOSED]]</f>
        <v>0</v>
      </c>
      <c r="G16" s="13">
        <f>RevenueTable610[[#This Row],[2017 ACTUAL]]-RevenueTable610[[#This Row],[PRIOR YEAR]]</f>
        <v>0</v>
      </c>
      <c r="H16" s="27">
        <v>0</v>
      </c>
      <c r="I16" s="27">
        <v>0</v>
      </c>
      <c r="J16" s="27">
        <v>0</v>
      </c>
    </row>
    <row r="17" spans="2:10" ht="24" customHeight="1" x14ac:dyDescent="0.3">
      <c r="B17" s="11" t="s">
        <v>20</v>
      </c>
      <c r="C17" s="14">
        <f>SUBTOTAL(109,RevenueTable610[PRIOR YEAR])</f>
        <v>400</v>
      </c>
      <c r="D17" s="14">
        <f>SUBTOTAL(109,RevenueTable610[2017 PROPOSED])</f>
        <v>9000</v>
      </c>
      <c r="E17" s="14">
        <f>SUBTOTAL(109,RevenueTable610[2017 ACTUAL])</f>
        <v>41772.479999999996</v>
      </c>
      <c r="F17" s="14">
        <f>SUBTOTAL(109,RevenueTable610[VARIANCE])</f>
        <v>32772.479999999996</v>
      </c>
      <c r="G17" s="15">
        <f>SUBTOTAL(109,RevenueTable610[+/- PRIOR YEAR])</f>
        <v>41372.479999999996</v>
      </c>
      <c r="H17" s="14">
        <f>SUBTOTAL(109,RevenueTable610[[ 2018 ACTUAL ]])</f>
        <v>17126.669999999998</v>
      </c>
      <c r="I17" s="14">
        <f>SUBTOTAL(109,RevenueTable610[2019 PROPOSED])</f>
        <v>65000</v>
      </c>
      <c r="J17" s="14">
        <f>SUBTOTAL(109,RevenueTable610[[2019 ACTUAL ]])</f>
        <v>81101.350000000006</v>
      </c>
    </row>
    <row r="18" spans="2:10" s="26" customFormat="1" ht="24" customHeight="1" x14ac:dyDescent="0.3">
      <c r="B18" s="35"/>
      <c r="C18" s="35"/>
      <c r="D18" s="35"/>
      <c r="E18" s="35"/>
      <c r="F18" s="35"/>
      <c r="G18" s="35"/>
    </row>
    <row r="19" spans="2:10" s="26" customFormat="1" ht="24" customHeight="1" x14ac:dyDescent="0.3">
      <c r="B19" s="17"/>
      <c r="C19" s="18"/>
      <c r="D19" s="18"/>
      <c r="E19" s="18"/>
      <c r="F19" s="18"/>
      <c r="G19" s="19"/>
    </row>
    <row r="20" spans="2:10" s="26" customFormat="1" ht="24" customHeight="1" x14ac:dyDescent="0.3">
      <c r="B20" s="17"/>
      <c r="C20" s="18"/>
      <c r="D20" s="18"/>
      <c r="E20" s="18"/>
      <c r="F20" s="18"/>
      <c r="G20" s="19"/>
    </row>
    <row r="21" spans="2:10" s="26" customFormat="1" ht="24" customHeight="1" x14ac:dyDescent="0.3">
      <c r="B21" s="17"/>
      <c r="C21" s="18"/>
      <c r="D21" s="18"/>
      <c r="E21" s="18"/>
      <c r="F21" s="18"/>
      <c r="G21" s="19"/>
    </row>
    <row r="22" spans="2:10" s="26" customFormat="1" ht="24" customHeight="1" x14ac:dyDescent="0.3">
      <c r="B22" s="17"/>
      <c r="C22" s="18"/>
      <c r="D22" s="18"/>
      <c r="E22" s="18"/>
      <c r="F22" s="18"/>
      <c r="G22" s="19"/>
    </row>
    <row r="23" spans="2:10" s="26" customFormat="1" ht="24" customHeight="1" x14ac:dyDescent="0.3">
      <c r="B23" s="34"/>
      <c r="C23" s="34"/>
      <c r="D23" s="34"/>
      <c r="E23" s="34"/>
      <c r="F23" s="34"/>
    </row>
    <row r="26" spans="2:10" ht="24" customHeight="1" x14ac:dyDescent="0.35">
      <c r="B26" s="28"/>
      <c r="C26" s="30" t="str">
        <f>CONCATENATE("FY ",FY-1)</f>
        <v>FY 2016</v>
      </c>
      <c r="D26" s="30" t="str">
        <f>CONCATENATE("FY ",FY)</f>
        <v>FY 2017</v>
      </c>
      <c r="E26" s="30" t="str">
        <f>CONCATENATE("FY ",FY)</f>
        <v>FY 2017</v>
      </c>
      <c r="F26" s="30" t="str">
        <f>CONCATENATE("FY ",FY)</f>
        <v>FY 2017</v>
      </c>
      <c r="G26" s="31" t="str">
        <f>CONCATENATE("FY ",FY)</f>
        <v>FY 2017</v>
      </c>
      <c r="H26" s="31" t="str">
        <f>CONCATENATE("FY ",FY+1)</f>
        <v>FY 2018</v>
      </c>
      <c r="I26" s="31" t="str">
        <f>CONCATENATE("FY ",FY+2)</f>
        <v>FY 2019</v>
      </c>
      <c r="J26" s="31" t="str">
        <f>CONCATENATE("FY ",FY+2)</f>
        <v>FY 2019</v>
      </c>
    </row>
    <row r="27" spans="2:10" ht="24" customHeight="1" x14ac:dyDescent="0.3">
      <c r="B27" s="5" t="s">
        <v>19</v>
      </c>
      <c r="C27" s="22" t="s">
        <v>14</v>
      </c>
      <c r="D27" s="22" t="s">
        <v>34</v>
      </c>
      <c r="E27" s="22" t="s">
        <v>35</v>
      </c>
      <c r="F27" s="22" t="s">
        <v>21</v>
      </c>
      <c r="G27" s="23" t="s">
        <v>17</v>
      </c>
      <c r="H27" s="22" t="s">
        <v>39</v>
      </c>
      <c r="I27" s="22" t="s">
        <v>40</v>
      </c>
      <c r="J27" s="22" t="s">
        <v>38</v>
      </c>
    </row>
    <row r="28" spans="2:10" ht="24" customHeight="1" x14ac:dyDescent="0.3">
      <c r="B28" s="4" t="s">
        <v>30</v>
      </c>
      <c r="C28" s="6">
        <v>0</v>
      </c>
      <c r="D28" s="6">
        <v>1000</v>
      </c>
      <c r="E28" s="6">
        <f>400+1295+8475+303+14612.24</f>
        <v>25085.239999999998</v>
      </c>
      <c r="F28" s="6">
        <f>ExpenseTable711[[#This Row],[2017 ACTUAL]]-ExpenseTable711[[#This Row],[2017 PROPOSED]]</f>
        <v>24085.239999999998</v>
      </c>
      <c r="G28" s="7">
        <f>ExpenseTable711[[#This Row],[2017 ACTUAL]]-ExpenseTable711[[#This Row],[PRIOR YEAR]]</f>
        <v>25085.239999999998</v>
      </c>
      <c r="H28" s="6">
        <v>0</v>
      </c>
      <c r="I28" s="6">
        <v>30000</v>
      </c>
      <c r="J28" s="6">
        <f>35870+225</f>
        <v>36095</v>
      </c>
    </row>
    <row r="29" spans="2:10" ht="24" customHeight="1" x14ac:dyDescent="0.3">
      <c r="B29" s="4" t="s">
        <v>42</v>
      </c>
      <c r="C29" s="6">
        <v>10</v>
      </c>
      <c r="D29" s="6">
        <v>750</v>
      </c>
      <c r="E29" s="6">
        <f>127+250+250</f>
        <v>627</v>
      </c>
      <c r="F29" s="6">
        <f>ExpenseTable711[[#This Row],[2017 ACTUAL]]-ExpenseTable711[[#This Row],[2017 PROPOSED]]</f>
        <v>-123</v>
      </c>
      <c r="G29" s="7">
        <f>ExpenseTable711[[#This Row],[2017 ACTUAL]]-ExpenseTable711[[#This Row],[PRIOR YEAR]]</f>
        <v>617</v>
      </c>
      <c r="H29" s="6">
        <v>0</v>
      </c>
      <c r="I29" s="6">
        <v>750</v>
      </c>
      <c r="J29" s="6">
        <f>1500</f>
        <v>1500</v>
      </c>
    </row>
    <row r="30" spans="2:10" ht="24" customHeight="1" x14ac:dyDescent="0.3">
      <c r="B30" s="4" t="s">
        <v>26</v>
      </c>
      <c r="C30" s="6">
        <v>0</v>
      </c>
      <c r="D30" s="6">
        <v>0</v>
      </c>
      <c r="E30" s="6">
        <f>1717</f>
        <v>1717</v>
      </c>
      <c r="F30" s="6">
        <f>ExpenseTable711[[#This Row],[2017 ACTUAL]]-ExpenseTable711[[#This Row],[2017 PROPOSED]]</f>
        <v>1717</v>
      </c>
      <c r="G30" s="7">
        <f>ExpenseTable711[[#This Row],[2017 ACTUAL]]-ExpenseTable711[[#This Row],[PRIOR YEAR]]</f>
        <v>1717</v>
      </c>
      <c r="H30" s="6">
        <v>0</v>
      </c>
      <c r="I30" s="6"/>
      <c r="J30" s="6">
        <f>200+75</f>
        <v>275</v>
      </c>
    </row>
    <row r="31" spans="2:10" ht="24" customHeight="1" x14ac:dyDescent="0.3">
      <c r="B31" s="4" t="s">
        <v>28</v>
      </c>
      <c r="C31" s="6"/>
      <c r="D31" s="6"/>
      <c r="E31" s="6">
        <f>3063.25+321.9</f>
        <v>3385.15</v>
      </c>
      <c r="F31" s="6">
        <f>ExpenseTable711[[#This Row],[2017 ACTUAL]]-ExpenseTable711[[#This Row],[2017 PROPOSED]]</f>
        <v>3385.15</v>
      </c>
      <c r="G31" s="7">
        <f>ExpenseTable711[[#This Row],[2017 ACTUAL]]-ExpenseTable711[[#This Row],[PRIOR YEAR]]</f>
        <v>3385.15</v>
      </c>
      <c r="H31" s="6">
        <f>2167.75+124.72</f>
        <v>2292.4699999999998</v>
      </c>
      <c r="I31" s="6">
        <v>2500</v>
      </c>
      <c r="J31" s="6">
        <f>2633.85+905.49</f>
        <v>3539.34</v>
      </c>
    </row>
    <row r="32" spans="2:10" ht="24" customHeight="1" x14ac:dyDescent="0.3">
      <c r="B32" s="4" t="s">
        <v>8</v>
      </c>
      <c r="C32" s="6">
        <v>0</v>
      </c>
      <c r="D32" s="6">
        <v>0</v>
      </c>
      <c r="E32" s="6">
        <v>0</v>
      </c>
      <c r="F32" s="6">
        <f>ExpenseTable711[[#This Row],[2017 ACTUAL]]-ExpenseTable711[[#This Row],[2017 PROPOSED]]</f>
        <v>0</v>
      </c>
      <c r="G32" s="7">
        <f>ExpenseTable711[[#This Row],[2017 ACTUAL]]-ExpenseTable711[[#This Row],[PRIOR YEAR]]</f>
        <v>0</v>
      </c>
      <c r="H32" s="6">
        <v>0</v>
      </c>
      <c r="I32" s="6"/>
      <c r="J32" s="6"/>
    </row>
    <row r="33" spans="2:10" ht="24" customHeight="1" x14ac:dyDescent="0.3">
      <c r="B33" s="4" t="s">
        <v>23</v>
      </c>
      <c r="C33" s="6">
        <v>0</v>
      </c>
      <c r="D33" s="6">
        <v>1000</v>
      </c>
      <c r="E33" s="6">
        <f>3703.51</f>
        <v>3703.51</v>
      </c>
      <c r="F33" s="6">
        <f>ExpenseTable711[[#This Row],[2017 ACTUAL]]-ExpenseTable711[[#This Row],[2017 PROPOSED]]</f>
        <v>2703.51</v>
      </c>
      <c r="G33" s="7">
        <f>ExpenseTable711[[#This Row],[2017 ACTUAL]]-ExpenseTable711[[#This Row],[PRIOR YEAR]]</f>
        <v>3703.51</v>
      </c>
      <c r="H33" s="6">
        <f>5156.53</f>
        <v>5156.53</v>
      </c>
      <c r="I33" s="6">
        <v>5000</v>
      </c>
      <c r="J33" s="6">
        <v>4849.87</v>
      </c>
    </row>
    <row r="34" spans="2:10" ht="24" customHeight="1" x14ac:dyDescent="0.3">
      <c r="B34" s="4" t="s">
        <v>5</v>
      </c>
      <c r="C34" s="6">
        <v>90</v>
      </c>
      <c r="D34" s="6">
        <v>1000</v>
      </c>
      <c r="E34" s="6">
        <f>7817.85+3398.75+1844.08</f>
        <v>13060.68</v>
      </c>
      <c r="F34" s="6">
        <f>ExpenseTable711[[#This Row],[2017 ACTUAL]]-ExpenseTable711[[#This Row],[2017 PROPOSED]]</f>
        <v>12060.68</v>
      </c>
      <c r="G34" s="7">
        <f>ExpenseTable711[[#This Row],[2017 ACTUAL]]-ExpenseTable711[[#This Row],[PRIOR YEAR]]</f>
        <v>12970.68</v>
      </c>
      <c r="H34" s="6">
        <f>1053.97+3922.38+8528.11+176</f>
        <v>13680.460000000001</v>
      </c>
      <c r="I34" s="6">
        <v>15000</v>
      </c>
      <c r="J34" s="6">
        <f>1810.69+2603.82+203.99+8540.96</f>
        <v>13159.46</v>
      </c>
    </row>
    <row r="35" spans="2:10" ht="24" customHeight="1" x14ac:dyDescent="0.3">
      <c r="B35" s="4" t="s">
        <v>41</v>
      </c>
      <c r="C35" s="6"/>
      <c r="D35" s="6"/>
      <c r="E35" s="6"/>
      <c r="F35" s="6">
        <f>ExpenseTable711[[#This Row],[2017 ACTUAL]]-ExpenseTable711[[#This Row],[2017 PROPOSED]]</f>
        <v>0</v>
      </c>
      <c r="G35" s="7">
        <f>ExpenseTable711[[#This Row],[2017 ACTUAL]]-ExpenseTable711[[#This Row],[PRIOR YEAR]]</f>
        <v>0</v>
      </c>
      <c r="H35" s="6"/>
      <c r="I35" s="6">
        <v>0</v>
      </c>
      <c r="J35" s="6">
        <f>4817+1058.68</f>
        <v>5875.68</v>
      </c>
    </row>
    <row r="36" spans="2:10" ht="24" customHeight="1" x14ac:dyDescent="0.3">
      <c r="B36" s="4" t="s">
        <v>11</v>
      </c>
      <c r="C36" s="6">
        <v>290</v>
      </c>
      <c r="D36" s="6">
        <v>70</v>
      </c>
      <c r="E36" s="6">
        <f>200+40+50+45</f>
        <v>335</v>
      </c>
      <c r="F36" s="6">
        <f>ExpenseTable711[[#This Row],[2017 ACTUAL]]-ExpenseTable711[[#This Row],[2017 PROPOSED]]</f>
        <v>265</v>
      </c>
      <c r="G36" s="7">
        <f>ExpenseTable711[[#This Row],[2017 ACTUAL]]-ExpenseTable711[[#This Row],[PRIOR YEAR]]</f>
        <v>45</v>
      </c>
      <c r="H36" s="6">
        <f>300+45+20</f>
        <v>365</v>
      </c>
      <c r="I36" s="6">
        <v>750</v>
      </c>
      <c r="J36" s="6">
        <f>937+100+20</f>
        <v>1057</v>
      </c>
    </row>
    <row r="37" spans="2:10" ht="24" customHeight="1" x14ac:dyDescent="0.3">
      <c r="B37" s="4" t="s">
        <v>44</v>
      </c>
      <c r="C37" s="6"/>
      <c r="D37" s="6"/>
      <c r="E37" s="6"/>
      <c r="F37" s="6">
        <f>ExpenseTable711[[#This Row],[2017 ACTUAL]]-ExpenseTable711[[#This Row],[2017 PROPOSED]]</f>
        <v>0</v>
      </c>
      <c r="G37" s="7">
        <f>ExpenseTable711[[#This Row],[2017 ACTUAL]]-ExpenseTable711[[#This Row],[PRIOR YEAR]]</f>
        <v>0</v>
      </c>
      <c r="H37" s="6">
        <f>3741</f>
        <v>3741</v>
      </c>
      <c r="I37" s="6">
        <v>4500</v>
      </c>
      <c r="J37" s="6">
        <f>5150+231</f>
        <v>5381</v>
      </c>
    </row>
    <row r="38" spans="2:10" ht="24" customHeight="1" x14ac:dyDescent="0.3">
      <c r="B38" s="4" t="s">
        <v>43</v>
      </c>
      <c r="C38" s="6"/>
      <c r="D38" s="6">
        <v>1000</v>
      </c>
      <c r="E38" s="6">
        <f>3965.47</f>
        <v>3965.47</v>
      </c>
      <c r="F38" s="6">
        <f>ExpenseTable711[[#This Row],[2017 ACTUAL]]-ExpenseTable711[[#This Row],[2017 PROPOSED]]</f>
        <v>2965.47</v>
      </c>
      <c r="G38" s="7">
        <f>ExpenseTable711[[#This Row],[2017 ACTUAL]]-ExpenseTable711[[#This Row],[PRIOR YEAR]]</f>
        <v>3965.47</v>
      </c>
      <c r="H38" s="6">
        <f>120.31</f>
        <v>120.31</v>
      </c>
      <c r="I38" s="6">
        <v>500</v>
      </c>
      <c r="J38" s="6">
        <f>229.19+500</f>
        <v>729.19</v>
      </c>
    </row>
    <row r="39" spans="2:10" ht="24" customHeight="1" x14ac:dyDescent="0.3">
      <c r="B39" s="4" t="s">
        <v>4</v>
      </c>
      <c r="C39" s="6"/>
      <c r="D39" s="6"/>
      <c r="E39" s="6">
        <f>350</f>
        <v>350</v>
      </c>
      <c r="F39" s="6">
        <f>ExpenseTable711[[#This Row],[2017 ACTUAL]]-ExpenseTable711[[#This Row],[2017 PROPOSED]]</f>
        <v>350</v>
      </c>
      <c r="G39" s="7">
        <f>ExpenseTable711[[#This Row],[2017 ACTUAL]]-ExpenseTable711[[#This Row],[PRIOR YEAR]]</f>
        <v>350</v>
      </c>
      <c r="H39" s="6">
        <f>350</f>
        <v>350</v>
      </c>
      <c r="I39" s="6">
        <v>350</v>
      </c>
      <c r="J39" s="6">
        <v>352</v>
      </c>
    </row>
    <row r="40" spans="2:10" ht="24" customHeight="1" x14ac:dyDescent="0.3">
      <c r="B40" s="4" t="s">
        <v>6</v>
      </c>
      <c r="C40" s="6"/>
      <c r="D40" s="6"/>
      <c r="E40" s="6">
        <v>2880</v>
      </c>
      <c r="F40" s="6">
        <f>ExpenseTable711[[#This Row],[2017 ACTUAL]]-ExpenseTable711[[#This Row],[2017 PROPOSED]]</f>
        <v>2880</v>
      </c>
      <c r="G40" s="7">
        <f>ExpenseTable711[[#This Row],[2017 ACTUAL]]-ExpenseTable711[[#This Row],[PRIOR YEAR]]</f>
        <v>2880</v>
      </c>
      <c r="H40" s="6">
        <f>2640</f>
        <v>2640</v>
      </c>
      <c r="I40" s="6">
        <v>2640</v>
      </c>
      <c r="J40" s="6">
        <f>(220*6)+(200*6)</f>
        <v>2520</v>
      </c>
    </row>
    <row r="41" spans="2:10" ht="24" customHeight="1" x14ac:dyDescent="0.3">
      <c r="B41" s="4" t="s">
        <v>12</v>
      </c>
      <c r="C41" s="6"/>
      <c r="D41" s="6">
        <v>150</v>
      </c>
      <c r="E41" s="6">
        <f>1325</f>
        <v>1325</v>
      </c>
      <c r="F41" s="6">
        <f>ExpenseTable711[[#This Row],[2017 ACTUAL]]-ExpenseTable711[[#This Row],[2017 PROPOSED]]</f>
        <v>1175</v>
      </c>
      <c r="G41" s="7">
        <f>ExpenseTable711[[#This Row],[2017 ACTUAL]]-ExpenseTable711[[#This Row],[PRIOR YEAR]]</f>
        <v>1325</v>
      </c>
      <c r="H41" s="6">
        <f>1848</f>
        <v>1848</v>
      </c>
      <c r="I41" s="6">
        <v>1800</v>
      </c>
      <c r="J41" s="6">
        <f>1862.99</f>
        <v>1862.99</v>
      </c>
    </row>
    <row r="42" spans="2:10" ht="24" customHeight="1" x14ac:dyDescent="0.3">
      <c r="B42" s="4" t="s">
        <v>27</v>
      </c>
      <c r="C42" s="6"/>
      <c r="D42" s="6"/>
      <c r="E42" s="6">
        <f>2524+905.06</f>
        <v>3429.06</v>
      </c>
      <c r="F42" s="6">
        <f>ExpenseTable711[[#This Row],[2017 ACTUAL]]-ExpenseTable711[[#This Row],[2017 PROPOSED]]</f>
        <v>3429.06</v>
      </c>
      <c r="G42" s="7">
        <f>ExpenseTable711[[#This Row],[2017 ACTUAL]]-ExpenseTable711[[#This Row],[PRIOR YEAR]]</f>
        <v>3429.06</v>
      </c>
      <c r="H42" s="6">
        <f>1749.77+390.21</f>
        <v>2139.98</v>
      </c>
      <c r="I42" s="6">
        <v>2000</v>
      </c>
      <c r="J42" s="6">
        <f>754.99+16.38+223.54</f>
        <v>994.91</v>
      </c>
    </row>
    <row r="43" spans="2:10" ht="24" customHeight="1" x14ac:dyDescent="0.3">
      <c r="B43" s="4" t="s">
        <v>29</v>
      </c>
      <c r="C43" s="6"/>
      <c r="D43" s="6"/>
      <c r="E43" s="6">
        <f>64.25+620.36</f>
        <v>684.61</v>
      </c>
      <c r="F43" s="6">
        <f>ExpenseTable711[[#This Row],[2017 ACTUAL]]-ExpenseTable711[[#This Row],[2017 PROPOSED]]</f>
        <v>684.61</v>
      </c>
      <c r="G43" s="7">
        <f>ExpenseTable711[[#This Row],[2017 ACTUAL]]-ExpenseTable711[[#This Row],[PRIOR YEAR]]</f>
        <v>684.61</v>
      </c>
      <c r="H43" s="6">
        <f>528.1</f>
        <v>528.1</v>
      </c>
      <c r="I43" s="6">
        <v>750</v>
      </c>
      <c r="J43" s="6">
        <f>1075.37</f>
        <v>1075.3699999999999</v>
      </c>
    </row>
    <row r="44" spans="2:10" ht="24" customHeight="1" x14ac:dyDescent="0.3">
      <c r="B44" s="4" t="s">
        <v>10</v>
      </c>
      <c r="C44" s="6">
        <v>10</v>
      </c>
      <c r="D44" s="6">
        <v>150</v>
      </c>
      <c r="E44" s="6">
        <f>330.28</f>
        <v>330.28</v>
      </c>
      <c r="F44" s="6">
        <f>ExpenseTable711[[#This Row],[2017 ACTUAL]]-ExpenseTable711[[#This Row],[2017 PROPOSED]]</f>
        <v>180.27999999999997</v>
      </c>
      <c r="G44" s="7">
        <f>ExpenseTable711[[#This Row],[2017 ACTUAL]]-ExpenseTable711[[#This Row],[PRIOR YEAR]]</f>
        <v>320.27999999999997</v>
      </c>
      <c r="H44" s="6">
        <f>127.93</f>
        <v>127.93</v>
      </c>
      <c r="I44" s="6">
        <v>150</v>
      </c>
      <c r="J44" s="6">
        <v>738.15</v>
      </c>
    </row>
    <row r="45" spans="2:10" ht="24" customHeight="1" x14ac:dyDescent="0.3">
      <c r="B45" s="4" t="s">
        <v>20</v>
      </c>
      <c r="C45" s="8">
        <f>SUBTOTAL(109,ExpenseTable711[PRIOR YEAR])</f>
        <v>400</v>
      </c>
      <c r="D45" s="8">
        <f>SUBTOTAL(109,ExpenseTable711[2017 PROPOSED])</f>
        <v>5120</v>
      </c>
      <c r="E45" s="8">
        <f>SUBTOTAL(109,ExpenseTable711[2017 ACTUAL])</f>
        <v>60878</v>
      </c>
      <c r="F45" s="8">
        <f>SUBTOTAL(109,ExpenseTable711[VARIANCE])</f>
        <v>55758</v>
      </c>
      <c r="G45" s="9">
        <f>SUBTOTAL(109,ExpenseTable711[+/- PRIOR YEAR])</f>
        <v>60478</v>
      </c>
      <c r="H45" s="8">
        <f>SUBTOTAL(109,ExpenseTable711[[2018 ACTUAL ]])</f>
        <v>32989.78</v>
      </c>
      <c r="I45" s="8">
        <f>SUBTOTAL(109,ExpenseTable711[[2019 PROPOSED ]])</f>
        <v>66690</v>
      </c>
      <c r="J45" s="8">
        <f>SUBTOTAL(109,ExpenseTable711[[2019 ACTUAL ]])</f>
        <v>80004.960000000006</v>
      </c>
    </row>
  </sheetData>
  <mergeCells count="2">
    <mergeCell ref="B18:G18"/>
    <mergeCell ref="B23:F23"/>
  </mergeCells>
  <phoneticPr fontId="8" type="noConversion"/>
  <conditionalFormatting sqref="C11:G17 C28:G45">
    <cfRule type="expression" dxfId="69" priority="1">
      <formula>C11&lt;0</formula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0960-AD06-41C2-852F-B14BBBD0CB86}">
  <dimension ref="A1:L45"/>
  <sheetViews>
    <sheetView tabSelected="1" topLeftCell="B6" workbookViewId="0">
      <pane xSplit="1" topLeftCell="K1" activePane="topRight" state="frozen"/>
      <selection activeCell="B1" sqref="B1"/>
      <selection pane="topRight" activeCell="S17" sqref="S17"/>
    </sheetView>
  </sheetViews>
  <sheetFormatPr defaultRowHeight="24" customHeight="1" x14ac:dyDescent="0.3"/>
  <cols>
    <col min="1" max="1" width="2.88671875" style="1" hidden="1" customWidth="1"/>
    <col min="2" max="2" width="38.6640625" style="1" customWidth="1"/>
    <col min="3" max="8" width="18.88671875" style="1" customWidth="1"/>
    <col min="9" max="9" width="13.88671875" style="1" bestFit="1" customWidth="1"/>
    <col min="10" max="10" width="13.109375" style="1" customWidth="1"/>
    <col min="11" max="11" width="13.88671875" style="1" bestFit="1" customWidth="1"/>
    <col min="12" max="12" width="11.88671875" style="1" customWidth="1"/>
    <col min="13" max="16384" width="8.88671875" style="1"/>
  </cols>
  <sheetData>
    <row r="1" spans="1:12" ht="58.5" customHeight="1" x14ac:dyDescent="0.85">
      <c r="B1" s="3" t="s">
        <v>22</v>
      </c>
      <c r="F1" s="10" t="s">
        <v>13</v>
      </c>
      <c r="G1" s="2">
        <v>2020</v>
      </c>
    </row>
    <row r="2" spans="1:12" ht="24" customHeight="1" x14ac:dyDescent="0.85">
      <c r="B2" s="3"/>
      <c r="F2" s="10"/>
      <c r="G2" s="2"/>
    </row>
    <row r="9" spans="1:12" ht="24" customHeight="1" x14ac:dyDescent="0.35">
      <c r="A9" s="28"/>
      <c r="B9" s="29"/>
      <c r="C9" s="30" t="str">
        <f>CONCATENATE("FY ",FY-1)</f>
        <v>FY 2016</v>
      </c>
      <c r="D9" s="30" t="str">
        <f>CONCATENATE("FY ",FY)</f>
        <v>FY 2017</v>
      </c>
      <c r="E9" s="30" t="str">
        <f>CONCATENATE("FY ",FY)</f>
        <v>FY 2017</v>
      </c>
      <c r="F9" s="30" t="str">
        <f>CONCATENATE("FY ",FY)</f>
        <v>FY 2017</v>
      </c>
      <c r="G9" s="31" t="str">
        <f>CONCATENATE("FY ",FY)</f>
        <v>FY 2017</v>
      </c>
      <c r="H9" s="31" t="str">
        <f>CONCATENATE("FY ",FY+1)</f>
        <v>FY 2018</v>
      </c>
      <c r="I9" s="31" t="str">
        <f>CONCATENATE("FY ",FY+2)</f>
        <v>FY 2019</v>
      </c>
      <c r="J9" s="31" t="str">
        <f>CONCATENATE("FY ",FY+2)</f>
        <v>FY 2019</v>
      </c>
      <c r="K9" s="31" t="str">
        <f>CONCATENATE("FY ",FY+3)</f>
        <v>FY 2020</v>
      </c>
      <c r="L9" s="31" t="str">
        <f>CONCATENATE("FY ",FY+3)</f>
        <v>FY 2020</v>
      </c>
    </row>
    <row r="10" spans="1:12" ht="24" customHeight="1" x14ac:dyDescent="0.3">
      <c r="B10" s="24" t="s">
        <v>18</v>
      </c>
      <c r="C10" s="22" t="s">
        <v>14</v>
      </c>
      <c r="D10" s="22" t="s">
        <v>34</v>
      </c>
      <c r="E10" s="22" t="s">
        <v>35</v>
      </c>
      <c r="F10" s="22" t="s">
        <v>21</v>
      </c>
      <c r="G10" s="23" t="s">
        <v>17</v>
      </c>
      <c r="H10" s="22" t="s">
        <v>36</v>
      </c>
      <c r="I10" s="22" t="s">
        <v>37</v>
      </c>
      <c r="J10" s="22" t="s">
        <v>38</v>
      </c>
      <c r="K10" s="22" t="s">
        <v>45</v>
      </c>
      <c r="L10" s="22" t="s">
        <v>48</v>
      </c>
    </row>
    <row r="11" spans="1:12" ht="24" customHeight="1" x14ac:dyDescent="0.3">
      <c r="B11" s="11" t="s">
        <v>1</v>
      </c>
      <c r="C11" s="12">
        <v>0</v>
      </c>
      <c r="D11" s="12">
        <v>2500</v>
      </c>
      <c r="E11" s="12">
        <f>2371+920+2532</f>
        <v>5823</v>
      </c>
      <c r="F11" s="12">
        <f>RevenueTable6108[[#This Row],[2017 ACTUAL]]-RevenueTable6108[[#This Row],[2017 PROPOSED]]</f>
        <v>3323</v>
      </c>
      <c r="G11" s="13">
        <f>RevenueTable6108[[#This Row],[2017 ACTUAL]]-RevenueTable6108[[#This Row],[PRIOR YEAR]]</f>
        <v>5823</v>
      </c>
      <c r="H11" s="27">
        <v>255</v>
      </c>
      <c r="I11" s="27">
        <v>5000</v>
      </c>
      <c r="J11" s="27">
        <v>841.55</v>
      </c>
      <c r="K11" s="27">
        <v>5000</v>
      </c>
      <c r="L11" s="27"/>
    </row>
    <row r="12" spans="1:12" ht="24" customHeight="1" x14ac:dyDescent="0.3">
      <c r="B12" s="11" t="s">
        <v>0</v>
      </c>
      <c r="C12" s="12">
        <v>0</v>
      </c>
      <c r="D12" s="12">
        <v>5000</v>
      </c>
      <c r="E12" s="12">
        <v>1600</v>
      </c>
      <c r="F12" s="12">
        <f>RevenueTable6108[[#This Row],[2017 ACTUAL]]-RevenueTable6108[[#This Row],[2017 PROPOSED]]</f>
        <v>-3400</v>
      </c>
      <c r="G12" s="13">
        <f>RevenueTable6108[[#This Row],[2017 ACTUAL]]-RevenueTable6108[[#This Row],[PRIOR YEAR]]</f>
        <v>1600</v>
      </c>
      <c r="H12" s="27"/>
      <c r="I12" s="27"/>
      <c r="J12" s="27"/>
      <c r="K12" s="27"/>
      <c r="L12" s="27"/>
    </row>
    <row r="13" spans="1:12" ht="24" customHeight="1" x14ac:dyDescent="0.3">
      <c r="B13" s="11" t="s">
        <v>31</v>
      </c>
      <c r="C13" s="12">
        <v>400</v>
      </c>
      <c r="D13" s="12">
        <v>1500</v>
      </c>
      <c r="E13" s="12">
        <f>150+100+200+200+150+25+25+175+100+400+700+500+400+250+1750</f>
        <v>5125</v>
      </c>
      <c r="F13" s="12">
        <f>RevenueTable6108[[#This Row],[2017 ACTUAL]]-RevenueTable6108[[#This Row],[2017 PROPOSED]]</f>
        <v>3625</v>
      </c>
      <c r="G13" s="13">
        <f>RevenueTable6108[[#This Row],[2017 ACTUAL]]-RevenueTable6108[[#This Row],[PRIOR YEAR]]</f>
        <v>4725</v>
      </c>
      <c r="H13" s="27">
        <v>4325</v>
      </c>
      <c r="I13" s="27">
        <v>10000</v>
      </c>
      <c r="J13" s="27">
        <v>4380</v>
      </c>
      <c r="K13" s="27">
        <v>10000</v>
      </c>
      <c r="L13" s="27"/>
    </row>
    <row r="14" spans="1:12" ht="24" customHeight="1" x14ac:dyDescent="0.3">
      <c r="B14" s="11" t="s">
        <v>24</v>
      </c>
      <c r="C14" s="12"/>
      <c r="D14" s="12"/>
      <c r="E14" s="12">
        <v>29224.48</v>
      </c>
      <c r="F14" s="12">
        <f>RevenueTable6108[[#This Row],[2017 ACTUAL]]-RevenueTable6108[[#This Row],[2017 PROPOSED]]</f>
        <v>29224.48</v>
      </c>
      <c r="G14" s="13">
        <f>RevenueTable6108[[#This Row],[2017 ACTUAL]]-RevenueTable6108[[#This Row],[PRIOR YEAR]]</f>
        <v>29224.48</v>
      </c>
      <c r="H14" s="27">
        <v>12546.67</v>
      </c>
      <c r="I14" s="27">
        <v>50000</v>
      </c>
      <c r="J14" s="27">
        <f>74379.8+1500</f>
        <v>75879.8</v>
      </c>
      <c r="K14" s="27">
        <v>60000</v>
      </c>
      <c r="L14" s="27"/>
    </row>
    <row r="15" spans="1:12" ht="24" customHeight="1" x14ac:dyDescent="0.3">
      <c r="B15" s="11" t="s">
        <v>2</v>
      </c>
      <c r="C15" s="12"/>
      <c r="D15" s="12"/>
      <c r="E15" s="12"/>
      <c r="F15" s="12">
        <f>RevenueTable6108[[#This Row],[2017 ACTUAL]]-RevenueTable6108[[#This Row],[2017 PROPOSED]]</f>
        <v>0</v>
      </c>
      <c r="G15" s="13">
        <f>RevenueTable6108[[#This Row],[2017 ACTUAL]]-RevenueTable6108[[#This Row],[PRIOR YEAR]]</f>
        <v>0</v>
      </c>
      <c r="H15" s="27">
        <v>0</v>
      </c>
      <c r="I15" s="27">
        <v>0</v>
      </c>
      <c r="J15" s="27">
        <v>0</v>
      </c>
      <c r="K15" s="27">
        <v>0</v>
      </c>
      <c r="L15" s="27"/>
    </row>
    <row r="16" spans="1:12" ht="24" customHeight="1" x14ac:dyDescent="0.3">
      <c r="B16" s="11" t="s">
        <v>3</v>
      </c>
      <c r="C16" s="12"/>
      <c r="D16" s="12"/>
      <c r="E16" s="12"/>
      <c r="F16" s="12">
        <f>RevenueTable6108[[#This Row],[2017 ACTUAL]]-RevenueTable6108[[#This Row],[2017 PROPOSED]]</f>
        <v>0</v>
      </c>
      <c r="G16" s="13">
        <f>RevenueTable6108[[#This Row],[2017 ACTUAL]]-RevenueTable6108[[#This Row],[PRIOR YEAR]]</f>
        <v>0</v>
      </c>
      <c r="H16" s="27">
        <v>0</v>
      </c>
      <c r="I16" s="27">
        <v>0</v>
      </c>
      <c r="J16" s="27">
        <v>0</v>
      </c>
      <c r="K16" s="27">
        <v>0</v>
      </c>
      <c r="L16" s="27"/>
    </row>
    <row r="17" spans="2:12" ht="24" customHeight="1" x14ac:dyDescent="0.3">
      <c r="B17" s="11" t="s">
        <v>20</v>
      </c>
      <c r="C17" s="14">
        <f>SUBTOTAL(109,RevenueTable6108[PRIOR YEAR])</f>
        <v>400</v>
      </c>
      <c r="D17" s="14">
        <f>SUBTOTAL(109,RevenueTable6108[2017 PROPOSED])</f>
        <v>9000</v>
      </c>
      <c r="E17" s="14">
        <f>SUBTOTAL(109,RevenueTable6108[2017 ACTUAL])</f>
        <v>41772.479999999996</v>
      </c>
      <c r="F17" s="14">
        <f>SUBTOTAL(109,RevenueTable6108[VARIANCE])</f>
        <v>32772.479999999996</v>
      </c>
      <c r="G17" s="15">
        <f>SUBTOTAL(109,RevenueTable6108[+/- PRIOR YEAR])</f>
        <v>41372.479999999996</v>
      </c>
      <c r="H17" s="14">
        <f>SUBTOTAL(109,RevenueTable6108[[ 2018 ACTUAL ]])</f>
        <v>17126.669999999998</v>
      </c>
      <c r="I17" s="14">
        <f>SUBTOTAL(109,RevenueTable6108[2019 PROPOSED])</f>
        <v>65000</v>
      </c>
      <c r="J17" s="14">
        <f>SUBTOTAL(109,RevenueTable6108[[2019 ACTUAL ]])</f>
        <v>81101.350000000006</v>
      </c>
      <c r="K17" s="36">
        <f>SUBTOTAL(109,RevenueTable6108[2020 PROPOSED])</f>
        <v>75000</v>
      </c>
      <c r="L17" s="17"/>
    </row>
    <row r="18" spans="2:12" s="33" customFormat="1" ht="24" customHeight="1" x14ac:dyDescent="0.3">
      <c r="B18" s="35"/>
      <c r="C18" s="35"/>
      <c r="D18" s="35"/>
      <c r="E18" s="35"/>
      <c r="F18" s="35"/>
      <c r="G18" s="35"/>
    </row>
    <row r="19" spans="2:12" s="33" customFormat="1" ht="24" customHeight="1" x14ac:dyDescent="0.3">
      <c r="B19" s="17"/>
      <c r="C19" s="18"/>
      <c r="D19" s="18"/>
      <c r="E19" s="18"/>
      <c r="F19" s="18"/>
      <c r="G19" s="19"/>
    </row>
    <row r="20" spans="2:12" s="33" customFormat="1" ht="24" customHeight="1" x14ac:dyDescent="0.3">
      <c r="B20" s="17"/>
      <c r="C20" s="18"/>
      <c r="D20" s="18"/>
      <c r="E20" s="18"/>
      <c r="F20" s="18"/>
      <c r="G20" s="19"/>
    </row>
    <row r="21" spans="2:12" s="33" customFormat="1" ht="24" customHeight="1" x14ac:dyDescent="0.3">
      <c r="B21" s="17"/>
      <c r="C21" s="18"/>
      <c r="D21" s="18"/>
      <c r="E21" s="18"/>
      <c r="F21" s="18"/>
      <c r="G21" s="19"/>
    </row>
    <row r="22" spans="2:12" s="33" customFormat="1" ht="24" customHeight="1" x14ac:dyDescent="0.3">
      <c r="B22" s="17"/>
      <c r="C22" s="18"/>
      <c r="D22" s="18"/>
      <c r="E22" s="18"/>
      <c r="F22" s="18"/>
      <c r="G22" s="19"/>
    </row>
    <row r="23" spans="2:12" s="33" customFormat="1" ht="24" customHeight="1" x14ac:dyDescent="0.3">
      <c r="B23" s="34"/>
      <c r="C23" s="34"/>
      <c r="D23" s="34"/>
      <c r="E23" s="34"/>
      <c r="F23" s="34"/>
    </row>
    <row r="26" spans="2:12" ht="24" customHeight="1" x14ac:dyDescent="0.35">
      <c r="B26" s="28"/>
      <c r="C26" s="30" t="str">
        <f>CONCATENATE("FY ",FY-1)</f>
        <v>FY 2016</v>
      </c>
      <c r="D26" s="30" t="str">
        <f>CONCATENATE("FY ",FY)</f>
        <v>FY 2017</v>
      </c>
      <c r="E26" s="30" t="str">
        <f>CONCATENATE("FY ",FY)</f>
        <v>FY 2017</v>
      </c>
      <c r="F26" s="30" t="str">
        <f>CONCATENATE("FY ",FY)</f>
        <v>FY 2017</v>
      </c>
      <c r="G26" s="31" t="str">
        <f>CONCATENATE("FY ",FY)</f>
        <v>FY 2017</v>
      </c>
      <c r="H26" s="31" t="str">
        <f>CONCATENATE("FY ",FY+1)</f>
        <v>FY 2018</v>
      </c>
      <c r="I26" s="31" t="str">
        <f>CONCATENATE("FY ",FY+2)</f>
        <v>FY 2019</v>
      </c>
      <c r="J26" s="31" t="str">
        <f>CONCATENATE("FY ",FY+2)</f>
        <v>FY 2019</v>
      </c>
      <c r="K26" s="31" t="str">
        <f>CONCATENATE("FY ",FY+3)</f>
        <v>FY 2020</v>
      </c>
      <c r="L26" s="31" t="str">
        <f>CONCATENATE("FY ",FY+3)</f>
        <v>FY 2020</v>
      </c>
    </row>
    <row r="27" spans="2:12" ht="24" customHeight="1" x14ac:dyDescent="0.3">
      <c r="B27" s="5" t="s">
        <v>19</v>
      </c>
      <c r="C27" s="22" t="s">
        <v>14</v>
      </c>
      <c r="D27" s="22" t="s">
        <v>34</v>
      </c>
      <c r="E27" s="22" t="s">
        <v>35</v>
      </c>
      <c r="F27" s="22" t="s">
        <v>21</v>
      </c>
      <c r="G27" s="23" t="s">
        <v>17</v>
      </c>
      <c r="H27" s="22" t="s">
        <v>39</v>
      </c>
      <c r="I27" s="22" t="s">
        <v>40</v>
      </c>
      <c r="J27" s="22" t="s">
        <v>38</v>
      </c>
      <c r="K27" s="22" t="s">
        <v>47</v>
      </c>
      <c r="L27" s="22" t="s">
        <v>46</v>
      </c>
    </row>
    <row r="28" spans="2:12" ht="24" customHeight="1" x14ac:dyDescent="0.3">
      <c r="B28" s="4" t="s">
        <v>30</v>
      </c>
      <c r="C28" s="6">
        <v>0</v>
      </c>
      <c r="D28" s="6">
        <v>1000</v>
      </c>
      <c r="E28" s="6">
        <f>400+1295+8475+303+14612.24</f>
        <v>25085.239999999998</v>
      </c>
      <c r="F28" s="6">
        <f>ExpenseTable7119[[#This Row],[2017 ACTUAL]]-ExpenseTable7119[[#This Row],[2017 PROPOSED]]</f>
        <v>24085.239999999998</v>
      </c>
      <c r="G28" s="7">
        <f>ExpenseTable7119[[#This Row],[2017 ACTUAL]]-ExpenseTable7119[[#This Row],[PRIOR YEAR]]</f>
        <v>25085.239999999998</v>
      </c>
      <c r="H28" s="6">
        <v>0</v>
      </c>
      <c r="I28" s="6">
        <v>30000</v>
      </c>
      <c r="J28" s="6">
        <f>35870+225</f>
        <v>36095</v>
      </c>
      <c r="K28" s="6">
        <v>30000</v>
      </c>
      <c r="L28" s="6"/>
    </row>
    <row r="29" spans="2:12" ht="24" customHeight="1" x14ac:dyDescent="0.3">
      <c r="B29" s="4" t="s">
        <v>42</v>
      </c>
      <c r="C29" s="6">
        <v>10</v>
      </c>
      <c r="D29" s="6">
        <v>750</v>
      </c>
      <c r="E29" s="6">
        <f>127+250+250</f>
        <v>627</v>
      </c>
      <c r="F29" s="6">
        <f>ExpenseTable7119[[#This Row],[2017 ACTUAL]]-ExpenseTable7119[[#This Row],[2017 PROPOSED]]</f>
        <v>-123</v>
      </c>
      <c r="G29" s="7">
        <f>ExpenseTable7119[[#This Row],[2017 ACTUAL]]-ExpenseTable7119[[#This Row],[PRIOR YEAR]]</f>
        <v>617</v>
      </c>
      <c r="H29" s="6">
        <v>0</v>
      </c>
      <c r="I29" s="6">
        <v>750</v>
      </c>
      <c r="J29" s="6">
        <f>1500</f>
        <v>1500</v>
      </c>
      <c r="K29" s="6">
        <v>1000</v>
      </c>
      <c r="L29" s="6"/>
    </row>
    <row r="30" spans="2:12" ht="24" customHeight="1" x14ac:dyDescent="0.3">
      <c r="B30" s="4" t="s">
        <v>26</v>
      </c>
      <c r="C30" s="6">
        <v>0</v>
      </c>
      <c r="D30" s="6">
        <v>0</v>
      </c>
      <c r="E30" s="6">
        <f>1717</f>
        <v>1717</v>
      </c>
      <c r="F30" s="6">
        <f>ExpenseTable7119[[#This Row],[2017 ACTUAL]]-ExpenseTable7119[[#This Row],[2017 PROPOSED]]</f>
        <v>1717</v>
      </c>
      <c r="G30" s="7">
        <f>ExpenseTable7119[[#This Row],[2017 ACTUAL]]-ExpenseTable7119[[#This Row],[PRIOR YEAR]]</f>
        <v>1717</v>
      </c>
      <c r="H30" s="6">
        <v>0</v>
      </c>
      <c r="I30" s="6"/>
      <c r="J30" s="6">
        <f>200+75</f>
        <v>275</v>
      </c>
      <c r="K30" s="6"/>
      <c r="L30" s="6"/>
    </row>
    <row r="31" spans="2:12" ht="24" customHeight="1" x14ac:dyDescent="0.3">
      <c r="B31" s="4" t="s">
        <v>28</v>
      </c>
      <c r="C31" s="6"/>
      <c r="D31" s="6"/>
      <c r="E31" s="6">
        <f>3063.25+321.9</f>
        <v>3385.15</v>
      </c>
      <c r="F31" s="6">
        <f>ExpenseTable7119[[#This Row],[2017 ACTUAL]]-ExpenseTable7119[[#This Row],[2017 PROPOSED]]</f>
        <v>3385.15</v>
      </c>
      <c r="G31" s="7">
        <f>ExpenseTable7119[[#This Row],[2017 ACTUAL]]-ExpenseTable7119[[#This Row],[PRIOR YEAR]]</f>
        <v>3385.15</v>
      </c>
      <c r="H31" s="6">
        <f>2167.75+124.72</f>
        <v>2292.4699999999998</v>
      </c>
      <c r="I31" s="6">
        <v>2500</v>
      </c>
      <c r="J31" s="6">
        <f>2633.85+905.49</f>
        <v>3539.34</v>
      </c>
      <c r="K31" s="6">
        <v>2000</v>
      </c>
      <c r="L31" s="6"/>
    </row>
    <row r="32" spans="2:12" ht="24" customHeight="1" x14ac:dyDescent="0.3">
      <c r="B32" s="4" t="s">
        <v>8</v>
      </c>
      <c r="C32" s="6">
        <v>0</v>
      </c>
      <c r="D32" s="6">
        <v>0</v>
      </c>
      <c r="E32" s="6">
        <v>0</v>
      </c>
      <c r="F32" s="6">
        <f>ExpenseTable7119[[#This Row],[2017 ACTUAL]]-ExpenseTable7119[[#This Row],[2017 PROPOSED]]</f>
        <v>0</v>
      </c>
      <c r="G32" s="7">
        <f>ExpenseTable7119[[#This Row],[2017 ACTUAL]]-ExpenseTable7119[[#This Row],[PRIOR YEAR]]</f>
        <v>0</v>
      </c>
      <c r="H32" s="6">
        <v>0</v>
      </c>
      <c r="I32" s="6"/>
      <c r="J32" s="6"/>
      <c r="K32" s="6"/>
      <c r="L32" s="6"/>
    </row>
    <row r="33" spans="2:12" ht="24" customHeight="1" x14ac:dyDescent="0.3">
      <c r="B33" s="4" t="s">
        <v>23</v>
      </c>
      <c r="C33" s="6">
        <v>0</v>
      </c>
      <c r="D33" s="6">
        <v>1000</v>
      </c>
      <c r="E33" s="6">
        <f>3703.51</f>
        <v>3703.51</v>
      </c>
      <c r="F33" s="6">
        <f>ExpenseTable7119[[#This Row],[2017 ACTUAL]]-ExpenseTable7119[[#This Row],[2017 PROPOSED]]</f>
        <v>2703.51</v>
      </c>
      <c r="G33" s="7">
        <f>ExpenseTable7119[[#This Row],[2017 ACTUAL]]-ExpenseTable7119[[#This Row],[PRIOR YEAR]]</f>
        <v>3703.51</v>
      </c>
      <c r="H33" s="6">
        <f>5156.53</f>
        <v>5156.53</v>
      </c>
      <c r="I33" s="6">
        <v>5000</v>
      </c>
      <c r="J33" s="6">
        <v>4849.87</v>
      </c>
      <c r="K33" s="6">
        <v>4000</v>
      </c>
      <c r="L33" s="6"/>
    </row>
    <row r="34" spans="2:12" ht="24" customHeight="1" x14ac:dyDescent="0.3">
      <c r="B34" s="4" t="s">
        <v>5</v>
      </c>
      <c r="C34" s="6">
        <v>90</v>
      </c>
      <c r="D34" s="6">
        <v>1000</v>
      </c>
      <c r="E34" s="6">
        <f>7817.85+3398.75+1844.08</f>
        <v>13060.68</v>
      </c>
      <c r="F34" s="6">
        <f>ExpenseTable7119[[#This Row],[2017 ACTUAL]]-ExpenseTable7119[[#This Row],[2017 PROPOSED]]</f>
        <v>12060.68</v>
      </c>
      <c r="G34" s="7">
        <f>ExpenseTable7119[[#This Row],[2017 ACTUAL]]-ExpenseTable7119[[#This Row],[PRIOR YEAR]]</f>
        <v>12970.68</v>
      </c>
      <c r="H34" s="6">
        <f>1053.97+3922.38+8528.11+176</f>
        <v>13680.460000000001</v>
      </c>
      <c r="I34" s="6">
        <v>15000</v>
      </c>
      <c r="J34" s="6">
        <f>1810.69+2603.82+203.99+8540.96</f>
        <v>13159.46</v>
      </c>
      <c r="K34" s="6">
        <v>9000</v>
      </c>
      <c r="L34" s="6"/>
    </row>
    <row r="35" spans="2:12" ht="24" customHeight="1" x14ac:dyDescent="0.3">
      <c r="B35" s="4" t="s">
        <v>41</v>
      </c>
      <c r="C35" s="6"/>
      <c r="D35" s="6"/>
      <c r="E35" s="6"/>
      <c r="F35" s="6">
        <f>ExpenseTable7119[[#This Row],[2017 ACTUAL]]-ExpenseTable7119[[#This Row],[2017 PROPOSED]]</f>
        <v>0</v>
      </c>
      <c r="G35" s="7">
        <f>ExpenseTable7119[[#This Row],[2017 ACTUAL]]-ExpenseTable7119[[#This Row],[PRIOR YEAR]]</f>
        <v>0</v>
      </c>
      <c r="H35" s="6"/>
      <c r="I35" s="6">
        <v>0</v>
      </c>
      <c r="J35" s="6">
        <f>4817+1058.68</f>
        <v>5875.68</v>
      </c>
      <c r="K35" s="6">
        <v>1500</v>
      </c>
      <c r="L35" s="6"/>
    </row>
    <row r="36" spans="2:12" ht="24" customHeight="1" x14ac:dyDescent="0.3">
      <c r="B36" s="4" t="s">
        <v>11</v>
      </c>
      <c r="C36" s="6">
        <v>290</v>
      </c>
      <c r="D36" s="6">
        <v>70</v>
      </c>
      <c r="E36" s="6">
        <f>200+40+50+45</f>
        <v>335</v>
      </c>
      <c r="F36" s="6">
        <f>ExpenseTable7119[[#This Row],[2017 ACTUAL]]-ExpenseTable7119[[#This Row],[2017 PROPOSED]]</f>
        <v>265</v>
      </c>
      <c r="G36" s="7">
        <f>ExpenseTable7119[[#This Row],[2017 ACTUAL]]-ExpenseTable7119[[#This Row],[PRIOR YEAR]]</f>
        <v>45</v>
      </c>
      <c r="H36" s="6">
        <f>300+45+20</f>
        <v>365</v>
      </c>
      <c r="I36" s="6">
        <v>750</v>
      </c>
      <c r="J36" s="6">
        <f>937+100+20</f>
        <v>1057</v>
      </c>
      <c r="K36" s="6">
        <v>750</v>
      </c>
      <c r="L36" s="6"/>
    </row>
    <row r="37" spans="2:12" ht="24" customHeight="1" x14ac:dyDescent="0.3">
      <c r="B37" s="4" t="s">
        <v>44</v>
      </c>
      <c r="C37" s="6"/>
      <c r="D37" s="6"/>
      <c r="E37" s="6"/>
      <c r="F37" s="6">
        <f>ExpenseTable7119[[#This Row],[2017 ACTUAL]]-ExpenseTable7119[[#This Row],[2017 PROPOSED]]</f>
        <v>0</v>
      </c>
      <c r="G37" s="7">
        <f>ExpenseTable7119[[#This Row],[2017 ACTUAL]]-ExpenseTable7119[[#This Row],[PRIOR YEAR]]</f>
        <v>0</v>
      </c>
      <c r="H37" s="6">
        <f>3741</f>
        <v>3741</v>
      </c>
      <c r="I37" s="6">
        <v>4500</v>
      </c>
      <c r="J37" s="6">
        <f>5150+231</f>
        <v>5381</v>
      </c>
      <c r="K37" s="6">
        <v>4500</v>
      </c>
      <c r="L37" s="6"/>
    </row>
    <row r="38" spans="2:12" ht="24" customHeight="1" x14ac:dyDescent="0.3">
      <c r="B38" s="4" t="s">
        <v>43</v>
      </c>
      <c r="C38" s="6"/>
      <c r="D38" s="6">
        <v>1000</v>
      </c>
      <c r="E38" s="6">
        <f>3965.47</f>
        <v>3965.47</v>
      </c>
      <c r="F38" s="6">
        <f>ExpenseTable7119[[#This Row],[2017 ACTUAL]]-ExpenseTable7119[[#This Row],[2017 PROPOSED]]</f>
        <v>2965.47</v>
      </c>
      <c r="G38" s="7">
        <f>ExpenseTable7119[[#This Row],[2017 ACTUAL]]-ExpenseTable7119[[#This Row],[PRIOR YEAR]]</f>
        <v>3965.47</v>
      </c>
      <c r="H38" s="6">
        <f>120.31</f>
        <v>120.31</v>
      </c>
      <c r="I38" s="6">
        <v>500</v>
      </c>
      <c r="J38" s="6">
        <f>229.19+500</f>
        <v>729.19</v>
      </c>
      <c r="K38" s="6">
        <v>500</v>
      </c>
      <c r="L38" s="6"/>
    </row>
    <row r="39" spans="2:12" ht="24" customHeight="1" x14ac:dyDescent="0.3">
      <c r="B39" s="4" t="s">
        <v>4</v>
      </c>
      <c r="C39" s="6"/>
      <c r="D39" s="6"/>
      <c r="E39" s="6">
        <f>350</f>
        <v>350</v>
      </c>
      <c r="F39" s="6">
        <f>ExpenseTable7119[[#This Row],[2017 ACTUAL]]-ExpenseTable7119[[#This Row],[2017 PROPOSED]]</f>
        <v>350</v>
      </c>
      <c r="G39" s="7">
        <f>ExpenseTable7119[[#This Row],[2017 ACTUAL]]-ExpenseTable7119[[#This Row],[PRIOR YEAR]]</f>
        <v>350</v>
      </c>
      <c r="H39" s="6">
        <f>350</f>
        <v>350</v>
      </c>
      <c r="I39" s="6">
        <v>350</v>
      </c>
      <c r="J39" s="6">
        <v>352</v>
      </c>
      <c r="K39" s="6">
        <v>350</v>
      </c>
      <c r="L39" s="6"/>
    </row>
    <row r="40" spans="2:12" ht="24" customHeight="1" x14ac:dyDescent="0.3">
      <c r="B40" s="4" t="s">
        <v>6</v>
      </c>
      <c r="C40" s="6"/>
      <c r="D40" s="6"/>
      <c r="E40" s="6">
        <v>2880</v>
      </c>
      <c r="F40" s="6">
        <f>ExpenseTable7119[[#This Row],[2017 ACTUAL]]-ExpenseTable7119[[#This Row],[2017 PROPOSED]]</f>
        <v>2880</v>
      </c>
      <c r="G40" s="7">
        <f>ExpenseTable7119[[#This Row],[2017 ACTUAL]]-ExpenseTable7119[[#This Row],[PRIOR YEAR]]</f>
        <v>2880</v>
      </c>
      <c r="H40" s="6">
        <f>2640</f>
        <v>2640</v>
      </c>
      <c r="I40" s="6">
        <v>2640</v>
      </c>
      <c r="J40" s="6">
        <f>(220*6)+(200*6)</f>
        <v>2520</v>
      </c>
      <c r="K40" s="6">
        <v>2500</v>
      </c>
      <c r="L40" s="6"/>
    </row>
    <row r="41" spans="2:12" ht="24" customHeight="1" x14ac:dyDescent="0.3">
      <c r="B41" s="4" t="s">
        <v>12</v>
      </c>
      <c r="C41" s="6"/>
      <c r="D41" s="6">
        <v>150</v>
      </c>
      <c r="E41" s="6">
        <f>1325</f>
        <v>1325</v>
      </c>
      <c r="F41" s="6">
        <f>ExpenseTable7119[[#This Row],[2017 ACTUAL]]-ExpenseTable7119[[#This Row],[2017 PROPOSED]]</f>
        <v>1175</v>
      </c>
      <c r="G41" s="7">
        <f>ExpenseTable7119[[#This Row],[2017 ACTUAL]]-ExpenseTable7119[[#This Row],[PRIOR YEAR]]</f>
        <v>1325</v>
      </c>
      <c r="H41" s="6">
        <f>1848</f>
        <v>1848</v>
      </c>
      <c r="I41" s="6">
        <v>1800</v>
      </c>
      <c r="J41" s="6">
        <f>1862.99</f>
        <v>1862.99</v>
      </c>
      <c r="K41" s="6">
        <v>1800</v>
      </c>
      <c r="L41" s="6"/>
    </row>
    <row r="42" spans="2:12" ht="24" customHeight="1" x14ac:dyDescent="0.3">
      <c r="B42" s="4" t="s">
        <v>27</v>
      </c>
      <c r="C42" s="6"/>
      <c r="D42" s="6"/>
      <c r="E42" s="6">
        <f>2524+905.06</f>
        <v>3429.06</v>
      </c>
      <c r="F42" s="6">
        <f>ExpenseTable7119[[#This Row],[2017 ACTUAL]]-ExpenseTable7119[[#This Row],[2017 PROPOSED]]</f>
        <v>3429.06</v>
      </c>
      <c r="G42" s="7">
        <f>ExpenseTable7119[[#This Row],[2017 ACTUAL]]-ExpenseTable7119[[#This Row],[PRIOR YEAR]]</f>
        <v>3429.06</v>
      </c>
      <c r="H42" s="6">
        <f>1749.77+390.21</f>
        <v>2139.98</v>
      </c>
      <c r="I42" s="6">
        <v>2000</v>
      </c>
      <c r="J42" s="6">
        <f>754.99+16.38+223.54</f>
        <v>994.91</v>
      </c>
      <c r="K42" s="6">
        <v>1000</v>
      </c>
      <c r="L42" s="6"/>
    </row>
    <row r="43" spans="2:12" ht="24" customHeight="1" x14ac:dyDescent="0.3">
      <c r="B43" s="4" t="s">
        <v>29</v>
      </c>
      <c r="C43" s="6"/>
      <c r="D43" s="6"/>
      <c r="E43" s="6">
        <f>64.25+620.36</f>
        <v>684.61</v>
      </c>
      <c r="F43" s="6">
        <f>ExpenseTable7119[[#This Row],[2017 ACTUAL]]-ExpenseTable7119[[#This Row],[2017 PROPOSED]]</f>
        <v>684.61</v>
      </c>
      <c r="G43" s="7">
        <f>ExpenseTable7119[[#This Row],[2017 ACTUAL]]-ExpenseTable7119[[#This Row],[PRIOR YEAR]]</f>
        <v>684.61</v>
      </c>
      <c r="H43" s="6">
        <f>528.1</f>
        <v>528.1</v>
      </c>
      <c r="I43" s="6">
        <v>750</v>
      </c>
      <c r="J43" s="6">
        <f>1075.37</f>
        <v>1075.3699999999999</v>
      </c>
      <c r="K43" s="6">
        <v>750</v>
      </c>
      <c r="L43" s="6"/>
    </row>
    <row r="44" spans="2:12" ht="24" customHeight="1" x14ac:dyDescent="0.3">
      <c r="B44" s="4" t="s">
        <v>10</v>
      </c>
      <c r="C44" s="6">
        <v>10</v>
      </c>
      <c r="D44" s="6">
        <v>150</v>
      </c>
      <c r="E44" s="6">
        <f>330.28</f>
        <v>330.28</v>
      </c>
      <c r="F44" s="6">
        <f>ExpenseTable7119[[#This Row],[2017 ACTUAL]]-ExpenseTable7119[[#This Row],[2017 PROPOSED]]</f>
        <v>180.27999999999997</v>
      </c>
      <c r="G44" s="7">
        <f>ExpenseTable7119[[#This Row],[2017 ACTUAL]]-ExpenseTable7119[[#This Row],[PRIOR YEAR]]</f>
        <v>320.27999999999997</v>
      </c>
      <c r="H44" s="6">
        <f>127.93</f>
        <v>127.93</v>
      </c>
      <c r="I44" s="6">
        <v>150</v>
      </c>
      <c r="J44" s="6">
        <v>738.15</v>
      </c>
      <c r="K44" s="6">
        <v>350</v>
      </c>
      <c r="L44" s="6"/>
    </row>
    <row r="45" spans="2:12" ht="24" customHeight="1" x14ac:dyDescent="0.3">
      <c r="B45" s="4" t="s">
        <v>20</v>
      </c>
      <c r="C45" s="8">
        <f>SUBTOTAL(109,ExpenseTable7119[PRIOR YEAR])</f>
        <v>400</v>
      </c>
      <c r="D45" s="8">
        <f>SUBTOTAL(109,ExpenseTable7119[2017 PROPOSED])</f>
        <v>5120</v>
      </c>
      <c r="E45" s="8">
        <f>SUBTOTAL(109,ExpenseTable7119[2017 ACTUAL])</f>
        <v>60878</v>
      </c>
      <c r="F45" s="8">
        <f>SUBTOTAL(109,ExpenseTable7119[VARIANCE])</f>
        <v>55758</v>
      </c>
      <c r="G45" s="9">
        <f>SUBTOTAL(109,ExpenseTable7119[+/- PRIOR YEAR])</f>
        <v>60478</v>
      </c>
      <c r="H45" s="8">
        <f>SUBTOTAL(109,ExpenseTable7119[[2018 ACTUAL ]])</f>
        <v>32989.78</v>
      </c>
      <c r="I45" s="8">
        <f>SUBTOTAL(109,ExpenseTable7119[[2019 PROPOSED ]])</f>
        <v>66690</v>
      </c>
      <c r="J45" s="8">
        <f>SUBTOTAL(109,ExpenseTable7119[[2019 ACTUAL ]])</f>
        <v>80004.960000000006</v>
      </c>
      <c r="K45" s="8">
        <f>SUBTOTAL(109,ExpenseTable7119[[2020 PROPOSED ]])</f>
        <v>60000</v>
      </c>
      <c r="L45" s="32"/>
    </row>
  </sheetData>
  <mergeCells count="2">
    <mergeCell ref="B18:G18"/>
    <mergeCell ref="B23:F23"/>
  </mergeCells>
  <phoneticPr fontId="8" type="noConversion"/>
  <conditionalFormatting sqref="C11:G17 C28:G45">
    <cfRule type="expression" dxfId="49" priority="1">
      <formula>C11&lt;0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2017 Budget</vt:lpstr>
      <vt:lpstr>2018 Budget</vt:lpstr>
      <vt:lpstr>2019 Budget</vt:lpstr>
      <vt:lpstr>2020 Budget</vt:lpstr>
      <vt:lpstr>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2017-03-07T20:38:15Z</dcterms:created>
  <dcterms:modified xsi:type="dcterms:W3CDTF">2020-03-31T20:34:47Z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