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TV\April 2022 Board Meeting\"/>
    </mc:Choice>
  </mc:AlternateContent>
  <bookViews>
    <workbookView xWindow="0" yWindow="0" windowWidth="19200" windowHeight="7890"/>
  </bookViews>
  <sheets>
    <sheet name="2023 Budget" sheetId="1" r:id="rId1"/>
    <sheet name="2022 Proj" sheetId="2" r:id="rId2"/>
  </sheets>
  <definedNames>
    <definedName name="_xlnm.Print_Area" localSheetId="0">'2023 Budget'!$A$3:$S$75</definedName>
    <definedName name="_xlnm.Print_Titles" localSheetId="0">'2023 Budget'!$3:$3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I12" i="1" s="1"/>
  <c r="I13" i="1" s="1"/>
  <c r="J11" i="1"/>
  <c r="J12" i="1" s="1"/>
  <c r="J13" i="1" s="1"/>
  <c r="K11" i="1"/>
  <c r="L11" i="1"/>
  <c r="G12" i="1"/>
  <c r="H12" i="1"/>
  <c r="H13" i="1" s="1"/>
  <c r="K12" i="1"/>
  <c r="L12" i="1"/>
  <c r="L13" i="1" s="1"/>
  <c r="G13" i="1"/>
  <c r="G32" i="1" s="1"/>
  <c r="K13" i="1"/>
  <c r="K16" i="1" s="1"/>
  <c r="K17" i="1" s="1"/>
  <c r="K18" i="1" s="1"/>
  <c r="K19" i="1" s="1"/>
  <c r="G24" i="1"/>
  <c r="H24" i="1"/>
  <c r="I24" i="1"/>
  <c r="J24" i="1"/>
  <c r="K24" i="1"/>
  <c r="L24" i="1"/>
  <c r="G25" i="1"/>
  <c r="G28" i="1" s="1"/>
  <c r="G30" i="1" s="1"/>
  <c r="G64" i="1" s="1"/>
  <c r="G73" i="1" s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K28" i="1" s="1"/>
  <c r="K30" i="1" s="1"/>
  <c r="K64" i="1" s="1"/>
  <c r="K73" i="1" s="1"/>
  <c r="L27" i="1"/>
  <c r="H28" i="1"/>
  <c r="K32" i="1"/>
  <c r="G37" i="1"/>
  <c r="H37" i="1"/>
  <c r="I37" i="1"/>
  <c r="J37" i="1"/>
  <c r="K37" i="1"/>
  <c r="L37" i="1"/>
  <c r="G38" i="1"/>
  <c r="H38" i="1"/>
  <c r="I38" i="1"/>
  <c r="J38" i="1"/>
  <c r="K38" i="1"/>
  <c r="L38" i="1"/>
  <c r="G50" i="1"/>
  <c r="H50" i="1"/>
  <c r="I50" i="1"/>
  <c r="J50" i="1"/>
  <c r="K50" i="1"/>
  <c r="L50" i="1"/>
  <c r="G63" i="1"/>
  <c r="H63" i="1"/>
  <c r="I63" i="1"/>
  <c r="J63" i="1"/>
  <c r="K63" i="1"/>
  <c r="L63" i="1"/>
  <c r="G70" i="1"/>
  <c r="G72" i="1" s="1"/>
  <c r="H70" i="1"/>
  <c r="H72" i="1" s="1"/>
  <c r="I70" i="1"/>
  <c r="I72" i="1" s="1"/>
  <c r="J70" i="1"/>
  <c r="K70" i="1"/>
  <c r="K72" i="1" s="1"/>
  <c r="L70" i="1"/>
  <c r="L72" i="1" s="1"/>
  <c r="J72" i="1"/>
  <c r="G82" i="1"/>
  <c r="H82" i="1"/>
  <c r="I82" i="1"/>
  <c r="J82" i="1"/>
  <c r="K82" i="1"/>
  <c r="L82" i="1"/>
  <c r="G83" i="1"/>
  <c r="H83" i="1"/>
  <c r="I83" i="1"/>
  <c r="J83" i="1"/>
  <c r="K83" i="1"/>
  <c r="L83" i="1"/>
  <c r="I16" i="1" l="1"/>
  <c r="I17" i="1" s="1"/>
  <c r="I18" i="1" s="1"/>
  <c r="I19" i="1" s="1"/>
  <c r="I32" i="1"/>
  <c r="J28" i="1"/>
  <c r="J30" i="1" s="1"/>
  <c r="H30" i="1"/>
  <c r="G16" i="1"/>
  <c r="G17" i="1" s="1"/>
  <c r="G18" i="1" s="1"/>
  <c r="G19" i="1" s="1"/>
  <c r="I28" i="1"/>
  <c r="I30" i="1" s="1"/>
  <c r="I64" i="1" s="1"/>
  <c r="I73" i="1" s="1"/>
  <c r="L28" i="1"/>
  <c r="L30" i="1" s="1"/>
  <c r="G74" i="1"/>
  <c r="G75" i="1" s="1"/>
  <c r="L16" i="1"/>
  <c r="L17" i="1" s="1"/>
  <c r="L18" i="1" s="1"/>
  <c r="L19" i="1" s="1"/>
  <c r="L32" i="1"/>
  <c r="J16" i="1"/>
  <c r="J17" i="1" s="1"/>
  <c r="J18" i="1" s="1"/>
  <c r="J19" i="1" s="1"/>
  <c r="J32" i="1"/>
  <c r="K74" i="1"/>
  <c r="K75" i="1" s="1"/>
  <c r="H32" i="1"/>
  <c r="H16" i="1"/>
  <c r="H17" i="1" s="1"/>
  <c r="H18" i="1" s="1"/>
  <c r="H19" i="1" s="1"/>
  <c r="H64" i="1" l="1"/>
  <c r="H73" i="1" s="1"/>
  <c r="I74" i="1"/>
  <c r="I75" i="1" s="1"/>
  <c r="L64" i="1"/>
  <c r="L73" i="1" s="1"/>
  <c r="L74" i="1" s="1"/>
  <c r="L75" i="1" s="1"/>
  <c r="J64" i="1"/>
  <c r="J73" i="1" s="1"/>
  <c r="J74" i="1" s="1"/>
  <c r="J75" i="1" s="1"/>
  <c r="H74" i="1"/>
  <c r="H75" i="1" s="1"/>
  <c r="Q81" i="1" l="1"/>
  <c r="M81" i="1"/>
  <c r="R96" i="1"/>
  <c r="R81" i="1" s="1"/>
  <c r="Q96" i="1"/>
  <c r="P96" i="1"/>
  <c r="P81" i="1" s="1"/>
  <c r="O96" i="1"/>
  <c r="O81" i="1" s="1"/>
  <c r="N96" i="1"/>
  <c r="N81" i="1" s="1"/>
  <c r="M96" i="1"/>
  <c r="L96" i="1"/>
  <c r="L81" i="1" s="1"/>
  <c r="K96" i="1"/>
  <c r="K81" i="1" s="1"/>
  <c r="J96" i="1"/>
  <c r="J81" i="1" s="1"/>
  <c r="I96" i="1"/>
  <c r="I81" i="1" s="1"/>
  <c r="H96" i="1"/>
  <c r="H81" i="1" s="1"/>
  <c r="G96" i="1"/>
  <c r="G81" i="1" s="1"/>
  <c r="G84" i="1" s="1"/>
  <c r="H78" i="1" s="1"/>
  <c r="F96" i="1"/>
  <c r="S95" i="1"/>
  <c r="S94" i="1"/>
  <c r="S93" i="1"/>
  <c r="S96" i="1" l="1"/>
  <c r="S81" i="1"/>
  <c r="H84" i="1"/>
  <c r="I78" i="1" s="1"/>
  <c r="I84" i="1" s="1"/>
  <c r="J78" i="1" s="1"/>
  <c r="J84" i="1" s="1"/>
  <c r="K78" i="1" s="1"/>
  <c r="K84" i="1" s="1"/>
  <c r="L78" i="1" s="1"/>
  <c r="L84" i="1" s="1"/>
  <c r="R83" i="1"/>
  <c r="Q83" i="1"/>
  <c r="P83" i="1"/>
  <c r="O83" i="1"/>
  <c r="N83" i="1"/>
  <c r="M83" i="1"/>
  <c r="S82" i="1"/>
  <c r="S87" i="1"/>
  <c r="S83" i="1" l="1"/>
  <c r="R82" i="1"/>
  <c r="Q82" i="1"/>
  <c r="P82" i="1"/>
  <c r="O82" i="1"/>
  <c r="N82" i="1"/>
  <c r="M82" i="1"/>
  <c r="P31" i="1"/>
  <c r="S31" i="1" s="1"/>
  <c r="S33" i="1"/>
  <c r="U33" i="1" s="1"/>
  <c r="S34" i="1"/>
  <c r="S35" i="1"/>
  <c r="U35" i="1" s="1"/>
  <c r="S36" i="1"/>
  <c r="U36" i="1" s="1"/>
  <c r="M37" i="1"/>
  <c r="N37" i="1"/>
  <c r="O37" i="1"/>
  <c r="P37" i="1"/>
  <c r="Q37" i="1"/>
  <c r="R37" i="1"/>
  <c r="M38" i="1"/>
  <c r="N38" i="1"/>
  <c r="O38" i="1"/>
  <c r="P38" i="1"/>
  <c r="Q38" i="1"/>
  <c r="R38" i="1"/>
  <c r="S39" i="1"/>
  <c r="U39" i="1" s="1"/>
  <c r="S40" i="1"/>
  <c r="U40" i="1" s="1"/>
  <c r="S41" i="1"/>
  <c r="U41" i="1" s="1"/>
  <c r="S42" i="1"/>
  <c r="U42" i="1" s="1"/>
  <c r="S43" i="1"/>
  <c r="S44" i="1"/>
  <c r="U44" i="1" s="1"/>
  <c r="S45" i="1"/>
  <c r="U45" i="1" s="1"/>
  <c r="S46" i="1"/>
  <c r="U46" i="1" s="1"/>
  <c r="S47" i="1"/>
  <c r="U47" i="1" s="1"/>
  <c r="S48" i="1"/>
  <c r="U48" i="1" s="1"/>
  <c r="S49" i="1"/>
  <c r="M50" i="1"/>
  <c r="N50" i="1"/>
  <c r="O50" i="1"/>
  <c r="P50" i="1"/>
  <c r="Q50" i="1"/>
  <c r="R50" i="1"/>
  <c r="S51" i="1"/>
  <c r="U51" i="1" s="1"/>
  <c r="S52" i="1"/>
  <c r="S53" i="1"/>
  <c r="U53" i="1" s="1"/>
  <c r="S54" i="1"/>
  <c r="U54" i="1" s="1"/>
  <c r="S55" i="1"/>
  <c r="U55" i="1" s="1"/>
  <c r="S56" i="1"/>
  <c r="U56" i="1" s="1"/>
  <c r="S57" i="1"/>
  <c r="U57" i="1" s="1"/>
  <c r="S58" i="1"/>
  <c r="U58" i="1" s="1"/>
  <c r="S59" i="1"/>
  <c r="U59" i="1" s="1"/>
  <c r="S60" i="1"/>
  <c r="U60" i="1" s="1"/>
  <c r="S61" i="1"/>
  <c r="U61" i="1" s="1"/>
  <c r="S62" i="1"/>
  <c r="U62" i="1" s="1"/>
  <c r="M63" i="1"/>
  <c r="N63" i="1"/>
  <c r="O63" i="1"/>
  <c r="P63" i="1"/>
  <c r="Q63" i="1"/>
  <c r="R63" i="1"/>
  <c r="S65" i="1"/>
  <c r="S66" i="1"/>
  <c r="U66" i="1" s="1"/>
  <c r="S67" i="1"/>
  <c r="S68" i="1"/>
  <c r="U68" i="1" s="1"/>
  <c r="S69" i="1"/>
  <c r="U69" i="1" s="1"/>
  <c r="M70" i="1"/>
  <c r="N70" i="1"/>
  <c r="N72" i="1" s="1"/>
  <c r="O70" i="1"/>
  <c r="O72" i="1" s="1"/>
  <c r="P70" i="1"/>
  <c r="P72" i="1" s="1"/>
  <c r="Q70" i="1"/>
  <c r="Q72" i="1" s="1"/>
  <c r="R70" i="1"/>
  <c r="R72" i="1" s="1"/>
  <c r="S71" i="1"/>
  <c r="U71" i="1" s="1"/>
  <c r="M72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4" i="1"/>
  <c r="R28" i="1" s="1"/>
  <c r="R30" i="1" s="1"/>
  <c r="Q24" i="1"/>
  <c r="P24" i="1"/>
  <c r="O24" i="1"/>
  <c r="N24" i="1"/>
  <c r="N28" i="1" s="1"/>
  <c r="M24" i="1"/>
  <c r="S10" i="1"/>
  <c r="U10" i="1" s="1"/>
  <c r="S9" i="1"/>
  <c r="U9" i="1" s="1"/>
  <c r="S7" i="1"/>
  <c r="U7" i="1" s="1"/>
  <c r="S29" i="1"/>
  <c r="U29" i="1" s="1"/>
  <c r="R11" i="1"/>
  <c r="R12" i="1" s="1"/>
  <c r="R13" i="1" s="1"/>
  <c r="R32" i="1" s="1"/>
  <c r="Q11" i="1"/>
  <c r="Q12" i="1" s="1"/>
  <c r="Q13" i="1" s="1"/>
  <c r="Q32" i="1" s="1"/>
  <c r="P11" i="1"/>
  <c r="P12" i="1" s="1"/>
  <c r="P13" i="1" s="1"/>
  <c r="P32" i="1" s="1"/>
  <c r="O11" i="1"/>
  <c r="O12" i="1" s="1"/>
  <c r="O13" i="1" s="1"/>
  <c r="O32" i="1" s="1"/>
  <c r="N11" i="1"/>
  <c r="N12" i="1" s="1"/>
  <c r="N13" i="1" s="1"/>
  <c r="N32" i="1" s="1"/>
  <c r="M11" i="1"/>
  <c r="M12" i="1" s="1"/>
  <c r="M13" i="1" s="1"/>
  <c r="M28" i="1" l="1"/>
  <c r="Q28" i="1"/>
  <c r="Q16" i="1"/>
  <c r="S50" i="1"/>
  <c r="U50" i="1" s="1"/>
  <c r="S63" i="1"/>
  <c r="U63" i="1" s="1"/>
  <c r="M32" i="1"/>
  <c r="M16" i="1"/>
  <c r="M17" i="1" s="1"/>
  <c r="M18" i="1" s="1"/>
  <c r="S72" i="1"/>
  <c r="U72" i="1" s="1"/>
  <c r="N16" i="1"/>
  <c r="N17" i="1" s="1"/>
  <c r="N18" i="1" s="1"/>
  <c r="R16" i="1"/>
  <c r="Q30" i="1"/>
  <c r="Q64" i="1" s="1"/>
  <c r="Q73" i="1" s="1"/>
  <c r="M30" i="1"/>
  <c r="O16" i="1"/>
  <c r="O17" i="1" s="1"/>
  <c r="O18" i="1" s="1"/>
  <c r="S26" i="1"/>
  <c r="U26" i="1" s="1"/>
  <c r="O28" i="1"/>
  <c r="S70" i="1"/>
  <c r="U70" i="1" s="1"/>
  <c r="P16" i="1"/>
  <c r="P28" i="1"/>
  <c r="P30" i="1" s="1"/>
  <c r="P64" i="1" s="1"/>
  <c r="P73" i="1" s="1"/>
  <c r="R64" i="1"/>
  <c r="R73" i="1" s="1"/>
  <c r="S38" i="1"/>
  <c r="U38" i="1" s="1"/>
  <c r="U31" i="1"/>
  <c r="V31" i="1"/>
  <c r="S37" i="1"/>
  <c r="U37" i="1" s="1"/>
  <c r="S27" i="1"/>
  <c r="U27" i="1" s="1"/>
  <c r="N30" i="1"/>
  <c r="N64" i="1" s="1"/>
  <c r="N73" i="1" s="1"/>
  <c r="S25" i="1"/>
  <c r="U25" i="1" s="1"/>
  <c r="S24" i="1"/>
  <c r="U24" i="1" s="1"/>
  <c r="N19" i="1"/>
  <c r="M19" i="1"/>
  <c r="Q17" i="1"/>
  <c r="Q18" i="1" s="1"/>
  <c r="Q19" i="1" s="1"/>
  <c r="R17" i="1"/>
  <c r="R18" i="1" s="1"/>
  <c r="R19" i="1" s="1"/>
  <c r="S12" i="1"/>
  <c r="U12" i="1" s="1"/>
  <c r="O19" i="1"/>
  <c r="S11" i="1"/>
  <c r="U11" i="1" s="1"/>
  <c r="S23" i="1"/>
  <c r="U23" i="1" s="1"/>
  <c r="Q74" i="1" l="1"/>
  <c r="Q75" i="1" s="1"/>
  <c r="N74" i="1"/>
  <c r="N75" i="1" s="1"/>
  <c r="S28" i="1"/>
  <c r="U28" i="1" s="1"/>
  <c r="M64" i="1"/>
  <c r="M73" i="1" s="1"/>
  <c r="M74" i="1" s="1"/>
  <c r="M75" i="1" s="1"/>
  <c r="O30" i="1"/>
  <c r="O64" i="1" s="1"/>
  <c r="O73" i="1" s="1"/>
  <c r="O74" i="1" s="1"/>
  <c r="O75" i="1" s="1"/>
  <c r="R74" i="1"/>
  <c r="R75" i="1" s="1"/>
  <c r="S30" i="1"/>
  <c r="U30" i="1" s="1"/>
  <c r="P17" i="1"/>
  <c r="S13" i="1"/>
  <c r="U13" i="1" s="1"/>
  <c r="S64" i="1" l="1"/>
  <c r="U64" i="1" s="1"/>
  <c r="S73" i="1"/>
  <c r="U73" i="1" s="1"/>
  <c r="S16" i="1"/>
  <c r="U16" i="1" s="1"/>
  <c r="S32" i="1"/>
  <c r="U32" i="1" s="1"/>
  <c r="P18" i="1"/>
  <c r="S17" i="1"/>
  <c r="U17" i="1" s="1"/>
  <c r="P19" i="1" l="1"/>
  <c r="P74" i="1" s="1"/>
  <c r="S18" i="1"/>
  <c r="U18" i="1" s="1"/>
  <c r="M78" i="1" l="1"/>
  <c r="P75" i="1"/>
  <c r="S75" i="1" s="1"/>
  <c r="U75" i="1" s="1"/>
  <c r="S74" i="1"/>
  <c r="U74" i="1" s="1"/>
  <c r="S19" i="1"/>
  <c r="U19" i="1" s="1"/>
  <c r="M84" i="1" l="1"/>
  <c r="N78" i="1" s="1"/>
  <c r="N84" i="1" l="1"/>
  <c r="O78" i="1" s="1"/>
  <c r="O84" i="1" l="1"/>
  <c r="P78" i="1" s="1"/>
  <c r="P84" i="1" l="1"/>
  <c r="Q78" i="1" s="1"/>
  <c r="Q84" i="1" l="1"/>
  <c r="R78" i="1" s="1"/>
  <c r="R84" i="1" s="1"/>
</calcChain>
</file>

<file path=xl/sharedStrings.xml><?xml version="1.0" encoding="utf-8"?>
<sst xmlns="http://schemas.openxmlformats.org/spreadsheetml/2006/main" count="257" uniqueCount="122">
  <si>
    <t>TOTAL</t>
  </si>
  <si>
    <t>Ordinary Income/Expense</t>
  </si>
  <si>
    <t>Income</t>
  </si>
  <si>
    <t>4000 · INCOME</t>
  </si>
  <si>
    <t>4100 · Store Sales</t>
  </si>
  <si>
    <t>4500 · Off-Site Sales</t>
  </si>
  <si>
    <t>4505 · Regular Off-Site Sales</t>
  </si>
  <si>
    <t>4507 · Ecommerce Commission</t>
  </si>
  <si>
    <t>Total 4500 · Off-Site Sales</t>
  </si>
  <si>
    <t>Total 4000 · INCOME</t>
  </si>
  <si>
    <t>Total Income</t>
  </si>
  <si>
    <t>Cost of Goods Sold</t>
  </si>
  <si>
    <t>5000 · COST OF GOODS SOLD</t>
  </si>
  <si>
    <t>5001 · Cost of Goods Sold</t>
  </si>
  <si>
    <t>Total 5000 · COST OF GOODS SOLD</t>
  </si>
  <si>
    <t>Total COGS</t>
  </si>
  <si>
    <t>Gross Profit</t>
  </si>
  <si>
    <t>Expense</t>
  </si>
  <si>
    <t>6000 · OPERATING EXPENSES</t>
  </si>
  <si>
    <t>6001 · Salaries &amp; Wages</t>
  </si>
  <si>
    <t>6002 · Manager</t>
  </si>
  <si>
    <t>6003 · Assistant Manager</t>
  </si>
  <si>
    <t>60035 · VM &amp; Inventory Manager</t>
  </si>
  <si>
    <t>6004 · Bookkeeper</t>
  </si>
  <si>
    <t>6005 · Temporary Employee</t>
  </si>
  <si>
    <t>6009 · Payroll Tax</t>
  </si>
  <si>
    <t>6026 · Payroll processing fees</t>
  </si>
  <si>
    <t>Total 6001 · Salaries &amp; Wages</t>
  </si>
  <si>
    <t>6010 · Advertising</t>
  </si>
  <si>
    <t>6040 · Credit Card Fees</t>
  </si>
  <si>
    <t>6080 · Insurance</t>
  </si>
  <si>
    <t>6090 · Professional Fees</t>
  </si>
  <si>
    <t>6091 · Accounting Fees</t>
  </si>
  <si>
    <t>8110 · Technical Support</t>
  </si>
  <si>
    <t>Total 6090 · Professional Fees</t>
  </si>
  <si>
    <t>6100 · Rent</t>
  </si>
  <si>
    <t>6102 · Building &amp; Ground</t>
  </si>
  <si>
    <t>6110 · Store Supplies</t>
  </si>
  <si>
    <t>6112 · Equipment, Non-Capital</t>
  </si>
  <si>
    <t>6115 · Marketing</t>
  </si>
  <si>
    <t>6120 · Utilities &amp; Phone</t>
  </si>
  <si>
    <t>6121 · Telephone</t>
  </si>
  <si>
    <t>6122 · Electric</t>
  </si>
  <si>
    <t>6123 · Gas</t>
  </si>
  <si>
    <t>6124 · Water</t>
  </si>
  <si>
    <t>6126 · Network</t>
  </si>
  <si>
    <t>6120 · Utilities &amp; Phone - Other</t>
  </si>
  <si>
    <t>Total 6120 · Utilities &amp; Phone</t>
  </si>
  <si>
    <t>6500 · Loan Interest Expense</t>
  </si>
  <si>
    <t>8000 · General Expenses</t>
  </si>
  <si>
    <t>8010 · Office Supplies</t>
  </si>
  <si>
    <t>8020 · Bank Charges</t>
  </si>
  <si>
    <t>8030 · Cash Over/Short</t>
  </si>
  <si>
    <t>8060 · Staff Development</t>
  </si>
  <si>
    <t>8080 · Postage</t>
  </si>
  <si>
    <t>8120 · Travel &amp; Entertainment</t>
  </si>
  <si>
    <t>8130 · Outreach</t>
  </si>
  <si>
    <t>8140 · Taxes &amp; Licenses</t>
  </si>
  <si>
    <t>8145 · Memberships</t>
  </si>
  <si>
    <t>8170 · Visual Merchandising</t>
  </si>
  <si>
    <t>Total 8000 · General Expenses</t>
  </si>
  <si>
    <t>Total 6000 · OPERATING EXPENSES</t>
  </si>
  <si>
    <t>9000 · Other Income</t>
  </si>
  <si>
    <t>9005 · PPP Loan Forgiveness</t>
  </si>
  <si>
    <t>9011 · Contributions</t>
  </si>
  <si>
    <t>9013 · Individuals</t>
  </si>
  <si>
    <t>9014 · Corporate</t>
  </si>
  <si>
    <t>Total 9011 · Contributions</t>
  </si>
  <si>
    <t>9015 · Interest Income</t>
  </si>
  <si>
    <t>Total 9000 · Other Income</t>
  </si>
  <si>
    <t>Total Expense</t>
  </si>
  <si>
    <t>Net Ordinary Income</t>
  </si>
  <si>
    <t>Net Income</t>
  </si>
  <si>
    <t>Apr 22</t>
  </si>
  <si>
    <t>May 22</t>
  </si>
  <si>
    <t>Jun 22</t>
  </si>
  <si>
    <t>Jul 22</t>
  </si>
  <si>
    <t>Aug 22</t>
  </si>
  <si>
    <t>Sep 22</t>
  </si>
  <si>
    <t>Oct 22</t>
  </si>
  <si>
    <t>Nov 22</t>
  </si>
  <si>
    <t>Dec 22</t>
  </si>
  <si>
    <t>50% Margn</t>
  </si>
  <si>
    <t xml:space="preserve"> -   </t>
  </si>
  <si>
    <t xml:space="preserve"> $-   </t>
  </si>
  <si>
    <t>TOTAL 23</t>
  </si>
  <si>
    <t>TOTAL 22</t>
  </si>
  <si>
    <t>Variance</t>
  </si>
  <si>
    <t>Net Sales</t>
  </si>
  <si>
    <t>Gross Expenses</t>
  </si>
  <si>
    <t>Begin Cash</t>
  </si>
  <si>
    <t>End Cash</t>
  </si>
  <si>
    <t>Other Income</t>
  </si>
  <si>
    <t>Purchases</t>
  </si>
  <si>
    <t>Budget 2023 Free Cash</t>
  </si>
  <si>
    <t>Apr 21</t>
  </si>
  <si>
    <t>May 21</t>
  </si>
  <si>
    <t>Jun 21</t>
  </si>
  <si>
    <t>Jul 2021</t>
  </si>
  <si>
    <t>Aug 21</t>
  </si>
  <si>
    <t>Sep21</t>
  </si>
  <si>
    <t>Oct 21</t>
  </si>
  <si>
    <t>Nov 21</t>
  </si>
  <si>
    <t>Dec 201</t>
  </si>
  <si>
    <t>Jan 22</t>
  </si>
  <si>
    <t>Feb 22</t>
  </si>
  <si>
    <t>Mar 22</t>
  </si>
  <si>
    <t>Ending Balance</t>
  </si>
  <si>
    <t>2200 · Loans</t>
  </si>
  <si>
    <t>2240 · TTV Sharing Fund Loan</t>
  </si>
  <si>
    <t>Paying $500 /month;Mar 2021 paid in April</t>
  </si>
  <si>
    <t>2250 · Payroll Protection Plan Loan</t>
  </si>
  <si>
    <t>Everything  forgiven</t>
  </si>
  <si>
    <t>2260 · SBA Economic Disaster Loan</t>
  </si>
  <si>
    <t>Paying $446/mo starting May 2021</t>
  </si>
  <si>
    <t xml:space="preserve">        Principal</t>
  </si>
  <si>
    <t>LoansBeginning Balance</t>
  </si>
  <si>
    <t>1000</t>
  </si>
  <si>
    <t>Total Payments</t>
  </si>
  <si>
    <t>Loan Payments</t>
  </si>
  <si>
    <t>Purchases 2022</t>
  </si>
  <si>
    <t>FY 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</si>
</sst>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.0%"/>
    <numFmt numFmtId="166" formatCode="_(* #,##0_);_(* \(#,##0\);_(* &quot;-&quot;??_);_(@_)"/>
    <numFmt numFmtId="167" formatCode="#,##0;\-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323232"/>
      <name val="Arial"/>
      <family val="2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0" fontId="2" fillId="0" borderId="0" xfId="0" applyFont="1"/>
    <xf numFmtId="44" fontId="1" fillId="0" borderId="0" xfId="2" applyFont="1" applyAlignment="1"/>
    <xf numFmtId="16" fontId="0" fillId="0" borderId="2" xfId="0" applyNumberFormat="1" applyBorder="1" applyAlignment="1">
      <alignment horizontal="center"/>
    </xf>
    <xf numFmtId="16" fontId="0" fillId="0" borderId="0" xfId="0" applyNumberFormat="1"/>
    <xf numFmtId="4" fontId="0" fillId="0" borderId="0" xfId="0" applyNumberFormat="1"/>
    <xf numFmtId="8" fontId="0" fillId="0" borderId="0" xfId="0" applyNumberFormat="1"/>
    <xf numFmtId="165" fontId="0" fillId="0" borderId="0" xfId="3" applyNumberFormat="1" applyFont="1"/>
    <xf numFmtId="165" fontId="4" fillId="0" borderId="0" xfId="3" applyNumberFormat="1" applyFont="1"/>
    <xf numFmtId="165" fontId="4" fillId="0" borderId="5" xfId="3" applyNumberFormat="1" applyFont="1" applyBorder="1"/>
    <xf numFmtId="165" fontId="4" fillId="0" borderId="8" xfId="3" applyNumberFormat="1" applyFont="1" applyBorder="1"/>
    <xf numFmtId="165" fontId="4" fillId="0" borderId="2" xfId="3" applyNumberFormat="1" applyFont="1" applyBorder="1"/>
    <xf numFmtId="165" fontId="4" fillId="0" borderId="4" xfId="3" applyNumberFormat="1" applyFont="1" applyBorder="1"/>
    <xf numFmtId="165" fontId="4" fillId="0" borderId="6" xfId="3" applyNumberFormat="1" applyFont="1" applyBorder="1"/>
    <xf numFmtId="164" fontId="0" fillId="0" borderId="0" xfId="0" applyNumberFormat="1"/>
    <xf numFmtId="167" fontId="6" fillId="0" borderId="0" xfId="0" applyNumberFormat="1" applyFont="1"/>
    <xf numFmtId="167" fontId="7" fillId="0" borderId="0" xfId="0" applyNumberFormat="1" applyFont="1"/>
    <xf numFmtId="167" fontId="6" fillId="0" borderId="3" xfId="0" applyNumberFormat="1" applyFont="1" applyBorder="1"/>
    <xf numFmtId="167" fontId="6" fillId="0" borderId="3" xfId="1" applyNumberFormat="1" applyFont="1" applyBorder="1"/>
    <xf numFmtId="167" fontId="6" fillId="0" borderId="4" xfId="0" applyNumberFormat="1" applyFont="1" applyBorder="1"/>
    <xf numFmtId="167" fontId="7" fillId="0" borderId="5" xfId="0" applyNumberFormat="1" applyFont="1" applyBorder="1"/>
    <xf numFmtId="167" fontId="6" fillId="0" borderId="4" xfId="1" applyNumberFormat="1" applyFont="1" applyBorder="1"/>
    <xf numFmtId="167" fontId="7" fillId="0" borderId="8" xfId="0" applyNumberFormat="1" applyFont="1" applyBorder="1"/>
    <xf numFmtId="167" fontId="6" fillId="0" borderId="0" xfId="1" applyNumberFormat="1" applyFont="1"/>
    <xf numFmtId="167" fontId="6" fillId="0" borderId="0" xfId="1" applyNumberFormat="1" applyFont="1" applyAlignment="1"/>
    <xf numFmtId="167" fontId="6" fillId="0" borderId="2" xfId="0" applyNumberFormat="1" applyFont="1" applyBorder="1"/>
    <xf numFmtId="167" fontId="6" fillId="0" borderId="0" xfId="0" applyNumberFormat="1" applyFont="1" applyBorder="1"/>
    <xf numFmtId="167" fontId="6" fillId="0" borderId="0" xfId="2" applyNumberFormat="1" applyFont="1" applyAlignment="1"/>
    <xf numFmtId="167" fontId="6" fillId="0" borderId="2" xfId="2" applyNumberFormat="1" applyFont="1" applyBorder="1" applyAlignment="1"/>
    <xf numFmtId="167" fontId="7" fillId="0" borderId="2" xfId="0" applyNumberFormat="1" applyFont="1" applyBorder="1"/>
    <xf numFmtId="167" fontId="7" fillId="0" borderId="4" xfId="0" applyNumberFormat="1" applyFont="1" applyBorder="1"/>
    <xf numFmtId="167" fontId="6" fillId="0" borderId="5" xfId="0" applyNumberFormat="1" applyFont="1" applyBorder="1"/>
    <xf numFmtId="167" fontId="8" fillId="0" borderId="6" xfId="0" applyNumberFormat="1" applyFont="1" applyBorder="1"/>
    <xf numFmtId="167" fontId="6" fillId="0" borderId="7" xfId="0" applyNumberFormat="1" applyFont="1" applyBorder="1"/>
    <xf numFmtId="167" fontId="7" fillId="0" borderId="6" xfId="0" applyNumberFormat="1" applyFont="1" applyBorder="1"/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/>
    <xf numFmtId="167" fontId="9" fillId="0" borderId="0" xfId="0" applyNumberFormat="1" applyFont="1"/>
    <xf numFmtId="167" fontId="10" fillId="0" borderId="0" xfId="0" applyNumberFormat="1" applyFont="1"/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49" fontId="10" fillId="0" borderId="0" xfId="0" applyNumberFormat="1" applyFont="1"/>
    <xf numFmtId="0" fontId="2" fillId="0" borderId="9" xfId="0" applyFont="1" applyBorder="1"/>
    <xf numFmtId="49" fontId="2" fillId="0" borderId="10" xfId="0" applyNumberFormat="1" applyFon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/>
    <xf numFmtId="166" fontId="4" fillId="0" borderId="0" xfId="1" applyNumberFormat="1" applyFont="1" applyBorder="1"/>
    <xf numFmtId="166" fontId="4" fillId="0" borderId="13" xfId="1" applyNumberFormat="1" applyFont="1" applyBorder="1"/>
    <xf numFmtId="166" fontId="4" fillId="0" borderId="0" xfId="1" applyNumberFormat="1" applyFont="1" applyBorder="1" applyAlignment="1"/>
    <xf numFmtId="37" fontId="0" fillId="0" borderId="0" xfId="0" applyNumberFormat="1" applyBorder="1"/>
    <xf numFmtId="37" fontId="0" fillId="0" borderId="13" xfId="0" applyNumberFormat="1" applyBorder="1"/>
    <xf numFmtId="0" fontId="2" fillId="0" borderId="14" xfId="0" applyFont="1" applyBorder="1"/>
    <xf numFmtId="166" fontId="4" fillId="0" borderId="2" xfId="1" applyNumberFormat="1" applyFont="1" applyBorder="1"/>
    <xf numFmtId="166" fontId="4" fillId="0" borderId="15" xfId="1" applyNumberFormat="1" applyFont="1" applyBorder="1"/>
    <xf numFmtId="0" fontId="2" fillId="0" borderId="16" xfId="0" applyFont="1" applyBorder="1"/>
    <xf numFmtId="0" fontId="0" fillId="0" borderId="3" xfId="0" applyBorder="1"/>
    <xf numFmtId="0" fontId="0" fillId="0" borderId="17" xfId="0" applyBorder="1"/>
    <xf numFmtId="37" fontId="0" fillId="0" borderId="2" xfId="0" applyNumberFormat="1" applyBorder="1"/>
    <xf numFmtId="37" fontId="0" fillId="0" borderId="15" xfId="0" applyNumberFormat="1" applyBorder="1"/>
    <xf numFmtId="49" fontId="12" fillId="0" borderId="0" xfId="0" applyNumberFormat="1" applyFont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right"/>
    </xf>
    <xf numFmtId="49" fontId="8" fillId="0" borderId="0" xfId="0" applyNumberFormat="1" applyFont="1"/>
    <xf numFmtId="49" fontId="12" fillId="0" borderId="0" xfId="0" applyNumberFormat="1" applyFont="1"/>
    <xf numFmtId="0" fontId="0" fillId="0" borderId="0" xfId="0" applyBorder="1"/>
    <xf numFmtId="0" fontId="14" fillId="0" borderId="2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1"/>
  <sheetViews>
    <sheetView tabSelected="1" workbookViewId="0">
      <selection sqref="A1:T1"/>
    </sheetView>
  </sheetViews>
  <sheetFormatPr defaultRowHeight="14.5" x14ac:dyDescent="0.35"/>
  <cols>
    <col min="1" max="4" width="3" style="7" customWidth="1"/>
    <col min="5" max="5" width="26.36328125" style="7" bestFit="1" customWidth="1"/>
    <col min="6" max="6" width="25.08984375" style="7" customWidth="1"/>
    <col min="7" max="7" width="11" bestFit="1" customWidth="1"/>
    <col min="8" max="14" width="10" bestFit="1" customWidth="1"/>
    <col min="15" max="15" width="11" bestFit="1" customWidth="1"/>
    <col min="16" max="16" width="10.08984375" bestFit="1" customWidth="1"/>
    <col min="17" max="17" width="11.08984375" bestFit="1" customWidth="1"/>
    <col min="18" max="18" width="8.453125" customWidth="1"/>
    <col min="19" max="19" width="11" bestFit="1" customWidth="1"/>
    <col min="20" max="20" width="10.08984375" bestFit="1" customWidth="1"/>
    <col min="255" max="260" width="3" customWidth="1"/>
    <col min="261" max="261" width="23.6328125" customWidth="1"/>
    <col min="262" max="262" width="7.08984375" bestFit="1" customWidth="1"/>
    <col min="263" max="263" width="2.36328125" customWidth="1"/>
    <col min="264" max="266" width="7.08984375" bestFit="1" customWidth="1"/>
    <col min="267" max="267" width="7.54296875" bestFit="1" customWidth="1"/>
    <col min="268" max="270" width="7.08984375" bestFit="1" customWidth="1"/>
    <col min="271" max="271" width="7.90625" bestFit="1" customWidth="1"/>
    <col min="272" max="272" width="8" bestFit="1" customWidth="1"/>
    <col min="273" max="273" width="8.453125" bestFit="1" customWidth="1"/>
    <col min="274" max="274" width="8.453125" customWidth="1"/>
    <col min="275" max="275" width="7.90625" bestFit="1" customWidth="1"/>
    <col min="276" max="276" width="10.08984375" bestFit="1" customWidth="1"/>
    <col min="511" max="516" width="3" customWidth="1"/>
    <col min="517" max="517" width="23.6328125" customWidth="1"/>
    <col min="518" max="518" width="7.08984375" bestFit="1" customWidth="1"/>
    <col min="519" max="519" width="2.36328125" customWidth="1"/>
    <col min="520" max="522" width="7.08984375" bestFit="1" customWidth="1"/>
    <col min="523" max="523" width="7.54296875" bestFit="1" customWidth="1"/>
    <col min="524" max="526" width="7.08984375" bestFit="1" customWidth="1"/>
    <col min="527" max="527" width="7.90625" bestFit="1" customWidth="1"/>
    <col min="528" max="528" width="8" bestFit="1" customWidth="1"/>
    <col min="529" max="529" width="8.453125" bestFit="1" customWidth="1"/>
    <col min="530" max="530" width="8.453125" customWidth="1"/>
    <col min="531" max="531" width="7.90625" bestFit="1" customWidth="1"/>
    <col min="532" max="532" width="10.08984375" bestFit="1" customWidth="1"/>
    <col min="767" max="772" width="3" customWidth="1"/>
    <col min="773" max="773" width="23.6328125" customWidth="1"/>
    <col min="774" max="774" width="7.08984375" bestFit="1" customWidth="1"/>
    <col min="775" max="775" width="2.36328125" customWidth="1"/>
    <col min="776" max="778" width="7.08984375" bestFit="1" customWidth="1"/>
    <col min="779" max="779" width="7.54296875" bestFit="1" customWidth="1"/>
    <col min="780" max="782" width="7.08984375" bestFit="1" customWidth="1"/>
    <col min="783" max="783" width="7.90625" bestFit="1" customWidth="1"/>
    <col min="784" max="784" width="8" bestFit="1" customWidth="1"/>
    <col min="785" max="785" width="8.453125" bestFit="1" customWidth="1"/>
    <col min="786" max="786" width="8.453125" customWidth="1"/>
    <col min="787" max="787" width="7.90625" bestFit="1" customWidth="1"/>
    <col min="788" max="788" width="10.08984375" bestFit="1" customWidth="1"/>
    <col min="1023" max="1028" width="3" customWidth="1"/>
    <col min="1029" max="1029" width="23.6328125" customWidth="1"/>
    <col min="1030" max="1030" width="7.08984375" bestFit="1" customWidth="1"/>
    <col min="1031" max="1031" width="2.36328125" customWidth="1"/>
    <col min="1032" max="1034" width="7.08984375" bestFit="1" customWidth="1"/>
    <col min="1035" max="1035" width="7.54296875" bestFit="1" customWidth="1"/>
    <col min="1036" max="1038" width="7.08984375" bestFit="1" customWidth="1"/>
    <col min="1039" max="1039" width="7.90625" bestFit="1" customWidth="1"/>
    <col min="1040" max="1040" width="8" bestFit="1" customWidth="1"/>
    <col min="1041" max="1041" width="8.453125" bestFit="1" customWidth="1"/>
    <col min="1042" max="1042" width="8.453125" customWidth="1"/>
    <col min="1043" max="1043" width="7.90625" bestFit="1" customWidth="1"/>
    <col min="1044" max="1044" width="10.08984375" bestFit="1" customWidth="1"/>
    <col min="1279" max="1284" width="3" customWidth="1"/>
    <col min="1285" max="1285" width="23.6328125" customWidth="1"/>
    <col min="1286" max="1286" width="7.08984375" bestFit="1" customWidth="1"/>
    <col min="1287" max="1287" width="2.36328125" customWidth="1"/>
    <col min="1288" max="1290" width="7.08984375" bestFit="1" customWidth="1"/>
    <col min="1291" max="1291" width="7.54296875" bestFit="1" customWidth="1"/>
    <col min="1292" max="1294" width="7.08984375" bestFit="1" customWidth="1"/>
    <col min="1295" max="1295" width="7.90625" bestFit="1" customWidth="1"/>
    <col min="1296" max="1296" width="8" bestFit="1" customWidth="1"/>
    <col min="1297" max="1297" width="8.453125" bestFit="1" customWidth="1"/>
    <col min="1298" max="1298" width="8.453125" customWidth="1"/>
    <col min="1299" max="1299" width="7.90625" bestFit="1" customWidth="1"/>
    <col min="1300" max="1300" width="10.08984375" bestFit="1" customWidth="1"/>
    <col min="1535" max="1540" width="3" customWidth="1"/>
    <col min="1541" max="1541" width="23.6328125" customWidth="1"/>
    <col min="1542" max="1542" width="7.08984375" bestFit="1" customWidth="1"/>
    <col min="1543" max="1543" width="2.36328125" customWidth="1"/>
    <col min="1544" max="1546" width="7.08984375" bestFit="1" customWidth="1"/>
    <col min="1547" max="1547" width="7.54296875" bestFit="1" customWidth="1"/>
    <col min="1548" max="1550" width="7.08984375" bestFit="1" customWidth="1"/>
    <col min="1551" max="1551" width="7.90625" bestFit="1" customWidth="1"/>
    <col min="1552" max="1552" width="8" bestFit="1" customWidth="1"/>
    <col min="1553" max="1553" width="8.453125" bestFit="1" customWidth="1"/>
    <col min="1554" max="1554" width="8.453125" customWidth="1"/>
    <col min="1555" max="1555" width="7.90625" bestFit="1" customWidth="1"/>
    <col min="1556" max="1556" width="10.08984375" bestFit="1" customWidth="1"/>
    <col min="1791" max="1796" width="3" customWidth="1"/>
    <col min="1797" max="1797" width="23.6328125" customWidth="1"/>
    <col min="1798" max="1798" width="7.08984375" bestFit="1" customWidth="1"/>
    <col min="1799" max="1799" width="2.36328125" customWidth="1"/>
    <col min="1800" max="1802" width="7.08984375" bestFit="1" customWidth="1"/>
    <col min="1803" max="1803" width="7.54296875" bestFit="1" customWidth="1"/>
    <col min="1804" max="1806" width="7.08984375" bestFit="1" customWidth="1"/>
    <col min="1807" max="1807" width="7.90625" bestFit="1" customWidth="1"/>
    <col min="1808" max="1808" width="8" bestFit="1" customWidth="1"/>
    <col min="1809" max="1809" width="8.453125" bestFit="1" customWidth="1"/>
    <col min="1810" max="1810" width="8.453125" customWidth="1"/>
    <col min="1811" max="1811" width="7.90625" bestFit="1" customWidth="1"/>
    <col min="1812" max="1812" width="10.08984375" bestFit="1" customWidth="1"/>
    <col min="2047" max="2052" width="3" customWidth="1"/>
    <col min="2053" max="2053" width="23.6328125" customWidth="1"/>
    <col min="2054" max="2054" width="7.08984375" bestFit="1" customWidth="1"/>
    <col min="2055" max="2055" width="2.36328125" customWidth="1"/>
    <col min="2056" max="2058" width="7.08984375" bestFit="1" customWidth="1"/>
    <col min="2059" max="2059" width="7.54296875" bestFit="1" customWidth="1"/>
    <col min="2060" max="2062" width="7.08984375" bestFit="1" customWidth="1"/>
    <col min="2063" max="2063" width="7.90625" bestFit="1" customWidth="1"/>
    <col min="2064" max="2064" width="8" bestFit="1" customWidth="1"/>
    <col min="2065" max="2065" width="8.453125" bestFit="1" customWidth="1"/>
    <col min="2066" max="2066" width="8.453125" customWidth="1"/>
    <col min="2067" max="2067" width="7.90625" bestFit="1" customWidth="1"/>
    <col min="2068" max="2068" width="10.08984375" bestFit="1" customWidth="1"/>
    <col min="2303" max="2308" width="3" customWidth="1"/>
    <col min="2309" max="2309" width="23.6328125" customWidth="1"/>
    <col min="2310" max="2310" width="7.08984375" bestFit="1" customWidth="1"/>
    <col min="2311" max="2311" width="2.36328125" customWidth="1"/>
    <col min="2312" max="2314" width="7.08984375" bestFit="1" customWidth="1"/>
    <col min="2315" max="2315" width="7.54296875" bestFit="1" customWidth="1"/>
    <col min="2316" max="2318" width="7.08984375" bestFit="1" customWidth="1"/>
    <col min="2319" max="2319" width="7.90625" bestFit="1" customWidth="1"/>
    <col min="2320" max="2320" width="8" bestFit="1" customWidth="1"/>
    <col min="2321" max="2321" width="8.453125" bestFit="1" customWidth="1"/>
    <col min="2322" max="2322" width="8.453125" customWidth="1"/>
    <col min="2323" max="2323" width="7.90625" bestFit="1" customWidth="1"/>
    <col min="2324" max="2324" width="10.08984375" bestFit="1" customWidth="1"/>
    <col min="2559" max="2564" width="3" customWidth="1"/>
    <col min="2565" max="2565" width="23.6328125" customWidth="1"/>
    <col min="2566" max="2566" width="7.08984375" bestFit="1" customWidth="1"/>
    <col min="2567" max="2567" width="2.36328125" customWidth="1"/>
    <col min="2568" max="2570" width="7.08984375" bestFit="1" customWidth="1"/>
    <col min="2571" max="2571" width="7.54296875" bestFit="1" customWidth="1"/>
    <col min="2572" max="2574" width="7.08984375" bestFit="1" customWidth="1"/>
    <col min="2575" max="2575" width="7.90625" bestFit="1" customWidth="1"/>
    <col min="2576" max="2576" width="8" bestFit="1" customWidth="1"/>
    <col min="2577" max="2577" width="8.453125" bestFit="1" customWidth="1"/>
    <col min="2578" max="2578" width="8.453125" customWidth="1"/>
    <col min="2579" max="2579" width="7.90625" bestFit="1" customWidth="1"/>
    <col min="2580" max="2580" width="10.08984375" bestFit="1" customWidth="1"/>
    <col min="2815" max="2820" width="3" customWidth="1"/>
    <col min="2821" max="2821" width="23.6328125" customWidth="1"/>
    <col min="2822" max="2822" width="7.08984375" bestFit="1" customWidth="1"/>
    <col min="2823" max="2823" width="2.36328125" customWidth="1"/>
    <col min="2824" max="2826" width="7.08984375" bestFit="1" customWidth="1"/>
    <col min="2827" max="2827" width="7.54296875" bestFit="1" customWidth="1"/>
    <col min="2828" max="2830" width="7.08984375" bestFit="1" customWidth="1"/>
    <col min="2831" max="2831" width="7.90625" bestFit="1" customWidth="1"/>
    <col min="2832" max="2832" width="8" bestFit="1" customWidth="1"/>
    <col min="2833" max="2833" width="8.453125" bestFit="1" customWidth="1"/>
    <col min="2834" max="2834" width="8.453125" customWidth="1"/>
    <col min="2835" max="2835" width="7.90625" bestFit="1" customWidth="1"/>
    <col min="2836" max="2836" width="10.08984375" bestFit="1" customWidth="1"/>
    <col min="3071" max="3076" width="3" customWidth="1"/>
    <col min="3077" max="3077" width="23.6328125" customWidth="1"/>
    <col min="3078" max="3078" width="7.08984375" bestFit="1" customWidth="1"/>
    <col min="3079" max="3079" width="2.36328125" customWidth="1"/>
    <col min="3080" max="3082" width="7.08984375" bestFit="1" customWidth="1"/>
    <col min="3083" max="3083" width="7.54296875" bestFit="1" customWidth="1"/>
    <col min="3084" max="3086" width="7.08984375" bestFit="1" customWidth="1"/>
    <col min="3087" max="3087" width="7.90625" bestFit="1" customWidth="1"/>
    <col min="3088" max="3088" width="8" bestFit="1" customWidth="1"/>
    <col min="3089" max="3089" width="8.453125" bestFit="1" customWidth="1"/>
    <col min="3090" max="3090" width="8.453125" customWidth="1"/>
    <col min="3091" max="3091" width="7.90625" bestFit="1" customWidth="1"/>
    <col min="3092" max="3092" width="10.08984375" bestFit="1" customWidth="1"/>
    <col min="3327" max="3332" width="3" customWidth="1"/>
    <col min="3333" max="3333" width="23.6328125" customWidth="1"/>
    <col min="3334" max="3334" width="7.08984375" bestFit="1" customWidth="1"/>
    <col min="3335" max="3335" width="2.36328125" customWidth="1"/>
    <col min="3336" max="3338" width="7.08984375" bestFit="1" customWidth="1"/>
    <col min="3339" max="3339" width="7.54296875" bestFit="1" customWidth="1"/>
    <col min="3340" max="3342" width="7.08984375" bestFit="1" customWidth="1"/>
    <col min="3343" max="3343" width="7.90625" bestFit="1" customWidth="1"/>
    <col min="3344" max="3344" width="8" bestFit="1" customWidth="1"/>
    <col min="3345" max="3345" width="8.453125" bestFit="1" customWidth="1"/>
    <col min="3346" max="3346" width="8.453125" customWidth="1"/>
    <col min="3347" max="3347" width="7.90625" bestFit="1" customWidth="1"/>
    <col min="3348" max="3348" width="10.08984375" bestFit="1" customWidth="1"/>
    <col min="3583" max="3588" width="3" customWidth="1"/>
    <col min="3589" max="3589" width="23.6328125" customWidth="1"/>
    <col min="3590" max="3590" width="7.08984375" bestFit="1" customWidth="1"/>
    <col min="3591" max="3591" width="2.36328125" customWidth="1"/>
    <col min="3592" max="3594" width="7.08984375" bestFit="1" customWidth="1"/>
    <col min="3595" max="3595" width="7.54296875" bestFit="1" customWidth="1"/>
    <col min="3596" max="3598" width="7.08984375" bestFit="1" customWidth="1"/>
    <col min="3599" max="3599" width="7.90625" bestFit="1" customWidth="1"/>
    <col min="3600" max="3600" width="8" bestFit="1" customWidth="1"/>
    <col min="3601" max="3601" width="8.453125" bestFit="1" customWidth="1"/>
    <col min="3602" max="3602" width="8.453125" customWidth="1"/>
    <col min="3603" max="3603" width="7.90625" bestFit="1" customWidth="1"/>
    <col min="3604" max="3604" width="10.08984375" bestFit="1" customWidth="1"/>
    <col min="3839" max="3844" width="3" customWidth="1"/>
    <col min="3845" max="3845" width="23.6328125" customWidth="1"/>
    <col min="3846" max="3846" width="7.08984375" bestFit="1" customWidth="1"/>
    <col min="3847" max="3847" width="2.36328125" customWidth="1"/>
    <col min="3848" max="3850" width="7.08984375" bestFit="1" customWidth="1"/>
    <col min="3851" max="3851" width="7.54296875" bestFit="1" customWidth="1"/>
    <col min="3852" max="3854" width="7.08984375" bestFit="1" customWidth="1"/>
    <col min="3855" max="3855" width="7.90625" bestFit="1" customWidth="1"/>
    <col min="3856" max="3856" width="8" bestFit="1" customWidth="1"/>
    <col min="3857" max="3857" width="8.453125" bestFit="1" customWidth="1"/>
    <col min="3858" max="3858" width="8.453125" customWidth="1"/>
    <col min="3859" max="3859" width="7.90625" bestFit="1" customWidth="1"/>
    <col min="3860" max="3860" width="10.08984375" bestFit="1" customWidth="1"/>
    <col min="4095" max="4100" width="3" customWidth="1"/>
    <col min="4101" max="4101" width="23.6328125" customWidth="1"/>
    <col min="4102" max="4102" width="7.08984375" bestFit="1" customWidth="1"/>
    <col min="4103" max="4103" width="2.36328125" customWidth="1"/>
    <col min="4104" max="4106" width="7.08984375" bestFit="1" customWidth="1"/>
    <col min="4107" max="4107" width="7.54296875" bestFit="1" customWidth="1"/>
    <col min="4108" max="4110" width="7.08984375" bestFit="1" customWidth="1"/>
    <col min="4111" max="4111" width="7.90625" bestFit="1" customWidth="1"/>
    <col min="4112" max="4112" width="8" bestFit="1" customWidth="1"/>
    <col min="4113" max="4113" width="8.453125" bestFit="1" customWidth="1"/>
    <col min="4114" max="4114" width="8.453125" customWidth="1"/>
    <col min="4115" max="4115" width="7.90625" bestFit="1" customWidth="1"/>
    <col min="4116" max="4116" width="10.08984375" bestFit="1" customWidth="1"/>
    <col min="4351" max="4356" width="3" customWidth="1"/>
    <col min="4357" max="4357" width="23.6328125" customWidth="1"/>
    <col min="4358" max="4358" width="7.08984375" bestFit="1" customWidth="1"/>
    <col min="4359" max="4359" width="2.36328125" customWidth="1"/>
    <col min="4360" max="4362" width="7.08984375" bestFit="1" customWidth="1"/>
    <col min="4363" max="4363" width="7.54296875" bestFit="1" customWidth="1"/>
    <col min="4364" max="4366" width="7.08984375" bestFit="1" customWidth="1"/>
    <col min="4367" max="4367" width="7.90625" bestFit="1" customWidth="1"/>
    <col min="4368" max="4368" width="8" bestFit="1" customWidth="1"/>
    <col min="4369" max="4369" width="8.453125" bestFit="1" customWidth="1"/>
    <col min="4370" max="4370" width="8.453125" customWidth="1"/>
    <col min="4371" max="4371" width="7.90625" bestFit="1" customWidth="1"/>
    <col min="4372" max="4372" width="10.08984375" bestFit="1" customWidth="1"/>
    <col min="4607" max="4612" width="3" customWidth="1"/>
    <col min="4613" max="4613" width="23.6328125" customWidth="1"/>
    <col min="4614" max="4614" width="7.08984375" bestFit="1" customWidth="1"/>
    <col min="4615" max="4615" width="2.36328125" customWidth="1"/>
    <col min="4616" max="4618" width="7.08984375" bestFit="1" customWidth="1"/>
    <col min="4619" max="4619" width="7.54296875" bestFit="1" customWidth="1"/>
    <col min="4620" max="4622" width="7.08984375" bestFit="1" customWidth="1"/>
    <col min="4623" max="4623" width="7.90625" bestFit="1" customWidth="1"/>
    <col min="4624" max="4624" width="8" bestFit="1" customWidth="1"/>
    <col min="4625" max="4625" width="8.453125" bestFit="1" customWidth="1"/>
    <col min="4626" max="4626" width="8.453125" customWidth="1"/>
    <col min="4627" max="4627" width="7.90625" bestFit="1" customWidth="1"/>
    <col min="4628" max="4628" width="10.08984375" bestFit="1" customWidth="1"/>
    <col min="4863" max="4868" width="3" customWidth="1"/>
    <col min="4869" max="4869" width="23.6328125" customWidth="1"/>
    <col min="4870" max="4870" width="7.08984375" bestFit="1" customWidth="1"/>
    <col min="4871" max="4871" width="2.36328125" customWidth="1"/>
    <col min="4872" max="4874" width="7.08984375" bestFit="1" customWidth="1"/>
    <col min="4875" max="4875" width="7.54296875" bestFit="1" customWidth="1"/>
    <col min="4876" max="4878" width="7.08984375" bestFit="1" customWidth="1"/>
    <col min="4879" max="4879" width="7.90625" bestFit="1" customWidth="1"/>
    <col min="4880" max="4880" width="8" bestFit="1" customWidth="1"/>
    <col min="4881" max="4881" width="8.453125" bestFit="1" customWidth="1"/>
    <col min="4882" max="4882" width="8.453125" customWidth="1"/>
    <col min="4883" max="4883" width="7.90625" bestFit="1" customWidth="1"/>
    <col min="4884" max="4884" width="10.08984375" bestFit="1" customWidth="1"/>
    <col min="5119" max="5124" width="3" customWidth="1"/>
    <col min="5125" max="5125" width="23.6328125" customWidth="1"/>
    <col min="5126" max="5126" width="7.08984375" bestFit="1" customWidth="1"/>
    <col min="5127" max="5127" width="2.36328125" customWidth="1"/>
    <col min="5128" max="5130" width="7.08984375" bestFit="1" customWidth="1"/>
    <col min="5131" max="5131" width="7.54296875" bestFit="1" customWidth="1"/>
    <col min="5132" max="5134" width="7.08984375" bestFit="1" customWidth="1"/>
    <col min="5135" max="5135" width="7.90625" bestFit="1" customWidth="1"/>
    <col min="5136" max="5136" width="8" bestFit="1" customWidth="1"/>
    <col min="5137" max="5137" width="8.453125" bestFit="1" customWidth="1"/>
    <col min="5138" max="5138" width="8.453125" customWidth="1"/>
    <col min="5139" max="5139" width="7.90625" bestFit="1" customWidth="1"/>
    <col min="5140" max="5140" width="10.08984375" bestFit="1" customWidth="1"/>
    <col min="5375" max="5380" width="3" customWidth="1"/>
    <col min="5381" max="5381" width="23.6328125" customWidth="1"/>
    <col min="5382" max="5382" width="7.08984375" bestFit="1" customWidth="1"/>
    <col min="5383" max="5383" width="2.36328125" customWidth="1"/>
    <col min="5384" max="5386" width="7.08984375" bestFit="1" customWidth="1"/>
    <col min="5387" max="5387" width="7.54296875" bestFit="1" customWidth="1"/>
    <col min="5388" max="5390" width="7.08984375" bestFit="1" customWidth="1"/>
    <col min="5391" max="5391" width="7.90625" bestFit="1" customWidth="1"/>
    <col min="5392" max="5392" width="8" bestFit="1" customWidth="1"/>
    <col min="5393" max="5393" width="8.453125" bestFit="1" customWidth="1"/>
    <col min="5394" max="5394" width="8.453125" customWidth="1"/>
    <col min="5395" max="5395" width="7.90625" bestFit="1" customWidth="1"/>
    <col min="5396" max="5396" width="10.08984375" bestFit="1" customWidth="1"/>
    <col min="5631" max="5636" width="3" customWidth="1"/>
    <col min="5637" max="5637" width="23.6328125" customWidth="1"/>
    <col min="5638" max="5638" width="7.08984375" bestFit="1" customWidth="1"/>
    <col min="5639" max="5639" width="2.36328125" customWidth="1"/>
    <col min="5640" max="5642" width="7.08984375" bestFit="1" customWidth="1"/>
    <col min="5643" max="5643" width="7.54296875" bestFit="1" customWidth="1"/>
    <col min="5644" max="5646" width="7.08984375" bestFit="1" customWidth="1"/>
    <col min="5647" max="5647" width="7.90625" bestFit="1" customWidth="1"/>
    <col min="5648" max="5648" width="8" bestFit="1" customWidth="1"/>
    <col min="5649" max="5649" width="8.453125" bestFit="1" customWidth="1"/>
    <col min="5650" max="5650" width="8.453125" customWidth="1"/>
    <col min="5651" max="5651" width="7.90625" bestFit="1" customWidth="1"/>
    <col min="5652" max="5652" width="10.08984375" bestFit="1" customWidth="1"/>
    <col min="5887" max="5892" width="3" customWidth="1"/>
    <col min="5893" max="5893" width="23.6328125" customWidth="1"/>
    <col min="5894" max="5894" width="7.08984375" bestFit="1" customWidth="1"/>
    <col min="5895" max="5895" width="2.36328125" customWidth="1"/>
    <col min="5896" max="5898" width="7.08984375" bestFit="1" customWidth="1"/>
    <col min="5899" max="5899" width="7.54296875" bestFit="1" customWidth="1"/>
    <col min="5900" max="5902" width="7.08984375" bestFit="1" customWidth="1"/>
    <col min="5903" max="5903" width="7.90625" bestFit="1" customWidth="1"/>
    <col min="5904" max="5904" width="8" bestFit="1" customWidth="1"/>
    <col min="5905" max="5905" width="8.453125" bestFit="1" customWidth="1"/>
    <col min="5906" max="5906" width="8.453125" customWidth="1"/>
    <col min="5907" max="5907" width="7.90625" bestFit="1" customWidth="1"/>
    <col min="5908" max="5908" width="10.08984375" bestFit="1" customWidth="1"/>
    <col min="6143" max="6148" width="3" customWidth="1"/>
    <col min="6149" max="6149" width="23.6328125" customWidth="1"/>
    <col min="6150" max="6150" width="7.08984375" bestFit="1" customWidth="1"/>
    <col min="6151" max="6151" width="2.36328125" customWidth="1"/>
    <col min="6152" max="6154" width="7.08984375" bestFit="1" customWidth="1"/>
    <col min="6155" max="6155" width="7.54296875" bestFit="1" customWidth="1"/>
    <col min="6156" max="6158" width="7.08984375" bestFit="1" customWidth="1"/>
    <col min="6159" max="6159" width="7.90625" bestFit="1" customWidth="1"/>
    <col min="6160" max="6160" width="8" bestFit="1" customWidth="1"/>
    <col min="6161" max="6161" width="8.453125" bestFit="1" customWidth="1"/>
    <col min="6162" max="6162" width="8.453125" customWidth="1"/>
    <col min="6163" max="6163" width="7.90625" bestFit="1" customWidth="1"/>
    <col min="6164" max="6164" width="10.08984375" bestFit="1" customWidth="1"/>
    <col min="6399" max="6404" width="3" customWidth="1"/>
    <col min="6405" max="6405" width="23.6328125" customWidth="1"/>
    <col min="6406" max="6406" width="7.08984375" bestFit="1" customWidth="1"/>
    <col min="6407" max="6407" width="2.36328125" customWidth="1"/>
    <col min="6408" max="6410" width="7.08984375" bestFit="1" customWidth="1"/>
    <col min="6411" max="6411" width="7.54296875" bestFit="1" customWidth="1"/>
    <col min="6412" max="6414" width="7.08984375" bestFit="1" customWidth="1"/>
    <col min="6415" max="6415" width="7.90625" bestFit="1" customWidth="1"/>
    <col min="6416" max="6416" width="8" bestFit="1" customWidth="1"/>
    <col min="6417" max="6417" width="8.453125" bestFit="1" customWidth="1"/>
    <col min="6418" max="6418" width="8.453125" customWidth="1"/>
    <col min="6419" max="6419" width="7.90625" bestFit="1" customWidth="1"/>
    <col min="6420" max="6420" width="10.08984375" bestFit="1" customWidth="1"/>
    <col min="6655" max="6660" width="3" customWidth="1"/>
    <col min="6661" max="6661" width="23.6328125" customWidth="1"/>
    <col min="6662" max="6662" width="7.08984375" bestFit="1" customWidth="1"/>
    <col min="6663" max="6663" width="2.36328125" customWidth="1"/>
    <col min="6664" max="6666" width="7.08984375" bestFit="1" customWidth="1"/>
    <col min="6667" max="6667" width="7.54296875" bestFit="1" customWidth="1"/>
    <col min="6668" max="6670" width="7.08984375" bestFit="1" customWidth="1"/>
    <col min="6671" max="6671" width="7.90625" bestFit="1" customWidth="1"/>
    <col min="6672" max="6672" width="8" bestFit="1" customWidth="1"/>
    <col min="6673" max="6673" width="8.453125" bestFit="1" customWidth="1"/>
    <col min="6674" max="6674" width="8.453125" customWidth="1"/>
    <col min="6675" max="6675" width="7.90625" bestFit="1" customWidth="1"/>
    <col min="6676" max="6676" width="10.08984375" bestFit="1" customWidth="1"/>
    <col min="6911" max="6916" width="3" customWidth="1"/>
    <col min="6917" max="6917" width="23.6328125" customWidth="1"/>
    <col min="6918" max="6918" width="7.08984375" bestFit="1" customWidth="1"/>
    <col min="6919" max="6919" width="2.36328125" customWidth="1"/>
    <col min="6920" max="6922" width="7.08984375" bestFit="1" customWidth="1"/>
    <col min="6923" max="6923" width="7.54296875" bestFit="1" customWidth="1"/>
    <col min="6924" max="6926" width="7.08984375" bestFit="1" customWidth="1"/>
    <col min="6927" max="6927" width="7.90625" bestFit="1" customWidth="1"/>
    <col min="6928" max="6928" width="8" bestFit="1" customWidth="1"/>
    <col min="6929" max="6929" width="8.453125" bestFit="1" customWidth="1"/>
    <col min="6930" max="6930" width="8.453125" customWidth="1"/>
    <col min="6931" max="6931" width="7.90625" bestFit="1" customWidth="1"/>
    <col min="6932" max="6932" width="10.08984375" bestFit="1" customWidth="1"/>
    <col min="7167" max="7172" width="3" customWidth="1"/>
    <col min="7173" max="7173" width="23.6328125" customWidth="1"/>
    <col min="7174" max="7174" width="7.08984375" bestFit="1" customWidth="1"/>
    <col min="7175" max="7175" width="2.36328125" customWidth="1"/>
    <col min="7176" max="7178" width="7.08984375" bestFit="1" customWidth="1"/>
    <col min="7179" max="7179" width="7.54296875" bestFit="1" customWidth="1"/>
    <col min="7180" max="7182" width="7.08984375" bestFit="1" customWidth="1"/>
    <col min="7183" max="7183" width="7.90625" bestFit="1" customWidth="1"/>
    <col min="7184" max="7184" width="8" bestFit="1" customWidth="1"/>
    <col min="7185" max="7185" width="8.453125" bestFit="1" customWidth="1"/>
    <col min="7186" max="7186" width="8.453125" customWidth="1"/>
    <col min="7187" max="7187" width="7.90625" bestFit="1" customWidth="1"/>
    <col min="7188" max="7188" width="10.08984375" bestFit="1" customWidth="1"/>
    <col min="7423" max="7428" width="3" customWidth="1"/>
    <col min="7429" max="7429" width="23.6328125" customWidth="1"/>
    <col min="7430" max="7430" width="7.08984375" bestFit="1" customWidth="1"/>
    <col min="7431" max="7431" width="2.36328125" customWidth="1"/>
    <col min="7432" max="7434" width="7.08984375" bestFit="1" customWidth="1"/>
    <col min="7435" max="7435" width="7.54296875" bestFit="1" customWidth="1"/>
    <col min="7436" max="7438" width="7.08984375" bestFit="1" customWidth="1"/>
    <col min="7439" max="7439" width="7.90625" bestFit="1" customWidth="1"/>
    <col min="7440" max="7440" width="8" bestFit="1" customWidth="1"/>
    <col min="7441" max="7441" width="8.453125" bestFit="1" customWidth="1"/>
    <col min="7442" max="7442" width="8.453125" customWidth="1"/>
    <col min="7443" max="7443" width="7.90625" bestFit="1" customWidth="1"/>
    <col min="7444" max="7444" width="10.08984375" bestFit="1" customWidth="1"/>
    <col min="7679" max="7684" width="3" customWidth="1"/>
    <col min="7685" max="7685" width="23.6328125" customWidth="1"/>
    <col min="7686" max="7686" width="7.08984375" bestFit="1" customWidth="1"/>
    <col min="7687" max="7687" width="2.36328125" customWidth="1"/>
    <col min="7688" max="7690" width="7.08984375" bestFit="1" customWidth="1"/>
    <col min="7691" max="7691" width="7.54296875" bestFit="1" customWidth="1"/>
    <col min="7692" max="7694" width="7.08984375" bestFit="1" customWidth="1"/>
    <col min="7695" max="7695" width="7.90625" bestFit="1" customWidth="1"/>
    <col min="7696" max="7696" width="8" bestFit="1" customWidth="1"/>
    <col min="7697" max="7697" width="8.453125" bestFit="1" customWidth="1"/>
    <col min="7698" max="7698" width="8.453125" customWidth="1"/>
    <col min="7699" max="7699" width="7.90625" bestFit="1" customWidth="1"/>
    <col min="7700" max="7700" width="10.08984375" bestFit="1" customWidth="1"/>
    <col min="7935" max="7940" width="3" customWidth="1"/>
    <col min="7941" max="7941" width="23.6328125" customWidth="1"/>
    <col min="7942" max="7942" width="7.08984375" bestFit="1" customWidth="1"/>
    <col min="7943" max="7943" width="2.36328125" customWidth="1"/>
    <col min="7944" max="7946" width="7.08984375" bestFit="1" customWidth="1"/>
    <col min="7947" max="7947" width="7.54296875" bestFit="1" customWidth="1"/>
    <col min="7948" max="7950" width="7.08984375" bestFit="1" customWidth="1"/>
    <col min="7951" max="7951" width="7.90625" bestFit="1" customWidth="1"/>
    <col min="7952" max="7952" width="8" bestFit="1" customWidth="1"/>
    <col min="7953" max="7953" width="8.453125" bestFit="1" customWidth="1"/>
    <col min="7954" max="7954" width="8.453125" customWidth="1"/>
    <col min="7955" max="7955" width="7.90625" bestFit="1" customWidth="1"/>
    <col min="7956" max="7956" width="10.08984375" bestFit="1" customWidth="1"/>
    <col min="8191" max="8196" width="3" customWidth="1"/>
    <col min="8197" max="8197" width="23.6328125" customWidth="1"/>
    <col min="8198" max="8198" width="7.08984375" bestFit="1" customWidth="1"/>
    <col min="8199" max="8199" width="2.36328125" customWidth="1"/>
    <col min="8200" max="8202" width="7.08984375" bestFit="1" customWidth="1"/>
    <col min="8203" max="8203" width="7.54296875" bestFit="1" customWidth="1"/>
    <col min="8204" max="8206" width="7.08984375" bestFit="1" customWidth="1"/>
    <col min="8207" max="8207" width="7.90625" bestFit="1" customWidth="1"/>
    <col min="8208" max="8208" width="8" bestFit="1" customWidth="1"/>
    <col min="8209" max="8209" width="8.453125" bestFit="1" customWidth="1"/>
    <col min="8210" max="8210" width="8.453125" customWidth="1"/>
    <col min="8211" max="8211" width="7.90625" bestFit="1" customWidth="1"/>
    <col min="8212" max="8212" width="10.08984375" bestFit="1" customWidth="1"/>
    <col min="8447" max="8452" width="3" customWidth="1"/>
    <col min="8453" max="8453" width="23.6328125" customWidth="1"/>
    <col min="8454" max="8454" width="7.08984375" bestFit="1" customWidth="1"/>
    <col min="8455" max="8455" width="2.36328125" customWidth="1"/>
    <col min="8456" max="8458" width="7.08984375" bestFit="1" customWidth="1"/>
    <col min="8459" max="8459" width="7.54296875" bestFit="1" customWidth="1"/>
    <col min="8460" max="8462" width="7.08984375" bestFit="1" customWidth="1"/>
    <col min="8463" max="8463" width="7.90625" bestFit="1" customWidth="1"/>
    <col min="8464" max="8464" width="8" bestFit="1" customWidth="1"/>
    <col min="8465" max="8465" width="8.453125" bestFit="1" customWidth="1"/>
    <col min="8466" max="8466" width="8.453125" customWidth="1"/>
    <col min="8467" max="8467" width="7.90625" bestFit="1" customWidth="1"/>
    <col min="8468" max="8468" width="10.08984375" bestFit="1" customWidth="1"/>
    <col min="8703" max="8708" width="3" customWidth="1"/>
    <col min="8709" max="8709" width="23.6328125" customWidth="1"/>
    <col min="8710" max="8710" width="7.08984375" bestFit="1" customWidth="1"/>
    <col min="8711" max="8711" width="2.36328125" customWidth="1"/>
    <col min="8712" max="8714" width="7.08984375" bestFit="1" customWidth="1"/>
    <col min="8715" max="8715" width="7.54296875" bestFit="1" customWidth="1"/>
    <col min="8716" max="8718" width="7.08984375" bestFit="1" customWidth="1"/>
    <col min="8719" max="8719" width="7.90625" bestFit="1" customWidth="1"/>
    <col min="8720" max="8720" width="8" bestFit="1" customWidth="1"/>
    <col min="8721" max="8721" width="8.453125" bestFit="1" customWidth="1"/>
    <col min="8722" max="8722" width="8.453125" customWidth="1"/>
    <col min="8723" max="8723" width="7.90625" bestFit="1" customWidth="1"/>
    <col min="8724" max="8724" width="10.08984375" bestFit="1" customWidth="1"/>
    <col min="8959" max="8964" width="3" customWidth="1"/>
    <col min="8965" max="8965" width="23.6328125" customWidth="1"/>
    <col min="8966" max="8966" width="7.08984375" bestFit="1" customWidth="1"/>
    <col min="8967" max="8967" width="2.36328125" customWidth="1"/>
    <col min="8968" max="8970" width="7.08984375" bestFit="1" customWidth="1"/>
    <col min="8971" max="8971" width="7.54296875" bestFit="1" customWidth="1"/>
    <col min="8972" max="8974" width="7.08984375" bestFit="1" customWidth="1"/>
    <col min="8975" max="8975" width="7.90625" bestFit="1" customWidth="1"/>
    <col min="8976" max="8976" width="8" bestFit="1" customWidth="1"/>
    <col min="8977" max="8977" width="8.453125" bestFit="1" customWidth="1"/>
    <col min="8978" max="8978" width="8.453125" customWidth="1"/>
    <col min="8979" max="8979" width="7.90625" bestFit="1" customWidth="1"/>
    <col min="8980" max="8980" width="10.08984375" bestFit="1" customWidth="1"/>
    <col min="9215" max="9220" width="3" customWidth="1"/>
    <col min="9221" max="9221" width="23.6328125" customWidth="1"/>
    <col min="9222" max="9222" width="7.08984375" bestFit="1" customWidth="1"/>
    <col min="9223" max="9223" width="2.36328125" customWidth="1"/>
    <col min="9224" max="9226" width="7.08984375" bestFit="1" customWidth="1"/>
    <col min="9227" max="9227" width="7.54296875" bestFit="1" customWidth="1"/>
    <col min="9228" max="9230" width="7.08984375" bestFit="1" customWidth="1"/>
    <col min="9231" max="9231" width="7.90625" bestFit="1" customWidth="1"/>
    <col min="9232" max="9232" width="8" bestFit="1" customWidth="1"/>
    <col min="9233" max="9233" width="8.453125" bestFit="1" customWidth="1"/>
    <col min="9234" max="9234" width="8.453125" customWidth="1"/>
    <col min="9235" max="9235" width="7.90625" bestFit="1" customWidth="1"/>
    <col min="9236" max="9236" width="10.08984375" bestFit="1" customWidth="1"/>
    <col min="9471" max="9476" width="3" customWidth="1"/>
    <col min="9477" max="9477" width="23.6328125" customWidth="1"/>
    <col min="9478" max="9478" width="7.08984375" bestFit="1" customWidth="1"/>
    <col min="9479" max="9479" width="2.36328125" customWidth="1"/>
    <col min="9480" max="9482" width="7.08984375" bestFit="1" customWidth="1"/>
    <col min="9483" max="9483" width="7.54296875" bestFit="1" customWidth="1"/>
    <col min="9484" max="9486" width="7.08984375" bestFit="1" customWidth="1"/>
    <col min="9487" max="9487" width="7.90625" bestFit="1" customWidth="1"/>
    <col min="9488" max="9488" width="8" bestFit="1" customWidth="1"/>
    <col min="9489" max="9489" width="8.453125" bestFit="1" customWidth="1"/>
    <col min="9490" max="9490" width="8.453125" customWidth="1"/>
    <col min="9491" max="9491" width="7.90625" bestFit="1" customWidth="1"/>
    <col min="9492" max="9492" width="10.08984375" bestFit="1" customWidth="1"/>
    <col min="9727" max="9732" width="3" customWidth="1"/>
    <col min="9733" max="9733" width="23.6328125" customWidth="1"/>
    <col min="9734" max="9734" width="7.08984375" bestFit="1" customWidth="1"/>
    <col min="9735" max="9735" width="2.36328125" customWidth="1"/>
    <col min="9736" max="9738" width="7.08984375" bestFit="1" customWidth="1"/>
    <col min="9739" max="9739" width="7.54296875" bestFit="1" customWidth="1"/>
    <col min="9740" max="9742" width="7.08984375" bestFit="1" customWidth="1"/>
    <col min="9743" max="9743" width="7.90625" bestFit="1" customWidth="1"/>
    <col min="9744" max="9744" width="8" bestFit="1" customWidth="1"/>
    <col min="9745" max="9745" width="8.453125" bestFit="1" customWidth="1"/>
    <col min="9746" max="9746" width="8.453125" customWidth="1"/>
    <col min="9747" max="9747" width="7.90625" bestFit="1" customWidth="1"/>
    <col min="9748" max="9748" width="10.08984375" bestFit="1" customWidth="1"/>
    <col min="9983" max="9988" width="3" customWidth="1"/>
    <col min="9989" max="9989" width="23.6328125" customWidth="1"/>
    <col min="9990" max="9990" width="7.08984375" bestFit="1" customWidth="1"/>
    <col min="9991" max="9991" width="2.36328125" customWidth="1"/>
    <col min="9992" max="9994" width="7.08984375" bestFit="1" customWidth="1"/>
    <col min="9995" max="9995" width="7.54296875" bestFit="1" customWidth="1"/>
    <col min="9996" max="9998" width="7.08984375" bestFit="1" customWidth="1"/>
    <col min="9999" max="9999" width="7.90625" bestFit="1" customWidth="1"/>
    <col min="10000" max="10000" width="8" bestFit="1" customWidth="1"/>
    <col min="10001" max="10001" width="8.453125" bestFit="1" customWidth="1"/>
    <col min="10002" max="10002" width="8.453125" customWidth="1"/>
    <col min="10003" max="10003" width="7.90625" bestFit="1" customWidth="1"/>
    <col min="10004" max="10004" width="10.08984375" bestFit="1" customWidth="1"/>
    <col min="10239" max="10244" width="3" customWidth="1"/>
    <col min="10245" max="10245" width="23.6328125" customWidth="1"/>
    <col min="10246" max="10246" width="7.08984375" bestFit="1" customWidth="1"/>
    <col min="10247" max="10247" width="2.36328125" customWidth="1"/>
    <col min="10248" max="10250" width="7.08984375" bestFit="1" customWidth="1"/>
    <col min="10251" max="10251" width="7.54296875" bestFit="1" customWidth="1"/>
    <col min="10252" max="10254" width="7.08984375" bestFit="1" customWidth="1"/>
    <col min="10255" max="10255" width="7.90625" bestFit="1" customWidth="1"/>
    <col min="10256" max="10256" width="8" bestFit="1" customWidth="1"/>
    <col min="10257" max="10257" width="8.453125" bestFit="1" customWidth="1"/>
    <col min="10258" max="10258" width="8.453125" customWidth="1"/>
    <col min="10259" max="10259" width="7.90625" bestFit="1" customWidth="1"/>
    <col min="10260" max="10260" width="10.08984375" bestFit="1" customWidth="1"/>
    <col min="10495" max="10500" width="3" customWidth="1"/>
    <col min="10501" max="10501" width="23.6328125" customWidth="1"/>
    <col min="10502" max="10502" width="7.08984375" bestFit="1" customWidth="1"/>
    <col min="10503" max="10503" width="2.36328125" customWidth="1"/>
    <col min="10504" max="10506" width="7.08984375" bestFit="1" customWidth="1"/>
    <col min="10507" max="10507" width="7.54296875" bestFit="1" customWidth="1"/>
    <col min="10508" max="10510" width="7.08984375" bestFit="1" customWidth="1"/>
    <col min="10511" max="10511" width="7.90625" bestFit="1" customWidth="1"/>
    <col min="10512" max="10512" width="8" bestFit="1" customWidth="1"/>
    <col min="10513" max="10513" width="8.453125" bestFit="1" customWidth="1"/>
    <col min="10514" max="10514" width="8.453125" customWidth="1"/>
    <col min="10515" max="10515" width="7.90625" bestFit="1" customWidth="1"/>
    <col min="10516" max="10516" width="10.08984375" bestFit="1" customWidth="1"/>
    <col min="10751" max="10756" width="3" customWidth="1"/>
    <col min="10757" max="10757" width="23.6328125" customWidth="1"/>
    <col min="10758" max="10758" width="7.08984375" bestFit="1" customWidth="1"/>
    <col min="10759" max="10759" width="2.36328125" customWidth="1"/>
    <col min="10760" max="10762" width="7.08984375" bestFit="1" customWidth="1"/>
    <col min="10763" max="10763" width="7.54296875" bestFit="1" customWidth="1"/>
    <col min="10764" max="10766" width="7.08984375" bestFit="1" customWidth="1"/>
    <col min="10767" max="10767" width="7.90625" bestFit="1" customWidth="1"/>
    <col min="10768" max="10768" width="8" bestFit="1" customWidth="1"/>
    <col min="10769" max="10769" width="8.453125" bestFit="1" customWidth="1"/>
    <col min="10770" max="10770" width="8.453125" customWidth="1"/>
    <col min="10771" max="10771" width="7.90625" bestFit="1" customWidth="1"/>
    <col min="10772" max="10772" width="10.08984375" bestFit="1" customWidth="1"/>
    <col min="11007" max="11012" width="3" customWidth="1"/>
    <col min="11013" max="11013" width="23.6328125" customWidth="1"/>
    <col min="11014" max="11014" width="7.08984375" bestFit="1" customWidth="1"/>
    <col min="11015" max="11015" width="2.36328125" customWidth="1"/>
    <col min="11016" max="11018" width="7.08984375" bestFit="1" customWidth="1"/>
    <col min="11019" max="11019" width="7.54296875" bestFit="1" customWidth="1"/>
    <col min="11020" max="11022" width="7.08984375" bestFit="1" customWidth="1"/>
    <col min="11023" max="11023" width="7.90625" bestFit="1" customWidth="1"/>
    <col min="11024" max="11024" width="8" bestFit="1" customWidth="1"/>
    <col min="11025" max="11025" width="8.453125" bestFit="1" customWidth="1"/>
    <col min="11026" max="11026" width="8.453125" customWidth="1"/>
    <col min="11027" max="11027" width="7.90625" bestFit="1" customWidth="1"/>
    <col min="11028" max="11028" width="10.08984375" bestFit="1" customWidth="1"/>
    <col min="11263" max="11268" width="3" customWidth="1"/>
    <col min="11269" max="11269" width="23.6328125" customWidth="1"/>
    <col min="11270" max="11270" width="7.08984375" bestFit="1" customWidth="1"/>
    <col min="11271" max="11271" width="2.36328125" customWidth="1"/>
    <col min="11272" max="11274" width="7.08984375" bestFit="1" customWidth="1"/>
    <col min="11275" max="11275" width="7.54296875" bestFit="1" customWidth="1"/>
    <col min="11276" max="11278" width="7.08984375" bestFit="1" customWidth="1"/>
    <col min="11279" max="11279" width="7.90625" bestFit="1" customWidth="1"/>
    <col min="11280" max="11280" width="8" bestFit="1" customWidth="1"/>
    <col min="11281" max="11281" width="8.453125" bestFit="1" customWidth="1"/>
    <col min="11282" max="11282" width="8.453125" customWidth="1"/>
    <col min="11283" max="11283" width="7.90625" bestFit="1" customWidth="1"/>
    <col min="11284" max="11284" width="10.08984375" bestFit="1" customWidth="1"/>
    <col min="11519" max="11524" width="3" customWidth="1"/>
    <col min="11525" max="11525" width="23.6328125" customWidth="1"/>
    <col min="11526" max="11526" width="7.08984375" bestFit="1" customWidth="1"/>
    <col min="11527" max="11527" width="2.36328125" customWidth="1"/>
    <col min="11528" max="11530" width="7.08984375" bestFit="1" customWidth="1"/>
    <col min="11531" max="11531" width="7.54296875" bestFit="1" customWidth="1"/>
    <col min="11532" max="11534" width="7.08984375" bestFit="1" customWidth="1"/>
    <col min="11535" max="11535" width="7.90625" bestFit="1" customWidth="1"/>
    <col min="11536" max="11536" width="8" bestFit="1" customWidth="1"/>
    <col min="11537" max="11537" width="8.453125" bestFit="1" customWidth="1"/>
    <col min="11538" max="11538" width="8.453125" customWidth="1"/>
    <col min="11539" max="11539" width="7.90625" bestFit="1" customWidth="1"/>
    <col min="11540" max="11540" width="10.08984375" bestFit="1" customWidth="1"/>
    <col min="11775" max="11780" width="3" customWidth="1"/>
    <col min="11781" max="11781" width="23.6328125" customWidth="1"/>
    <col min="11782" max="11782" width="7.08984375" bestFit="1" customWidth="1"/>
    <col min="11783" max="11783" width="2.36328125" customWidth="1"/>
    <col min="11784" max="11786" width="7.08984375" bestFit="1" customWidth="1"/>
    <col min="11787" max="11787" width="7.54296875" bestFit="1" customWidth="1"/>
    <col min="11788" max="11790" width="7.08984375" bestFit="1" customWidth="1"/>
    <col min="11791" max="11791" width="7.90625" bestFit="1" customWidth="1"/>
    <col min="11792" max="11792" width="8" bestFit="1" customWidth="1"/>
    <col min="11793" max="11793" width="8.453125" bestFit="1" customWidth="1"/>
    <col min="11794" max="11794" width="8.453125" customWidth="1"/>
    <col min="11795" max="11795" width="7.90625" bestFit="1" customWidth="1"/>
    <col min="11796" max="11796" width="10.08984375" bestFit="1" customWidth="1"/>
    <col min="12031" max="12036" width="3" customWidth="1"/>
    <col min="12037" max="12037" width="23.6328125" customWidth="1"/>
    <col min="12038" max="12038" width="7.08984375" bestFit="1" customWidth="1"/>
    <col min="12039" max="12039" width="2.36328125" customWidth="1"/>
    <col min="12040" max="12042" width="7.08984375" bestFit="1" customWidth="1"/>
    <col min="12043" max="12043" width="7.54296875" bestFit="1" customWidth="1"/>
    <col min="12044" max="12046" width="7.08984375" bestFit="1" customWidth="1"/>
    <col min="12047" max="12047" width="7.90625" bestFit="1" customWidth="1"/>
    <col min="12048" max="12048" width="8" bestFit="1" customWidth="1"/>
    <col min="12049" max="12049" width="8.453125" bestFit="1" customWidth="1"/>
    <col min="12050" max="12050" width="8.453125" customWidth="1"/>
    <col min="12051" max="12051" width="7.90625" bestFit="1" customWidth="1"/>
    <col min="12052" max="12052" width="10.08984375" bestFit="1" customWidth="1"/>
    <col min="12287" max="12292" width="3" customWidth="1"/>
    <col min="12293" max="12293" width="23.6328125" customWidth="1"/>
    <col min="12294" max="12294" width="7.08984375" bestFit="1" customWidth="1"/>
    <col min="12295" max="12295" width="2.36328125" customWidth="1"/>
    <col min="12296" max="12298" width="7.08984375" bestFit="1" customWidth="1"/>
    <col min="12299" max="12299" width="7.54296875" bestFit="1" customWidth="1"/>
    <col min="12300" max="12302" width="7.08984375" bestFit="1" customWidth="1"/>
    <col min="12303" max="12303" width="7.90625" bestFit="1" customWidth="1"/>
    <col min="12304" max="12304" width="8" bestFit="1" customWidth="1"/>
    <col min="12305" max="12305" width="8.453125" bestFit="1" customWidth="1"/>
    <col min="12306" max="12306" width="8.453125" customWidth="1"/>
    <col min="12307" max="12307" width="7.90625" bestFit="1" customWidth="1"/>
    <col min="12308" max="12308" width="10.08984375" bestFit="1" customWidth="1"/>
    <col min="12543" max="12548" width="3" customWidth="1"/>
    <col min="12549" max="12549" width="23.6328125" customWidth="1"/>
    <col min="12550" max="12550" width="7.08984375" bestFit="1" customWidth="1"/>
    <col min="12551" max="12551" width="2.36328125" customWidth="1"/>
    <col min="12552" max="12554" width="7.08984375" bestFit="1" customWidth="1"/>
    <col min="12555" max="12555" width="7.54296875" bestFit="1" customWidth="1"/>
    <col min="12556" max="12558" width="7.08984375" bestFit="1" customWidth="1"/>
    <col min="12559" max="12559" width="7.90625" bestFit="1" customWidth="1"/>
    <col min="12560" max="12560" width="8" bestFit="1" customWidth="1"/>
    <col min="12561" max="12561" width="8.453125" bestFit="1" customWidth="1"/>
    <col min="12562" max="12562" width="8.453125" customWidth="1"/>
    <col min="12563" max="12563" width="7.90625" bestFit="1" customWidth="1"/>
    <col min="12564" max="12564" width="10.08984375" bestFit="1" customWidth="1"/>
    <col min="12799" max="12804" width="3" customWidth="1"/>
    <col min="12805" max="12805" width="23.6328125" customWidth="1"/>
    <col min="12806" max="12806" width="7.08984375" bestFit="1" customWidth="1"/>
    <col min="12807" max="12807" width="2.36328125" customWidth="1"/>
    <col min="12808" max="12810" width="7.08984375" bestFit="1" customWidth="1"/>
    <col min="12811" max="12811" width="7.54296875" bestFit="1" customWidth="1"/>
    <col min="12812" max="12814" width="7.08984375" bestFit="1" customWidth="1"/>
    <col min="12815" max="12815" width="7.90625" bestFit="1" customWidth="1"/>
    <col min="12816" max="12816" width="8" bestFit="1" customWidth="1"/>
    <col min="12817" max="12817" width="8.453125" bestFit="1" customWidth="1"/>
    <col min="12818" max="12818" width="8.453125" customWidth="1"/>
    <col min="12819" max="12819" width="7.90625" bestFit="1" customWidth="1"/>
    <col min="12820" max="12820" width="10.08984375" bestFit="1" customWidth="1"/>
    <col min="13055" max="13060" width="3" customWidth="1"/>
    <col min="13061" max="13061" width="23.6328125" customWidth="1"/>
    <col min="13062" max="13062" width="7.08984375" bestFit="1" customWidth="1"/>
    <col min="13063" max="13063" width="2.36328125" customWidth="1"/>
    <col min="13064" max="13066" width="7.08984375" bestFit="1" customWidth="1"/>
    <col min="13067" max="13067" width="7.54296875" bestFit="1" customWidth="1"/>
    <col min="13068" max="13070" width="7.08984375" bestFit="1" customWidth="1"/>
    <col min="13071" max="13071" width="7.90625" bestFit="1" customWidth="1"/>
    <col min="13072" max="13072" width="8" bestFit="1" customWidth="1"/>
    <col min="13073" max="13073" width="8.453125" bestFit="1" customWidth="1"/>
    <col min="13074" max="13074" width="8.453125" customWidth="1"/>
    <col min="13075" max="13075" width="7.90625" bestFit="1" customWidth="1"/>
    <col min="13076" max="13076" width="10.08984375" bestFit="1" customWidth="1"/>
    <col min="13311" max="13316" width="3" customWidth="1"/>
    <col min="13317" max="13317" width="23.6328125" customWidth="1"/>
    <col min="13318" max="13318" width="7.08984375" bestFit="1" customWidth="1"/>
    <col min="13319" max="13319" width="2.36328125" customWidth="1"/>
    <col min="13320" max="13322" width="7.08984375" bestFit="1" customWidth="1"/>
    <col min="13323" max="13323" width="7.54296875" bestFit="1" customWidth="1"/>
    <col min="13324" max="13326" width="7.08984375" bestFit="1" customWidth="1"/>
    <col min="13327" max="13327" width="7.90625" bestFit="1" customWidth="1"/>
    <col min="13328" max="13328" width="8" bestFit="1" customWidth="1"/>
    <col min="13329" max="13329" width="8.453125" bestFit="1" customWidth="1"/>
    <col min="13330" max="13330" width="8.453125" customWidth="1"/>
    <col min="13331" max="13331" width="7.90625" bestFit="1" customWidth="1"/>
    <col min="13332" max="13332" width="10.08984375" bestFit="1" customWidth="1"/>
    <col min="13567" max="13572" width="3" customWidth="1"/>
    <col min="13573" max="13573" width="23.6328125" customWidth="1"/>
    <col min="13574" max="13574" width="7.08984375" bestFit="1" customWidth="1"/>
    <col min="13575" max="13575" width="2.36328125" customWidth="1"/>
    <col min="13576" max="13578" width="7.08984375" bestFit="1" customWidth="1"/>
    <col min="13579" max="13579" width="7.54296875" bestFit="1" customWidth="1"/>
    <col min="13580" max="13582" width="7.08984375" bestFit="1" customWidth="1"/>
    <col min="13583" max="13583" width="7.90625" bestFit="1" customWidth="1"/>
    <col min="13584" max="13584" width="8" bestFit="1" customWidth="1"/>
    <col min="13585" max="13585" width="8.453125" bestFit="1" customWidth="1"/>
    <col min="13586" max="13586" width="8.453125" customWidth="1"/>
    <col min="13587" max="13587" width="7.90625" bestFit="1" customWidth="1"/>
    <col min="13588" max="13588" width="10.08984375" bestFit="1" customWidth="1"/>
    <col min="13823" max="13828" width="3" customWidth="1"/>
    <col min="13829" max="13829" width="23.6328125" customWidth="1"/>
    <col min="13830" max="13830" width="7.08984375" bestFit="1" customWidth="1"/>
    <col min="13831" max="13831" width="2.36328125" customWidth="1"/>
    <col min="13832" max="13834" width="7.08984375" bestFit="1" customWidth="1"/>
    <col min="13835" max="13835" width="7.54296875" bestFit="1" customWidth="1"/>
    <col min="13836" max="13838" width="7.08984375" bestFit="1" customWidth="1"/>
    <col min="13839" max="13839" width="7.90625" bestFit="1" customWidth="1"/>
    <col min="13840" max="13840" width="8" bestFit="1" customWidth="1"/>
    <col min="13841" max="13841" width="8.453125" bestFit="1" customWidth="1"/>
    <col min="13842" max="13842" width="8.453125" customWidth="1"/>
    <col min="13843" max="13843" width="7.90625" bestFit="1" customWidth="1"/>
    <col min="13844" max="13844" width="10.08984375" bestFit="1" customWidth="1"/>
    <col min="14079" max="14084" width="3" customWidth="1"/>
    <col min="14085" max="14085" width="23.6328125" customWidth="1"/>
    <col min="14086" max="14086" width="7.08984375" bestFit="1" customWidth="1"/>
    <col min="14087" max="14087" width="2.36328125" customWidth="1"/>
    <col min="14088" max="14090" width="7.08984375" bestFit="1" customWidth="1"/>
    <col min="14091" max="14091" width="7.54296875" bestFit="1" customWidth="1"/>
    <col min="14092" max="14094" width="7.08984375" bestFit="1" customWidth="1"/>
    <col min="14095" max="14095" width="7.90625" bestFit="1" customWidth="1"/>
    <col min="14096" max="14096" width="8" bestFit="1" customWidth="1"/>
    <col min="14097" max="14097" width="8.453125" bestFit="1" customWidth="1"/>
    <col min="14098" max="14098" width="8.453125" customWidth="1"/>
    <col min="14099" max="14099" width="7.90625" bestFit="1" customWidth="1"/>
    <col min="14100" max="14100" width="10.08984375" bestFit="1" customWidth="1"/>
    <col min="14335" max="14340" width="3" customWidth="1"/>
    <col min="14341" max="14341" width="23.6328125" customWidth="1"/>
    <col min="14342" max="14342" width="7.08984375" bestFit="1" customWidth="1"/>
    <col min="14343" max="14343" width="2.36328125" customWidth="1"/>
    <col min="14344" max="14346" width="7.08984375" bestFit="1" customWidth="1"/>
    <col min="14347" max="14347" width="7.54296875" bestFit="1" customWidth="1"/>
    <col min="14348" max="14350" width="7.08984375" bestFit="1" customWidth="1"/>
    <col min="14351" max="14351" width="7.90625" bestFit="1" customWidth="1"/>
    <col min="14352" max="14352" width="8" bestFit="1" customWidth="1"/>
    <col min="14353" max="14353" width="8.453125" bestFit="1" customWidth="1"/>
    <col min="14354" max="14354" width="8.453125" customWidth="1"/>
    <col min="14355" max="14355" width="7.90625" bestFit="1" customWidth="1"/>
    <col min="14356" max="14356" width="10.08984375" bestFit="1" customWidth="1"/>
    <col min="14591" max="14596" width="3" customWidth="1"/>
    <col min="14597" max="14597" width="23.6328125" customWidth="1"/>
    <col min="14598" max="14598" width="7.08984375" bestFit="1" customWidth="1"/>
    <col min="14599" max="14599" width="2.36328125" customWidth="1"/>
    <col min="14600" max="14602" width="7.08984375" bestFit="1" customWidth="1"/>
    <col min="14603" max="14603" width="7.54296875" bestFit="1" customWidth="1"/>
    <col min="14604" max="14606" width="7.08984375" bestFit="1" customWidth="1"/>
    <col min="14607" max="14607" width="7.90625" bestFit="1" customWidth="1"/>
    <col min="14608" max="14608" width="8" bestFit="1" customWidth="1"/>
    <col min="14609" max="14609" width="8.453125" bestFit="1" customWidth="1"/>
    <col min="14610" max="14610" width="8.453125" customWidth="1"/>
    <col min="14611" max="14611" width="7.90625" bestFit="1" customWidth="1"/>
    <col min="14612" max="14612" width="10.08984375" bestFit="1" customWidth="1"/>
    <col min="14847" max="14852" width="3" customWidth="1"/>
    <col min="14853" max="14853" width="23.6328125" customWidth="1"/>
    <col min="14854" max="14854" width="7.08984375" bestFit="1" customWidth="1"/>
    <col min="14855" max="14855" width="2.36328125" customWidth="1"/>
    <col min="14856" max="14858" width="7.08984375" bestFit="1" customWidth="1"/>
    <col min="14859" max="14859" width="7.54296875" bestFit="1" customWidth="1"/>
    <col min="14860" max="14862" width="7.08984375" bestFit="1" customWidth="1"/>
    <col min="14863" max="14863" width="7.90625" bestFit="1" customWidth="1"/>
    <col min="14864" max="14864" width="8" bestFit="1" customWidth="1"/>
    <col min="14865" max="14865" width="8.453125" bestFit="1" customWidth="1"/>
    <col min="14866" max="14866" width="8.453125" customWidth="1"/>
    <col min="14867" max="14867" width="7.90625" bestFit="1" customWidth="1"/>
    <col min="14868" max="14868" width="10.08984375" bestFit="1" customWidth="1"/>
    <col min="15103" max="15108" width="3" customWidth="1"/>
    <col min="15109" max="15109" width="23.6328125" customWidth="1"/>
    <col min="15110" max="15110" width="7.08984375" bestFit="1" customWidth="1"/>
    <col min="15111" max="15111" width="2.36328125" customWidth="1"/>
    <col min="15112" max="15114" width="7.08984375" bestFit="1" customWidth="1"/>
    <col min="15115" max="15115" width="7.54296875" bestFit="1" customWidth="1"/>
    <col min="15116" max="15118" width="7.08984375" bestFit="1" customWidth="1"/>
    <col min="15119" max="15119" width="7.90625" bestFit="1" customWidth="1"/>
    <col min="15120" max="15120" width="8" bestFit="1" customWidth="1"/>
    <col min="15121" max="15121" width="8.453125" bestFit="1" customWidth="1"/>
    <col min="15122" max="15122" width="8.453125" customWidth="1"/>
    <col min="15123" max="15123" width="7.90625" bestFit="1" customWidth="1"/>
    <col min="15124" max="15124" width="10.08984375" bestFit="1" customWidth="1"/>
    <col min="15359" max="15364" width="3" customWidth="1"/>
    <col min="15365" max="15365" width="23.6328125" customWidth="1"/>
    <col min="15366" max="15366" width="7.08984375" bestFit="1" customWidth="1"/>
    <col min="15367" max="15367" width="2.36328125" customWidth="1"/>
    <col min="15368" max="15370" width="7.08984375" bestFit="1" customWidth="1"/>
    <col min="15371" max="15371" width="7.54296875" bestFit="1" customWidth="1"/>
    <col min="15372" max="15374" width="7.08984375" bestFit="1" customWidth="1"/>
    <col min="15375" max="15375" width="7.90625" bestFit="1" customWidth="1"/>
    <col min="15376" max="15376" width="8" bestFit="1" customWidth="1"/>
    <col min="15377" max="15377" width="8.453125" bestFit="1" customWidth="1"/>
    <col min="15378" max="15378" width="8.453125" customWidth="1"/>
    <col min="15379" max="15379" width="7.90625" bestFit="1" customWidth="1"/>
    <col min="15380" max="15380" width="10.08984375" bestFit="1" customWidth="1"/>
    <col min="15615" max="15620" width="3" customWidth="1"/>
    <col min="15621" max="15621" width="23.6328125" customWidth="1"/>
    <col min="15622" max="15622" width="7.08984375" bestFit="1" customWidth="1"/>
    <col min="15623" max="15623" width="2.36328125" customWidth="1"/>
    <col min="15624" max="15626" width="7.08984375" bestFit="1" customWidth="1"/>
    <col min="15627" max="15627" width="7.54296875" bestFit="1" customWidth="1"/>
    <col min="15628" max="15630" width="7.08984375" bestFit="1" customWidth="1"/>
    <col min="15631" max="15631" width="7.90625" bestFit="1" customWidth="1"/>
    <col min="15632" max="15632" width="8" bestFit="1" customWidth="1"/>
    <col min="15633" max="15633" width="8.453125" bestFit="1" customWidth="1"/>
    <col min="15634" max="15634" width="8.453125" customWidth="1"/>
    <col min="15635" max="15635" width="7.90625" bestFit="1" customWidth="1"/>
    <col min="15636" max="15636" width="10.08984375" bestFit="1" customWidth="1"/>
    <col min="15871" max="15876" width="3" customWidth="1"/>
    <col min="15877" max="15877" width="23.6328125" customWidth="1"/>
    <col min="15878" max="15878" width="7.08984375" bestFit="1" customWidth="1"/>
    <col min="15879" max="15879" width="2.36328125" customWidth="1"/>
    <col min="15880" max="15882" width="7.08984375" bestFit="1" customWidth="1"/>
    <col min="15883" max="15883" width="7.54296875" bestFit="1" customWidth="1"/>
    <col min="15884" max="15886" width="7.08984375" bestFit="1" customWidth="1"/>
    <col min="15887" max="15887" width="7.90625" bestFit="1" customWidth="1"/>
    <col min="15888" max="15888" width="8" bestFit="1" customWidth="1"/>
    <col min="15889" max="15889" width="8.453125" bestFit="1" customWidth="1"/>
    <col min="15890" max="15890" width="8.453125" customWidth="1"/>
    <col min="15891" max="15891" width="7.90625" bestFit="1" customWidth="1"/>
    <col min="15892" max="15892" width="10.08984375" bestFit="1" customWidth="1"/>
    <col min="16127" max="16132" width="3" customWidth="1"/>
    <col min="16133" max="16133" width="23.6328125" customWidth="1"/>
    <col min="16134" max="16134" width="7.08984375" bestFit="1" customWidth="1"/>
    <col min="16135" max="16135" width="2.36328125" customWidth="1"/>
    <col min="16136" max="16138" width="7.08984375" bestFit="1" customWidth="1"/>
    <col min="16139" max="16139" width="7.54296875" bestFit="1" customWidth="1"/>
    <col min="16140" max="16142" width="7.08984375" bestFit="1" customWidth="1"/>
    <col min="16143" max="16143" width="7.90625" bestFit="1" customWidth="1"/>
    <col min="16144" max="16144" width="8" bestFit="1" customWidth="1"/>
    <col min="16145" max="16145" width="8.453125" bestFit="1" customWidth="1"/>
    <col min="16146" max="16146" width="8.453125" customWidth="1"/>
    <col min="16147" max="16147" width="7.90625" bestFit="1" customWidth="1"/>
    <col min="16148" max="16148" width="10.08984375" bestFit="1" customWidth="1"/>
  </cols>
  <sheetData>
    <row r="1" spans="1:21" ht="15.5" x14ac:dyDescent="0.35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3" spans="1:21" s="3" customFormat="1" ht="15" thickBot="1" x14ac:dyDescent="0.4">
      <c r="A3" s="1"/>
      <c r="B3" s="1"/>
      <c r="C3" s="1"/>
      <c r="D3" s="1"/>
      <c r="E3" s="1"/>
      <c r="F3" s="1"/>
      <c r="G3" s="2" t="s">
        <v>73</v>
      </c>
      <c r="H3" s="2" t="s">
        <v>74</v>
      </c>
      <c r="I3" s="2" t="s">
        <v>75</v>
      </c>
      <c r="J3" s="2" t="s">
        <v>76</v>
      </c>
      <c r="K3" s="2" t="s">
        <v>77</v>
      </c>
      <c r="L3" s="2" t="s">
        <v>78</v>
      </c>
      <c r="M3" s="2" t="s">
        <v>79</v>
      </c>
      <c r="N3" s="2" t="s">
        <v>80</v>
      </c>
      <c r="O3" s="2" t="s">
        <v>81</v>
      </c>
      <c r="P3" s="9">
        <v>44584</v>
      </c>
      <c r="Q3" s="9">
        <v>44615</v>
      </c>
      <c r="R3" s="9">
        <v>44643</v>
      </c>
      <c r="S3" s="2" t="s">
        <v>85</v>
      </c>
      <c r="T3" s="81" t="s">
        <v>86</v>
      </c>
      <c r="U3" s="82" t="s">
        <v>87</v>
      </c>
    </row>
    <row r="4" spans="1:21" ht="15" thickTop="1" x14ac:dyDescent="0.35">
      <c r="A4" s="4"/>
      <c r="B4" s="4" t="s">
        <v>1</v>
      </c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5"/>
    </row>
    <row r="5" spans="1:21" x14ac:dyDescent="0.35">
      <c r="A5" s="4"/>
      <c r="B5" s="4"/>
      <c r="C5" s="4"/>
      <c r="D5" s="4" t="s">
        <v>2</v>
      </c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5"/>
    </row>
    <row r="6" spans="1:21" x14ac:dyDescent="0.35">
      <c r="A6" s="4"/>
      <c r="B6" s="4"/>
      <c r="C6" s="4"/>
      <c r="D6" s="4"/>
      <c r="E6" s="4" t="s">
        <v>3</v>
      </c>
      <c r="F6" s="4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5"/>
    </row>
    <row r="7" spans="1:21" x14ac:dyDescent="0.35">
      <c r="A7" s="4"/>
      <c r="B7" s="4"/>
      <c r="C7" s="4"/>
      <c r="D7" s="4"/>
      <c r="E7" s="4"/>
      <c r="F7" s="4" t="s">
        <v>4</v>
      </c>
      <c r="G7" s="21">
        <v>13000</v>
      </c>
      <c r="H7" s="21">
        <v>18000</v>
      </c>
      <c r="I7" s="21">
        <v>16000</v>
      </c>
      <c r="J7" s="21">
        <v>17000</v>
      </c>
      <c r="K7" s="21">
        <v>15000</v>
      </c>
      <c r="L7" s="21">
        <v>15000</v>
      </c>
      <c r="M7" s="21">
        <v>20000</v>
      </c>
      <c r="N7" s="21">
        <v>40000</v>
      </c>
      <c r="O7" s="21">
        <v>100000</v>
      </c>
      <c r="P7" s="21">
        <v>8000</v>
      </c>
      <c r="Q7" s="21">
        <v>12600</v>
      </c>
      <c r="R7" s="21">
        <v>12000</v>
      </c>
      <c r="S7" s="21">
        <f>ROUND(SUM(G7:R7),5)</f>
        <v>286600</v>
      </c>
      <c r="T7" s="22">
        <v>284060.24</v>
      </c>
      <c r="U7" s="14">
        <f>+(S7-T7)/T7</f>
        <v>8.9409204188520344E-3</v>
      </c>
    </row>
    <row r="8" spans="1:21" x14ac:dyDescent="0.35">
      <c r="A8" s="4"/>
      <c r="B8" s="4"/>
      <c r="C8" s="4"/>
      <c r="D8" s="4"/>
      <c r="E8" s="4"/>
      <c r="F8" s="4" t="s">
        <v>5</v>
      </c>
      <c r="G8" s="21"/>
      <c r="H8" s="21"/>
      <c r="I8" s="21"/>
      <c r="J8" s="21"/>
      <c r="K8" s="21"/>
      <c r="L8" s="21"/>
      <c r="M8" s="21"/>
      <c r="N8" s="21"/>
      <c r="O8" s="21"/>
      <c r="P8" s="22"/>
      <c r="Q8" s="22"/>
      <c r="R8" s="22"/>
      <c r="S8" s="21"/>
      <c r="T8" s="22"/>
      <c r="U8" s="14"/>
    </row>
    <row r="9" spans="1:21" x14ac:dyDescent="0.35">
      <c r="A9" s="4"/>
      <c r="B9" s="4"/>
      <c r="C9" s="4"/>
      <c r="D9" s="4"/>
      <c r="E9" s="4"/>
      <c r="F9" s="4" t="s">
        <v>6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2000</v>
      </c>
      <c r="M9" s="21">
        <v>104.97</v>
      </c>
      <c r="N9" s="21">
        <v>20000</v>
      </c>
      <c r="O9" s="21">
        <v>5000</v>
      </c>
      <c r="P9" s="21">
        <v>0</v>
      </c>
      <c r="Q9" s="21">
        <v>0</v>
      </c>
      <c r="R9" s="21">
        <v>0</v>
      </c>
      <c r="S9" s="21">
        <f>ROUND(SUM(G9:R9),5)</f>
        <v>27104.97</v>
      </c>
      <c r="T9" s="22">
        <v>11581.76</v>
      </c>
      <c r="U9" s="14">
        <f t="shared" ref="U9:U72" si="0">+(S9-T9)/T9</f>
        <v>1.3403152888680132</v>
      </c>
    </row>
    <row r="10" spans="1:21" ht="15" thickBot="1" x14ac:dyDescent="0.4">
      <c r="A10" s="4"/>
      <c r="B10" s="4"/>
      <c r="C10" s="4"/>
      <c r="D10" s="4"/>
      <c r="E10" s="4"/>
      <c r="F10" s="4" t="s">
        <v>7</v>
      </c>
      <c r="G10" s="21">
        <v>72.5</v>
      </c>
      <c r="H10" s="21">
        <v>30.99</v>
      </c>
      <c r="I10" s="21">
        <v>0</v>
      </c>
      <c r="J10" s="21">
        <v>21.37</v>
      </c>
      <c r="K10" s="21">
        <v>31.57</v>
      </c>
      <c r="L10" s="21">
        <v>18.739999999999998</v>
      </c>
      <c r="M10" s="21">
        <v>8.75</v>
      </c>
      <c r="N10" s="21">
        <v>22.5</v>
      </c>
      <c r="O10" s="21">
        <v>208.37</v>
      </c>
      <c r="P10" s="21">
        <v>35</v>
      </c>
      <c r="Q10" s="21">
        <v>30</v>
      </c>
      <c r="R10" s="21">
        <v>30</v>
      </c>
      <c r="S10" s="21">
        <f>ROUND(SUM(G10:R10),5)</f>
        <v>509.79</v>
      </c>
      <c r="T10" s="22">
        <v>504.79</v>
      </c>
      <c r="U10" s="14">
        <f t="shared" si="0"/>
        <v>9.9051090552506986E-3</v>
      </c>
    </row>
    <row r="11" spans="1:21" ht="15" thickBot="1" x14ac:dyDescent="0.4">
      <c r="A11" s="4"/>
      <c r="B11" s="4"/>
      <c r="C11" s="4"/>
      <c r="D11" s="4"/>
      <c r="E11" s="4"/>
      <c r="F11" s="4" t="s">
        <v>8</v>
      </c>
      <c r="G11" s="23">
        <f t="shared" ref="G11:R11" si="1">ROUND(SUM(G8:G10),5)</f>
        <v>72.5</v>
      </c>
      <c r="H11" s="23">
        <f t="shared" si="1"/>
        <v>30.99</v>
      </c>
      <c r="I11" s="23">
        <f t="shared" si="1"/>
        <v>0</v>
      </c>
      <c r="J11" s="23">
        <f t="shared" si="1"/>
        <v>21.37</v>
      </c>
      <c r="K11" s="23">
        <f t="shared" si="1"/>
        <v>31.57</v>
      </c>
      <c r="L11" s="23">
        <f t="shared" si="1"/>
        <v>2018.74</v>
      </c>
      <c r="M11" s="23">
        <f t="shared" si="1"/>
        <v>113.72</v>
      </c>
      <c r="N11" s="23">
        <f t="shared" si="1"/>
        <v>20022.5</v>
      </c>
      <c r="O11" s="23">
        <f t="shared" si="1"/>
        <v>5208.37</v>
      </c>
      <c r="P11" s="24">
        <f t="shared" si="1"/>
        <v>35</v>
      </c>
      <c r="Q11" s="24">
        <f t="shared" si="1"/>
        <v>30</v>
      </c>
      <c r="R11" s="24">
        <f t="shared" si="1"/>
        <v>30</v>
      </c>
      <c r="S11" s="25">
        <f>ROUND(SUM(G11:R11),5)</f>
        <v>27614.76</v>
      </c>
      <c r="T11" s="26">
        <v>12086.55</v>
      </c>
      <c r="U11" s="15">
        <f t="shared" si="0"/>
        <v>1.2847512317410676</v>
      </c>
    </row>
    <row r="12" spans="1:21" ht="15" thickBot="1" x14ac:dyDescent="0.4">
      <c r="A12" s="4"/>
      <c r="B12" s="4"/>
      <c r="C12" s="4"/>
      <c r="D12" s="4"/>
      <c r="E12" s="4" t="s">
        <v>9</v>
      </c>
      <c r="F12" s="4"/>
      <c r="G12" s="25">
        <f t="shared" ref="G12:R12" si="2">ROUND(SUM(G6:G7)+G11,5)</f>
        <v>13072.5</v>
      </c>
      <c r="H12" s="25">
        <f t="shared" si="2"/>
        <v>18030.990000000002</v>
      </c>
      <c r="I12" s="25">
        <f t="shared" si="2"/>
        <v>16000</v>
      </c>
      <c r="J12" s="25">
        <f t="shared" si="2"/>
        <v>17021.37</v>
      </c>
      <c r="K12" s="25">
        <f t="shared" si="2"/>
        <v>15031.57</v>
      </c>
      <c r="L12" s="25">
        <f t="shared" si="2"/>
        <v>17018.740000000002</v>
      </c>
      <c r="M12" s="25">
        <f t="shared" si="2"/>
        <v>20113.72</v>
      </c>
      <c r="N12" s="25">
        <f t="shared" si="2"/>
        <v>60022.5</v>
      </c>
      <c r="O12" s="25">
        <f t="shared" si="2"/>
        <v>105208.37</v>
      </c>
      <c r="P12" s="27">
        <f t="shared" si="2"/>
        <v>8035</v>
      </c>
      <c r="Q12" s="27">
        <f t="shared" si="2"/>
        <v>12630</v>
      </c>
      <c r="R12" s="27">
        <f t="shared" si="2"/>
        <v>12030</v>
      </c>
      <c r="S12" s="25">
        <f>ROUND(SUM(G12:R12),5)</f>
        <v>314214.76</v>
      </c>
      <c r="T12" s="28">
        <v>296146.78999999998</v>
      </c>
      <c r="U12" s="16">
        <f t="shared" si="0"/>
        <v>6.1010183497177302E-2</v>
      </c>
    </row>
    <row r="13" spans="1:21" x14ac:dyDescent="0.35">
      <c r="A13" s="4"/>
      <c r="B13" s="4"/>
      <c r="C13" s="4"/>
      <c r="D13" s="4" t="s">
        <v>10</v>
      </c>
      <c r="E13" s="4"/>
      <c r="F13" s="4"/>
      <c r="G13" s="21">
        <f t="shared" ref="G13:R13" si="3">ROUND(G5+G12,5)</f>
        <v>13072.5</v>
      </c>
      <c r="H13" s="21">
        <f t="shared" si="3"/>
        <v>18030.990000000002</v>
      </c>
      <c r="I13" s="21">
        <f t="shared" si="3"/>
        <v>16000</v>
      </c>
      <c r="J13" s="21">
        <f t="shared" si="3"/>
        <v>17021.37</v>
      </c>
      <c r="K13" s="21">
        <f t="shared" si="3"/>
        <v>15031.57</v>
      </c>
      <c r="L13" s="21">
        <f t="shared" si="3"/>
        <v>17018.740000000002</v>
      </c>
      <c r="M13" s="21">
        <f t="shared" si="3"/>
        <v>20113.72</v>
      </c>
      <c r="N13" s="21">
        <f t="shared" si="3"/>
        <v>60022.5</v>
      </c>
      <c r="O13" s="21">
        <f t="shared" si="3"/>
        <v>105208.37</v>
      </c>
      <c r="P13" s="29">
        <f t="shared" si="3"/>
        <v>8035</v>
      </c>
      <c r="Q13" s="29">
        <f t="shared" si="3"/>
        <v>12630</v>
      </c>
      <c r="R13" s="29">
        <f t="shared" si="3"/>
        <v>12030</v>
      </c>
      <c r="S13" s="21">
        <f>ROUND(SUM(G13:R13),5)</f>
        <v>314214.76</v>
      </c>
      <c r="T13" s="22">
        <v>296146.78999999998</v>
      </c>
      <c r="U13" s="14">
        <f t="shared" si="0"/>
        <v>6.1010183497177302E-2</v>
      </c>
    </row>
    <row r="14" spans="1:21" x14ac:dyDescent="0.35">
      <c r="A14" s="4"/>
      <c r="B14" s="4"/>
      <c r="C14" s="4"/>
      <c r="D14" s="4" t="s">
        <v>11</v>
      </c>
      <c r="E14" s="4"/>
      <c r="F14" s="4"/>
      <c r="G14" s="21"/>
      <c r="H14" s="21"/>
      <c r="I14" s="21"/>
      <c r="J14" s="21"/>
      <c r="K14" s="21"/>
      <c r="L14" s="21"/>
      <c r="M14" s="21"/>
      <c r="N14" s="21"/>
      <c r="O14" s="21"/>
      <c r="P14" s="30"/>
      <c r="Q14" s="30"/>
      <c r="R14" s="30"/>
      <c r="S14" s="21"/>
      <c r="T14" s="22"/>
      <c r="U14" s="14"/>
    </row>
    <row r="15" spans="1:21" x14ac:dyDescent="0.35">
      <c r="A15" s="4"/>
      <c r="B15" s="4"/>
      <c r="C15" s="4"/>
      <c r="D15" s="4"/>
      <c r="E15" s="4" t="s">
        <v>12</v>
      </c>
      <c r="F15" s="4"/>
      <c r="G15" s="21"/>
      <c r="H15" s="21"/>
      <c r="I15" s="21"/>
      <c r="J15" s="21"/>
      <c r="K15" s="21"/>
      <c r="L15" s="21"/>
      <c r="M15" s="21"/>
      <c r="N15" s="21"/>
      <c r="O15" s="21"/>
      <c r="P15" s="30"/>
      <c r="Q15" s="30"/>
      <c r="R15" s="30"/>
      <c r="S15" s="21"/>
      <c r="T15" s="22"/>
      <c r="U15" s="14"/>
    </row>
    <row r="16" spans="1:21" ht="15" thickBot="1" x14ac:dyDescent="0.4">
      <c r="A16" s="4"/>
      <c r="B16" s="4"/>
      <c r="C16" s="4"/>
      <c r="D16" s="4"/>
      <c r="E16" s="4"/>
      <c r="F16" s="4" t="s">
        <v>13</v>
      </c>
      <c r="G16" s="21">
        <f>+G13*0.5</f>
        <v>6536.25</v>
      </c>
      <c r="H16" s="21">
        <f t="shared" ref="H16:R16" si="4">+H13*0.5</f>
        <v>9015.4950000000008</v>
      </c>
      <c r="I16" s="21">
        <f t="shared" si="4"/>
        <v>8000</v>
      </c>
      <c r="J16" s="21">
        <f t="shared" si="4"/>
        <v>8510.6849999999995</v>
      </c>
      <c r="K16" s="21">
        <f t="shared" si="4"/>
        <v>7515.7849999999999</v>
      </c>
      <c r="L16" s="21">
        <f t="shared" si="4"/>
        <v>8509.3700000000008</v>
      </c>
      <c r="M16" s="21">
        <f t="shared" si="4"/>
        <v>10056.86</v>
      </c>
      <c r="N16" s="21">
        <f t="shared" si="4"/>
        <v>30011.25</v>
      </c>
      <c r="O16" s="21">
        <f t="shared" si="4"/>
        <v>52604.184999999998</v>
      </c>
      <c r="P16" s="21">
        <f t="shared" si="4"/>
        <v>4017.5</v>
      </c>
      <c r="Q16" s="21">
        <f t="shared" si="4"/>
        <v>6315</v>
      </c>
      <c r="R16" s="21">
        <f t="shared" si="4"/>
        <v>6015</v>
      </c>
      <c r="S16" s="31">
        <f>ROUND(SUM(G16:R16),5)</f>
        <v>157107.38</v>
      </c>
      <c r="T16" s="22">
        <v>139908.82</v>
      </c>
      <c r="U16" s="14">
        <f t="shared" si="0"/>
        <v>0.12292691768824865</v>
      </c>
    </row>
    <row r="17" spans="1:22" ht="15" thickBot="1" x14ac:dyDescent="0.4">
      <c r="A17" s="4"/>
      <c r="B17" s="4"/>
      <c r="C17" s="4"/>
      <c r="D17" s="4"/>
      <c r="E17" s="4" t="s">
        <v>14</v>
      </c>
      <c r="F17" s="4"/>
      <c r="G17" s="23">
        <f t="shared" ref="G17:R17" si="5">ROUND(SUM(G15:G16),5)</f>
        <v>6536.25</v>
      </c>
      <c r="H17" s="23">
        <f t="shared" si="5"/>
        <v>9015.4950000000008</v>
      </c>
      <c r="I17" s="23">
        <f t="shared" si="5"/>
        <v>8000</v>
      </c>
      <c r="J17" s="23">
        <f t="shared" si="5"/>
        <v>8510.6849999999995</v>
      </c>
      <c r="K17" s="23">
        <f t="shared" si="5"/>
        <v>7515.7849999999999</v>
      </c>
      <c r="L17" s="23">
        <f t="shared" si="5"/>
        <v>8509.3700000000008</v>
      </c>
      <c r="M17" s="23">
        <f t="shared" si="5"/>
        <v>10056.86</v>
      </c>
      <c r="N17" s="23">
        <f t="shared" si="5"/>
        <v>30011.25</v>
      </c>
      <c r="O17" s="23">
        <f t="shared" si="5"/>
        <v>52604.184999999998</v>
      </c>
      <c r="P17" s="23">
        <f t="shared" si="5"/>
        <v>4017.5</v>
      </c>
      <c r="Q17" s="23">
        <f t="shared" si="5"/>
        <v>6315</v>
      </c>
      <c r="R17" s="23">
        <f t="shared" si="5"/>
        <v>6015</v>
      </c>
      <c r="S17" s="31">
        <f>ROUND(SUM(G17:R17),5)</f>
        <v>157107.38</v>
      </c>
      <c r="T17" s="26">
        <v>139908.82</v>
      </c>
      <c r="U17" s="15">
        <f t="shared" si="0"/>
        <v>0.12292691768824865</v>
      </c>
    </row>
    <row r="18" spans="1:22" ht="15" thickBot="1" x14ac:dyDescent="0.4">
      <c r="A18" s="4"/>
      <c r="B18" s="4"/>
      <c r="C18" s="4"/>
      <c r="D18" s="4" t="s">
        <v>15</v>
      </c>
      <c r="E18" s="4"/>
      <c r="F18" s="4"/>
      <c r="G18" s="25">
        <f t="shared" ref="G18:R18" si="6">ROUND(G14+G17,5)</f>
        <v>6536.25</v>
      </c>
      <c r="H18" s="25">
        <f t="shared" si="6"/>
        <v>9015.4950000000008</v>
      </c>
      <c r="I18" s="25">
        <f t="shared" si="6"/>
        <v>8000</v>
      </c>
      <c r="J18" s="25">
        <f t="shared" si="6"/>
        <v>8510.6849999999995</v>
      </c>
      <c r="K18" s="25">
        <f t="shared" si="6"/>
        <v>7515.7849999999999</v>
      </c>
      <c r="L18" s="25">
        <f t="shared" si="6"/>
        <v>8509.3700000000008</v>
      </c>
      <c r="M18" s="25">
        <f t="shared" si="6"/>
        <v>10056.86</v>
      </c>
      <c r="N18" s="25">
        <f t="shared" si="6"/>
        <v>30011.25</v>
      </c>
      <c r="O18" s="25">
        <f t="shared" si="6"/>
        <v>52604.184999999998</v>
      </c>
      <c r="P18" s="25">
        <f t="shared" si="6"/>
        <v>4017.5</v>
      </c>
      <c r="Q18" s="25">
        <f t="shared" si="6"/>
        <v>6315</v>
      </c>
      <c r="R18" s="25">
        <f t="shared" si="6"/>
        <v>6015</v>
      </c>
      <c r="S18" s="25">
        <f>ROUND(SUM(G18:R18),5)</f>
        <v>157107.38</v>
      </c>
      <c r="T18" s="28">
        <v>139908.82</v>
      </c>
      <c r="U18" s="16">
        <f t="shared" si="0"/>
        <v>0.12292691768824865</v>
      </c>
    </row>
    <row r="19" spans="1:22" x14ac:dyDescent="0.35">
      <c r="A19" s="4"/>
      <c r="B19" s="4"/>
      <c r="C19" s="4" t="s">
        <v>16</v>
      </c>
      <c r="D19" s="4"/>
      <c r="E19" s="4"/>
      <c r="F19" s="4" t="s">
        <v>82</v>
      </c>
      <c r="G19" s="21">
        <f t="shared" ref="G19:R19" si="7">ROUND(G13-G18,5)</f>
        <v>6536.25</v>
      </c>
      <c r="H19" s="21">
        <f t="shared" si="7"/>
        <v>9015.4950000000008</v>
      </c>
      <c r="I19" s="21">
        <f t="shared" si="7"/>
        <v>8000</v>
      </c>
      <c r="J19" s="21">
        <f t="shared" si="7"/>
        <v>8510.6849999999995</v>
      </c>
      <c r="K19" s="21">
        <f t="shared" si="7"/>
        <v>7515.7849999999999</v>
      </c>
      <c r="L19" s="21">
        <f t="shared" si="7"/>
        <v>8509.3700000000008</v>
      </c>
      <c r="M19" s="21">
        <f t="shared" si="7"/>
        <v>10056.86</v>
      </c>
      <c r="N19" s="21">
        <f t="shared" si="7"/>
        <v>30011.25</v>
      </c>
      <c r="O19" s="21">
        <f t="shared" si="7"/>
        <v>52604.184999999998</v>
      </c>
      <c r="P19" s="21">
        <f t="shared" si="7"/>
        <v>4017.5</v>
      </c>
      <c r="Q19" s="21">
        <f t="shared" si="7"/>
        <v>6315</v>
      </c>
      <c r="R19" s="21">
        <f t="shared" si="7"/>
        <v>6015</v>
      </c>
      <c r="S19" s="32">
        <f>ROUND(SUM(G19:R19),5)</f>
        <v>157107.38</v>
      </c>
      <c r="T19" s="22">
        <v>156237.97</v>
      </c>
      <c r="U19" s="14">
        <f t="shared" si="0"/>
        <v>5.5646524337201993E-3</v>
      </c>
    </row>
    <row r="20" spans="1:22" x14ac:dyDescent="0.35">
      <c r="A20" s="4"/>
      <c r="B20" s="4"/>
      <c r="C20" s="4"/>
      <c r="D20" s="4" t="s">
        <v>17</v>
      </c>
      <c r="E20" s="4"/>
      <c r="F20" s="4"/>
      <c r="G20" s="21"/>
      <c r="H20" s="21"/>
      <c r="I20" s="21"/>
      <c r="J20" s="21"/>
      <c r="K20" s="21"/>
      <c r="L20" s="21"/>
      <c r="M20" s="21"/>
      <c r="N20" s="21"/>
      <c r="O20" s="21"/>
      <c r="P20" s="33"/>
      <c r="Q20" s="33"/>
      <c r="R20" s="33"/>
      <c r="S20" s="21"/>
      <c r="T20" s="22"/>
      <c r="U20" s="14"/>
    </row>
    <row r="21" spans="1:22" x14ac:dyDescent="0.35">
      <c r="A21" s="4"/>
      <c r="B21" s="4"/>
      <c r="C21" s="4"/>
      <c r="D21" s="4"/>
      <c r="E21" s="4" t="s">
        <v>18</v>
      </c>
      <c r="F21" s="4"/>
      <c r="G21" s="21"/>
      <c r="H21" s="21"/>
      <c r="I21" s="21"/>
      <c r="J21" s="21"/>
      <c r="K21" s="21"/>
      <c r="L21" s="21"/>
      <c r="M21" s="21"/>
      <c r="N21" s="21"/>
      <c r="O21" s="21"/>
      <c r="P21" s="33"/>
      <c r="Q21" s="33"/>
      <c r="R21" s="33"/>
      <c r="S21" s="21"/>
      <c r="T21" s="22"/>
      <c r="U21" s="14"/>
    </row>
    <row r="22" spans="1:22" x14ac:dyDescent="0.35">
      <c r="A22" s="4"/>
      <c r="B22" s="4"/>
      <c r="C22" s="4"/>
      <c r="D22" s="4"/>
      <c r="E22" s="4"/>
      <c r="F22" s="4" t="s">
        <v>19</v>
      </c>
      <c r="G22" s="21"/>
      <c r="H22" s="21"/>
      <c r="I22" s="21"/>
      <c r="J22" s="21"/>
      <c r="K22" s="21"/>
      <c r="L22" s="21"/>
      <c r="M22" s="21"/>
      <c r="N22" s="21"/>
      <c r="O22" s="21"/>
      <c r="P22" s="33"/>
      <c r="Q22" s="33"/>
      <c r="R22" s="33"/>
      <c r="S22" s="21"/>
      <c r="T22" s="22"/>
      <c r="U22" s="14"/>
    </row>
    <row r="23" spans="1:22" x14ac:dyDescent="0.35">
      <c r="A23" s="4"/>
      <c r="B23" s="4"/>
      <c r="C23" s="4"/>
      <c r="D23" s="4"/>
      <c r="E23" s="4"/>
      <c r="F23" s="4" t="s">
        <v>20</v>
      </c>
      <c r="G23" s="21">
        <v>0</v>
      </c>
      <c r="H23" s="21">
        <v>0</v>
      </c>
      <c r="I23" s="21">
        <v>0</v>
      </c>
      <c r="J23" s="21">
        <v>3417</v>
      </c>
      <c r="K23" s="21">
        <v>3417</v>
      </c>
      <c r="L23" s="21">
        <v>3417</v>
      </c>
      <c r="M23" s="21">
        <v>3417</v>
      </c>
      <c r="N23" s="21">
        <v>3417</v>
      </c>
      <c r="O23" s="21">
        <v>3417</v>
      </c>
      <c r="P23" s="21">
        <v>3417</v>
      </c>
      <c r="Q23" s="21">
        <v>3417</v>
      </c>
      <c r="R23" s="21">
        <v>3417</v>
      </c>
      <c r="S23" s="21">
        <f t="shared" ref="S23:S75" si="8">ROUND(SUM(G23:R23),5)</f>
        <v>30753</v>
      </c>
      <c r="T23" s="22">
        <v>42335.91</v>
      </c>
      <c r="U23" s="14">
        <f t="shared" si="0"/>
        <v>-0.27359539454803267</v>
      </c>
    </row>
    <row r="24" spans="1:22" x14ac:dyDescent="0.35">
      <c r="A24" s="4"/>
      <c r="B24" s="4"/>
      <c r="C24" s="4"/>
      <c r="D24" s="4"/>
      <c r="E24" s="4"/>
      <c r="F24" s="4" t="s">
        <v>21</v>
      </c>
      <c r="G24" s="21">
        <f>80*14.5</f>
        <v>1160</v>
      </c>
      <c r="H24" s="21">
        <f t="shared" ref="H24:M24" si="9">80*14.5</f>
        <v>1160</v>
      </c>
      <c r="I24" s="21">
        <f t="shared" si="9"/>
        <v>1160</v>
      </c>
      <c r="J24" s="21">
        <f t="shared" si="9"/>
        <v>1160</v>
      </c>
      <c r="K24" s="21">
        <f t="shared" si="9"/>
        <v>1160</v>
      </c>
      <c r="L24" s="21">
        <f t="shared" si="9"/>
        <v>1160</v>
      </c>
      <c r="M24" s="21">
        <f t="shared" si="9"/>
        <v>1160</v>
      </c>
      <c r="N24" s="21">
        <f>120*14.5</f>
        <v>1740</v>
      </c>
      <c r="O24" s="21">
        <f>120*14.5</f>
        <v>1740</v>
      </c>
      <c r="P24" s="21">
        <f t="shared" ref="P24:R24" si="10">80*14.5</f>
        <v>1160</v>
      </c>
      <c r="Q24" s="21">
        <f t="shared" si="10"/>
        <v>1160</v>
      </c>
      <c r="R24" s="21">
        <f t="shared" si="10"/>
        <v>1160</v>
      </c>
      <c r="S24" s="21">
        <f t="shared" si="8"/>
        <v>15080</v>
      </c>
      <c r="T24" s="22">
        <v>17029.84</v>
      </c>
      <c r="U24" s="14">
        <f t="shared" si="0"/>
        <v>-0.11449549731530068</v>
      </c>
    </row>
    <row r="25" spans="1:22" x14ac:dyDescent="0.35">
      <c r="A25" s="4"/>
      <c r="B25" s="4"/>
      <c r="C25" s="4"/>
      <c r="D25" s="4"/>
      <c r="E25" s="4"/>
      <c r="F25" s="4" t="s">
        <v>22</v>
      </c>
      <c r="G25" s="21">
        <f>35*4*20</f>
        <v>2800</v>
      </c>
      <c r="H25" s="21">
        <f t="shared" ref="H25:I25" si="11">35*4*20</f>
        <v>2800</v>
      </c>
      <c r="I25" s="21">
        <f t="shared" si="11"/>
        <v>2800</v>
      </c>
      <c r="J25" s="21">
        <f>80*18.5</f>
        <v>1480</v>
      </c>
      <c r="K25" s="21">
        <f t="shared" ref="K25:M25" si="12">80*18.5</f>
        <v>1480</v>
      </c>
      <c r="L25" s="21">
        <f t="shared" si="12"/>
        <v>1480</v>
      </c>
      <c r="M25" s="21">
        <f t="shared" si="12"/>
        <v>1480</v>
      </c>
      <c r="N25" s="21">
        <f>35*4*18.5</f>
        <v>2590</v>
      </c>
      <c r="O25" s="21">
        <f>35*4*18.5</f>
        <v>2590</v>
      </c>
      <c r="P25" s="21">
        <f t="shared" ref="P25:R25" si="13">80*18.5</f>
        <v>1480</v>
      </c>
      <c r="Q25" s="21">
        <f t="shared" si="13"/>
        <v>1480</v>
      </c>
      <c r="R25" s="21">
        <f t="shared" si="13"/>
        <v>1480</v>
      </c>
      <c r="S25" s="21">
        <f t="shared" si="8"/>
        <v>23940</v>
      </c>
      <c r="T25" s="22">
        <v>19552</v>
      </c>
      <c r="U25" s="14">
        <f t="shared" si="0"/>
        <v>0.22442716857610476</v>
      </c>
    </row>
    <row r="26" spans="1:22" x14ac:dyDescent="0.35">
      <c r="A26" s="4"/>
      <c r="B26" s="4"/>
      <c r="C26" s="4"/>
      <c r="D26" s="4"/>
      <c r="E26" s="4"/>
      <c r="F26" s="4" t="s">
        <v>23</v>
      </c>
      <c r="G26" s="21">
        <f>16*16.17</f>
        <v>258.72000000000003</v>
      </c>
      <c r="H26" s="21">
        <f t="shared" ref="H26:R26" si="14">16*16.17</f>
        <v>258.72000000000003</v>
      </c>
      <c r="I26" s="21">
        <f t="shared" si="14"/>
        <v>258.72000000000003</v>
      </c>
      <c r="J26" s="21">
        <f t="shared" si="14"/>
        <v>258.72000000000003</v>
      </c>
      <c r="K26" s="21">
        <f t="shared" si="14"/>
        <v>258.72000000000003</v>
      </c>
      <c r="L26" s="21">
        <f t="shared" si="14"/>
        <v>258.72000000000003</v>
      </c>
      <c r="M26" s="21">
        <f t="shared" si="14"/>
        <v>258.72000000000003</v>
      </c>
      <c r="N26" s="21">
        <f t="shared" si="14"/>
        <v>258.72000000000003</v>
      </c>
      <c r="O26" s="21">
        <f t="shared" si="14"/>
        <v>258.72000000000003</v>
      </c>
      <c r="P26" s="21">
        <f t="shared" si="14"/>
        <v>258.72000000000003</v>
      </c>
      <c r="Q26" s="21">
        <f t="shared" si="14"/>
        <v>258.72000000000003</v>
      </c>
      <c r="R26" s="21">
        <f t="shared" si="14"/>
        <v>258.72000000000003</v>
      </c>
      <c r="S26" s="21">
        <f t="shared" si="8"/>
        <v>3104.64</v>
      </c>
      <c r="T26" s="22">
        <v>2856.27</v>
      </c>
      <c r="U26" s="14">
        <f t="shared" si="0"/>
        <v>8.6956065077881256E-2</v>
      </c>
    </row>
    <row r="27" spans="1:22" x14ac:dyDescent="0.35">
      <c r="A27" s="4"/>
      <c r="B27" s="4"/>
      <c r="C27" s="4"/>
      <c r="D27" s="4"/>
      <c r="E27" s="4"/>
      <c r="F27" s="4" t="s">
        <v>24</v>
      </c>
      <c r="G27" s="21">
        <f>15*13*4</f>
        <v>780</v>
      </c>
      <c r="H27" s="21">
        <f t="shared" ref="H27:I27" si="15">15*13*4</f>
        <v>780</v>
      </c>
      <c r="I27" s="21">
        <f t="shared" si="15"/>
        <v>780</v>
      </c>
      <c r="J27" s="21">
        <f>10*4*13</f>
        <v>520</v>
      </c>
      <c r="K27" s="21">
        <f t="shared" ref="K27:M27" si="16">10*4*13</f>
        <v>520</v>
      </c>
      <c r="L27" s="21">
        <f t="shared" si="16"/>
        <v>520</v>
      </c>
      <c r="M27" s="21">
        <f t="shared" si="16"/>
        <v>520</v>
      </c>
      <c r="N27" s="21">
        <f t="shared" ref="N27:O27" si="17">15*13*4</f>
        <v>780</v>
      </c>
      <c r="O27" s="21">
        <f t="shared" si="17"/>
        <v>780</v>
      </c>
      <c r="P27" s="33">
        <f>10*4*13</f>
        <v>520</v>
      </c>
      <c r="Q27" s="33">
        <f t="shared" ref="Q27:R27" si="18">10*4*13</f>
        <v>520</v>
      </c>
      <c r="R27" s="33">
        <f t="shared" si="18"/>
        <v>520</v>
      </c>
      <c r="S27" s="21">
        <f t="shared" si="8"/>
        <v>7540</v>
      </c>
      <c r="T27" s="22">
        <v>260</v>
      </c>
      <c r="U27" s="14">
        <f t="shared" si="0"/>
        <v>28</v>
      </c>
    </row>
    <row r="28" spans="1:22" x14ac:dyDescent="0.35">
      <c r="A28" s="4"/>
      <c r="B28" s="4"/>
      <c r="C28" s="4"/>
      <c r="D28" s="4"/>
      <c r="E28" s="4"/>
      <c r="F28" s="4" t="s">
        <v>25</v>
      </c>
      <c r="G28" s="21">
        <f>+(G23+G24+G26+G25+G27)*0.0765</f>
        <v>382.40208000000001</v>
      </c>
      <c r="H28" s="21">
        <f t="shared" ref="H28:R28" si="19">+(H23+H24+H26+H25+H27)*0.0765</f>
        <v>382.40208000000001</v>
      </c>
      <c r="I28" s="21">
        <f t="shared" si="19"/>
        <v>382.40208000000001</v>
      </c>
      <c r="J28" s="21">
        <f t="shared" si="19"/>
        <v>522.93258000000003</v>
      </c>
      <c r="K28" s="21">
        <f t="shared" si="19"/>
        <v>522.93258000000003</v>
      </c>
      <c r="L28" s="21">
        <f t="shared" si="19"/>
        <v>522.93258000000003</v>
      </c>
      <c r="M28" s="21">
        <f t="shared" si="19"/>
        <v>522.93258000000003</v>
      </c>
      <c r="N28" s="21">
        <f t="shared" si="19"/>
        <v>672.1075800000001</v>
      </c>
      <c r="O28" s="21">
        <f t="shared" si="19"/>
        <v>672.1075800000001</v>
      </c>
      <c r="P28" s="21">
        <f t="shared" si="19"/>
        <v>522.93258000000003</v>
      </c>
      <c r="Q28" s="21">
        <f t="shared" si="19"/>
        <v>522.93258000000003</v>
      </c>
      <c r="R28" s="21">
        <f t="shared" si="19"/>
        <v>522.93258000000003</v>
      </c>
      <c r="S28" s="21">
        <f t="shared" si="8"/>
        <v>6151.9494599999998</v>
      </c>
      <c r="T28" s="22">
        <v>6211.9</v>
      </c>
      <c r="U28" s="14">
        <f t="shared" si="0"/>
        <v>-9.650918398557579E-3</v>
      </c>
    </row>
    <row r="29" spans="1:22" ht="15" thickBot="1" x14ac:dyDescent="0.4">
      <c r="A29" s="4"/>
      <c r="B29" s="4"/>
      <c r="C29" s="4"/>
      <c r="D29" s="4"/>
      <c r="E29" s="4"/>
      <c r="F29" s="4" t="s">
        <v>26</v>
      </c>
      <c r="G29" s="31">
        <v>55</v>
      </c>
      <c r="H29" s="31">
        <v>55</v>
      </c>
      <c r="I29" s="31">
        <v>55</v>
      </c>
      <c r="J29" s="31">
        <v>55</v>
      </c>
      <c r="K29" s="31">
        <v>55</v>
      </c>
      <c r="L29" s="31">
        <v>55</v>
      </c>
      <c r="M29" s="31">
        <v>55</v>
      </c>
      <c r="N29" s="31">
        <v>55</v>
      </c>
      <c r="O29" s="31">
        <v>55</v>
      </c>
      <c r="P29" s="34">
        <v>55</v>
      </c>
      <c r="Q29" s="34">
        <v>55</v>
      </c>
      <c r="R29" s="34">
        <v>55</v>
      </c>
      <c r="S29" s="31">
        <f t="shared" si="8"/>
        <v>660</v>
      </c>
      <c r="T29" s="35">
        <v>660</v>
      </c>
      <c r="U29" s="17">
        <f t="shared" si="0"/>
        <v>0</v>
      </c>
    </row>
    <row r="30" spans="1:22" x14ac:dyDescent="0.35">
      <c r="A30" s="4"/>
      <c r="B30" s="4"/>
      <c r="C30" s="4"/>
      <c r="D30" s="4"/>
      <c r="E30" s="4"/>
      <c r="F30" s="4" t="s">
        <v>27</v>
      </c>
      <c r="G30" s="21">
        <f t="shared" ref="G30:R30" si="20">ROUND(SUM(G22:G29),5)</f>
        <v>5436.1220800000001</v>
      </c>
      <c r="H30" s="21">
        <f t="shared" si="20"/>
        <v>5436.1220800000001</v>
      </c>
      <c r="I30" s="21">
        <f t="shared" si="20"/>
        <v>5436.1220800000001</v>
      </c>
      <c r="J30" s="21">
        <f t="shared" si="20"/>
        <v>7413.6525799999999</v>
      </c>
      <c r="K30" s="21">
        <f t="shared" si="20"/>
        <v>7413.6525799999999</v>
      </c>
      <c r="L30" s="21">
        <f t="shared" si="20"/>
        <v>7413.6525799999999</v>
      </c>
      <c r="M30" s="21">
        <f t="shared" si="20"/>
        <v>7413.6525799999999</v>
      </c>
      <c r="N30" s="21">
        <f t="shared" si="20"/>
        <v>9512.8275799999992</v>
      </c>
      <c r="O30" s="21">
        <f t="shared" si="20"/>
        <v>9512.8275799999992</v>
      </c>
      <c r="P30" s="21">
        <f t="shared" si="20"/>
        <v>7413.6525799999999</v>
      </c>
      <c r="Q30" s="21">
        <f t="shared" si="20"/>
        <v>7413.6525799999999</v>
      </c>
      <c r="R30" s="21">
        <f t="shared" si="20"/>
        <v>7413.6525799999999</v>
      </c>
      <c r="S30" s="21">
        <f t="shared" si="8"/>
        <v>87229.589460000003</v>
      </c>
      <c r="T30" s="22">
        <v>88905.919999999998</v>
      </c>
      <c r="U30" s="14">
        <f t="shared" si="0"/>
        <v>-1.8855105936702476E-2</v>
      </c>
    </row>
    <row r="31" spans="1:22" x14ac:dyDescent="0.35">
      <c r="A31" s="4"/>
      <c r="B31" s="4"/>
      <c r="C31" s="4"/>
      <c r="D31" s="4"/>
      <c r="E31" s="4"/>
      <c r="F31" s="4" t="s">
        <v>28</v>
      </c>
      <c r="G31" s="21">
        <v>310</v>
      </c>
      <c r="H31" s="21">
        <v>570</v>
      </c>
      <c r="I31" s="21">
        <v>570</v>
      </c>
      <c r="J31" s="21">
        <v>310</v>
      </c>
      <c r="K31" s="21">
        <v>310</v>
      </c>
      <c r="L31" s="21">
        <v>310</v>
      </c>
      <c r="M31" s="21">
        <v>1310</v>
      </c>
      <c r="N31" s="21">
        <v>2620</v>
      </c>
      <c r="O31" s="21">
        <v>3000</v>
      </c>
      <c r="P31" s="21">
        <f>3000-290</f>
        <v>2710</v>
      </c>
      <c r="Q31" s="21">
        <v>570</v>
      </c>
      <c r="R31" s="21">
        <v>310</v>
      </c>
      <c r="S31" s="21">
        <f t="shared" si="8"/>
        <v>12900</v>
      </c>
      <c r="T31" s="22">
        <v>12295.16</v>
      </c>
      <c r="U31" s="14">
        <f t="shared" si="0"/>
        <v>4.9193341119595037E-2</v>
      </c>
      <c r="V31" s="20">
        <f>+S31-12900</f>
        <v>0</v>
      </c>
    </row>
    <row r="32" spans="1:22" x14ac:dyDescent="0.35">
      <c r="A32" s="4"/>
      <c r="B32" s="4"/>
      <c r="C32" s="4"/>
      <c r="D32" s="4"/>
      <c r="E32" s="4"/>
      <c r="F32" s="4" t="s">
        <v>29</v>
      </c>
      <c r="G32" s="21">
        <f>+G13*0.02</f>
        <v>261.45</v>
      </c>
      <c r="H32" s="21">
        <f t="shared" ref="H32:R32" si="21">+H13*0.02</f>
        <v>360.61980000000005</v>
      </c>
      <c r="I32" s="21">
        <f t="shared" si="21"/>
        <v>320</v>
      </c>
      <c r="J32" s="21">
        <f t="shared" si="21"/>
        <v>340.42739999999998</v>
      </c>
      <c r="K32" s="21">
        <f t="shared" si="21"/>
        <v>300.63139999999999</v>
      </c>
      <c r="L32" s="21">
        <f t="shared" si="21"/>
        <v>340.37480000000005</v>
      </c>
      <c r="M32" s="21">
        <f t="shared" si="21"/>
        <v>402.27440000000001</v>
      </c>
      <c r="N32" s="21">
        <f t="shared" si="21"/>
        <v>1200.45</v>
      </c>
      <c r="O32" s="21">
        <f t="shared" si="21"/>
        <v>2104.1673999999998</v>
      </c>
      <c r="P32" s="21">
        <f t="shared" si="21"/>
        <v>160.70000000000002</v>
      </c>
      <c r="Q32" s="21">
        <f t="shared" si="21"/>
        <v>252.6</v>
      </c>
      <c r="R32" s="21">
        <f t="shared" si="21"/>
        <v>240.6</v>
      </c>
      <c r="S32" s="21">
        <f t="shared" si="8"/>
        <v>6284.2951999999996</v>
      </c>
      <c r="T32" s="22">
        <v>5962.27</v>
      </c>
      <c r="U32" s="14">
        <f t="shared" si="0"/>
        <v>5.4010502711215547E-2</v>
      </c>
    </row>
    <row r="33" spans="1:21" x14ac:dyDescent="0.35">
      <c r="A33" s="4"/>
      <c r="B33" s="4"/>
      <c r="C33" s="4"/>
      <c r="D33" s="4"/>
      <c r="E33" s="4"/>
      <c r="F33" s="4" t="s">
        <v>30</v>
      </c>
      <c r="G33" s="21">
        <v>43</v>
      </c>
      <c r="H33" s="21">
        <v>0</v>
      </c>
      <c r="I33" s="21">
        <v>1125</v>
      </c>
      <c r="J33" s="21">
        <v>0</v>
      </c>
      <c r="K33" s="21">
        <v>0</v>
      </c>
      <c r="L33" s="21">
        <v>2242</v>
      </c>
      <c r="M33" s="21">
        <v>967</v>
      </c>
      <c r="N33" s="21">
        <v>1393</v>
      </c>
      <c r="O33" s="21">
        <v>0</v>
      </c>
      <c r="P33" s="33">
        <v>0</v>
      </c>
      <c r="Q33" s="33">
        <v>0</v>
      </c>
      <c r="R33" s="33">
        <v>0</v>
      </c>
      <c r="S33" s="21">
        <f t="shared" si="8"/>
        <v>5770</v>
      </c>
      <c r="T33" s="22">
        <v>5770</v>
      </c>
      <c r="U33" s="14">
        <f t="shared" si="0"/>
        <v>0</v>
      </c>
    </row>
    <row r="34" spans="1:21" x14ac:dyDescent="0.35">
      <c r="A34" s="4"/>
      <c r="B34" s="4"/>
      <c r="C34" s="4"/>
      <c r="D34" s="4"/>
      <c r="E34" s="4"/>
      <c r="F34" s="4" t="s">
        <v>31</v>
      </c>
      <c r="G34" s="21"/>
      <c r="H34" s="21"/>
      <c r="I34" s="21"/>
      <c r="J34" s="21"/>
      <c r="K34" s="21"/>
      <c r="L34" s="21"/>
      <c r="M34" s="21"/>
      <c r="N34" s="21"/>
      <c r="O34" s="21"/>
      <c r="P34" s="33"/>
      <c r="Q34" s="33"/>
      <c r="R34" s="33"/>
      <c r="S34" s="21">
        <f t="shared" si="8"/>
        <v>0</v>
      </c>
      <c r="T34" s="22">
        <v>0</v>
      </c>
      <c r="U34" s="14"/>
    </row>
    <row r="35" spans="1:21" x14ac:dyDescent="0.35">
      <c r="A35" s="4"/>
      <c r="B35" s="4"/>
      <c r="C35" s="4"/>
      <c r="D35" s="4"/>
      <c r="E35" s="4"/>
      <c r="F35" s="4" t="s">
        <v>32</v>
      </c>
      <c r="G35" s="21">
        <v>25</v>
      </c>
      <c r="H35" s="21">
        <v>25</v>
      </c>
      <c r="I35" s="21">
        <v>25</v>
      </c>
      <c r="J35" s="21">
        <v>25</v>
      </c>
      <c r="K35" s="21">
        <v>25</v>
      </c>
      <c r="L35" s="21">
        <v>25</v>
      </c>
      <c r="M35" s="21">
        <v>25</v>
      </c>
      <c r="N35" s="21">
        <v>25</v>
      </c>
      <c r="O35" s="21">
        <v>25</v>
      </c>
      <c r="P35" s="33">
        <v>25</v>
      </c>
      <c r="Q35" s="33">
        <v>25</v>
      </c>
      <c r="R35" s="33">
        <v>25</v>
      </c>
      <c r="S35" s="21">
        <f t="shared" si="8"/>
        <v>300</v>
      </c>
      <c r="T35" s="22">
        <v>300</v>
      </c>
      <c r="U35" s="14">
        <f t="shared" si="0"/>
        <v>0</v>
      </c>
    </row>
    <row r="36" spans="1:21" ht="15" thickBot="1" x14ac:dyDescent="0.4">
      <c r="A36" s="4"/>
      <c r="B36" s="4"/>
      <c r="C36" s="4"/>
      <c r="D36" s="4"/>
      <c r="E36" s="4"/>
      <c r="F36" s="4" t="s">
        <v>33</v>
      </c>
      <c r="G36" s="31">
        <v>100</v>
      </c>
      <c r="H36" s="31">
        <v>100</v>
      </c>
      <c r="I36" s="31">
        <v>100</v>
      </c>
      <c r="J36" s="31">
        <v>100</v>
      </c>
      <c r="K36" s="31">
        <v>2050</v>
      </c>
      <c r="L36" s="31">
        <v>100</v>
      </c>
      <c r="M36" s="31">
        <v>100</v>
      </c>
      <c r="N36" s="31">
        <v>100</v>
      </c>
      <c r="O36" s="31">
        <v>100</v>
      </c>
      <c r="P36" s="34">
        <v>100</v>
      </c>
      <c r="Q36" s="34">
        <v>100</v>
      </c>
      <c r="R36" s="34">
        <v>100</v>
      </c>
      <c r="S36" s="31">
        <f t="shared" si="8"/>
        <v>3150</v>
      </c>
      <c r="T36" s="35">
        <v>3200.94</v>
      </c>
      <c r="U36" s="17">
        <f t="shared" si="0"/>
        <v>-1.5914075240398149E-2</v>
      </c>
    </row>
    <row r="37" spans="1:21" x14ac:dyDescent="0.35">
      <c r="A37" s="4"/>
      <c r="B37" s="4"/>
      <c r="C37" s="4"/>
      <c r="D37" s="4"/>
      <c r="E37" s="4"/>
      <c r="F37" s="4" t="s">
        <v>34</v>
      </c>
      <c r="G37" s="21">
        <f t="shared" ref="G37:R37" si="22">ROUND(SUM(G34:G36),5)</f>
        <v>125</v>
      </c>
      <c r="H37" s="21">
        <f t="shared" si="22"/>
        <v>125</v>
      </c>
      <c r="I37" s="21">
        <f t="shared" si="22"/>
        <v>125</v>
      </c>
      <c r="J37" s="21">
        <f t="shared" si="22"/>
        <v>125</v>
      </c>
      <c r="K37" s="21">
        <f t="shared" si="22"/>
        <v>2075</v>
      </c>
      <c r="L37" s="21">
        <f t="shared" si="22"/>
        <v>125</v>
      </c>
      <c r="M37" s="21">
        <f t="shared" si="22"/>
        <v>125</v>
      </c>
      <c r="N37" s="21">
        <f t="shared" si="22"/>
        <v>125</v>
      </c>
      <c r="O37" s="21">
        <f t="shared" si="22"/>
        <v>125</v>
      </c>
      <c r="P37" s="21">
        <f t="shared" si="22"/>
        <v>125</v>
      </c>
      <c r="Q37" s="21">
        <f t="shared" si="22"/>
        <v>125</v>
      </c>
      <c r="R37" s="21">
        <f t="shared" si="22"/>
        <v>125</v>
      </c>
      <c r="S37" s="21">
        <f t="shared" si="8"/>
        <v>3450</v>
      </c>
      <c r="T37" s="22">
        <v>3500.94</v>
      </c>
      <c r="U37" s="14">
        <f t="shared" si="0"/>
        <v>-1.4550377898507274E-2</v>
      </c>
    </row>
    <row r="38" spans="1:21" x14ac:dyDescent="0.35">
      <c r="A38" s="4"/>
      <c r="B38" s="4"/>
      <c r="C38" s="4"/>
      <c r="D38" s="4"/>
      <c r="E38" s="4"/>
      <c r="F38" s="4" t="s">
        <v>35</v>
      </c>
      <c r="G38" s="21">
        <f>5750+160</f>
        <v>5910</v>
      </c>
      <c r="H38" s="21">
        <f t="shared" ref="H38:R38" si="23">5750+160</f>
        <v>5910</v>
      </c>
      <c r="I38" s="21">
        <f t="shared" si="23"/>
        <v>5910</v>
      </c>
      <c r="J38" s="21">
        <f t="shared" si="23"/>
        <v>5910</v>
      </c>
      <c r="K38" s="21">
        <f t="shared" si="23"/>
        <v>5910</v>
      </c>
      <c r="L38" s="21">
        <f t="shared" si="23"/>
        <v>5910</v>
      </c>
      <c r="M38" s="21">
        <f t="shared" si="23"/>
        <v>5910</v>
      </c>
      <c r="N38" s="21">
        <f t="shared" si="23"/>
        <v>5910</v>
      </c>
      <c r="O38" s="21">
        <f t="shared" si="23"/>
        <v>5910</v>
      </c>
      <c r="P38" s="21">
        <f t="shared" si="23"/>
        <v>5910</v>
      </c>
      <c r="Q38" s="21">
        <f t="shared" si="23"/>
        <v>5910</v>
      </c>
      <c r="R38" s="21">
        <f t="shared" si="23"/>
        <v>5910</v>
      </c>
      <c r="S38" s="21">
        <f t="shared" si="8"/>
        <v>70920</v>
      </c>
      <c r="T38" s="22">
        <v>68909.320000000007</v>
      </c>
      <c r="U38" s="14">
        <f t="shared" si="0"/>
        <v>2.9178636503741334E-2</v>
      </c>
    </row>
    <row r="39" spans="1:21" x14ac:dyDescent="0.35">
      <c r="A39" s="4"/>
      <c r="B39" s="4"/>
      <c r="C39" s="4"/>
      <c r="D39" s="4"/>
      <c r="E39" s="4"/>
      <c r="F39" s="4" t="s">
        <v>36</v>
      </c>
      <c r="G39" s="21">
        <v>65</v>
      </c>
      <c r="H39" s="21">
        <v>65</v>
      </c>
      <c r="I39" s="21">
        <v>65</v>
      </c>
      <c r="J39" s="21">
        <v>65</v>
      </c>
      <c r="K39" s="21">
        <v>65</v>
      </c>
      <c r="L39" s="21">
        <v>65</v>
      </c>
      <c r="M39" s="21">
        <v>65</v>
      </c>
      <c r="N39" s="21">
        <v>65</v>
      </c>
      <c r="O39" s="21">
        <v>65</v>
      </c>
      <c r="P39" s="21">
        <v>65</v>
      </c>
      <c r="Q39" s="21">
        <v>65</v>
      </c>
      <c r="R39" s="21">
        <v>65</v>
      </c>
      <c r="S39" s="21">
        <f t="shared" si="8"/>
        <v>780</v>
      </c>
      <c r="T39" s="22">
        <v>4055.48</v>
      </c>
      <c r="U39" s="14">
        <f t="shared" si="0"/>
        <v>-0.80766764969867932</v>
      </c>
    </row>
    <row r="40" spans="1:21" x14ac:dyDescent="0.35">
      <c r="A40" s="4"/>
      <c r="B40" s="4"/>
      <c r="C40" s="4"/>
      <c r="D40" s="4"/>
      <c r="E40" s="4"/>
      <c r="F40" s="4" t="s">
        <v>37</v>
      </c>
      <c r="G40" s="21">
        <v>100</v>
      </c>
      <c r="H40" s="21">
        <v>100</v>
      </c>
      <c r="I40" s="21">
        <v>100</v>
      </c>
      <c r="J40" s="21">
        <v>100</v>
      </c>
      <c r="K40" s="21">
        <v>100</v>
      </c>
      <c r="L40" s="21">
        <v>100</v>
      </c>
      <c r="M40" s="21">
        <v>100</v>
      </c>
      <c r="N40" s="21">
        <v>100</v>
      </c>
      <c r="O40" s="21">
        <v>100</v>
      </c>
      <c r="P40" s="21">
        <v>100</v>
      </c>
      <c r="Q40" s="21">
        <v>100</v>
      </c>
      <c r="R40" s="21">
        <v>100</v>
      </c>
      <c r="S40" s="21">
        <f t="shared" si="8"/>
        <v>1200</v>
      </c>
      <c r="T40" s="22">
        <v>2665.94</v>
      </c>
      <c r="U40" s="14">
        <f t="shared" si="0"/>
        <v>-0.54987734157557933</v>
      </c>
    </row>
    <row r="41" spans="1:21" x14ac:dyDescent="0.35">
      <c r="A41" s="4"/>
      <c r="B41" s="4"/>
      <c r="C41" s="4"/>
      <c r="D41" s="4"/>
      <c r="E41" s="4"/>
      <c r="F41" s="4" t="s">
        <v>38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33">
        <v>0</v>
      </c>
      <c r="Q41" s="33">
        <v>0</v>
      </c>
      <c r="R41" s="33">
        <v>0</v>
      </c>
      <c r="S41" s="21">
        <f t="shared" si="8"/>
        <v>0</v>
      </c>
      <c r="T41" s="22">
        <v>82.25</v>
      </c>
      <c r="U41" s="14">
        <f t="shared" si="0"/>
        <v>-1</v>
      </c>
    </row>
    <row r="42" spans="1:21" x14ac:dyDescent="0.35">
      <c r="A42" s="4"/>
      <c r="B42" s="4"/>
      <c r="C42" s="4"/>
      <c r="D42" s="4"/>
      <c r="E42" s="4"/>
      <c r="F42" s="4" t="s">
        <v>39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33">
        <v>0</v>
      </c>
      <c r="Q42" s="33">
        <v>0</v>
      </c>
      <c r="R42" s="33">
        <v>0</v>
      </c>
      <c r="S42" s="21">
        <f t="shared" si="8"/>
        <v>0</v>
      </c>
      <c r="T42" s="22">
        <v>165.99</v>
      </c>
      <c r="U42" s="14">
        <f t="shared" si="0"/>
        <v>-1</v>
      </c>
    </row>
    <row r="43" spans="1:21" x14ac:dyDescent="0.35">
      <c r="A43" s="4"/>
      <c r="B43" s="4"/>
      <c r="C43" s="4"/>
      <c r="D43" s="4"/>
      <c r="E43" s="4"/>
      <c r="F43" s="4" t="s">
        <v>40</v>
      </c>
      <c r="G43" s="21"/>
      <c r="H43" s="21"/>
      <c r="I43" s="21"/>
      <c r="J43" s="21"/>
      <c r="K43" s="21"/>
      <c r="L43" s="21"/>
      <c r="M43" s="21"/>
      <c r="N43" s="21"/>
      <c r="O43" s="21"/>
      <c r="P43" s="33"/>
      <c r="Q43" s="33"/>
      <c r="R43" s="33"/>
      <c r="S43" s="21">
        <f t="shared" si="8"/>
        <v>0</v>
      </c>
      <c r="T43" s="22">
        <v>0</v>
      </c>
      <c r="U43" s="14"/>
    </row>
    <row r="44" spans="1:21" x14ac:dyDescent="0.35">
      <c r="A44" s="4"/>
      <c r="B44" s="4"/>
      <c r="C44" s="4"/>
      <c r="D44" s="4"/>
      <c r="E44" s="4"/>
      <c r="F44" s="4" t="s">
        <v>41</v>
      </c>
      <c r="G44" s="21">
        <v>60</v>
      </c>
      <c r="H44" s="21">
        <v>60</v>
      </c>
      <c r="I44" s="21">
        <v>60</v>
      </c>
      <c r="J44" s="21">
        <v>60</v>
      </c>
      <c r="K44" s="21">
        <v>60</v>
      </c>
      <c r="L44" s="21">
        <v>60</v>
      </c>
      <c r="M44" s="21">
        <v>60</v>
      </c>
      <c r="N44" s="21">
        <v>60</v>
      </c>
      <c r="O44" s="21">
        <v>60</v>
      </c>
      <c r="P44" s="21">
        <v>60</v>
      </c>
      <c r="Q44" s="21">
        <v>60</v>
      </c>
      <c r="R44" s="21">
        <v>60</v>
      </c>
      <c r="S44" s="21">
        <f t="shared" si="8"/>
        <v>720</v>
      </c>
      <c r="T44" s="22">
        <v>768.24</v>
      </c>
      <c r="U44" s="14">
        <f t="shared" si="0"/>
        <v>-6.2792877225866933E-2</v>
      </c>
    </row>
    <row r="45" spans="1:21" x14ac:dyDescent="0.35">
      <c r="A45" s="4"/>
      <c r="B45" s="4"/>
      <c r="C45" s="4"/>
      <c r="D45" s="4"/>
      <c r="E45" s="4"/>
      <c r="F45" s="4" t="s">
        <v>42</v>
      </c>
      <c r="G45" s="21">
        <v>328</v>
      </c>
      <c r="H45" s="21">
        <v>328</v>
      </c>
      <c r="I45" s="21">
        <v>328</v>
      </c>
      <c r="J45" s="21">
        <v>328</v>
      </c>
      <c r="K45" s="21">
        <v>328</v>
      </c>
      <c r="L45" s="21">
        <v>328</v>
      </c>
      <c r="M45" s="21">
        <v>328</v>
      </c>
      <c r="N45" s="21">
        <v>328</v>
      </c>
      <c r="O45" s="21">
        <v>328</v>
      </c>
      <c r="P45" s="33">
        <v>328</v>
      </c>
      <c r="Q45" s="33">
        <v>328</v>
      </c>
      <c r="R45" s="33">
        <v>328</v>
      </c>
      <c r="S45" s="21">
        <f t="shared" si="8"/>
        <v>3936</v>
      </c>
      <c r="T45" s="22">
        <v>3646.66</v>
      </c>
      <c r="U45" s="14">
        <f t="shared" si="0"/>
        <v>7.9343837922921295E-2</v>
      </c>
    </row>
    <row r="46" spans="1:21" x14ac:dyDescent="0.35">
      <c r="A46" s="4"/>
      <c r="B46" s="4"/>
      <c r="C46" s="4"/>
      <c r="D46" s="4"/>
      <c r="E46" s="4"/>
      <c r="F46" s="4" t="s">
        <v>43</v>
      </c>
      <c r="G46" s="21">
        <v>80</v>
      </c>
      <c r="H46" s="21">
        <v>60</v>
      </c>
      <c r="I46" s="21">
        <v>50</v>
      </c>
      <c r="J46" s="21">
        <v>50</v>
      </c>
      <c r="K46" s="21">
        <v>50</v>
      </c>
      <c r="L46" s="21">
        <v>50</v>
      </c>
      <c r="M46" s="21">
        <v>50</v>
      </c>
      <c r="N46" s="21">
        <v>100</v>
      </c>
      <c r="O46" s="21">
        <v>215</v>
      </c>
      <c r="P46" s="33">
        <v>250</v>
      </c>
      <c r="Q46" s="33">
        <v>250</v>
      </c>
      <c r="R46" s="33">
        <v>250</v>
      </c>
      <c r="S46" s="21">
        <f t="shared" si="8"/>
        <v>1455</v>
      </c>
      <c r="T46" s="22">
        <v>1305.5999999999999</v>
      </c>
      <c r="U46" s="14">
        <f t="shared" si="0"/>
        <v>0.11443014705882361</v>
      </c>
    </row>
    <row r="47" spans="1:21" x14ac:dyDescent="0.35">
      <c r="A47" s="4"/>
      <c r="B47" s="4"/>
      <c r="C47" s="4"/>
      <c r="D47" s="4"/>
      <c r="E47" s="4"/>
      <c r="F47" s="4" t="s">
        <v>44</v>
      </c>
      <c r="G47" s="21">
        <v>0</v>
      </c>
      <c r="H47" s="21">
        <v>0</v>
      </c>
      <c r="I47" s="21">
        <v>20</v>
      </c>
      <c r="J47" s="21">
        <v>0</v>
      </c>
      <c r="K47" s="21">
        <v>0</v>
      </c>
      <c r="L47" s="21">
        <v>20</v>
      </c>
      <c r="M47" s="21">
        <v>0</v>
      </c>
      <c r="N47" s="21">
        <v>0</v>
      </c>
      <c r="O47" s="21">
        <v>20</v>
      </c>
      <c r="P47" s="33">
        <v>0</v>
      </c>
      <c r="Q47" s="33">
        <v>0</v>
      </c>
      <c r="R47" s="33">
        <v>20</v>
      </c>
      <c r="S47" s="21">
        <f t="shared" si="8"/>
        <v>80</v>
      </c>
      <c r="T47" s="22">
        <v>0.2</v>
      </c>
      <c r="U47" s="14">
        <f t="shared" si="0"/>
        <v>398.99999999999994</v>
      </c>
    </row>
    <row r="48" spans="1:21" x14ac:dyDescent="0.35">
      <c r="A48" s="4"/>
      <c r="B48" s="4"/>
      <c r="C48" s="4"/>
      <c r="D48" s="4"/>
      <c r="E48" s="4"/>
      <c r="F48" s="4" t="s">
        <v>45</v>
      </c>
      <c r="G48" s="21">
        <v>65</v>
      </c>
      <c r="H48" s="21">
        <v>65</v>
      </c>
      <c r="I48" s="21">
        <v>65</v>
      </c>
      <c r="J48" s="21">
        <v>65</v>
      </c>
      <c r="K48" s="21">
        <v>65</v>
      </c>
      <c r="L48" s="21">
        <v>65</v>
      </c>
      <c r="M48" s="21">
        <v>65</v>
      </c>
      <c r="N48" s="21">
        <v>65</v>
      </c>
      <c r="O48" s="21">
        <v>65</v>
      </c>
      <c r="P48" s="21">
        <v>65</v>
      </c>
      <c r="Q48" s="21">
        <v>65</v>
      </c>
      <c r="R48" s="21">
        <v>65</v>
      </c>
      <c r="S48" s="21">
        <f t="shared" si="8"/>
        <v>780</v>
      </c>
      <c r="T48" s="22">
        <v>784.35</v>
      </c>
      <c r="U48" s="14">
        <f t="shared" si="0"/>
        <v>-5.5459934978007554E-3</v>
      </c>
    </row>
    <row r="49" spans="1:21" ht="15" thickBot="1" x14ac:dyDescent="0.4">
      <c r="A49" s="4"/>
      <c r="B49" s="4"/>
      <c r="C49" s="4"/>
      <c r="D49" s="4"/>
      <c r="E49" s="4"/>
      <c r="F49" s="4" t="s">
        <v>46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4">
        <v>0</v>
      </c>
      <c r="Q49" s="34">
        <v>0</v>
      </c>
      <c r="R49" s="34">
        <v>0</v>
      </c>
      <c r="S49" s="31">
        <f t="shared" si="8"/>
        <v>0</v>
      </c>
      <c r="T49" s="35">
        <v>0</v>
      </c>
      <c r="U49" s="17"/>
    </row>
    <row r="50" spans="1:21" x14ac:dyDescent="0.35">
      <c r="A50" s="4"/>
      <c r="B50" s="4"/>
      <c r="C50" s="4"/>
      <c r="D50" s="4"/>
      <c r="E50" s="4"/>
      <c r="F50" s="4" t="s">
        <v>47</v>
      </c>
      <c r="G50" s="21">
        <f t="shared" ref="G50:R50" si="24">ROUND(SUM(G43:G49),5)</f>
        <v>533</v>
      </c>
      <c r="H50" s="21">
        <f t="shared" si="24"/>
        <v>513</v>
      </c>
      <c r="I50" s="21">
        <f t="shared" si="24"/>
        <v>523</v>
      </c>
      <c r="J50" s="21">
        <f t="shared" si="24"/>
        <v>503</v>
      </c>
      <c r="K50" s="21">
        <f t="shared" si="24"/>
        <v>503</v>
      </c>
      <c r="L50" s="21">
        <f t="shared" si="24"/>
        <v>523</v>
      </c>
      <c r="M50" s="21">
        <f t="shared" si="24"/>
        <v>503</v>
      </c>
      <c r="N50" s="21">
        <f t="shared" si="24"/>
        <v>553</v>
      </c>
      <c r="O50" s="21">
        <f t="shared" si="24"/>
        <v>688</v>
      </c>
      <c r="P50" s="21">
        <f t="shared" si="24"/>
        <v>703</v>
      </c>
      <c r="Q50" s="21">
        <f t="shared" si="24"/>
        <v>703</v>
      </c>
      <c r="R50" s="21">
        <f t="shared" si="24"/>
        <v>723</v>
      </c>
      <c r="S50" s="21">
        <f t="shared" si="8"/>
        <v>6971</v>
      </c>
      <c r="T50" s="22">
        <v>6505.05</v>
      </c>
      <c r="U50" s="14">
        <f t="shared" si="0"/>
        <v>7.162896518858422E-2</v>
      </c>
    </row>
    <row r="51" spans="1:21" x14ac:dyDescent="0.35">
      <c r="A51" s="4"/>
      <c r="B51" s="4"/>
      <c r="C51" s="4"/>
      <c r="D51" s="4"/>
      <c r="E51" s="4"/>
      <c r="F51" s="4" t="s">
        <v>48</v>
      </c>
      <c r="G51" s="21">
        <v>310</v>
      </c>
      <c r="H51" s="21">
        <v>310</v>
      </c>
      <c r="I51" s="21">
        <v>310</v>
      </c>
      <c r="J51" s="21">
        <v>310</v>
      </c>
      <c r="K51" s="21">
        <v>310</v>
      </c>
      <c r="L51" s="21">
        <v>310</v>
      </c>
      <c r="M51" s="21">
        <v>310</v>
      </c>
      <c r="N51" s="21">
        <v>310</v>
      </c>
      <c r="O51" s="21">
        <v>310</v>
      </c>
      <c r="P51" s="21">
        <v>310</v>
      </c>
      <c r="Q51" s="21">
        <v>310</v>
      </c>
      <c r="R51" s="21">
        <v>310</v>
      </c>
      <c r="S51" s="21">
        <f t="shared" si="8"/>
        <v>3720</v>
      </c>
      <c r="T51" s="22">
        <v>3093.59</v>
      </c>
      <c r="U51" s="14">
        <f t="shared" si="0"/>
        <v>0.20248643162151411</v>
      </c>
    </row>
    <row r="52" spans="1:21" x14ac:dyDescent="0.35">
      <c r="A52" s="4"/>
      <c r="B52" s="4"/>
      <c r="C52" s="4"/>
      <c r="D52" s="4"/>
      <c r="E52" s="4"/>
      <c r="F52" s="4" t="s">
        <v>49</v>
      </c>
      <c r="G52" s="21"/>
      <c r="H52" s="21"/>
      <c r="I52" s="21"/>
      <c r="J52" s="21"/>
      <c r="K52" s="21"/>
      <c r="L52" s="21"/>
      <c r="M52" s="21"/>
      <c r="N52" s="21"/>
      <c r="O52" s="21"/>
      <c r="P52" s="33"/>
      <c r="Q52" s="33"/>
      <c r="R52" s="33"/>
      <c r="S52" s="21">
        <f t="shared" si="8"/>
        <v>0</v>
      </c>
      <c r="T52" s="22">
        <v>0</v>
      </c>
      <c r="U52" s="14"/>
    </row>
    <row r="53" spans="1:21" x14ac:dyDescent="0.35">
      <c r="A53" s="4"/>
      <c r="B53" s="4"/>
      <c r="C53" s="4"/>
      <c r="D53" s="4"/>
      <c r="E53" s="4"/>
      <c r="F53" s="4" t="s">
        <v>50</v>
      </c>
      <c r="G53" s="21">
        <v>65</v>
      </c>
      <c r="H53" s="21">
        <v>65</v>
      </c>
      <c r="I53" s="21">
        <v>65</v>
      </c>
      <c r="J53" s="21">
        <v>65</v>
      </c>
      <c r="K53" s="21">
        <v>65</v>
      </c>
      <c r="L53" s="21">
        <v>65</v>
      </c>
      <c r="M53" s="21">
        <v>65</v>
      </c>
      <c r="N53" s="21">
        <v>65</v>
      </c>
      <c r="O53" s="21">
        <v>65</v>
      </c>
      <c r="P53" s="21">
        <v>65</v>
      </c>
      <c r="Q53" s="21">
        <v>65</v>
      </c>
      <c r="R53" s="21">
        <v>65</v>
      </c>
      <c r="S53" s="21">
        <f t="shared" si="8"/>
        <v>780</v>
      </c>
      <c r="T53" s="22">
        <v>799.89</v>
      </c>
      <c r="U53" s="14">
        <f t="shared" si="0"/>
        <v>-2.4865919063871266E-2</v>
      </c>
    </row>
    <row r="54" spans="1:21" x14ac:dyDescent="0.35">
      <c r="A54" s="4"/>
      <c r="B54" s="4"/>
      <c r="C54" s="4"/>
      <c r="D54" s="4"/>
      <c r="E54" s="4"/>
      <c r="F54" s="4" t="s">
        <v>51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21">
        <v>0</v>
      </c>
      <c r="O54" s="21">
        <v>0</v>
      </c>
      <c r="P54" s="33">
        <v>0</v>
      </c>
      <c r="Q54" s="33">
        <v>0</v>
      </c>
      <c r="R54" s="33">
        <v>0</v>
      </c>
      <c r="S54" s="21">
        <f t="shared" si="8"/>
        <v>2</v>
      </c>
      <c r="T54" s="22">
        <v>2</v>
      </c>
      <c r="U54" s="14">
        <f t="shared" si="0"/>
        <v>0</v>
      </c>
    </row>
    <row r="55" spans="1:21" x14ac:dyDescent="0.35">
      <c r="A55" s="4"/>
      <c r="B55" s="4"/>
      <c r="C55" s="4"/>
      <c r="D55" s="4"/>
      <c r="E55" s="4"/>
      <c r="F55" s="4" t="s">
        <v>52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3">
        <v>0</v>
      </c>
      <c r="Q55" s="33">
        <v>0</v>
      </c>
      <c r="R55" s="33">
        <v>0</v>
      </c>
      <c r="S55" s="21">
        <f t="shared" si="8"/>
        <v>0</v>
      </c>
      <c r="T55" s="22">
        <v>-46.95</v>
      </c>
      <c r="U55" s="14">
        <f t="shared" si="0"/>
        <v>-1</v>
      </c>
    </row>
    <row r="56" spans="1:21" x14ac:dyDescent="0.35">
      <c r="A56" s="4"/>
      <c r="B56" s="4"/>
      <c r="C56" s="4"/>
      <c r="D56" s="4"/>
      <c r="E56" s="4"/>
      <c r="F56" s="4" t="s">
        <v>53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3">
        <v>0</v>
      </c>
      <c r="Q56" s="33">
        <v>0</v>
      </c>
      <c r="R56" s="33">
        <v>0</v>
      </c>
      <c r="S56" s="21">
        <f t="shared" si="8"/>
        <v>0</v>
      </c>
      <c r="T56" s="22">
        <v>65</v>
      </c>
      <c r="U56" s="14">
        <f t="shared" si="0"/>
        <v>-1</v>
      </c>
    </row>
    <row r="57" spans="1:21" x14ac:dyDescent="0.35">
      <c r="A57" s="4"/>
      <c r="B57" s="4"/>
      <c r="C57" s="4"/>
      <c r="D57" s="4"/>
      <c r="E57" s="4"/>
      <c r="F57" s="4" t="s">
        <v>54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3">
        <v>0</v>
      </c>
      <c r="Q57" s="33">
        <v>0</v>
      </c>
      <c r="R57" s="33">
        <v>0</v>
      </c>
      <c r="S57" s="21">
        <f t="shared" si="8"/>
        <v>0</v>
      </c>
      <c r="T57" s="22">
        <v>1.2</v>
      </c>
      <c r="U57" s="14">
        <f t="shared" si="0"/>
        <v>-1</v>
      </c>
    </row>
    <row r="58" spans="1:21" x14ac:dyDescent="0.35">
      <c r="A58" s="4"/>
      <c r="B58" s="4"/>
      <c r="C58" s="4"/>
      <c r="D58" s="4"/>
      <c r="E58" s="4"/>
      <c r="F58" s="4" t="s">
        <v>55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3">
        <v>0</v>
      </c>
      <c r="Q58" s="33">
        <v>0</v>
      </c>
      <c r="R58" s="33">
        <v>0</v>
      </c>
      <c r="S58" s="21">
        <f t="shared" si="8"/>
        <v>0</v>
      </c>
      <c r="T58" s="22">
        <v>70.56</v>
      </c>
      <c r="U58" s="14">
        <f t="shared" si="0"/>
        <v>-1</v>
      </c>
    </row>
    <row r="59" spans="1:21" x14ac:dyDescent="0.35">
      <c r="A59" s="4"/>
      <c r="B59" s="4"/>
      <c r="C59" s="4"/>
      <c r="D59" s="4"/>
      <c r="E59" s="4"/>
      <c r="F59" s="4" t="s">
        <v>56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3">
        <v>0</v>
      </c>
      <c r="Q59" s="33">
        <v>0</v>
      </c>
      <c r="R59" s="33">
        <v>0</v>
      </c>
      <c r="S59" s="21">
        <f t="shared" si="8"/>
        <v>0</v>
      </c>
      <c r="T59" s="22">
        <v>175</v>
      </c>
      <c r="U59" s="14">
        <f t="shared" si="0"/>
        <v>-1</v>
      </c>
    </row>
    <row r="60" spans="1:21" x14ac:dyDescent="0.35">
      <c r="A60" s="4"/>
      <c r="B60" s="4"/>
      <c r="C60" s="4"/>
      <c r="D60" s="4"/>
      <c r="E60" s="4"/>
      <c r="F60" s="4" t="s">
        <v>57</v>
      </c>
      <c r="G60" s="21">
        <v>30</v>
      </c>
      <c r="H60" s="21">
        <v>30</v>
      </c>
      <c r="I60" s="21">
        <v>30</v>
      </c>
      <c r="J60" s="21">
        <v>30</v>
      </c>
      <c r="K60" s="21">
        <v>30</v>
      </c>
      <c r="L60" s="21">
        <v>30</v>
      </c>
      <c r="M60" s="21">
        <v>30</v>
      </c>
      <c r="N60" s="21">
        <v>30</v>
      </c>
      <c r="O60" s="21">
        <v>30</v>
      </c>
      <c r="P60" s="21">
        <v>30</v>
      </c>
      <c r="Q60" s="21">
        <v>30</v>
      </c>
      <c r="R60" s="21">
        <v>30</v>
      </c>
      <c r="S60" s="21">
        <f t="shared" si="8"/>
        <v>360</v>
      </c>
      <c r="T60" s="22">
        <v>162.62</v>
      </c>
      <c r="U60" s="14">
        <f t="shared" si="0"/>
        <v>1.2137498462673717</v>
      </c>
    </row>
    <row r="61" spans="1:21" x14ac:dyDescent="0.35">
      <c r="A61" s="4"/>
      <c r="B61" s="4"/>
      <c r="C61" s="4"/>
      <c r="D61" s="4"/>
      <c r="E61" s="4"/>
      <c r="F61" s="4" t="s">
        <v>58</v>
      </c>
      <c r="G61" s="21">
        <v>84.38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3">
        <v>0</v>
      </c>
      <c r="Q61" s="33">
        <v>0</v>
      </c>
      <c r="R61" s="33">
        <v>0</v>
      </c>
      <c r="S61" s="21">
        <f t="shared" si="8"/>
        <v>84.38</v>
      </c>
      <c r="T61" s="22">
        <v>84.38</v>
      </c>
      <c r="U61" s="14">
        <f t="shared" si="0"/>
        <v>0</v>
      </c>
    </row>
    <row r="62" spans="1:21" ht="15" thickBot="1" x14ac:dyDescent="0.4">
      <c r="A62" s="4"/>
      <c r="B62" s="4"/>
      <c r="C62" s="4"/>
      <c r="D62" s="4"/>
      <c r="E62" s="4"/>
      <c r="F62" s="4" t="s">
        <v>59</v>
      </c>
      <c r="G62" s="21">
        <v>50</v>
      </c>
      <c r="H62" s="21">
        <v>50</v>
      </c>
      <c r="I62" s="21">
        <v>50</v>
      </c>
      <c r="J62" s="21">
        <v>50</v>
      </c>
      <c r="K62" s="21">
        <v>50</v>
      </c>
      <c r="L62" s="21">
        <v>50</v>
      </c>
      <c r="M62" s="21">
        <v>50</v>
      </c>
      <c r="N62" s="21">
        <v>50</v>
      </c>
      <c r="O62" s="21">
        <v>50</v>
      </c>
      <c r="P62" s="21">
        <v>50</v>
      </c>
      <c r="Q62" s="21">
        <v>50</v>
      </c>
      <c r="R62" s="21">
        <v>50</v>
      </c>
      <c r="S62" s="31">
        <f t="shared" si="8"/>
        <v>600</v>
      </c>
      <c r="T62" s="35">
        <v>159.22</v>
      </c>
      <c r="U62" s="17">
        <f t="shared" si="0"/>
        <v>2.7683708076874765</v>
      </c>
    </row>
    <row r="63" spans="1:21" ht="15" thickBot="1" x14ac:dyDescent="0.4">
      <c r="A63" s="4"/>
      <c r="B63" s="4"/>
      <c r="C63" s="4"/>
      <c r="D63" s="4"/>
      <c r="E63" s="4"/>
      <c r="F63" s="4" t="s">
        <v>60</v>
      </c>
      <c r="G63" s="25">
        <f t="shared" ref="G63:R63" si="25">ROUND(SUM(G52:G62),5)</f>
        <v>229.38</v>
      </c>
      <c r="H63" s="25">
        <f t="shared" si="25"/>
        <v>145</v>
      </c>
      <c r="I63" s="25">
        <f t="shared" si="25"/>
        <v>145</v>
      </c>
      <c r="J63" s="25">
        <f t="shared" si="25"/>
        <v>145</v>
      </c>
      <c r="K63" s="25">
        <f t="shared" si="25"/>
        <v>145</v>
      </c>
      <c r="L63" s="25">
        <f t="shared" si="25"/>
        <v>145</v>
      </c>
      <c r="M63" s="25">
        <f t="shared" si="25"/>
        <v>147</v>
      </c>
      <c r="N63" s="25">
        <f t="shared" si="25"/>
        <v>145</v>
      </c>
      <c r="O63" s="25">
        <f t="shared" si="25"/>
        <v>145</v>
      </c>
      <c r="P63" s="25">
        <f t="shared" si="25"/>
        <v>145</v>
      </c>
      <c r="Q63" s="25">
        <f t="shared" si="25"/>
        <v>145</v>
      </c>
      <c r="R63" s="25">
        <f t="shared" si="25"/>
        <v>145</v>
      </c>
      <c r="S63" s="25">
        <f t="shared" si="8"/>
        <v>1826.38</v>
      </c>
      <c r="T63" s="36">
        <v>1472.92</v>
      </c>
      <c r="U63" s="18">
        <f t="shared" si="0"/>
        <v>0.23997229992124489</v>
      </c>
    </row>
    <row r="64" spans="1:21" x14ac:dyDescent="0.35">
      <c r="A64" s="4"/>
      <c r="B64" s="4"/>
      <c r="C64" s="4"/>
      <c r="D64" s="4"/>
      <c r="E64" s="4" t="s">
        <v>61</v>
      </c>
      <c r="F64" s="4"/>
      <c r="G64" s="21">
        <f t="shared" ref="G64:R64" si="26">ROUND(G21+SUM(G30:G33)+SUM(G37:G42)+SUM(G50:G51)+G63,5)</f>
        <v>13322.952079999999</v>
      </c>
      <c r="H64" s="21">
        <f t="shared" si="26"/>
        <v>13534.74188</v>
      </c>
      <c r="I64" s="21">
        <f t="shared" si="26"/>
        <v>14629.122079999999</v>
      </c>
      <c r="J64" s="21">
        <f t="shared" si="26"/>
        <v>15222.07998</v>
      </c>
      <c r="K64" s="21">
        <f t="shared" si="26"/>
        <v>17132.28398</v>
      </c>
      <c r="L64" s="21">
        <f t="shared" si="26"/>
        <v>17484.02738</v>
      </c>
      <c r="M64" s="21">
        <f t="shared" si="26"/>
        <v>17252.92698</v>
      </c>
      <c r="N64" s="21">
        <f t="shared" si="26"/>
        <v>21934.277580000002</v>
      </c>
      <c r="O64" s="21">
        <f t="shared" si="26"/>
        <v>21959.994979999999</v>
      </c>
      <c r="P64" s="21">
        <f t="shared" si="26"/>
        <v>17642.352579999999</v>
      </c>
      <c r="Q64" s="21">
        <f t="shared" si="26"/>
        <v>15594.25258</v>
      </c>
      <c r="R64" s="21">
        <f t="shared" si="26"/>
        <v>15342.25258</v>
      </c>
      <c r="S64" s="21">
        <f t="shared" si="8"/>
        <v>201051.26465999999</v>
      </c>
      <c r="T64" s="22">
        <v>203384.83</v>
      </c>
      <c r="U64" s="14">
        <f t="shared" si="0"/>
        <v>-1.1473645010790633E-2</v>
      </c>
    </row>
    <row r="65" spans="1:21" x14ac:dyDescent="0.35">
      <c r="A65" s="4"/>
      <c r="B65" s="4"/>
      <c r="C65" s="4"/>
      <c r="D65" s="4"/>
      <c r="E65" s="4" t="s">
        <v>62</v>
      </c>
      <c r="F65" s="4"/>
      <c r="G65" s="21"/>
      <c r="H65" s="21"/>
      <c r="I65" s="21"/>
      <c r="J65" s="21"/>
      <c r="K65" s="21"/>
      <c r="L65" s="21"/>
      <c r="M65" s="21"/>
      <c r="N65" s="21"/>
      <c r="O65" s="21"/>
      <c r="P65" s="33"/>
      <c r="Q65" s="33"/>
      <c r="R65" s="33"/>
      <c r="S65" s="21">
        <f t="shared" si="8"/>
        <v>0</v>
      </c>
      <c r="T65" s="22">
        <v>0</v>
      </c>
      <c r="U65" s="14"/>
    </row>
    <row r="66" spans="1:21" x14ac:dyDescent="0.35">
      <c r="A66" s="4"/>
      <c r="B66" s="4"/>
      <c r="C66" s="4"/>
      <c r="D66" s="4"/>
      <c r="E66" s="4"/>
      <c r="F66" s="4" t="s">
        <v>63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3">
        <v>0</v>
      </c>
      <c r="Q66" s="33">
        <v>0</v>
      </c>
      <c r="R66" s="33">
        <v>0</v>
      </c>
      <c r="S66" s="21">
        <f t="shared" si="8"/>
        <v>0</v>
      </c>
      <c r="T66" s="22">
        <v>-16570</v>
      </c>
      <c r="U66" s="14">
        <f t="shared" si="0"/>
        <v>-1</v>
      </c>
    </row>
    <row r="67" spans="1:21" x14ac:dyDescent="0.35">
      <c r="A67" s="4"/>
      <c r="B67" s="4"/>
      <c r="C67" s="4"/>
      <c r="D67" s="4"/>
      <c r="E67" s="4"/>
      <c r="F67" s="4" t="s">
        <v>64</v>
      </c>
      <c r="G67" s="21"/>
      <c r="H67" s="21"/>
      <c r="I67" s="21"/>
      <c r="J67" s="21"/>
      <c r="K67" s="21"/>
      <c r="L67" s="21"/>
      <c r="M67" s="21"/>
      <c r="N67" s="21"/>
      <c r="O67" s="21"/>
      <c r="P67" s="33"/>
      <c r="Q67" s="33"/>
      <c r="R67" s="33"/>
      <c r="S67" s="21">
        <f t="shared" si="8"/>
        <v>0</v>
      </c>
      <c r="T67" s="22">
        <v>0</v>
      </c>
      <c r="U67" s="14"/>
    </row>
    <row r="68" spans="1:21" x14ac:dyDescent="0.35">
      <c r="A68" s="4"/>
      <c r="B68" s="4"/>
      <c r="C68" s="4"/>
      <c r="D68" s="4"/>
      <c r="E68" s="4"/>
      <c r="F68" s="4" t="s">
        <v>65</v>
      </c>
      <c r="G68" s="21">
        <v>-150</v>
      </c>
      <c r="H68" s="21">
        <v>-300</v>
      </c>
      <c r="I68" s="21">
        <v>-9000</v>
      </c>
      <c r="J68" s="21">
        <v>-150</v>
      </c>
      <c r="K68" s="21">
        <v>-100</v>
      </c>
      <c r="L68" s="21">
        <v>-175</v>
      </c>
      <c r="M68" s="21">
        <v>-200</v>
      </c>
      <c r="N68" s="21">
        <v>-240</v>
      </c>
      <c r="O68" s="21">
        <v>-800</v>
      </c>
      <c r="P68" s="33">
        <v>0</v>
      </c>
      <c r="Q68" s="33">
        <v>0</v>
      </c>
      <c r="R68" s="33">
        <v>0</v>
      </c>
      <c r="S68" s="21">
        <f t="shared" si="8"/>
        <v>-11115</v>
      </c>
      <c r="T68" s="22">
        <v>-11016.55</v>
      </c>
      <c r="U68" s="14">
        <f t="shared" si="0"/>
        <v>8.9365545474763639E-3</v>
      </c>
    </row>
    <row r="69" spans="1:21" ht="15" thickBot="1" x14ac:dyDescent="0.4">
      <c r="A69" s="4"/>
      <c r="B69" s="4"/>
      <c r="C69" s="4"/>
      <c r="D69" s="4"/>
      <c r="E69" s="4"/>
      <c r="F69" s="4" t="s">
        <v>66</v>
      </c>
      <c r="G69" s="31">
        <v>-100</v>
      </c>
      <c r="H69" s="31">
        <v>-100</v>
      </c>
      <c r="I69" s="31">
        <v>-100</v>
      </c>
      <c r="J69" s="31">
        <v>-100</v>
      </c>
      <c r="K69" s="31">
        <v>-100</v>
      </c>
      <c r="L69" s="31">
        <v>-100</v>
      </c>
      <c r="M69" s="31">
        <v>-100</v>
      </c>
      <c r="N69" s="31">
        <v>-100</v>
      </c>
      <c r="O69" s="31">
        <v>-100</v>
      </c>
      <c r="P69" s="31">
        <v>-100</v>
      </c>
      <c r="Q69" s="31">
        <v>-100</v>
      </c>
      <c r="R69" s="31">
        <v>-100</v>
      </c>
      <c r="S69" s="31">
        <f t="shared" si="8"/>
        <v>-1200</v>
      </c>
      <c r="T69" s="35">
        <v>-3111.1</v>
      </c>
      <c r="U69" s="17">
        <f t="shared" si="0"/>
        <v>-0.61428433672977401</v>
      </c>
    </row>
    <row r="70" spans="1:21" x14ac:dyDescent="0.35">
      <c r="A70" s="4"/>
      <c r="B70" s="4"/>
      <c r="C70" s="4"/>
      <c r="D70" s="4"/>
      <c r="E70" s="4"/>
      <c r="F70" s="4" t="s">
        <v>67</v>
      </c>
      <c r="G70" s="21">
        <f t="shared" ref="G70:R70" si="27">ROUND(SUM(G67:G69),5)</f>
        <v>-250</v>
      </c>
      <c r="H70" s="21">
        <f t="shared" si="27"/>
        <v>-400</v>
      </c>
      <c r="I70" s="21">
        <f t="shared" si="27"/>
        <v>-9100</v>
      </c>
      <c r="J70" s="21">
        <f t="shared" si="27"/>
        <v>-250</v>
      </c>
      <c r="K70" s="21">
        <f t="shared" si="27"/>
        <v>-200</v>
      </c>
      <c r="L70" s="21">
        <f t="shared" si="27"/>
        <v>-275</v>
      </c>
      <c r="M70" s="21">
        <f t="shared" si="27"/>
        <v>-300</v>
      </c>
      <c r="N70" s="21">
        <f t="shared" si="27"/>
        <v>-340</v>
      </c>
      <c r="O70" s="21">
        <f t="shared" si="27"/>
        <v>-900</v>
      </c>
      <c r="P70" s="21">
        <f t="shared" si="27"/>
        <v>-100</v>
      </c>
      <c r="Q70" s="21">
        <f t="shared" si="27"/>
        <v>-100</v>
      </c>
      <c r="R70" s="21">
        <f t="shared" si="27"/>
        <v>-100</v>
      </c>
      <c r="S70" s="21">
        <f t="shared" si="8"/>
        <v>-12315</v>
      </c>
      <c r="T70" s="22">
        <v>-14127.65</v>
      </c>
      <c r="U70" s="14">
        <f t="shared" si="0"/>
        <v>-0.12830513213450218</v>
      </c>
    </row>
    <row r="71" spans="1:21" ht="15" thickBot="1" x14ac:dyDescent="0.4">
      <c r="A71" s="4"/>
      <c r="B71" s="4"/>
      <c r="C71" s="4"/>
      <c r="D71" s="4"/>
      <c r="E71" s="4"/>
      <c r="F71" s="4" t="s">
        <v>68</v>
      </c>
      <c r="G71" s="21">
        <v>-0.12</v>
      </c>
      <c r="H71" s="21">
        <v>-0.13</v>
      </c>
      <c r="I71" s="21">
        <v>-0.12</v>
      </c>
      <c r="J71" s="21">
        <v>-0.13</v>
      </c>
      <c r="K71" s="21">
        <v>-0.13</v>
      </c>
      <c r="L71" s="21">
        <v>-0.12</v>
      </c>
      <c r="M71" s="21">
        <v>-0.13</v>
      </c>
      <c r="N71" s="21">
        <v>-0.12</v>
      </c>
      <c r="O71" s="21">
        <v>-0.13</v>
      </c>
      <c r="P71" s="33">
        <v>-0.13</v>
      </c>
      <c r="Q71" s="33">
        <v>-0.13</v>
      </c>
      <c r="R71" s="33">
        <v>-0.13</v>
      </c>
      <c r="S71" s="21">
        <f t="shared" si="8"/>
        <v>-1.52</v>
      </c>
      <c r="T71" s="35">
        <v>-1.52</v>
      </c>
      <c r="U71" s="17">
        <f t="shared" si="0"/>
        <v>0</v>
      </c>
    </row>
    <row r="72" spans="1:21" ht="15" thickBot="1" x14ac:dyDescent="0.4">
      <c r="A72" s="4"/>
      <c r="B72" s="4"/>
      <c r="C72" s="4"/>
      <c r="D72" s="4"/>
      <c r="E72" s="4" t="s">
        <v>69</v>
      </c>
      <c r="F72" s="4"/>
      <c r="G72" s="23">
        <f t="shared" ref="G72:R72" si="28">ROUND(SUM(G65:G66)+SUM(G70:G71),5)</f>
        <v>-250.12</v>
      </c>
      <c r="H72" s="23">
        <f t="shared" si="28"/>
        <v>-400.13</v>
      </c>
      <c r="I72" s="23">
        <f t="shared" si="28"/>
        <v>-9100.1200000000008</v>
      </c>
      <c r="J72" s="23">
        <f t="shared" si="28"/>
        <v>-250.13</v>
      </c>
      <c r="K72" s="23">
        <f t="shared" si="28"/>
        <v>-200.13</v>
      </c>
      <c r="L72" s="23">
        <f t="shared" si="28"/>
        <v>-275.12</v>
      </c>
      <c r="M72" s="23">
        <f t="shared" si="28"/>
        <v>-300.13</v>
      </c>
      <c r="N72" s="23">
        <f t="shared" si="28"/>
        <v>-340.12</v>
      </c>
      <c r="O72" s="23">
        <f t="shared" si="28"/>
        <v>-900.13</v>
      </c>
      <c r="P72" s="25">
        <f t="shared" si="28"/>
        <v>-100.13</v>
      </c>
      <c r="Q72" s="25">
        <f t="shared" si="28"/>
        <v>-100.13</v>
      </c>
      <c r="R72" s="25">
        <f t="shared" si="28"/>
        <v>-100.13</v>
      </c>
      <c r="S72" s="37">
        <f t="shared" si="8"/>
        <v>-12316.52</v>
      </c>
      <c r="T72" s="36">
        <v>-30699.17</v>
      </c>
      <c r="U72" s="18">
        <f t="shared" si="0"/>
        <v>-0.59879957666607919</v>
      </c>
    </row>
    <row r="73" spans="1:21" ht="15" thickBot="1" x14ac:dyDescent="0.4">
      <c r="A73" s="4"/>
      <c r="B73" s="4"/>
      <c r="C73" s="4"/>
      <c r="D73" s="4" t="s">
        <v>70</v>
      </c>
      <c r="E73" s="4"/>
      <c r="F73" s="4"/>
      <c r="G73" s="23">
        <f t="shared" ref="G73:R73" si="29">ROUND(G20+G64+G72,5)</f>
        <v>13072.83208</v>
      </c>
      <c r="H73" s="23">
        <f t="shared" si="29"/>
        <v>13134.61188</v>
      </c>
      <c r="I73" s="23">
        <f t="shared" si="29"/>
        <v>5529.0020800000002</v>
      </c>
      <c r="J73" s="23">
        <f t="shared" si="29"/>
        <v>14971.949979999999</v>
      </c>
      <c r="K73" s="23">
        <f t="shared" si="29"/>
        <v>16932.153979999999</v>
      </c>
      <c r="L73" s="23">
        <f t="shared" si="29"/>
        <v>17208.907380000001</v>
      </c>
      <c r="M73" s="23">
        <f t="shared" si="29"/>
        <v>16952.796979999999</v>
      </c>
      <c r="N73" s="23">
        <f t="shared" si="29"/>
        <v>21594.157579999999</v>
      </c>
      <c r="O73" s="23">
        <f t="shared" si="29"/>
        <v>21059.864979999998</v>
      </c>
      <c r="P73" s="23">
        <f t="shared" si="29"/>
        <v>17542.222580000001</v>
      </c>
      <c r="Q73" s="23">
        <f t="shared" si="29"/>
        <v>15494.122579999999</v>
      </c>
      <c r="R73" s="23">
        <f t="shared" si="29"/>
        <v>15242.122579999999</v>
      </c>
      <c r="S73" s="37">
        <f t="shared" si="8"/>
        <v>188734.74466</v>
      </c>
      <c r="T73" s="36">
        <v>172685.66</v>
      </c>
      <c r="U73" s="18">
        <f t="shared" ref="U73:U75" si="30">+(S73-T73)/T73</f>
        <v>9.2938143560965011E-2</v>
      </c>
    </row>
    <row r="74" spans="1:21" ht="15" thickBot="1" x14ac:dyDescent="0.4">
      <c r="A74" s="4"/>
      <c r="B74" s="4" t="s">
        <v>71</v>
      </c>
      <c r="C74" s="4"/>
      <c r="D74" s="4"/>
      <c r="E74" s="4"/>
      <c r="F74" s="4"/>
      <c r="G74" s="23">
        <f t="shared" ref="G74:R74" si="31">ROUND(G4+G19-G73,5)</f>
        <v>-6536.5820800000001</v>
      </c>
      <c r="H74" s="23">
        <f t="shared" si="31"/>
        <v>-4119.1168799999996</v>
      </c>
      <c r="I74" s="23">
        <f t="shared" si="31"/>
        <v>2470.9979199999998</v>
      </c>
      <c r="J74" s="23">
        <f t="shared" si="31"/>
        <v>-6461.2649799999999</v>
      </c>
      <c r="K74" s="23">
        <f t="shared" si="31"/>
        <v>-9416.3689799999993</v>
      </c>
      <c r="L74" s="23">
        <f t="shared" si="31"/>
        <v>-8699.5373799999998</v>
      </c>
      <c r="M74" s="23">
        <f t="shared" si="31"/>
        <v>-6895.9369800000004</v>
      </c>
      <c r="N74" s="23">
        <f t="shared" si="31"/>
        <v>8417.0924200000009</v>
      </c>
      <c r="O74" s="23">
        <f t="shared" si="31"/>
        <v>31544.320019999999</v>
      </c>
      <c r="P74" s="23">
        <f t="shared" si="31"/>
        <v>-13524.72258</v>
      </c>
      <c r="Q74" s="23">
        <f t="shared" si="31"/>
        <v>-9179.1225799999993</v>
      </c>
      <c r="R74" s="23">
        <f t="shared" si="31"/>
        <v>-9227.1225799999993</v>
      </c>
      <c r="S74" s="37">
        <f t="shared" si="8"/>
        <v>-31627.364659999999</v>
      </c>
      <c r="T74" s="36">
        <v>-16447.689999999999</v>
      </c>
      <c r="U74" s="18">
        <f t="shared" si="30"/>
        <v>0.92290617466647307</v>
      </c>
    </row>
    <row r="75" spans="1:21" s="7" customFormat="1" ht="13.5" thickBot="1" x14ac:dyDescent="0.35">
      <c r="A75" s="4" t="s">
        <v>72</v>
      </c>
      <c r="B75" s="4"/>
      <c r="C75" s="4"/>
      <c r="D75" s="4"/>
      <c r="E75" s="4"/>
      <c r="F75" s="4"/>
      <c r="G75" s="38">
        <f t="shared" ref="G75:R75" si="32">G74</f>
        <v>-6536.5820800000001</v>
      </c>
      <c r="H75" s="38">
        <f t="shared" si="32"/>
        <v>-4119.1168799999996</v>
      </c>
      <c r="I75" s="38">
        <f t="shared" si="32"/>
        <v>2470.9979199999998</v>
      </c>
      <c r="J75" s="38">
        <f t="shared" si="32"/>
        <v>-6461.2649799999999</v>
      </c>
      <c r="K75" s="38">
        <f t="shared" si="32"/>
        <v>-9416.3689799999993</v>
      </c>
      <c r="L75" s="38">
        <f t="shared" si="32"/>
        <v>-8699.5373799999998</v>
      </c>
      <c r="M75" s="38">
        <f t="shared" si="32"/>
        <v>-6895.9369800000004</v>
      </c>
      <c r="N75" s="38">
        <f t="shared" si="32"/>
        <v>8417.0924200000009</v>
      </c>
      <c r="O75" s="38">
        <f t="shared" si="32"/>
        <v>31544.320019999999</v>
      </c>
      <c r="P75" s="38">
        <f t="shared" si="32"/>
        <v>-13524.72258</v>
      </c>
      <c r="Q75" s="38">
        <f t="shared" si="32"/>
        <v>-9179.1225799999993</v>
      </c>
      <c r="R75" s="38">
        <f t="shared" si="32"/>
        <v>-9227.1225799999993</v>
      </c>
      <c r="S75" s="39">
        <f t="shared" si="8"/>
        <v>-31627.364659999999</v>
      </c>
      <c r="T75" s="40">
        <v>-16447.689999999999</v>
      </c>
      <c r="U75" s="19">
        <f t="shared" si="30"/>
        <v>0.92290617466647307</v>
      </c>
    </row>
    <row r="76" spans="1:21" ht="15.5" thickTop="1" thickBot="1" x14ac:dyDescent="0.4">
      <c r="P76" s="8"/>
      <c r="Q76" s="8"/>
      <c r="R76" s="8"/>
      <c r="U76" s="13"/>
    </row>
    <row r="77" spans="1:21" ht="15" thickBot="1" x14ac:dyDescent="0.4">
      <c r="F77" s="52" t="s">
        <v>94</v>
      </c>
      <c r="G77" s="53" t="s">
        <v>73</v>
      </c>
      <c r="H77" s="53" t="s">
        <v>74</v>
      </c>
      <c r="I77" s="53" t="s">
        <v>75</v>
      </c>
      <c r="J77" s="53" t="s">
        <v>76</v>
      </c>
      <c r="K77" s="53" t="s">
        <v>77</v>
      </c>
      <c r="L77" s="53" t="s">
        <v>78</v>
      </c>
      <c r="M77" s="53" t="s">
        <v>79</v>
      </c>
      <c r="N77" s="53" t="s">
        <v>80</v>
      </c>
      <c r="O77" s="53" t="s">
        <v>81</v>
      </c>
      <c r="P77" s="54">
        <v>44584</v>
      </c>
      <c r="Q77" s="54">
        <v>44615</v>
      </c>
      <c r="R77" s="54">
        <v>44643</v>
      </c>
      <c r="S77" s="55" t="s">
        <v>85</v>
      </c>
      <c r="U77" s="13"/>
    </row>
    <row r="78" spans="1:21" x14ac:dyDescent="0.35">
      <c r="F78" s="56" t="s">
        <v>90</v>
      </c>
      <c r="G78" s="57">
        <v>138000</v>
      </c>
      <c r="H78" s="57">
        <f>+G84</f>
        <v>126413.76593000001</v>
      </c>
      <c r="I78" s="57">
        <f t="shared" ref="I78:R78" si="33">+H84</f>
        <v>124581.54250000001</v>
      </c>
      <c r="J78" s="57">
        <f t="shared" si="33"/>
        <v>125693.34957000001</v>
      </c>
      <c r="K78" s="57">
        <f t="shared" si="33"/>
        <v>118940.05202000003</v>
      </c>
      <c r="L78" s="57">
        <f t="shared" si="33"/>
        <v>108886.54931000003</v>
      </c>
      <c r="M78" s="57">
        <f t="shared" si="33"/>
        <v>88842.50056000003</v>
      </c>
      <c r="N78" s="57">
        <f t="shared" si="33"/>
        <v>76001.725520000036</v>
      </c>
      <c r="O78" s="57">
        <f t="shared" si="33"/>
        <v>95800.177390000041</v>
      </c>
      <c r="P78" s="57">
        <f t="shared" si="33"/>
        <v>155057.18365000005</v>
      </c>
      <c r="Q78" s="57">
        <f t="shared" si="33"/>
        <v>137796.33908000006</v>
      </c>
      <c r="R78" s="57">
        <f t="shared" si="33"/>
        <v>122804.97214000007</v>
      </c>
      <c r="S78" s="58"/>
      <c r="U78" s="13"/>
    </row>
    <row r="79" spans="1:21" x14ac:dyDescent="0.35">
      <c r="F79" s="56" t="s">
        <v>88</v>
      </c>
      <c r="G79" s="57">
        <v>13072.5</v>
      </c>
      <c r="H79" s="57">
        <v>18030.990000000002</v>
      </c>
      <c r="I79" s="57">
        <v>16000</v>
      </c>
      <c r="J79" s="57">
        <v>17021.37</v>
      </c>
      <c r="K79" s="57">
        <v>15031.57</v>
      </c>
      <c r="L79" s="57">
        <v>17018.740000000002</v>
      </c>
      <c r="M79" s="57">
        <v>20113.72</v>
      </c>
      <c r="N79" s="57">
        <v>60022.5</v>
      </c>
      <c r="O79" s="57">
        <v>105208.37</v>
      </c>
      <c r="P79" s="59">
        <v>8035</v>
      </c>
      <c r="Q79" s="59">
        <v>12630</v>
      </c>
      <c r="R79" s="59">
        <v>12030</v>
      </c>
      <c r="S79" s="58">
        <v>314214.76</v>
      </c>
      <c r="U79" s="13"/>
    </row>
    <row r="80" spans="1:21" x14ac:dyDescent="0.35">
      <c r="F80" s="56" t="s">
        <v>89</v>
      </c>
      <c r="G80" s="57">
        <v>13322.952079999999</v>
      </c>
      <c r="H80" s="57">
        <v>13534.74188</v>
      </c>
      <c r="I80" s="57">
        <v>14629.122079999999</v>
      </c>
      <c r="J80" s="57">
        <v>15222.07998</v>
      </c>
      <c r="K80" s="57">
        <v>17132.28398</v>
      </c>
      <c r="L80" s="57">
        <v>17484.02738</v>
      </c>
      <c r="M80" s="57">
        <v>17252.92698</v>
      </c>
      <c r="N80" s="57">
        <v>21934.277580000002</v>
      </c>
      <c r="O80" s="57">
        <v>21959.994979999999</v>
      </c>
      <c r="P80" s="59">
        <v>17642.352579999999</v>
      </c>
      <c r="Q80" s="59">
        <v>15594.25258</v>
      </c>
      <c r="R80" s="59">
        <v>15342.25258</v>
      </c>
      <c r="S80" s="58">
        <v>201051.26465999999</v>
      </c>
      <c r="U80" s="13"/>
    </row>
    <row r="81" spans="3:25" x14ac:dyDescent="0.35">
      <c r="F81" s="56" t="s">
        <v>119</v>
      </c>
      <c r="G81" s="57">
        <f>+G96</f>
        <v>640</v>
      </c>
      <c r="H81" s="57">
        <f t="shared" ref="H81:R81" si="34">+H96</f>
        <v>640</v>
      </c>
      <c r="I81" s="57">
        <f t="shared" si="34"/>
        <v>500</v>
      </c>
      <c r="J81" s="57">
        <f t="shared" si="34"/>
        <v>500</v>
      </c>
      <c r="K81" s="57">
        <f t="shared" si="34"/>
        <v>500</v>
      </c>
      <c r="L81" s="57">
        <f t="shared" si="34"/>
        <v>500</v>
      </c>
      <c r="M81" s="57">
        <f t="shared" si="34"/>
        <v>500</v>
      </c>
      <c r="N81" s="57">
        <f t="shared" si="34"/>
        <v>500</v>
      </c>
      <c r="O81" s="57">
        <f t="shared" si="34"/>
        <v>500</v>
      </c>
      <c r="P81" s="57">
        <f t="shared" si="34"/>
        <v>500</v>
      </c>
      <c r="Q81" s="57">
        <f t="shared" si="34"/>
        <v>500</v>
      </c>
      <c r="R81" s="57">
        <f t="shared" si="34"/>
        <v>500</v>
      </c>
      <c r="S81" s="58">
        <f>SUM(G81:R81)</f>
        <v>6280</v>
      </c>
      <c r="U81" s="13"/>
    </row>
    <row r="82" spans="3:25" x14ac:dyDescent="0.35">
      <c r="F82" s="56" t="s">
        <v>92</v>
      </c>
      <c r="G82" s="57">
        <f>-250.12*-1</f>
        <v>250.12</v>
      </c>
      <c r="H82" s="57">
        <f>-400.13*-1</f>
        <v>400.13</v>
      </c>
      <c r="I82" s="57">
        <f>-9100.12*-1</f>
        <v>9100.1200000000008</v>
      </c>
      <c r="J82" s="57">
        <f>-250.13*-1</f>
        <v>250.13</v>
      </c>
      <c r="K82" s="57">
        <f>-200.13*-1</f>
        <v>200.13</v>
      </c>
      <c r="L82" s="57">
        <f>-275.12*-1</f>
        <v>275.12</v>
      </c>
      <c r="M82" s="57">
        <f>-300.13*-1</f>
        <v>300.13</v>
      </c>
      <c r="N82" s="57">
        <f>-340.12*-1</f>
        <v>340.12</v>
      </c>
      <c r="O82" s="57">
        <f>-900.13*-1</f>
        <v>900.13</v>
      </c>
      <c r="P82" s="59">
        <f>-100.13*-1</f>
        <v>100.13</v>
      </c>
      <c r="Q82" s="59">
        <f>-100.13*-1</f>
        <v>100.13</v>
      </c>
      <c r="R82" s="59">
        <f>-100.13*-1</f>
        <v>100.13</v>
      </c>
      <c r="S82" s="58">
        <f>-12316.52*-1</f>
        <v>12316.52</v>
      </c>
      <c r="U82" s="13"/>
    </row>
    <row r="83" spans="3:25" x14ac:dyDescent="0.35">
      <c r="F83" s="56" t="s">
        <v>93</v>
      </c>
      <c r="G83" s="60">
        <f>+G87*G86</f>
        <v>10945.90199</v>
      </c>
      <c r="H83" s="60">
        <f t="shared" ref="H83:R83" si="35">+H87*H86</f>
        <v>6088.6015499999985</v>
      </c>
      <c r="I83" s="60">
        <f t="shared" si="35"/>
        <v>8859.190849999999</v>
      </c>
      <c r="J83" s="60">
        <f t="shared" si="35"/>
        <v>8302.7175699999989</v>
      </c>
      <c r="K83" s="60">
        <f t="shared" si="35"/>
        <v>7652.9187300000003</v>
      </c>
      <c r="L83" s="60">
        <f t="shared" si="35"/>
        <v>19353.881370000003</v>
      </c>
      <c r="M83" s="60">
        <f t="shared" si="35"/>
        <v>15501.698059999999</v>
      </c>
      <c r="N83" s="60">
        <f t="shared" si="35"/>
        <v>18129.890549999996</v>
      </c>
      <c r="O83" s="60">
        <f t="shared" si="35"/>
        <v>24391.498759999999</v>
      </c>
      <c r="P83" s="60">
        <f t="shared" si="35"/>
        <v>7253.6219899999996</v>
      </c>
      <c r="Q83" s="60">
        <f t="shared" si="35"/>
        <v>11627.244359999999</v>
      </c>
      <c r="R83" s="60">
        <f t="shared" si="35"/>
        <v>10566.244359999999</v>
      </c>
      <c r="S83" s="61">
        <f>SUM(G83:R83)</f>
        <v>148673.41014000002</v>
      </c>
      <c r="U83" s="13"/>
    </row>
    <row r="84" spans="3:25" ht="15" thickBot="1" x14ac:dyDescent="0.4">
      <c r="F84" s="62" t="s">
        <v>91</v>
      </c>
      <c r="G84" s="63">
        <f>+G78+G79-G80+G82-G83-G81</f>
        <v>126413.76593000001</v>
      </c>
      <c r="H84" s="63">
        <f t="shared" ref="H84:R84" si="36">+H78+H79-H80+H82-H83-H81</f>
        <v>124581.54250000001</v>
      </c>
      <c r="I84" s="63">
        <f t="shared" si="36"/>
        <v>125693.34957000001</v>
      </c>
      <c r="J84" s="63">
        <f t="shared" si="36"/>
        <v>118940.05202000003</v>
      </c>
      <c r="K84" s="63">
        <f t="shared" si="36"/>
        <v>108886.54931000003</v>
      </c>
      <c r="L84" s="63">
        <f t="shared" si="36"/>
        <v>88842.50056000003</v>
      </c>
      <c r="M84" s="63">
        <f t="shared" si="36"/>
        <v>76001.725520000036</v>
      </c>
      <c r="N84" s="63">
        <f t="shared" si="36"/>
        <v>95800.177390000041</v>
      </c>
      <c r="O84" s="63">
        <f t="shared" si="36"/>
        <v>155057.18365000005</v>
      </c>
      <c r="P84" s="63">
        <f t="shared" si="36"/>
        <v>137796.33908000006</v>
      </c>
      <c r="Q84" s="63">
        <f t="shared" si="36"/>
        <v>122804.97214000007</v>
      </c>
      <c r="R84" s="63">
        <f t="shared" si="36"/>
        <v>108526.60520000009</v>
      </c>
      <c r="S84" s="64"/>
      <c r="U84" s="13"/>
    </row>
    <row r="85" spans="3:25" ht="15" thickBot="1" x14ac:dyDescent="0.4">
      <c r="P85" s="8"/>
      <c r="Q85" s="8"/>
      <c r="R85" s="8"/>
      <c r="U85" s="13"/>
    </row>
    <row r="86" spans="3:25" x14ac:dyDescent="0.35">
      <c r="F86" s="65"/>
      <c r="G86" s="66">
        <v>1.0609999999999999</v>
      </c>
      <c r="H86" s="66">
        <v>1.0609999999999999</v>
      </c>
      <c r="I86" s="66">
        <v>1.0609999999999999</v>
      </c>
      <c r="J86" s="66">
        <v>1.0609999999999999</v>
      </c>
      <c r="K86" s="66">
        <v>1.0609999999999999</v>
      </c>
      <c r="L86" s="66">
        <v>1.0609999999999999</v>
      </c>
      <c r="M86" s="66">
        <v>1.0609999999999999</v>
      </c>
      <c r="N86" s="66">
        <v>1.0609999999999999</v>
      </c>
      <c r="O86" s="66">
        <v>1.0609999999999999</v>
      </c>
      <c r="P86" s="66">
        <v>1.0609999999999999</v>
      </c>
      <c r="Q86" s="66">
        <v>1.0609999999999999</v>
      </c>
      <c r="R86" s="66">
        <v>1.0609999999999999</v>
      </c>
      <c r="S86" s="67"/>
      <c r="U86" s="13"/>
    </row>
    <row r="87" spans="3:25" ht="15" thickBot="1" x14ac:dyDescent="0.4">
      <c r="F87" s="62" t="s">
        <v>120</v>
      </c>
      <c r="G87" s="68">
        <v>10316.59</v>
      </c>
      <c r="H87" s="68">
        <v>5738.5499999999993</v>
      </c>
      <c r="I87" s="68">
        <v>8349.85</v>
      </c>
      <c r="J87" s="68">
        <v>7825.37</v>
      </c>
      <c r="K87" s="68">
        <v>7212.93</v>
      </c>
      <c r="L87" s="68">
        <v>18241.170000000002</v>
      </c>
      <c r="M87" s="68">
        <v>14610.46</v>
      </c>
      <c r="N87" s="68">
        <v>17087.55</v>
      </c>
      <c r="O87" s="68">
        <v>22989.16</v>
      </c>
      <c r="P87" s="68">
        <v>6836.59</v>
      </c>
      <c r="Q87" s="68">
        <v>10958.76</v>
      </c>
      <c r="R87" s="68">
        <v>9958.76</v>
      </c>
      <c r="S87" s="69">
        <f>SUM(G87:R87)</f>
        <v>140125.74</v>
      </c>
      <c r="U87" s="13"/>
    </row>
    <row r="88" spans="3:25" x14ac:dyDescent="0.35">
      <c r="P88" s="8"/>
      <c r="Q88" s="8"/>
      <c r="R88" s="8"/>
      <c r="U88" s="13"/>
    </row>
    <row r="89" spans="3:25" x14ac:dyDescent="0.35">
      <c r="P89" s="8"/>
      <c r="Q89" s="8"/>
      <c r="R89" s="8"/>
      <c r="U89" s="13"/>
    </row>
    <row r="90" spans="3:25" x14ac:dyDescent="0.35">
      <c r="D90" s="41"/>
      <c r="E90" s="41"/>
      <c r="F90" s="41"/>
      <c r="J90" s="80"/>
      <c r="O90" s="80"/>
      <c r="P90" s="80"/>
      <c r="Q90" s="80"/>
      <c r="U90" s="3"/>
      <c r="V90" s="3"/>
      <c r="W90" s="3"/>
      <c r="X90" s="3"/>
      <c r="Y90" s="3"/>
    </row>
    <row r="91" spans="3:25" ht="24.5" thickBot="1" x14ac:dyDescent="0.4">
      <c r="C91" s="74"/>
      <c r="D91" s="74"/>
      <c r="E91" s="74"/>
      <c r="F91" s="70" t="s">
        <v>116</v>
      </c>
      <c r="G91" s="71" t="s">
        <v>95</v>
      </c>
      <c r="H91" s="71" t="s">
        <v>96</v>
      </c>
      <c r="I91" s="71" t="s">
        <v>97</v>
      </c>
      <c r="J91" s="72" t="s">
        <v>98</v>
      </c>
      <c r="K91" s="71" t="s">
        <v>99</v>
      </c>
      <c r="L91" s="71" t="s">
        <v>100</v>
      </c>
      <c r="M91" s="71" t="s">
        <v>101</v>
      </c>
      <c r="N91" s="71" t="s">
        <v>102</v>
      </c>
      <c r="O91" s="72" t="s">
        <v>103</v>
      </c>
      <c r="P91" s="72" t="s">
        <v>104</v>
      </c>
      <c r="Q91" s="72" t="s">
        <v>105</v>
      </c>
      <c r="R91" s="72" t="s">
        <v>106</v>
      </c>
      <c r="S91" s="73" t="s">
        <v>107</v>
      </c>
      <c r="U91" s="3"/>
      <c r="V91" s="3"/>
      <c r="W91" s="3"/>
      <c r="X91" s="3"/>
      <c r="Y91" s="3"/>
    </row>
    <row r="92" spans="3:25" ht="15" thickTop="1" x14ac:dyDescent="0.35">
      <c r="C92" s="78" t="s">
        <v>108</v>
      </c>
      <c r="D92" s="78"/>
      <c r="E92" s="74"/>
      <c r="F92" s="74"/>
      <c r="G92" s="74"/>
      <c r="H92" s="74"/>
      <c r="I92" s="74"/>
      <c r="J92" s="75"/>
      <c r="K92" s="75"/>
      <c r="L92" s="75"/>
      <c r="M92" s="75"/>
      <c r="N92" s="75"/>
      <c r="O92" s="75"/>
      <c r="P92" s="75"/>
      <c r="Q92" s="75"/>
      <c r="R92" s="75"/>
      <c r="S92" s="74"/>
      <c r="U92" s="42"/>
      <c r="V92" s="3"/>
      <c r="W92" s="3"/>
      <c r="X92" s="3"/>
      <c r="Y92" s="3"/>
    </row>
    <row r="93" spans="3:25" x14ac:dyDescent="0.35">
      <c r="C93" s="78"/>
      <c r="D93" s="78" t="s">
        <v>109</v>
      </c>
      <c r="E93" s="74"/>
      <c r="F93" s="76">
        <v>1000</v>
      </c>
      <c r="G93" s="77">
        <v>500</v>
      </c>
      <c r="H93" s="77">
        <v>500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  <c r="S93" s="76">
        <f>F93-SUM(G93:R93)</f>
        <v>0</v>
      </c>
      <c r="U93" s="42"/>
      <c r="V93" s="3"/>
      <c r="W93" s="3"/>
      <c r="X93" s="3"/>
      <c r="Y93" s="3"/>
    </row>
    <row r="94" spans="3:25" x14ac:dyDescent="0.35">
      <c r="C94" s="78"/>
      <c r="D94" s="78" t="s">
        <v>111</v>
      </c>
      <c r="E94" s="74"/>
      <c r="F94" s="76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/>
      <c r="O94" s="77"/>
      <c r="P94" s="77"/>
      <c r="Q94" s="77"/>
      <c r="R94" s="77"/>
      <c r="S94" s="76">
        <f>F94-SUM(G94:R94)</f>
        <v>0</v>
      </c>
      <c r="U94" s="42"/>
      <c r="V94" s="3"/>
      <c r="W94" s="3"/>
      <c r="X94" s="3"/>
      <c r="Y94" s="3"/>
    </row>
    <row r="95" spans="3:25" x14ac:dyDescent="0.35">
      <c r="C95" s="74"/>
      <c r="D95" s="78" t="s">
        <v>113</v>
      </c>
      <c r="E95" s="74"/>
      <c r="F95" s="76">
        <v>102928</v>
      </c>
      <c r="G95" s="77">
        <v>140</v>
      </c>
      <c r="H95" s="77">
        <v>140</v>
      </c>
      <c r="I95" s="77">
        <v>500</v>
      </c>
      <c r="J95" s="77">
        <v>500</v>
      </c>
      <c r="K95" s="77">
        <v>500</v>
      </c>
      <c r="L95" s="77">
        <v>500</v>
      </c>
      <c r="M95" s="77">
        <v>500</v>
      </c>
      <c r="N95" s="77">
        <v>500</v>
      </c>
      <c r="O95" s="77">
        <v>500</v>
      </c>
      <c r="P95" s="77">
        <v>500</v>
      </c>
      <c r="Q95" s="77">
        <v>500</v>
      </c>
      <c r="R95" s="77">
        <v>500</v>
      </c>
      <c r="S95" s="76">
        <f>F95-SUM(G95:R95)</f>
        <v>97648</v>
      </c>
      <c r="U95" s="43"/>
      <c r="V95" s="43"/>
      <c r="W95" s="44"/>
    </row>
    <row r="96" spans="3:25" x14ac:dyDescent="0.35">
      <c r="C96" s="79"/>
      <c r="D96" s="79"/>
      <c r="E96" s="79" t="s">
        <v>118</v>
      </c>
      <c r="F96" s="76">
        <f>+F95+F93</f>
        <v>103928</v>
      </c>
      <c r="G96" s="76">
        <f t="shared" ref="G96:S96" si="37">+G95+G93</f>
        <v>640</v>
      </c>
      <c r="H96" s="76">
        <f t="shared" si="37"/>
        <v>640</v>
      </c>
      <c r="I96" s="76">
        <f t="shared" si="37"/>
        <v>500</v>
      </c>
      <c r="J96" s="76">
        <f t="shared" si="37"/>
        <v>500</v>
      </c>
      <c r="K96" s="76">
        <f t="shared" si="37"/>
        <v>500</v>
      </c>
      <c r="L96" s="76">
        <f t="shared" si="37"/>
        <v>500</v>
      </c>
      <c r="M96" s="76">
        <f t="shared" si="37"/>
        <v>500</v>
      </c>
      <c r="N96" s="76">
        <f t="shared" si="37"/>
        <v>500</v>
      </c>
      <c r="O96" s="76">
        <f t="shared" si="37"/>
        <v>500</v>
      </c>
      <c r="P96" s="76">
        <f t="shared" si="37"/>
        <v>500</v>
      </c>
      <c r="Q96" s="76">
        <f t="shared" si="37"/>
        <v>500</v>
      </c>
      <c r="R96" s="76">
        <f t="shared" si="37"/>
        <v>500</v>
      </c>
      <c r="S96" s="76">
        <f t="shared" si="37"/>
        <v>97648</v>
      </c>
      <c r="T96" s="46"/>
      <c r="U96" s="13"/>
    </row>
    <row r="97" spans="3:21" x14ac:dyDescent="0.35">
      <c r="C97" s="79"/>
      <c r="D97" s="79"/>
      <c r="E97" s="79"/>
      <c r="F97" s="45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7"/>
      <c r="U97" s="13"/>
    </row>
    <row r="98" spans="3:21" x14ac:dyDescent="0.35">
      <c r="C98" s="79"/>
      <c r="D98" s="78" t="s">
        <v>109</v>
      </c>
      <c r="E98" s="74"/>
      <c r="F98" s="48" t="s">
        <v>117</v>
      </c>
      <c r="G98" s="49" t="s">
        <v>110</v>
      </c>
      <c r="H98" s="50"/>
      <c r="I98" s="50"/>
      <c r="J98" s="50"/>
      <c r="K98" s="46"/>
      <c r="L98" s="46"/>
      <c r="M98" s="46"/>
      <c r="N98" s="46"/>
      <c r="O98" s="46"/>
      <c r="P98" s="46"/>
      <c r="Q98" s="46"/>
      <c r="R98" s="46"/>
      <c r="S98" s="46"/>
      <c r="T98" s="46"/>
    </row>
    <row r="99" spans="3:21" x14ac:dyDescent="0.35">
      <c r="C99" s="79"/>
      <c r="D99" s="78" t="s">
        <v>111</v>
      </c>
      <c r="E99" s="74"/>
      <c r="F99" s="45">
        <v>0</v>
      </c>
      <c r="G99" s="49" t="s">
        <v>112</v>
      </c>
      <c r="H99" s="50"/>
      <c r="I99" s="50"/>
      <c r="J99" s="50"/>
      <c r="K99" s="46"/>
      <c r="L99" s="46"/>
      <c r="M99" s="46"/>
      <c r="N99" s="46"/>
      <c r="O99" s="46"/>
      <c r="P99" s="46"/>
      <c r="Q99" s="46"/>
      <c r="R99" s="46"/>
      <c r="S99" s="46"/>
      <c r="T99" s="46"/>
    </row>
    <row r="100" spans="3:21" x14ac:dyDescent="0.35">
      <c r="C100" s="79"/>
      <c r="D100" s="78" t="s">
        <v>113</v>
      </c>
      <c r="E100" s="74"/>
      <c r="F100" s="45">
        <v>102928</v>
      </c>
      <c r="G100" s="49" t="s">
        <v>114</v>
      </c>
      <c r="H100" s="50"/>
      <c r="I100" s="50"/>
      <c r="J100" s="50"/>
      <c r="K100" s="46"/>
      <c r="L100" s="46"/>
      <c r="M100" s="46"/>
      <c r="N100" s="46"/>
      <c r="O100" s="46"/>
      <c r="P100" s="46"/>
      <c r="Q100" s="46"/>
      <c r="R100" s="46"/>
      <c r="S100" s="46"/>
      <c r="T100" s="46"/>
    </row>
    <row r="101" spans="3:21" x14ac:dyDescent="0.35">
      <c r="D101" s="79"/>
      <c r="E101" s="79"/>
      <c r="F101" s="79" t="s">
        <v>115</v>
      </c>
      <c r="G101" s="44"/>
      <c r="H101" s="44"/>
      <c r="I101" s="44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44"/>
    </row>
  </sheetData>
  <mergeCells count="1">
    <mergeCell ref="A1:T1"/>
  </mergeCells>
  <phoneticPr fontId="5" type="noConversion"/>
  <pageMargins left="0" right="0" top="0.25" bottom="0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T1" sqref="T1:T73"/>
    </sheetView>
  </sheetViews>
  <sheetFormatPr defaultRowHeight="14.5" x14ac:dyDescent="0.35"/>
  <cols>
    <col min="2" max="2" width="8.984375E-2" customWidth="1"/>
    <col min="3" max="4" width="0.1796875" customWidth="1"/>
    <col min="5" max="5" width="0.54296875" customWidth="1"/>
    <col min="6" max="6" width="2.81640625" customWidth="1"/>
    <col min="7" max="7" width="28.36328125" bestFit="1" customWidth="1"/>
    <col min="16" max="16" width="10" bestFit="1" customWidth="1"/>
    <col min="17" max="17" width="9.6328125" bestFit="1" customWidth="1"/>
    <col min="18" max="18" width="10.08984375" bestFit="1" customWidth="1"/>
    <col min="19" max="19" width="9.6328125" bestFit="1" customWidth="1"/>
    <col min="20" max="20" width="10" bestFit="1" customWidth="1"/>
  </cols>
  <sheetData>
    <row r="1" spans="2:20" x14ac:dyDescent="0.35">
      <c r="H1" s="10">
        <v>44672</v>
      </c>
      <c r="I1" s="10">
        <v>44702</v>
      </c>
      <c r="J1" s="10">
        <v>44733</v>
      </c>
      <c r="K1" s="10">
        <v>44763</v>
      </c>
      <c r="L1" s="10">
        <v>44794</v>
      </c>
      <c r="M1" s="10">
        <v>44825</v>
      </c>
      <c r="N1" s="10">
        <v>44855</v>
      </c>
      <c r="O1" s="10">
        <v>44886</v>
      </c>
      <c r="P1" s="10">
        <v>44916</v>
      </c>
      <c r="Q1" s="10">
        <v>44583</v>
      </c>
      <c r="R1" s="10">
        <v>44614</v>
      </c>
      <c r="S1" s="10">
        <v>44642</v>
      </c>
      <c r="T1" t="s">
        <v>0</v>
      </c>
    </row>
    <row r="2" spans="2:20" x14ac:dyDescent="0.35">
      <c r="B2" t="s">
        <v>1</v>
      </c>
    </row>
    <row r="3" spans="2:20" x14ac:dyDescent="0.35">
      <c r="D3" t="s">
        <v>2</v>
      </c>
    </row>
    <row r="4" spans="2:20" x14ac:dyDescent="0.35">
      <c r="E4" t="s">
        <v>3</v>
      </c>
    </row>
    <row r="5" spans="2:20" x14ac:dyDescent="0.35">
      <c r="F5" t="s">
        <v>4</v>
      </c>
      <c r="H5" s="11">
        <v>13161.26</v>
      </c>
      <c r="I5" s="11">
        <v>18064.3</v>
      </c>
      <c r="J5" s="11">
        <v>16118.08</v>
      </c>
      <c r="K5" s="11">
        <v>16801.830000000002</v>
      </c>
      <c r="L5" s="11">
        <v>14018.63</v>
      </c>
      <c r="M5" s="11">
        <v>13551.77</v>
      </c>
      <c r="N5" s="11">
        <v>19840.23</v>
      </c>
      <c r="O5" s="11">
        <v>40503.230000000003</v>
      </c>
      <c r="P5" s="11">
        <v>100150.91</v>
      </c>
      <c r="Q5" s="11">
        <v>8000</v>
      </c>
      <c r="R5" s="11">
        <v>12600</v>
      </c>
      <c r="S5" s="11">
        <v>11250</v>
      </c>
      <c r="T5" s="11">
        <v>284060.24</v>
      </c>
    </row>
    <row r="6" spans="2:20" x14ac:dyDescent="0.35">
      <c r="F6" t="s">
        <v>5</v>
      </c>
    </row>
    <row r="7" spans="2:20" x14ac:dyDescent="0.35">
      <c r="G7" t="s">
        <v>6</v>
      </c>
      <c r="H7">
        <v>0</v>
      </c>
      <c r="I7">
        <v>0</v>
      </c>
      <c r="J7">
        <v>0</v>
      </c>
      <c r="K7">
        <v>0</v>
      </c>
      <c r="L7">
        <v>0</v>
      </c>
      <c r="M7" s="11">
        <v>4616.1499999999996</v>
      </c>
      <c r="N7">
        <v>104.97</v>
      </c>
      <c r="O7" s="11">
        <v>2814.94</v>
      </c>
      <c r="P7" s="11">
        <v>4045.7</v>
      </c>
      <c r="Q7" t="s">
        <v>83</v>
      </c>
      <c r="R7" t="s">
        <v>83</v>
      </c>
      <c r="S7" t="s">
        <v>83</v>
      </c>
      <c r="T7" s="11">
        <v>11581.76</v>
      </c>
    </row>
    <row r="8" spans="2:20" x14ac:dyDescent="0.35">
      <c r="G8" t="s">
        <v>7</v>
      </c>
      <c r="H8">
        <v>72.5</v>
      </c>
      <c r="I8">
        <v>30.99</v>
      </c>
      <c r="J8">
        <v>0</v>
      </c>
      <c r="K8">
        <v>21.37</v>
      </c>
      <c r="L8">
        <v>31.57</v>
      </c>
      <c r="M8">
        <v>18.739999999999998</v>
      </c>
      <c r="N8">
        <v>8.75</v>
      </c>
      <c r="O8">
        <v>22.5</v>
      </c>
      <c r="P8">
        <v>208.37</v>
      </c>
      <c r="Q8">
        <v>30</v>
      </c>
      <c r="R8">
        <v>30</v>
      </c>
      <c r="S8">
        <v>30</v>
      </c>
      <c r="T8">
        <v>504.79</v>
      </c>
    </row>
    <row r="9" spans="2:20" x14ac:dyDescent="0.35">
      <c r="F9" t="s">
        <v>8</v>
      </c>
      <c r="H9">
        <v>72.5</v>
      </c>
      <c r="I9">
        <v>30.99</v>
      </c>
      <c r="J9">
        <v>0</v>
      </c>
      <c r="K9">
        <v>21.37</v>
      </c>
      <c r="L9">
        <v>31.57</v>
      </c>
      <c r="M9" s="11">
        <v>4634.8900000000003</v>
      </c>
      <c r="N9">
        <v>113.72</v>
      </c>
      <c r="O9" s="11">
        <v>2837.44</v>
      </c>
      <c r="P9" s="11">
        <v>4254.07</v>
      </c>
      <c r="Q9">
        <v>30</v>
      </c>
      <c r="R9">
        <v>30</v>
      </c>
      <c r="S9">
        <v>30</v>
      </c>
      <c r="T9" s="11">
        <v>12086.55</v>
      </c>
    </row>
    <row r="10" spans="2:20" x14ac:dyDescent="0.35">
      <c r="E10" t="s">
        <v>9</v>
      </c>
      <c r="H10" s="11">
        <v>13233.76</v>
      </c>
      <c r="I10" s="11">
        <v>18095.29</v>
      </c>
      <c r="J10" s="11">
        <v>16118.08</v>
      </c>
      <c r="K10" s="11">
        <v>16823.2</v>
      </c>
      <c r="L10" s="11">
        <v>14050.2</v>
      </c>
      <c r="M10" s="11">
        <v>18186.66</v>
      </c>
      <c r="N10" s="11">
        <v>19953.95</v>
      </c>
      <c r="O10" s="11">
        <v>43340.67</v>
      </c>
      <c r="P10" s="11">
        <v>104404.98</v>
      </c>
      <c r="Q10" s="11">
        <v>8030</v>
      </c>
      <c r="R10" s="11">
        <v>12630</v>
      </c>
      <c r="S10" s="11">
        <v>11280</v>
      </c>
      <c r="T10" s="11">
        <v>296146.78999999998</v>
      </c>
    </row>
    <row r="11" spans="2:20" x14ac:dyDescent="0.35">
      <c r="D11" t="s">
        <v>10</v>
      </c>
      <c r="H11" s="11">
        <v>13233.76</v>
      </c>
      <c r="I11" s="11">
        <v>18095.29</v>
      </c>
      <c r="J11" s="11">
        <v>16118.08</v>
      </c>
      <c r="K11" s="11">
        <v>16823.2</v>
      </c>
      <c r="L11" s="11">
        <v>14050.2</v>
      </c>
      <c r="M11" s="11">
        <v>18186.66</v>
      </c>
      <c r="N11" s="11">
        <v>19953.95</v>
      </c>
      <c r="O11" s="11">
        <v>43340.67</v>
      </c>
      <c r="P11" s="11">
        <v>104404.98</v>
      </c>
      <c r="Q11" s="11">
        <v>8030</v>
      </c>
      <c r="R11" s="11">
        <v>12630</v>
      </c>
      <c r="S11" s="11">
        <v>11280</v>
      </c>
      <c r="T11" s="11">
        <v>296146.78999999998</v>
      </c>
    </row>
    <row r="12" spans="2:20" x14ac:dyDescent="0.35">
      <c r="D12" t="s">
        <v>11</v>
      </c>
    </row>
    <row r="13" spans="2:20" x14ac:dyDescent="0.35">
      <c r="E13" t="s">
        <v>12</v>
      </c>
    </row>
    <row r="14" spans="2:20" x14ac:dyDescent="0.35">
      <c r="F14" t="s">
        <v>13</v>
      </c>
      <c r="H14" s="11">
        <v>6455.9</v>
      </c>
      <c r="I14" s="11">
        <v>8297.31</v>
      </c>
      <c r="J14" s="11">
        <v>7352.19</v>
      </c>
      <c r="K14" s="11">
        <v>7861.16</v>
      </c>
      <c r="L14" s="11">
        <v>6473.95</v>
      </c>
      <c r="M14" s="11">
        <v>8486.15</v>
      </c>
      <c r="N14" s="11">
        <v>9518.5</v>
      </c>
      <c r="O14" s="11">
        <v>21724.85</v>
      </c>
      <c r="P14" s="11">
        <v>47768.81</v>
      </c>
      <c r="Q14" s="11">
        <v>4015</v>
      </c>
      <c r="R14" s="11">
        <v>6315</v>
      </c>
      <c r="S14" s="11">
        <v>5640</v>
      </c>
      <c r="T14" s="11">
        <v>139908.82</v>
      </c>
    </row>
    <row r="15" spans="2:20" x14ac:dyDescent="0.35">
      <c r="E15" t="s">
        <v>14</v>
      </c>
      <c r="H15" s="11">
        <v>6455.9</v>
      </c>
      <c r="I15" s="11">
        <v>8297.31</v>
      </c>
      <c r="J15" s="11">
        <v>7352.19</v>
      </c>
      <c r="K15" s="11">
        <v>7861.16</v>
      </c>
      <c r="L15" s="11">
        <v>6473.95</v>
      </c>
      <c r="M15" s="11">
        <v>8486.15</v>
      </c>
      <c r="N15" s="11">
        <v>9518.5</v>
      </c>
      <c r="O15" s="11">
        <v>21724.85</v>
      </c>
      <c r="P15" s="11">
        <v>47768.81</v>
      </c>
      <c r="Q15" s="11">
        <v>4015</v>
      </c>
      <c r="R15" s="11">
        <v>6315</v>
      </c>
      <c r="S15" s="11">
        <v>5640</v>
      </c>
      <c r="T15" s="11">
        <v>139908.82</v>
      </c>
    </row>
    <row r="16" spans="2:20" x14ac:dyDescent="0.35">
      <c r="D16" t="s">
        <v>15</v>
      </c>
      <c r="H16" s="11">
        <v>6455.9</v>
      </c>
      <c r="I16" s="11">
        <v>8297.31</v>
      </c>
      <c r="J16" s="11">
        <v>7352.19</v>
      </c>
      <c r="K16" s="11">
        <v>7861.16</v>
      </c>
      <c r="L16" s="11">
        <v>6473.95</v>
      </c>
      <c r="M16" s="11">
        <v>8486.15</v>
      </c>
      <c r="N16" s="11">
        <v>9518.5</v>
      </c>
      <c r="O16" s="11">
        <v>21724.85</v>
      </c>
      <c r="P16" s="11">
        <v>47768.81</v>
      </c>
      <c r="Q16" s="11">
        <v>4015</v>
      </c>
      <c r="R16" s="11">
        <v>6315</v>
      </c>
      <c r="S16" s="11">
        <v>5640</v>
      </c>
      <c r="T16" s="11">
        <v>139908.82</v>
      </c>
    </row>
    <row r="17" spans="3:20" x14ac:dyDescent="0.35">
      <c r="C17" t="s">
        <v>16</v>
      </c>
      <c r="H17" s="11">
        <v>6777.86</v>
      </c>
      <c r="I17" s="11">
        <v>9797.98</v>
      </c>
      <c r="J17" s="11">
        <v>8765.89</v>
      </c>
      <c r="K17" s="11">
        <v>8962.0400000000009</v>
      </c>
      <c r="L17" s="11">
        <v>7576.25</v>
      </c>
      <c r="M17" s="11">
        <v>9700.51</v>
      </c>
      <c r="N17" s="11">
        <v>10435.450000000001</v>
      </c>
      <c r="O17" s="11">
        <v>21615.82</v>
      </c>
      <c r="P17" s="11">
        <v>56636.17</v>
      </c>
      <c r="Q17" s="11">
        <v>4015</v>
      </c>
      <c r="R17" s="11">
        <v>6315</v>
      </c>
      <c r="S17" s="11">
        <v>5640</v>
      </c>
      <c r="T17" s="11">
        <v>156237.97</v>
      </c>
    </row>
    <row r="18" spans="3:20" x14ac:dyDescent="0.35">
      <c r="D18" t="s">
        <v>17</v>
      </c>
    </row>
    <row r="19" spans="3:20" x14ac:dyDescent="0.35">
      <c r="E19" t="s">
        <v>18</v>
      </c>
    </row>
    <row r="20" spans="3:20" x14ac:dyDescent="0.35">
      <c r="F20" t="s">
        <v>19</v>
      </c>
    </row>
    <row r="21" spans="3:20" x14ac:dyDescent="0.35">
      <c r="G21" t="s">
        <v>20</v>
      </c>
      <c r="H21" s="11">
        <v>3422.71</v>
      </c>
      <c r="I21" s="11">
        <v>1742.12</v>
      </c>
      <c r="J21" s="11">
        <v>4828.38</v>
      </c>
      <c r="K21" s="11">
        <v>3351.22</v>
      </c>
      <c r="L21" s="11">
        <v>3491.75</v>
      </c>
      <c r="M21" s="11">
        <v>3379.12</v>
      </c>
      <c r="N21" s="11">
        <v>3379.11</v>
      </c>
      <c r="O21" s="11">
        <v>3311.53</v>
      </c>
      <c r="P21" s="11">
        <v>3671.97</v>
      </c>
      <c r="Q21" s="12">
        <v>3379</v>
      </c>
      <c r="R21" s="12">
        <v>4212</v>
      </c>
      <c r="S21" s="12">
        <v>4167</v>
      </c>
      <c r="T21" s="11">
        <v>42335.91</v>
      </c>
    </row>
    <row r="22" spans="3:20" x14ac:dyDescent="0.35">
      <c r="G22" t="s">
        <v>21</v>
      </c>
      <c r="H22">
        <v>803.01</v>
      </c>
      <c r="I22">
        <v>504.14</v>
      </c>
      <c r="J22" s="11">
        <v>1730.91</v>
      </c>
      <c r="K22" s="11">
        <v>1347.06</v>
      </c>
      <c r="L22" s="11">
        <v>1281.02</v>
      </c>
      <c r="M22" s="11">
        <v>1659.71</v>
      </c>
      <c r="N22" s="11">
        <v>1422.72</v>
      </c>
      <c r="O22" s="11">
        <v>1883.55</v>
      </c>
      <c r="P22" s="11">
        <v>2227.7199999999998</v>
      </c>
      <c r="Q22" s="12">
        <v>1390</v>
      </c>
      <c r="R22" s="12">
        <v>1390</v>
      </c>
      <c r="S22" s="12">
        <v>1390</v>
      </c>
      <c r="T22" s="11">
        <v>17029.84</v>
      </c>
    </row>
    <row r="23" spans="3:20" x14ac:dyDescent="0.35">
      <c r="G23" t="s">
        <v>22</v>
      </c>
      <c r="H23" s="11">
        <v>1145.5999999999999</v>
      </c>
      <c r="I23">
        <v>674.72</v>
      </c>
      <c r="J23" s="11">
        <v>2085.92</v>
      </c>
      <c r="K23" s="11">
        <v>1242.8800000000001</v>
      </c>
      <c r="L23" s="11">
        <v>1539.2</v>
      </c>
      <c r="M23" s="11">
        <v>1561.92</v>
      </c>
      <c r="N23" s="11">
        <v>1940.32</v>
      </c>
      <c r="O23" s="11">
        <v>2084.96</v>
      </c>
      <c r="P23" s="11">
        <v>2248.48</v>
      </c>
      <c r="Q23" s="12">
        <v>1564</v>
      </c>
      <c r="R23" s="12">
        <v>1564</v>
      </c>
      <c r="S23" s="12">
        <v>1900</v>
      </c>
      <c r="T23" s="11">
        <v>19552</v>
      </c>
    </row>
    <row r="24" spans="3:20" x14ac:dyDescent="0.35">
      <c r="G24" t="s">
        <v>23</v>
      </c>
      <c r="H24">
        <v>180.95</v>
      </c>
      <c r="I24">
        <v>99.13</v>
      </c>
      <c r="J24">
        <v>387.5</v>
      </c>
      <c r="K24">
        <v>235.16</v>
      </c>
      <c r="L24">
        <v>184.07</v>
      </c>
      <c r="M24">
        <v>224.17</v>
      </c>
      <c r="N24">
        <v>255.28</v>
      </c>
      <c r="O24">
        <v>143.5</v>
      </c>
      <c r="P24">
        <v>351.51</v>
      </c>
      <c r="Q24" s="12">
        <v>265</v>
      </c>
      <c r="R24" s="12">
        <v>265</v>
      </c>
      <c r="S24" s="12">
        <v>265</v>
      </c>
      <c r="T24" s="11">
        <v>2856.27</v>
      </c>
    </row>
    <row r="25" spans="3:20" x14ac:dyDescent="0.35">
      <c r="G25" t="s">
        <v>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84</v>
      </c>
      <c r="R25" t="s">
        <v>84</v>
      </c>
      <c r="S25" s="12">
        <v>260</v>
      </c>
      <c r="T25">
        <v>260</v>
      </c>
    </row>
    <row r="26" spans="3:20" x14ac:dyDescent="0.35">
      <c r="G26" t="s">
        <v>25</v>
      </c>
      <c r="H26">
        <v>424.76</v>
      </c>
      <c r="I26">
        <v>231.04</v>
      </c>
      <c r="J26">
        <v>691.01</v>
      </c>
      <c r="K26">
        <v>472.5</v>
      </c>
      <c r="L26">
        <v>486.92</v>
      </c>
      <c r="M26">
        <v>532.14</v>
      </c>
      <c r="N26">
        <v>535.26</v>
      </c>
      <c r="O26">
        <v>567.92999999999995</v>
      </c>
      <c r="P26">
        <v>650.22</v>
      </c>
      <c r="Q26" s="12">
        <v>504.75</v>
      </c>
      <c r="R26" s="12">
        <v>610.62</v>
      </c>
      <c r="S26" s="12">
        <v>504.75</v>
      </c>
      <c r="T26" s="11">
        <v>6211.9</v>
      </c>
    </row>
    <row r="27" spans="3:20" x14ac:dyDescent="0.35">
      <c r="G27" t="s">
        <v>26</v>
      </c>
      <c r="H27">
        <v>55</v>
      </c>
      <c r="I27">
        <v>55</v>
      </c>
      <c r="J27">
        <v>55</v>
      </c>
      <c r="K27">
        <v>55</v>
      </c>
      <c r="L27">
        <v>55</v>
      </c>
      <c r="M27">
        <v>55</v>
      </c>
      <c r="N27">
        <v>-25</v>
      </c>
      <c r="O27">
        <v>135</v>
      </c>
      <c r="P27">
        <v>55</v>
      </c>
      <c r="Q27" s="12">
        <v>55</v>
      </c>
      <c r="R27" s="12">
        <v>55</v>
      </c>
      <c r="S27" s="12">
        <v>55</v>
      </c>
      <c r="T27">
        <v>660</v>
      </c>
    </row>
    <row r="28" spans="3:20" x14ac:dyDescent="0.35">
      <c r="F28" t="s">
        <v>27</v>
      </c>
      <c r="H28" s="11">
        <v>6032.03</v>
      </c>
      <c r="I28" s="11">
        <v>3306.15</v>
      </c>
      <c r="J28" s="11">
        <v>9778.7199999999993</v>
      </c>
      <c r="K28" s="11">
        <v>6703.82</v>
      </c>
      <c r="L28" s="11">
        <v>7037.96</v>
      </c>
      <c r="M28" s="11">
        <v>7412.06</v>
      </c>
      <c r="N28" s="11">
        <v>7507.69</v>
      </c>
      <c r="O28" s="11">
        <v>8126.47</v>
      </c>
      <c r="P28" s="11">
        <v>9204.9</v>
      </c>
      <c r="Q28" s="11">
        <v>7157.75</v>
      </c>
      <c r="R28" s="11">
        <v>8096.62</v>
      </c>
      <c r="S28" s="11">
        <v>8541.75</v>
      </c>
      <c r="T28" s="11">
        <v>88905.919999999998</v>
      </c>
    </row>
    <row r="29" spans="3:20" x14ac:dyDescent="0.35">
      <c r="F29" t="s">
        <v>28</v>
      </c>
      <c r="H29">
        <v>442.38</v>
      </c>
      <c r="I29" s="11">
        <v>1351.5</v>
      </c>
      <c r="J29">
        <v>520</v>
      </c>
      <c r="K29">
        <v>260</v>
      </c>
      <c r="L29">
        <v>260</v>
      </c>
      <c r="M29">
        <v>260</v>
      </c>
      <c r="N29" s="11">
        <v>1420</v>
      </c>
      <c r="O29" s="11">
        <v>2309.2800000000002</v>
      </c>
      <c r="P29">
        <v>802</v>
      </c>
      <c r="Q29" s="12">
        <v>4150</v>
      </c>
      <c r="R29" s="12">
        <v>260</v>
      </c>
      <c r="S29" s="12">
        <v>260</v>
      </c>
      <c r="T29" s="11">
        <v>12295.16</v>
      </c>
    </row>
    <row r="30" spans="3:20" x14ac:dyDescent="0.35">
      <c r="F30" t="s">
        <v>29</v>
      </c>
      <c r="H30">
        <v>204.64</v>
      </c>
      <c r="I30">
        <v>309.18</v>
      </c>
      <c r="J30">
        <v>376.07</v>
      </c>
      <c r="K30">
        <v>286.31</v>
      </c>
      <c r="L30">
        <v>339.93</v>
      </c>
      <c r="M30">
        <v>275.58</v>
      </c>
      <c r="N30">
        <v>380.49</v>
      </c>
      <c r="O30">
        <v>415.73</v>
      </c>
      <c r="P30">
        <v>873.04</v>
      </c>
      <c r="Q30" s="12">
        <v>2088.1</v>
      </c>
      <c r="R30" s="12">
        <v>160.6</v>
      </c>
      <c r="S30" s="12">
        <v>252.6</v>
      </c>
      <c r="T30" s="11">
        <v>5962.27</v>
      </c>
    </row>
    <row r="31" spans="3:20" x14ac:dyDescent="0.35">
      <c r="F31" t="s">
        <v>30</v>
      </c>
      <c r="H31">
        <v>43</v>
      </c>
      <c r="I31">
        <v>0</v>
      </c>
      <c r="J31" s="11">
        <v>1125</v>
      </c>
      <c r="K31">
        <v>0</v>
      </c>
      <c r="L31">
        <v>0</v>
      </c>
      <c r="M31" s="11">
        <v>2242</v>
      </c>
      <c r="N31">
        <v>967</v>
      </c>
      <c r="O31" s="11">
        <v>1393</v>
      </c>
      <c r="P31">
        <v>0</v>
      </c>
      <c r="Q31" t="s">
        <v>84</v>
      </c>
      <c r="R31" t="s">
        <v>84</v>
      </c>
      <c r="S31" t="s">
        <v>84</v>
      </c>
      <c r="T31" s="11">
        <v>5770</v>
      </c>
    </row>
    <row r="32" spans="3:20" x14ac:dyDescent="0.35">
      <c r="F32" t="s">
        <v>31</v>
      </c>
      <c r="T32">
        <v>0</v>
      </c>
    </row>
    <row r="33" spans="6:20" x14ac:dyDescent="0.35">
      <c r="G33" t="s">
        <v>32</v>
      </c>
      <c r="H33">
        <v>25</v>
      </c>
      <c r="I33">
        <v>25</v>
      </c>
      <c r="J33">
        <v>25</v>
      </c>
      <c r="K33">
        <v>25</v>
      </c>
      <c r="L33">
        <v>25</v>
      </c>
      <c r="M33">
        <v>25</v>
      </c>
      <c r="N33">
        <v>25</v>
      </c>
      <c r="O33">
        <v>25</v>
      </c>
      <c r="P33">
        <v>25</v>
      </c>
      <c r="Q33" s="12">
        <v>25</v>
      </c>
      <c r="R33" s="12">
        <v>25</v>
      </c>
      <c r="S33" s="12">
        <v>25</v>
      </c>
      <c r="T33">
        <v>300</v>
      </c>
    </row>
    <row r="34" spans="6:20" x14ac:dyDescent="0.35">
      <c r="G34" t="s">
        <v>33</v>
      </c>
      <c r="H34" s="11">
        <v>1368.5</v>
      </c>
      <c r="I34">
        <v>328.99</v>
      </c>
      <c r="J34">
        <v>69</v>
      </c>
      <c r="K34">
        <v>69</v>
      </c>
      <c r="L34">
        <v>69</v>
      </c>
      <c r="M34">
        <v>127.94</v>
      </c>
      <c r="N34">
        <v>69</v>
      </c>
      <c r="O34">
        <v>823.51</v>
      </c>
      <c r="P34">
        <v>69</v>
      </c>
      <c r="Q34" s="12">
        <v>69</v>
      </c>
      <c r="R34" s="12">
        <v>69</v>
      </c>
      <c r="S34" s="12">
        <v>69</v>
      </c>
      <c r="T34" s="11">
        <v>3200.94</v>
      </c>
    </row>
    <row r="35" spans="6:20" x14ac:dyDescent="0.35">
      <c r="F35" t="s">
        <v>34</v>
      </c>
      <c r="H35" s="11">
        <v>1393.5</v>
      </c>
      <c r="I35">
        <v>353.99</v>
      </c>
      <c r="J35">
        <v>94</v>
      </c>
      <c r="K35">
        <v>94</v>
      </c>
      <c r="L35">
        <v>94</v>
      </c>
      <c r="M35">
        <v>152.94</v>
      </c>
      <c r="N35">
        <v>94</v>
      </c>
      <c r="O35">
        <v>848.51</v>
      </c>
      <c r="P35">
        <v>94</v>
      </c>
      <c r="Q35">
        <v>94</v>
      </c>
      <c r="R35">
        <v>94</v>
      </c>
      <c r="S35">
        <v>94</v>
      </c>
      <c r="T35" s="11">
        <v>3500.94</v>
      </c>
    </row>
    <row r="36" spans="6:20" x14ac:dyDescent="0.35">
      <c r="F36" t="s">
        <v>35</v>
      </c>
      <c r="H36" s="11">
        <v>5750.36</v>
      </c>
      <c r="I36" s="11">
        <v>5750.36</v>
      </c>
      <c r="J36" s="11">
        <v>5655.36</v>
      </c>
      <c r="K36" s="11">
        <v>5750.36</v>
      </c>
      <c r="L36" s="11">
        <v>5750.36</v>
      </c>
      <c r="M36" s="11">
        <v>5750.36</v>
      </c>
      <c r="N36" s="11">
        <v>5750.36</v>
      </c>
      <c r="O36" s="11">
        <v>5750.36</v>
      </c>
      <c r="P36" s="11">
        <v>5750.36</v>
      </c>
      <c r="Q36" s="12">
        <v>5750.36</v>
      </c>
      <c r="R36" s="12">
        <v>5750.36</v>
      </c>
      <c r="S36" s="12">
        <v>5750.36</v>
      </c>
      <c r="T36" s="11">
        <v>68909.320000000007</v>
      </c>
    </row>
    <row r="37" spans="6:20" x14ac:dyDescent="0.35">
      <c r="F37" t="s">
        <v>36</v>
      </c>
      <c r="H37">
        <v>59</v>
      </c>
      <c r="I37">
        <v>10</v>
      </c>
      <c r="J37">
        <v>209.48</v>
      </c>
      <c r="K37">
        <v>379</v>
      </c>
      <c r="L37">
        <v>130</v>
      </c>
      <c r="M37">
        <v>49</v>
      </c>
      <c r="N37">
        <v>120</v>
      </c>
      <c r="O37">
        <v>59</v>
      </c>
      <c r="P37">
        <v>10</v>
      </c>
      <c r="Q37" s="12">
        <v>65</v>
      </c>
      <c r="R37" s="12">
        <v>2900</v>
      </c>
      <c r="S37" s="12">
        <v>65</v>
      </c>
      <c r="T37" s="11">
        <v>4055.48</v>
      </c>
    </row>
    <row r="38" spans="6:20" x14ac:dyDescent="0.35">
      <c r="F38" t="s">
        <v>37</v>
      </c>
      <c r="H38">
        <v>0</v>
      </c>
      <c r="I38">
        <v>219.73</v>
      </c>
      <c r="J38">
        <v>43.33</v>
      </c>
      <c r="K38">
        <v>580.42999999999995</v>
      </c>
      <c r="L38">
        <v>74.05</v>
      </c>
      <c r="M38">
        <v>559.57000000000005</v>
      </c>
      <c r="N38">
        <v>276.02</v>
      </c>
      <c r="O38">
        <v>144.9</v>
      </c>
      <c r="P38">
        <v>647.91</v>
      </c>
      <c r="Q38" s="12">
        <v>40</v>
      </c>
      <c r="R38" s="12">
        <v>40</v>
      </c>
      <c r="S38" s="12">
        <v>40</v>
      </c>
      <c r="T38" s="11">
        <v>2665.94</v>
      </c>
    </row>
    <row r="39" spans="6:20" x14ac:dyDescent="0.35">
      <c r="F39" t="s">
        <v>38</v>
      </c>
      <c r="H39">
        <v>0</v>
      </c>
      <c r="I39">
        <v>82.25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t="s">
        <v>84</v>
      </c>
      <c r="R39" t="s">
        <v>84</v>
      </c>
      <c r="S39" t="s">
        <v>84</v>
      </c>
      <c r="T39">
        <v>82.25</v>
      </c>
    </row>
    <row r="40" spans="6:20" x14ac:dyDescent="0.35">
      <c r="F40" t="s">
        <v>39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30.46</v>
      </c>
      <c r="P40">
        <v>135.53</v>
      </c>
      <c r="Q40" t="s">
        <v>84</v>
      </c>
      <c r="R40" t="s">
        <v>84</v>
      </c>
      <c r="S40" t="s">
        <v>84</v>
      </c>
      <c r="T40">
        <v>165.99</v>
      </c>
    </row>
    <row r="41" spans="6:20" x14ac:dyDescent="0.35">
      <c r="F41" t="s">
        <v>40</v>
      </c>
      <c r="T41">
        <v>0</v>
      </c>
    </row>
    <row r="42" spans="6:20" x14ac:dyDescent="0.35">
      <c r="G42" t="s">
        <v>41</v>
      </c>
      <c r="H42">
        <v>124.86</v>
      </c>
      <c r="I42">
        <v>62.51</v>
      </c>
      <c r="J42">
        <v>69.510000000000005</v>
      </c>
      <c r="K42">
        <v>56.45</v>
      </c>
      <c r="L42">
        <v>56.29</v>
      </c>
      <c r="M42">
        <v>56.29</v>
      </c>
      <c r="N42">
        <v>56.11</v>
      </c>
      <c r="O42">
        <v>56.11</v>
      </c>
      <c r="P42">
        <v>56.11</v>
      </c>
      <c r="Q42" s="12">
        <v>58</v>
      </c>
      <c r="R42" s="12">
        <v>58</v>
      </c>
      <c r="S42" s="12">
        <v>58</v>
      </c>
      <c r="T42">
        <v>768.24</v>
      </c>
    </row>
    <row r="43" spans="6:20" x14ac:dyDescent="0.35">
      <c r="G43" t="s">
        <v>42</v>
      </c>
      <c r="H43">
        <v>209.76</v>
      </c>
      <c r="I43">
        <v>198.41</v>
      </c>
      <c r="J43">
        <v>241.83</v>
      </c>
      <c r="K43">
        <v>400.7</v>
      </c>
      <c r="L43">
        <v>410.85</v>
      </c>
      <c r="M43">
        <v>392.4</v>
      </c>
      <c r="N43">
        <v>299.14</v>
      </c>
      <c r="O43">
        <v>235.71</v>
      </c>
      <c r="P43">
        <v>273.86</v>
      </c>
      <c r="Q43" s="12">
        <v>328</v>
      </c>
      <c r="R43" s="12">
        <v>328</v>
      </c>
      <c r="S43" s="12">
        <v>328</v>
      </c>
      <c r="T43" s="11">
        <v>3646.66</v>
      </c>
    </row>
    <row r="44" spans="6:20" x14ac:dyDescent="0.35">
      <c r="G44" t="s">
        <v>43</v>
      </c>
      <c r="H44">
        <v>79.819999999999993</v>
      </c>
      <c r="I44">
        <v>56.55</v>
      </c>
      <c r="J44">
        <v>50.14</v>
      </c>
      <c r="K44">
        <v>50.14</v>
      </c>
      <c r="L44">
        <v>50.14</v>
      </c>
      <c r="M44">
        <v>50.14</v>
      </c>
      <c r="N44">
        <v>50.14</v>
      </c>
      <c r="O44">
        <v>103.03</v>
      </c>
      <c r="P44">
        <v>215.5</v>
      </c>
      <c r="Q44" s="12">
        <v>200</v>
      </c>
      <c r="R44" s="12">
        <v>200</v>
      </c>
      <c r="S44" s="12">
        <v>200</v>
      </c>
      <c r="T44" s="11">
        <v>1305.5999999999999</v>
      </c>
    </row>
    <row r="45" spans="6:20" x14ac:dyDescent="0.35">
      <c r="G45" t="s">
        <v>44</v>
      </c>
      <c r="H45">
        <v>0</v>
      </c>
      <c r="I45">
        <v>0</v>
      </c>
      <c r="J45">
        <v>0</v>
      </c>
      <c r="K45">
        <v>0</v>
      </c>
      <c r="L45">
        <v>0</v>
      </c>
      <c r="M45">
        <v>0.2</v>
      </c>
      <c r="N45">
        <v>0</v>
      </c>
      <c r="O45">
        <v>0</v>
      </c>
      <c r="P45">
        <v>0</v>
      </c>
      <c r="Q45" t="s">
        <v>84</v>
      </c>
      <c r="R45" t="s">
        <v>84</v>
      </c>
      <c r="S45" t="s">
        <v>84</v>
      </c>
      <c r="T45">
        <v>0.2</v>
      </c>
    </row>
    <row r="46" spans="6:20" x14ac:dyDescent="0.35">
      <c r="G46" t="s">
        <v>45</v>
      </c>
      <c r="H46">
        <v>119.9</v>
      </c>
      <c r="I46">
        <v>64.95</v>
      </c>
      <c r="J46">
        <v>59.95</v>
      </c>
      <c r="K46">
        <v>59.95</v>
      </c>
      <c r="L46">
        <v>59.95</v>
      </c>
      <c r="M46">
        <v>59.95</v>
      </c>
      <c r="N46">
        <v>59.95</v>
      </c>
      <c r="O46">
        <v>59.95</v>
      </c>
      <c r="P46">
        <v>59.95</v>
      </c>
      <c r="Q46" s="12">
        <v>59.95</v>
      </c>
      <c r="R46" s="12">
        <v>59.95</v>
      </c>
      <c r="S46" s="12">
        <v>59.95</v>
      </c>
      <c r="T46">
        <v>784.35</v>
      </c>
    </row>
    <row r="47" spans="6:20" x14ac:dyDescent="0.35">
      <c r="G47" t="s">
        <v>46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t="s">
        <v>84</v>
      </c>
      <c r="R47" t="s">
        <v>84</v>
      </c>
      <c r="S47" t="s">
        <v>84</v>
      </c>
      <c r="T47">
        <v>0</v>
      </c>
    </row>
    <row r="48" spans="6:20" x14ac:dyDescent="0.35">
      <c r="F48" t="s">
        <v>47</v>
      </c>
      <c r="H48">
        <v>534.34</v>
      </c>
      <c r="I48">
        <v>382.42</v>
      </c>
      <c r="J48">
        <v>421.43</v>
      </c>
      <c r="K48">
        <v>567.24</v>
      </c>
      <c r="L48">
        <v>577.23</v>
      </c>
      <c r="M48">
        <v>558.98</v>
      </c>
      <c r="N48">
        <v>465.34</v>
      </c>
      <c r="O48">
        <v>454.8</v>
      </c>
      <c r="P48">
        <v>605.41999999999996</v>
      </c>
      <c r="Q48">
        <v>645.95000000000005</v>
      </c>
      <c r="R48">
        <v>645.95000000000005</v>
      </c>
      <c r="S48">
        <v>645.95000000000005</v>
      </c>
      <c r="T48" s="11">
        <v>6505.05</v>
      </c>
    </row>
    <row r="49" spans="5:20" x14ac:dyDescent="0.35">
      <c r="F49" t="s">
        <v>48</v>
      </c>
      <c r="H49">
        <v>0</v>
      </c>
      <c r="I49">
        <v>0</v>
      </c>
      <c r="J49">
        <v>312.56</v>
      </c>
      <c r="K49">
        <v>311.68</v>
      </c>
      <c r="L49">
        <v>310.81</v>
      </c>
      <c r="M49">
        <v>309.94</v>
      </c>
      <c r="N49">
        <v>309.07</v>
      </c>
      <c r="O49">
        <v>308.2</v>
      </c>
      <c r="P49">
        <v>307.33</v>
      </c>
      <c r="Q49" s="12">
        <v>308</v>
      </c>
      <c r="R49" s="12">
        <v>308</v>
      </c>
      <c r="S49" s="12">
        <v>308</v>
      </c>
      <c r="T49" s="11">
        <v>3093.59</v>
      </c>
    </row>
    <row r="50" spans="5:20" x14ac:dyDescent="0.35">
      <c r="F50" t="s">
        <v>49</v>
      </c>
      <c r="T50">
        <v>0</v>
      </c>
    </row>
    <row r="51" spans="5:20" x14ac:dyDescent="0.35">
      <c r="G51" t="s">
        <v>50</v>
      </c>
      <c r="H51">
        <v>0</v>
      </c>
      <c r="I51">
        <v>0</v>
      </c>
      <c r="J51">
        <v>0</v>
      </c>
      <c r="K51">
        <v>0</v>
      </c>
      <c r="L51">
        <v>57.3</v>
      </c>
      <c r="M51">
        <v>281.77</v>
      </c>
      <c r="N51">
        <v>5.48</v>
      </c>
      <c r="O51">
        <v>166.05</v>
      </c>
      <c r="P51">
        <v>64.290000000000006</v>
      </c>
      <c r="Q51" s="12">
        <v>75</v>
      </c>
      <c r="R51" s="12">
        <v>75</v>
      </c>
      <c r="S51" s="12">
        <v>75</v>
      </c>
      <c r="T51">
        <v>799.89</v>
      </c>
    </row>
    <row r="52" spans="5:20" x14ac:dyDescent="0.35">
      <c r="G52" t="s">
        <v>51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2</v>
      </c>
      <c r="O52">
        <v>0</v>
      </c>
      <c r="P52">
        <v>0</v>
      </c>
      <c r="Q52" t="s">
        <v>84</v>
      </c>
      <c r="R52" t="s">
        <v>84</v>
      </c>
      <c r="S52" t="s">
        <v>84</v>
      </c>
      <c r="T52">
        <v>2</v>
      </c>
    </row>
    <row r="53" spans="5:20" x14ac:dyDescent="0.35">
      <c r="G53" t="s">
        <v>52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-46.95</v>
      </c>
      <c r="Q53" t="s">
        <v>84</v>
      </c>
      <c r="R53" t="s">
        <v>84</v>
      </c>
      <c r="S53" t="s">
        <v>84</v>
      </c>
      <c r="T53">
        <v>-46.95</v>
      </c>
    </row>
    <row r="54" spans="5:20" x14ac:dyDescent="0.35">
      <c r="G54" t="s">
        <v>53</v>
      </c>
      <c r="H54">
        <v>0</v>
      </c>
      <c r="I54">
        <v>0</v>
      </c>
      <c r="J54">
        <v>0</v>
      </c>
      <c r="K54">
        <v>0</v>
      </c>
      <c r="L54">
        <v>0</v>
      </c>
      <c r="M54">
        <v>65</v>
      </c>
      <c r="N54">
        <v>0</v>
      </c>
      <c r="O54">
        <v>0</v>
      </c>
      <c r="P54">
        <v>0</v>
      </c>
      <c r="Q54" t="s">
        <v>84</v>
      </c>
      <c r="R54" t="s">
        <v>84</v>
      </c>
      <c r="S54" t="s">
        <v>84</v>
      </c>
      <c r="T54">
        <v>65</v>
      </c>
    </row>
    <row r="55" spans="5:20" x14ac:dyDescent="0.35">
      <c r="G55" t="s">
        <v>54</v>
      </c>
      <c r="H55">
        <v>1.2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-37.25</v>
      </c>
      <c r="P55">
        <v>37.25</v>
      </c>
      <c r="Q55" t="s">
        <v>84</v>
      </c>
      <c r="R55" t="s">
        <v>84</v>
      </c>
      <c r="S55" t="s">
        <v>84</v>
      </c>
      <c r="T55">
        <v>1.2</v>
      </c>
    </row>
    <row r="56" spans="5:20" x14ac:dyDescent="0.35">
      <c r="G56" t="s">
        <v>55</v>
      </c>
      <c r="H56">
        <v>0</v>
      </c>
      <c r="I56">
        <v>0</v>
      </c>
      <c r="J56">
        <v>0</v>
      </c>
      <c r="K56">
        <v>0</v>
      </c>
      <c r="L56">
        <v>0</v>
      </c>
      <c r="M56">
        <v>70.56</v>
      </c>
      <c r="N56">
        <v>0</v>
      </c>
      <c r="O56">
        <v>0</v>
      </c>
      <c r="P56">
        <v>0</v>
      </c>
      <c r="Q56" t="s">
        <v>84</v>
      </c>
      <c r="R56" t="s">
        <v>84</v>
      </c>
      <c r="S56" t="s">
        <v>84</v>
      </c>
      <c r="T56">
        <v>70.56</v>
      </c>
    </row>
    <row r="57" spans="5:20" x14ac:dyDescent="0.35">
      <c r="G57" t="s">
        <v>56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175</v>
      </c>
      <c r="O57">
        <v>0</v>
      </c>
      <c r="P57">
        <v>0</v>
      </c>
      <c r="Q57" t="s">
        <v>84</v>
      </c>
      <c r="R57" t="s">
        <v>84</v>
      </c>
      <c r="S57" t="s">
        <v>84</v>
      </c>
      <c r="T57">
        <v>175</v>
      </c>
    </row>
    <row r="58" spans="5:20" x14ac:dyDescent="0.35">
      <c r="G58" t="s">
        <v>57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72.62</v>
      </c>
      <c r="O58">
        <v>0</v>
      </c>
      <c r="P58">
        <v>0</v>
      </c>
      <c r="Q58" s="12">
        <v>30</v>
      </c>
      <c r="R58" s="12">
        <v>30</v>
      </c>
      <c r="S58" s="12">
        <v>30</v>
      </c>
      <c r="T58">
        <v>162.62</v>
      </c>
    </row>
    <row r="59" spans="5:20" x14ac:dyDescent="0.35">
      <c r="G59" t="s">
        <v>58</v>
      </c>
      <c r="H59">
        <v>84.38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t="s">
        <v>84</v>
      </c>
      <c r="R59" t="s">
        <v>84</v>
      </c>
      <c r="S59" t="s">
        <v>84</v>
      </c>
      <c r="T59">
        <v>84.38</v>
      </c>
    </row>
    <row r="60" spans="5:20" x14ac:dyDescent="0.35">
      <c r="G60" t="s">
        <v>59</v>
      </c>
      <c r="H60">
        <v>0</v>
      </c>
      <c r="I60">
        <v>9</v>
      </c>
      <c r="J60">
        <v>12.87</v>
      </c>
      <c r="K60">
        <v>13.13</v>
      </c>
      <c r="L60">
        <v>0</v>
      </c>
      <c r="M60">
        <v>124.22</v>
      </c>
      <c r="N60">
        <v>0</v>
      </c>
      <c r="O60">
        <v>0</v>
      </c>
      <c r="P60">
        <v>0</v>
      </c>
      <c r="Q60" t="s">
        <v>84</v>
      </c>
      <c r="R60" t="s">
        <v>84</v>
      </c>
      <c r="S60" t="s">
        <v>84</v>
      </c>
      <c r="T60">
        <v>159.22</v>
      </c>
    </row>
    <row r="61" spans="5:20" x14ac:dyDescent="0.35">
      <c r="F61" t="s">
        <v>60</v>
      </c>
      <c r="H61">
        <v>85.58</v>
      </c>
      <c r="I61">
        <v>9</v>
      </c>
      <c r="J61">
        <v>12.87</v>
      </c>
      <c r="K61">
        <v>13.13</v>
      </c>
      <c r="L61">
        <v>57.3</v>
      </c>
      <c r="M61">
        <v>541.54999999999995</v>
      </c>
      <c r="N61">
        <v>255.1</v>
      </c>
      <c r="O61">
        <v>128.80000000000001</v>
      </c>
      <c r="P61">
        <v>54.59</v>
      </c>
      <c r="Q61">
        <v>105</v>
      </c>
      <c r="R61">
        <v>105</v>
      </c>
      <c r="S61">
        <v>105</v>
      </c>
      <c r="T61" s="11">
        <v>1472.92</v>
      </c>
    </row>
    <row r="62" spans="5:20" x14ac:dyDescent="0.35">
      <c r="E62" t="s">
        <v>61</v>
      </c>
      <c r="H62" s="11">
        <v>14544.83</v>
      </c>
      <c r="I62" s="11">
        <v>11774.58</v>
      </c>
      <c r="J62" s="11">
        <v>18548.82</v>
      </c>
      <c r="K62" s="11">
        <v>14945.97</v>
      </c>
      <c r="L62" s="11">
        <v>14631.64</v>
      </c>
      <c r="M62" s="11">
        <v>18111.98</v>
      </c>
      <c r="N62" s="11">
        <v>17545.07</v>
      </c>
      <c r="O62" s="11">
        <v>19969.509999999998</v>
      </c>
      <c r="P62" s="11">
        <v>18485.080000000002</v>
      </c>
      <c r="Q62" s="11">
        <v>20404.16</v>
      </c>
      <c r="R62" s="11">
        <v>18360.53</v>
      </c>
      <c r="S62" s="11">
        <v>16062.66</v>
      </c>
      <c r="T62" s="11">
        <v>203384.83</v>
      </c>
    </row>
    <row r="63" spans="5:20" x14ac:dyDescent="0.35">
      <c r="E63" t="s">
        <v>62</v>
      </c>
      <c r="T63">
        <v>0</v>
      </c>
    </row>
    <row r="64" spans="5:20" x14ac:dyDescent="0.35">
      <c r="F64" t="s">
        <v>63</v>
      </c>
      <c r="H64">
        <v>0</v>
      </c>
      <c r="I64">
        <v>0</v>
      </c>
      <c r="J64">
        <v>0</v>
      </c>
      <c r="K64" s="11">
        <v>-2000</v>
      </c>
      <c r="L64" s="11">
        <v>-14570</v>
      </c>
      <c r="M64">
        <v>0</v>
      </c>
      <c r="N64">
        <v>0</v>
      </c>
      <c r="O64">
        <v>0</v>
      </c>
      <c r="P64">
        <v>0</v>
      </c>
      <c r="Q64" t="s">
        <v>84</v>
      </c>
      <c r="R64" t="s">
        <v>84</v>
      </c>
      <c r="S64" t="s">
        <v>84</v>
      </c>
      <c r="T64" s="11">
        <v>-16570</v>
      </c>
    </row>
    <row r="65" spans="1:20" x14ac:dyDescent="0.35">
      <c r="F65" t="s">
        <v>64</v>
      </c>
      <c r="T65">
        <v>0</v>
      </c>
    </row>
    <row r="66" spans="1:20" x14ac:dyDescent="0.35">
      <c r="G66" t="s">
        <v>65</v>
      </c>
      <c r="H66">
        <v>-173.86</v>
      </c>
      <c r="I66">
        <v>-299.20999999999998</v>
      </c>
      <c r="J66" s="11">
        <v>-8805.75</v>
      </c>
      <c r="K66">
        <v>-168.38</v>
      </c>
      <c r="L66">
        <v>-89.04</v>
      </c>
      <c r="M66">
        <v>-189.27</v>
      </c>
      <c r="N66">
        <v>-229</v>
      </c>
      <c r="O66">
        <v>-237.47</v>
      </c>
      <c r="P66">
        <v>-824.57</v>
      </c>
      <c r="Q66" t="s">
        <v>84</v>
      </c>
      <c r="R66" t="s">
        <v>84</v>
      </c>
      <c r="S66" t="s">
        <v>84</v>
      </c>
      <c r="T66" s="11">
        <v>-11016.55</v>
      </c>
    </row>
    <row r="67" spans="1:20" x14ac:dyDescent="0.35">
      <c r="G67" t="s">
        <v>66</v>
      </c>
      <c r="H67">
        <v>0</v>
      </c>
      <c r="I67">
        <v>-5</v>
      </c>
      <c r="J67">
        <v>0</v>
      </c>
      <c r="K67">
        <v>0</v>
      </c>
      <c r="L67">
        <v>-6.1</v>
      </c>
      <c r="M67">
        <v>0</v>
      </c>
      <c r="N67">
        <v>0</v>
      </c>
      <c r="O67">
        <v>0</v>
      </c>
      <c r="P67">
        <v>0</v>
      </c>
      <c r="Q67" t="s">
        <v>84</v>
      </c>
      <c r="R67" s="12">
        <v>-3100</v>
      </c>
      <c r="S67" t="s">
        <v>84</v>
      </c>
      <c r="T67" s="11">
        <v>-3111.1</v>
      </c>
    </row>
    <row r="68" spans="1:20" x14ac:dyDescent="0.35">
      <c r="F68" t="s">
        <v>67</v>
      </c>
      <c r="H68">
        <v>-173.86</v>
      </c>
      <c r="I68">
        <v>-304.20999999999998</v>
      </c>
      <c r="J68" s="11">
        <v>-8805.75</v>
      </c>
      <c r="K68">
        <v>-168.38</v>
      </c>
      <c r="L68">
        <v>-95.14</v>
      </c>
      <c r="M68">
        <v>-189.27</v>
      </c>
      <c r="N68">
        <v>-229</v>
      </c>
      <c r="O68">
        <v>-237.47</v>
      </c>
      <c r="P68">
        <v>-824.57</v>
      </c>
      <c r="Q68">
        <v>0</v>
      </c>
      <c r="R68" s="11">
        <v>-3100</v>
      </c>
      <c r="S68">
        <v>0</v>
      </c>
      <c r="T68" s="11">
        <v>-14127.65</v>
      </c>
    </row>
    <row r="69" spans="1:20" x14ac:dyDescent="0.35">
      <c r="F69" t="s">
        <v>68</v>
      </c>
      <c r="H69">
        <v>-0.12</v>
      </c>
      <c r="I69">
        <v>-0.13</v>
      </c>
      <c r="J69">
        <v>-0.12</v>
      </c>
      <c r="K69">
        <v>-0.13</v>
      </c>
      <c r="L69">
        <v>-0.13</v>
      </c>
      <c r="M69">
        <v>-0.12</v>
      </c>
      <c r="N69">
        <v>-0.13</v>
      </c>
      <c r="O69">
        <v>-0.12</v>
      </c>
      <c r="P69">
        <v>-0.13</v>
      </c>
      <c r="Q69" s="12">
        <v>-0.13</v>
      </c>
      <c r="R69" s="12">
        <v>-0.13</v>
      </c>
      <c r="S69" s="12">
        <v>-0.13</v>
      </c>
      <c r="T69">
        <v>-1.52</v>
      </c>
    </row>
    <row r="70" spans="1:20" x14ac:dyDescent="0.35">
      <c r="E70" t="s">
        <v>69</v>
      </c>
      <c r="H70">
        <v>-173.98</v>
      </c>
      <c r="I70">
        <v>-304.33999999999997</v>
      </c>
      <c r="J70" s="11">
        <v>-8805.8700000000008</v>
      </c>
      <c r="K70" s="11">
        <v>-2168.5100000000002</v>
      </c>
      <c r="L70" s="11">
        <v>-14665.27</v>
      </c>
      <c r="M70">
        <v>-189.39</v>
      </c>
      <c r="N70">
        <v>-229.13</v>
      </c>
      <c r="O70">
        <v>-237.59</v>
      </c>
      <c r="P70">
        <v>-824.7</v>
      </c>
      <c r="Q70">
        <v>-0.13</v>
      </c>
      <c r="R70" s="11">
        <v>-3100.13</v>
      </c>
      <c r="S70">
        <v>-0.13</v>
      </c>
      <c r="T70" s="11">
        <v>-30699.17</v>
      </c>
    </row>
    <row r="71" spans="1:20" x14ac:dyDescent="0.35">
      <c r="D71" t="s">
        <v>70</v>
      </c>
      <c r="H71" s="11">
        <v>14370.85</v>
      </c>
      <c r="I71" s="11">
        <v>11470.24</v>
      </c>
      <c r="J71" s="11">
        <v>9742.9500000000007</v>
      </c>
      <c r="K71" s="11">
        <v>12777.46</v>
      </c>
      <c r="L71">
        <v>-33.630000000000003</v>
      </c>
      <c r="M71" s="11">
        <v>17922.59</v>
      </c>
      <c r="N71" s="11">
        <v>17315.939999999999</v>
      </c>
      <c r="O71" s="11">
        <v>19731.919999999998</v>
      </c>
      <c r="P71" s="11">
        <v>17660.38</v>
      </c>
      <c r="Q71" s="11">
        <v>20404.03</v>
      </c>
      <c r="R71" s="11">
        <v>15260.4</v>
      </c>
      <c r="S71" s="11">
        <v>16062.53</v>
      </c>
      <c r="T71" s="11">
        <v>172685.66</v>
      </c>
    </row>
    <row r="72" spans="1:20" x14ac:dyDescent="0.35">
      <c r="B72" t="s">
        <v>71</v>
      </c>
      <c r="H72" s="11">
        <v>-7592.99</v>
      </c>
      <c r="I72" s="11">
        <v>-1672.26</v>
      </c>
      <c r="J72">
        <v>-977.06</v>
      </c>
      <c r="K72" s="11">
        <v>-3815.42</v>
      </c>
      <c r="L72" s="11">
        <v>7609.88</v>
      </c>
      <c r="M72" s="11">
        <v>-8222.08</v>
      </c>
      <c r="N72" s="11">
        <v>-6880.49</v>
      </c>
      <c r="O72" s="11">
        <v>1883.9</v>
      </c>
      <c r="P72" s="11">
        <v>38975.79</v>
      </c>
      <c r="Q72" s="11">
        <v>-16389.03</v>
      </c>
      <c r="R72" s="11">
        <v>-8945.4</v>
      </c>
      <c r="S72" s="11">
        <v>-10422.530000000001</v>
      </c>
      <c r="T72" s="11">
        <v>-16447.689999999999</v>
      </c>
    </row>
    <row r="73" spans="1:20" x14ac:dyDescent="0.35">
      <c r="A73" t="s">
        <v>72</v>
      </c>
      <c r="H73" s="11">
        <v>-7592.99</v>
      </c>
      <c r="I73" s="11">
        <v>-1672.26</v>
      </c>
      <c r="J73">
        <v>-977.06</v>
      </c>
      <c r="K73" s="11">
        <v>-3815.42</v>
      </c>
      <c r="L73" s="11">
        <v>7609.88</v>
      </c>
      <c r="M73" s="11">
        <v>-8222.08</v>
      </c>
      <c r="N73" s="11">
        <v>-6880.49</v>
      </c>
      <c r="O73" s="11">
        <v>1883.9</v>
      </c>
      <c r="P73" s="11">
        <v>38975.79</v>
      </c>
      <c r="Q73" s="11">
        <v>-16389.03</v>
      </c>
      <c r="R73" s="11">
        <v>-8945.4</v>
      </c>
      <c r="S73" s="11">
        <v>-10422.530000000001</v>
      </c>
      <c r="T73" s="11">
        <v>-16447.689999999999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 Budget</vt:lpstr>
      <vt:lpstr>2022 Proj</vt:lpstr>
      <vt:lpstr>'2023 Budget'!Print_Area</vt:lpstr>
      <vt:lpstr>'2023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Judy</cp:lastModifiedBy>
  <cp:lastPrinted>2022-04-12T11:50:15Z</cp:lastPrinted>
  <dcterms:created xsi:type="dcterms:W3CDTF">2022-02-02T18:17:06Z</dcterms:created>
  <dcterms:modified xsi:type="dcterms:W3CDTF">2022-04-12T11:55:36Z</dcterms:modified>
</cp:coreProperties>
</file>