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s\2021 Grant Documents\"/>
    </mc:Choice>
  </mc:AlternateContent>
  <bookViews>
    <workbookView xWindow="0" yWindow="0" windowWidth="9580" windowHeight="6680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Sheet1!$A$1:$M$86</definedName>
  </definedNames>
  <calcPr calcId="152511"/>
</workbook>
</file>

<file path=xl/calcChain.xml><?xml version="1.0" encoding="utf-8"?>
<calcChain xmlns="http://schemas.openxmlformats.org/spreadsheetml/2006/main">
  <c r="K71" i="1" l="1"/>
  <c r="K70" i="1"/>
  <c r="K73" i="1" s="1"/>
  <c r="K82" i="1"/>
  <c r="K45" i="1"/>
  <c r="K46" i="1"/>
  <c r="K68" i="1"/>
  <c r="K80" i="1"/>
  <c r="K47" i="1"/>
  <c r="L71" i="1"/>
  <c r="L73" i="1"/>
  <c r="L70" i="1"/>
  <c r="L80" i="1" l="1"/>
  <c r="M18" i="1"/>
  <c r="M31" i="1"/>
  <c r="M20" i="1" l="1"/>
  <c r="M19" i="1"/>
  <c r="M80" i="1" s="1"/>
  <c r="M11" i="1" l="1"/>
  <c r="L45" i="1" l="1"/>
  <c r="L48" i="1"/>
  <c r="L68" i="1"/>
  <c r="L46" i="1"/>
  <c r="M52" i="1"/>
  <c r="M43" i="1"/>
  <c r="M16" i="1"/>
  <c r="M25" i="1" l="1"/>
  <c r="M53" i="1" s="1"/>
  <c r="L16" i="1" l="1"/>
  <c r="L52" i="1"/>
  <c r="L43" i="1"/>
  <c r="L25" i="1" l="1"/>
  <c r="L53" i="1" l="1"/>
  <c r="J79" i="1"/>
  <c r="J70" i="1"/>
  <c r="M78" i="1" l="1"/>
  <c r="M73" i="1"/>
  <c r="M68" i="1"/>
  <c r="M76" i="1"/>
  <c r="M67" i="1"/>
  <c r="M74" i="1"/>
  <c r="M71" i="1"/>
  <c r="J76" i="1"/>
  <c r="J73" i="1"/>
  <c r="J71" i="1"/>
  <c r="J74" i="1"/>
  <c r="J77" i="1"/>
  <c r="J78" i="1"/>
  <c r="J69" i="1"/>
  <c r="J67" i="1"/>
  <c r="J68" i="1" s="1"/>
  <c r="K24" i="1" l="1"/>
  <c r="J48" i="1" l="1"/>
  <c r="I48" i="1"/>
  <c r="J47" i="1"/>
  <c r="J46" i="1" s="1"/>
  <c r="K43" i="1" l="1"/>
  <c r="J83" i="1"/>
  <c r="J63" i="1" l="1"/>
  <c r="J59" i="1"/>
  <c r="J62" i="1"/>
  <c r="J58" i="1"/>
  <c r="J61" i="1"/>
  <c r="J57" i="1"/>
  <c r="J60" i="1"/>
  <c r="K16" i="1"/>
  <c r="J64" i="1" l="1"/>
  <c r="K52" i="1" l="1"/>
  <c r="J16" i="1"/>
  <c r="J25" i="1"/>
  <c r="J43" i="1" l="1"/>
  <c r="J52" i="1"/>
  <c r="J53" i="1" l="1"/>
  <c r="J84" i="1" s="1"/>
  <c r="K25" i="1"/>
  <c r="K53" i="1" l="1"/>
  <c r="E10" i="2"/>
  <c r="E9" i="2"/>
  <c r="D9" i="2"/>
  <c r="C9" i="2"/>
  <c r="E7" i="2"/>
  <c r="E8" i="2"/>
  <c r="D10" i="2"/>
  <c r="D8" i="2"/>
  <c r="M70" i="1" l="1"/>
  <c r="M77" i="1"/>
  <c r="M69" i="1"/>
  <c r="D7" i="2"/>
  <c r="K83" i="1" l="1"/>
  <c r="K84" i="1" s="1"/>
  <c r="I47" i="1"/>
  <c r="K57" i="1" l="1"/>
  <c r="K61" i="1"/>
  <c r="K59" i="1"/>
  <c r="K58" i="1"/>
  <c r="K62" i="1"/>
  <c r="K63" i="1"/>
  <c r="K60" i="1"/>
  <c r="I31" i="1"/>
  <c r="K64" i="1" l="1"/>
  <c r="I51" i="1"/>
  <c r="I45" i="1"/>
  <c r="L83" i="1" l="1"/>
  <c r="C11" i="2"/>
  <c r="C10" i="2"/>
  <c r="C8" i="2"/>
  <c r="L84" i="1" l="1"/>
  <c r="M83" i="1"/>
  <c r="M84" i="1" s="1"/>
  <c r="L59" i="1"/>
  <c r="L60" i="1"/>
  <c r="L63" i="1"/>
  <c r="L61" i="1"/>
  <c r="L58" i="1"/>
  <c r="L57" i="1"/>
  <c r="L62" i="1"/>
  <c r="E11" i="2"/>
  <c r="E12" i="2" s="1"/>
  <c r="C7" i="2"/>
  <c r="C12" i="2" s="1"/>
  <c r="D11" i="2"/>
  <c r="D12" i="2" s="1"/>
  <c r="I52" i="1"/>
  <c r="I43" i="1"/>
  <c r="I19" i="1"/>
  <c r="I16" i="1"/>
  <c r="L64" i="1" l="1"/>
  <c r="M58" i="1" s="1"/>
  <c r="I25" i="1"/>
  <c r="H52" i="1"/>
  <c r="H43" i="1"/>
  <c r="G25" i="1"/>
  <c r="H16" i="1"/>
  <c r="G43" i="1"/>
  <c r="M60" i="1" l="1"/>
  <c r="M62" i="1"/>
  <c r="M59" i="1"/>
  <c r="M63" i="1"/>
  <c r="M61" i="1"/>
  <c r="M57" i="1"/>
  <c r="H19" i="1"/>
  <c r="H18" i="1"/>
  <c r="G47" i="1"/>
  <c r="G16" i="1"/>
  <c r="M64" i="1" l="1"/>
  <c r="H25" i="1"/>
  <c r="G52" i="1"/>
</calcChain>
</file>

<file path=xl/sharedStrings.xml><?xml version="1.0" encoding="utf-8"?>
<sst xmlns="http://schemas.openxmlformats.org/spreadsheetml/2006/main" count="142" uniqueCount="128">
  <si>
    <t>Budget</t>
  </si>
  <si>
    <t>Income</t>
  </si>
  <si>
    <t>Fed &amp; State Grants</t>
  </si>
  <si>
    <t xml:space="preserve"> </t>
  </si>
  <si>
    <t>TOR</t>
  </si>
  <si>
    <t>RSS</t>
  </si>
  <si>
    <t>RCA/RMA</t>
  </si>
  <si>
    <t>SIG</t>
  </si>
  <si>
    <t>Subtotal</t>
  </si>
  <si>
    <t>ECDC</t>
  </si>
  <si>
    <t>Immigration</t>
  </si>
  <si>
    <t>Total</t>
  </si>
  <si>
    <t>Registration &amp; books</t>
  </si>
  <si>
    <t>FY2015</t>
  </si>
  <si>
    <t>ICM</t>
  </si>
  <si>
    <t>PC-ICM</t>
  </si>
  <si>
    <t>FY2016</t>
  </si>
  <si>
    <t>NAZA</t>
  </si>
  <si>
    <t>ELD</t>
  </si>
  <si>
    <t>Fed:</t>
  </si>
  <si>
    <t>State/City:</t>
  </si>
  <si>
    <t>AIG</t>
  </si>
  <si>
    <t>Actuals</t>
  </si>
  <si>
    <t>Pv. Foundations/Corps</t>
  </si>
  <si>
    <t>Act YTD + Est YTG</t>
  </si>
  <si>
    <t>HCA</t>
  </si>
  <si>
    <t>FY2017</t>
  </si>
  <si>
    <t>Fundraising, Services &amp; Gifts</t>
  </si>
  <si>
    <t xml:space="preserve">Unrestricted </t>
  </si>
  <si>
    <t>YEE</t>
  </si>
  <si>
    <t>Summary Grant Data</t>
  </si>
  <si>
    <t>Fed</t>
  </si>
  <si>
    <t>State</t>
  </si>
  <si>
    <t>City</t>
  </si>
  <si>
    <t>Pvt Found</t>
  </si>
  <si>
    <t>Unrestr</t>
  </si>
  <si>
    <r>
      <t>FY2017</t>
    </r>
    <r>
      <rPr>
        <b/>
        <u/>
        <vertAlign val="superscript"/>
        <sz val="12"/>
        <color theme="1"/>
        <rFont val="Calibri"/>
        <family val="2"/>
        <scheme val="minor"/>
      </rPr>
      <t>1</t>
    </r>
  </si>
  <si>
    <r>
      <t>What If?</t>
    </r>
    <r>
      <rPr>
        <b/>
        <u/>
        <vertAlign val="superscript"/>
        <sz val="12"/>
        <color theme="1"/>
        <rFont val="Calibri"/>
        <family val="2"/>
        <scheme val="minor"/>
      </rPr>
      <t>2</t>
    </r>
  </si>
  <si>
    <t>No resettlement program removes, TAP, RSS, ICM, Elders, RCA, RSIG, R&amp;P, MG, PC</t>
  </si>
  <si>
    <t>No CEF for 2nd half of 2017 (no idea at this time if grant will be available)</t>
  </si>
  <si>
    <t>No TBA's from orig budget(no incr. ECBO grant, no identified Pvt Found grant)</t>
  </si>
  <si>
    <t>YEE assumes R&amp;P 38 arrivals thru Mar, 0 more until Sept, 30 more Oct-Dec</t>
  </si>
  <si>
    <t>MG 8 enrollments Jan-Mar, 0 more until Sept, 10 more Oct-Dec</t>
  </si>
  <si>
    <t>Healing Trust ends in 2017, No assumption regarding CEF for 2018</t>
  </si>
  <si>
    <t>No resource on staff to support fundraising activities</t>
  </si>
  <si>
    <t>FY2018</t>
  </si>
  <si>
    <t>Citizenship</t>
  </si>
  <si>
    <t>Organization Donations</t>
  </si>
  <si>
    <t>Individual Donations</t>
  </si>
  <si>
    <t>JOE C. DAVIS</t>
  </si>
  <si>
    <t>United Way</t>
  </si>
  <si>
    <t>Dollar General</t>
  </si>
  <si>
    <t>Dan &amp; Margaret Maddox</t>
  </si>
  <si>
    <t>Memorial Foundation</t>
  </si>
  <si>
    <t>Scarlett Family Foundation</t>
  </si>
  <si>
    <t>FRIST Foundation</t>
  </si>
  <si>
    <t>Community Foundation of TN</t>
  </si>
  <si>
    <t>CEF/CPF</t>
  </si>
  <si>
    <t>IELCE</t>
  </si>
  <si>
    <t>Expenses by programs</t>
  </si>
  <si>
    <t>Employment</t>
  </si>
  <si>
    <t>Resettlement</t>
  </si>
  <si>
    <t xml:space="preserve">Health </t>
  </si>
  <si>
    <t>Education</t>
  </si>
  <si>
    <t>Social Adj/Immigration</t>
  </si>
  <si>
    <t>Admin</t>
  </si>
  <si>
    <t>Fundraising</t>
  </si>
  <si>
    <t>Expenses by Categories</t>
  </si>
  <si>
    <t>Salaries</t>
  </si>
  <si>
    <t>Taxes and Benefits</t>
  </si>
  <si>
    <t>Travel</t>
  </si>
  <si>
    <t>Communications</t>
  </si>
  <si>
    <t>Occupancy</t>
  </si>
  <si>
    <t>Professional Contractuals</t>
  </si>
  <si>
    <t>Insurance &amp; Depreciation</t>
  </si>
  <si>
    <t>Professional Development</t>
  </si>
  <si>
    <t>Vehicle Services &amp; Usage</t>
  </si>
  <si>
    <t xml:space="preserve">PEACE Ambassadors USA - FEMA </t>
  </si>
  <si>
    <t>Direct Resettlement Cash Asst</t>
  </si>
  <si>
    <t>Miscs</t>
  </si>
  <si>
    <t>Reserve</t>
  </si>
  <si>
    <t>Glossary Descriptions</t>
  </si>
  <si>
    <t>AIG - American Insurance Groups</t>
  </si>
  <si>
    <t>CPF - Community Partnership Fund</t>
  </si>
  <si>
    <t>CFMT - Community Foundation of Middle TN</t>
  </si>
  <si>
    <t>DG- Dollar General Foundation</t>
  </si>
  <si>
    <t>ECDC - Ethiopia Development Council, Inc</t>
  </si>
  <si>
    <t>ELD - Elders</t>
  </si>
  <si>
    <t xml:space="preserve">MG- Match Grant </t>
  </si>
  <si>
    <t>MD- Dan &amp; Margaret Maddox</t>
  </si>
  <si>
    <t>MF- Memorial Foundation</t>
  </si>
  <si>
    <t>NAZA - Nashville Afterschool Zone Alliance</t>
  </si>
  <si>
    <t>PC- Preference Communities Grant</t>
  </si>
  <si>
    <t>RCA/RMA- Refugee Cash Assistance/Medical Assistance</t>
  </si>
  <si>
    <t>RSS- Refugee Social Service</t>
  </si>
  <si>
    <t xml:space="preserve">R&amp;P- Reception &amp; Placement </t>
  </si>
  <si>
    <t>SFF- Scarlett Family Foundation</t>
  </si>
  <si>
    <t>SIG- School Impact Grant</t>
  </si>
  <si>
    <t>TOR- Tennessee Office for Refugees</t>
  </si>
  <si>
    <t>TAP- Target Assistance Program</t>
  </si>
  <si>
    <t>UW - United Way</t>
  </si>
  <si>
    <t>FEMA-PA</t>
  </si>
  <si>
    <t>FEMA-NICE</t>
  </si>
  <si>
    <t>FY2019</t>
  </si>
  <si>
    <t xml:space="preserve">TAP </t>
  </si>
  <si>
    <t>R&amp;P</t>
  </si>
  <si>
    <t xml:space="preserve">MG </t>
  </si>
  <si>
    <t>Supplies &amp; Books</t>
  </si>
  <si>
    <t>FY2020</t>
  </si>
  <si>
    <t>STATE</t>
  </si>
  <si>
    <t>CITY</t>
  </si>
  <si>
    <t>DHS</t>
  </si>
  <si>
    <t>Woodmont</t>
  </si>
  <si>
    <t>Wells Fargo</t>
  </si>
  <si>
    <t>Unbillable</t>
  </si>
  <si>
    <t>Development/Fundraising</t>
  </si>
  <si>
    <t>Licenses, fees &amp; non-payroll taxes</t>
  </si>
  <si>
    <t>UW-Cares</t>
  </si>
  <si>
    <t>CARES-TN</t>
  </si>
  <si>
    <t>Tyson</t>
  </si>
  <si>
    <t>FY2021</t>
  </si>
  <si>
    <t>TIRRC</t>
  </si>
  <si>
    <t>MDHA</t>
  </si>
  <si>
    <t>PPP funding</t>
  </si>
  <si>
    <t>RSS-COVID</t>
  </si>
  <si>
    <t>Private TBD</t>
  </si>
  <si>
    <t>TBA</t>
  </si>
  <si>
    <t>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</si>
</sst>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0" xfId="0" applyFont="1"/>
    <xf numFmtId="164" fontId="0" fillId="0" borderId="0" xfId="1" applyNumberFormat="1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164" fontId="7" fillId="0" borderId="0" xfId="1" applyNumberFormat="1" applyFont="1" applyBorder="1"/>
    <xf numFmtId="0" fontId="6" fillId="0" borderId="2" xfId="0" applyFont="1" applyBorder="1" applyAlignment="1">
      <alignment horizontal="center"/>
    </xf>
    <xf numFmtId="164" fontId="3" fillId="0" borderId="0" xfId="1" applyNumberFormat="1" applyFont="1"/>
    <xf numFmtId="0" fontId="0" fillId="0" borderId="0" xfId="0" applyFont="1"/>
    <xf numFmtId="164" fontId="4" fillId="0" borderId="0" xfId="2" applyNumberFormat="1" applyFont="1"/>
    <xf numFmtId="164" fontId="7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0" fillId="0" borderId="0" xfId="1" applyNumberFormat="1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/>
    <xf numFmtId="164" fontId="4" fillId="0" borderId="0" xfId="1" applyNumberFormat="1" applyFont="1"/>
    <xf numFmtId="164" fontId="0" fillId="0" borderId="0" xfId="0" applyNumberFormat="1" applyBorder="1"/>
    <xf numFmtId="42" fontId="4" fillId="0" borderId="3" xfId="0" applyNumberFormat="1" applyFont="1" applyBorder="1"/>
    <xf numFmtId="42" fontId="0" fillId="0" borderId="0" xfId="0" applyNumberFormat="1"/>
    <xf numFmtId="9" fontId="0" fillId="0" borderId="0" xfId="2" applyFont="1"/>
    <xf numFmtId="9" fontId="4" fillId="0" borderId="0" xfId="2" applyFo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6" fontId="4" fillId="0" borderId="0" xfId="2" applyNumberFormat="1" applyFont="1"/>
  </cellXfs>
  <cellStyles count="14">
    <cellStyle name="Comma 2" xfId="3"/>
    <cellStyle name="Currency" xfId="1" builtinId="4"/>
    <cellStyle name="Normal" xfId="0" builtinId="0"/>
    <cellStyle name="Normal 2" xfId="4"/>
    <cellStyle name="Normal 2 2" xfId="10"/>
    <cellStyle name="Normal 3" xfId="5"/>
    <cellStyle name="Normal 4" xfId="6"/>
    <cellStyle name="Normal 4 2" xfId="11"/>
    <cellStyle name="Normal 5" xfId="7"/>
    <cellStyle name="Normal 5 2" xfId="12"/>
    <cellStyle name="Note 2" xfId="8"/>
    <cellStyle name="Note 2 2" xfId="1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Budget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Fed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Sheet2!$C$7:$E$7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3-4460-8822-79380C2131E7}"/>
            </c:ext>
          </c:extLst>
        </c:ser>
        <c:ser>
          <c:idx val="1"/>
          <c:order val="1"/>
          <c:tx>
            <c:strRef>
              <c:f>Sheet2!$B$8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Sheet2!$C$8:$E$8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D3-4460-8822-79380C2131E7}"/>
            </c:ext>
          </c:extLst>
        </c:ser>
        <c:ser>
          <c:idx val="2"/>
          <c:order val="2"/>
          <c:tx>
            <c:strRef>
              <c:f>Sheet2!$B$9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Sheet2!$C$9:$E$9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D3-4460-8822-79380C2131E7}"/>
            </c:ext>
          </c:extLst>
        </c:ser>
        <c:ser>
          <c:idx val="3"/>
          <c:order val="3"/>
          <c:tx>
            <c:strRef>
              <c:f>Sheet2!$B$10</c:f>
              <c:strCache>
                <c:ptCount val="1"/>
                <c:pt idx="0">
                  <c:v>Pvt Found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Sheet2!$C$10:$E$10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D3-4460-8822-79380C2131E7}"/>
            </c:ext>
          </c:extLst>
        </c:ser>
        <c:ser>
          <c:idx val="4"/>
          <c:order val="4"/>
          <c:tx>
            <c:strRef>
              <c:f>Sheet2!$B$11</c:f>
              <c:strCache>
                <c:ptCount val="1"/>
                <c:pt idx="0">
                  <c:v>Unrestr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Sheet2!$C$11:$E$11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D3-4460-8822-79380C21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893168"/>
        <c:axId val="566926456"/>
      </c:barChart>
      <c:catAx>
        <c:axId val="4418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926456"/>
        <c:crosses val="autoZero"/>
        <c:auto val="1"/>
        <c:lblAlgn val="ctr"/>
        <c:lblOffset val="100"/>
        <c:noMultiLvlLbl val="0"/>
      </c:catAx>
      <c:valAx>
        <c:axId val="56692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9316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14287</xdr:rowOff>
    </xdr:from>
    <xdr:to>
      <xdr:col>6</xdr:col>
      <xdr:colOff>276225</xdr:colOff>
      <xdr:row>36</xdr:row>
      <xdr:rowOff>157162</xdr:rowOff>
    </xdr:to>
    <xdr:graphicFrame macro="">
      <xdr:nvGraphicFramePr>
        <xdr:cNvPr id="6" name="Chart 5" title="2017 Budget Analysi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s/Audit%202018/NICE%202018%20PL%20Allocation%20-%20v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1. Grants"/>
      <sheetName val="2. Annual Salary Data"/>
      <sheetName val="2a.  941 Data"/>
      <sheetName val="3. Fundraising and Admin %"/>
      <sheetName val="4a. Expense Billing Data"/>
      <sheetName val="4b. Total Expenses By Donor"/>
      <sheetName val="5. Total Billings By Donor"/>
      <sheetName val="6. Restricted Bals By Donor"/>
      <sheetName val="7a. P&amp;L Restrict vs Unrestrict"/>
      <sheetName val="7b. P&amp;L by 990 Category"/>
      <sheetName val="7c.  Balance Sheet"/>
      <sheetName val="8. Donor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1">
          <cell r="D91">
            <v>75577.37</v>
          </cell>
        </row>
        <row r="94">
          <cell r="D94">
            <v>7116.27</v>
          </cell>
        </row>
        <row r="105">
          <cell r="D105">
            <v>990314.55</v>
          </cell>
        </row>
        <row r="110">
          <cell r="D110">
            <v>1119584.6600000001</v>
          </cell>
        </row>
        <row r="122">
          <cell r="D122">
            <v>90389.4</v>
          </cell>
        </row>
        <row r="129">
          <cell r="D129">
            <v>84180.19</v>
          </cell>
        </row>
        <row r="134">
          <cell r="D134">
            <v>18703.739999999998</v>
          </cell>
        </row>
        <row r="145">
          <cell r="D145">
            <v>19995.650000000001</v>
          </cell>
        </row>
        <row r="146">
          <cell r="D146">
            <v>5185.68</v>
          </cell>
        </row>
        <row r="151">
          <cell r="D151">
            <v>6358.36</v>
          </cell>
        </row>
        <row r="155">
          <cell r="D155">
            <v>33274.78</v>
          </cell>
        </row>
        <row r="160">
          <cell r="D160">
            <v>44838.2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view="pageBreakPreview" topLeftCell="E67" zoomScaleNormal="100" zoomScaleSheetLayoutView="100" workbookViewId="0">
      <selection activeCell="M84" sqref="M84"/>
    </sheetView>
  </sheetViews>
  <sheetFormatPr defaultColWidth="11" defaultRowHeight="15.5" x14ac:dyDescent="0.35"/>
  <cols>
    <col min="1" max="1" width="8.83203125" customWidth="1"/>
    <col min="2" max="2" width="3" customWidth="1"/>
    <col min="3" max="3" width="5.08203125" customWidth="1"/>
    <col min="4" max="4" width="8" customWidth="1"/>
    <col min="5" max="5" width="17.33203125" customWidth="1"/>
    <col min="6" max="6" width="7.08203125" customWidth="1"/>
    <col min="7" max="8" width="16.33203125" hidden="1" customWidth="1"/>
    <col min="9" max="9" width="22.08203125" hidden="1" customWidth="1"/>
    <col min="10" max="10" width="16.33203125" bestFit="1" customWidth="1"/>
    <col min="11" max="11" width="15.75" customWidth="1"/>
    <col min="12" max="13" width="16.25" style="24" customWidth="1"/>
    <col min="16" max="16" width="0" hidden="1" customWidth="1"/>
  </cols>
  <sheetData>
    <row r="1" spans="1:13" ht="31.5" customHeight="1" x14ac:dyDescent="0.35">
      <c r="G1" s="1" t="s">
        <v>22</v>
      </c>
      <c r="H1" s="1" t="s">
        <v>0</v>
      </c>
      <c r="I1" s="1" t="s">
        <v>24</v>
      </c>
      <c r="J1" s="1" t="s">
        <v>22</v>
      </c>
      <c r="K1" s="1" t="s">
        <v>22</v>
      </c>
      <c r="L1" s="1" t="s">
        <v>29</v>
      </c>
      <c r="M1" s="1" t="s">
        <v>0</v>
      </c>
    </row>
    <row r="2" spans="1:13" x14ac:dyDescent="0.35">
      <c r="A2" s="2"/>
      <c r="C2" s="3"/>
      <c r="D2" s="3"/>
      <c r="E2" s="3"/>
      <c r="F2" s="3"/>
      <c r="G2" s="10" t="s">
        <v>13</v>
      </c>
      <c r="H2" s="10" t="s">
        <v>16</v>
      </c>
      <c r="I2" s="10" t="s">
        <v>16</v>
      </c>
      <c r="J2" s="10" t="s">
        <v>45</v>
      </c>
      <c r="K2" s="21" t="s">
        <v>103</v>
      </c>
      <c r="L2" s="21" t="s">
        <v>108</v>
      </c>
      <c r="M2" s="21" t="s">
        <v>120</v>
      </c>
    </row>
    <row r="3" spans="1:13" x14ac:dyDescent="0.35">
      <c r="A3" s="4" t="s">
        <v>1</v>
      </c>
      <c r="C3" s="4" t="s">
        <v>2</v>
      </c>
      <c r="D3" s="4"/>
      <c r="E3" s="4"/>
    </row>
    <row r="4" spans="1:13" ht="21" x14ac:dyDescent="0.5">
      <c r="A4" s="16" t="s">
        <v>20</v>
      </c>
      <c r="C4" t="s">
        <v>3</v>
      </c>
      <c r="D4" s="4" t="s">
        <v>4</v>
      </c>
      <c r="E4" t="s">
        <v>104</v>
      </c>
      <c r="G4" s="5">
        <v>148734</v>
      </c>
      <c r="H4" s="5">
        <v>132228</v>
      </c>
      <c r="I4" s="5">
        <v>132228</v>
      </c>
      <c r="J4" s="11">
        <v>90302</v>
      </c>
      <c r="K4" s="11">
        <v>0</v>
      </c>
      <c r="L4" s="11">
        <v>0</v>
      </c>
      <c r="M4" s="11">
        <v>0</v>
      </c>
    </row>
    <row r="5" spans="1:13" x14ac:dyDescent="0.35">
      <c r="E5" t="s">
        <v>5</v>
      </c>
      <c r="G5" s="5">
        <v>83968</v>
      </c>
      <c r="H5" s="5">
        <v>104171</v>
      </c>
      <c r="I5" s="5">
        <v>104171</v>
      </c>
      <c r="J5" s="11">
        <v>141700</v>
      </c>
      <c r="K5" s="11">
        <v>217021</v>
      </c>
      <c r="L5" s="11">
        <v>250353</v>
      </c>
      <c r="M5" s="11">
        <v>296723</v>
      </c>
    </row>
    <row r="6" spans="1:13" x14ac:dyDescent="0.35">
      <c r="E6" t="s">
        <v>6</v>
      </c>
      <c r="G6" s="5">
        <v>55869</v>
      </c>
      <c r="H6" s="5">
        <v>62769</v>
      </c>
      <c r="I6" s="5">
        <v>62769</v>
      </c>
      <c r="J6" s="11">
        <v>77385</v>
      </c>
      <c r="K6" s="11">
        <v>74574</v>
      </c>
      <c r="L6" s="11">
        <v>80948</v>
      </c>
      <c r="M6" s="11">
        <v>93239</v>
      </c>
    </row>
    <row r="7" spans="1:13" s="24" customFormat="1" x14ac:dyDescent="0.35">
      <c r="E7" s="24" t="s">
        <v>124</v>
      </c>
      <c r="G7" s="5"/>
      <c r="H7" s="5"/>
      <c r="I7" s="5"/>
      <c r="J7" s="11"/>
      <c r="K7" s="11"/>
      <c r="L7" s="11"/>
      <c r="M7" s="11">
        <v>62696</v>
      </c>
    </row>
    <row r="8" spans="1:13" x14ac:dyDescent="0.35">
      <c r="E8" t="s">
        <v>14</v>
      </c>
      <c r="G8" s="5">
        <v>43886</v>
      </c>
      <c r="H8" s="5">
        <v>47104</v>
      </c>
      <c r="I8" s="5">
        <v>47104</v>
      </c>
      <c r="J8" s="5">
        <v>59409</v>
      </c>
      <c r="K8" s="5">
        <v>48511</v>
      </c>
      <c r="L8" s="5">
        <v>42074</v>
      </c>
      <c r="M8" s="5">
        <v>0</v>
      </c>
    </row>
    <row r="9" spans="1:13" x14ac:dyDescent="0.35">
      <c r="E9" t="s">
        <v>18</v>
      </c>
      <c r="G9" s="5">
        <v>1495</v>
      </c>
      <c r="H9" s="5">
        <v>5917</v>
      </c>
      <c r="I9" s="5">
        <v>5917</v>
      </c>
      <c r="J9" s="11">
        <v>15208</v>
      </c>
      <c r="K9" s="11">
        <v>23355</v>
      </c>
      <c r="L9" s="11">
        <v>15185</v>
      </c>
      <c r="M9" s="11">
        <v>15634</v>
      </c>
    </row>
    <row r="10" spans="1:13" x14ac:dyDescent="0.35">
      <c r="E10" t="s">
        <v>7</v>
      </c>
      <c r="G10" s="5">
        <v>7775</v>
      </c>
      <c r="H10" s="5">
        <v>9170</v>
      </c>
      <c r="I10" s="5">
        <v>10385</v>
      </c>
      <c r="J10" s="5">
        <v>37520</v>
      </c>
      <c r="K10" s="5">
        <v>52784</v>
      </c>
      <c r="L10" s="5">
        <v>53177</v>
      </c>
      <c r="M10" s="5">
        <v>74180</v>
      </c>
    </row>
    <row r="11" spans="1:13" s="24" customFormat="1" x14ac:dyDescent="0.35">
      <c r="D11" s="22" t="s">
        <v>109</v>
      </c>
      <c r="E11" s="24" t="s">
        <v>58</v>
      </c>
      <c r="G11" s="5"/>
      <c r="H11" s="5"/>
      <c r="I11" s="5"/>
      <c r="J11" s="5">
        <v>80210</v>
      </c>
      <c r="K11" s="5">
        <v>257103</v>
      </c>
      <c r="L11" s="5">
        <v>318413</v>
      </c>
      <c r="M11" s="5">
        <f>367000+38000</f>
        <v>405000</v>
      </c>
    </row>
    <row r="12" spans="1:13" s="24" customFormat="1" x14ac:dyDescent="0.35">
      <c r="D12" s="22"/>
      <c r="E12" s="24" t="s">
        <v>123</v>
      </c>
      <c r="G12" s="5"/>
      <c r="H12" s="5"/>
      <c r="I12" s="5"/>
      <c r="J12" s="5"/>
      <c r="K12" s="5"/>
      <c r="L12" s="5">
        <v>222390</v>
      </c>
      <c r="M12" s="5">
        <v>0</v>
      </c>
    </row>
    <row r="13" spans="1:13" s="24" customFormat="1" x14ac:dyDescent="0.35">
      <c r="D13" s="22"/>
      <c r="E13" s="24" t="s">
        <v>118</v>
      </c>
      <c r="G13" s="5"/>
      <c r="H13" s="5"/>
      <c r="I13" s="5"/>
      <c r="J13" s="5"/>
      <c r="K13" s="5"/>
      <c r="L13" s="5">
        <v>250000</v>
      </c>
      <c r="M13" s="5">
        <v>0</v>
      </c>
    </row>
    <row r="14" spans="1:13" x14ac:dyDescent="0.35">
      <c r="D14" s="22"/>
      <c r="E14" s="24" t="s">
        <v>126</v>
      </c>
      <c r="F14" s="24"/>
      <c r="G14" s="5"/>
      <c r="H14" s="5"/>
      <c r="I14" s="5"/>
      <c r="J14" s="5"/>
      <c r="K14" s="5"/>
      <c r="L14" s="5">
        <v>0</v>
      </c>
      <c r="M14" s="5">
        <v>300000</v>
      </c>
    </row>
    <row r="15" spans="1:13" x14ac:dyDescent="0.35">
      <c r="D15" s="22" t="s">
        <v>110</v>
      </c>
      <c r="E15" s="23" t="s">
        <v>57</v>
      </c>
      <c r="G15" s="5">
        <v>95796</v>
      </c>
      <c r="H15" s="5">
        <v>77800</v>
      </c>
      <c r="I15" s="5">
        <v>77800</v>
      </c>
      <c r="J15" s="5">
        <v>22735</v>
      </c>
      <c r="K15" s="5">
        <v>0</v>
      </c>
      <c r="L15" s="5">
        <v>0</v>
      </c>
      <c r="M15" s="5">
        <v>0</v>
      </c>
    </row>
    <row r="16" spans="1:13" x14ac:dyDescent="0.35">
      <c r="E16" s="7"/>
      <c r="F16" s="7" t="s">
        <v>8</v>
      </c>
      <c r="G16" s="8">
        <f t="shared" ref="G16:M16" si="0">SUM(G4:G15)</f>
        <v>437523</v>
      </c>
      <c r="H16" s="8">
        <f t="shared" si="0"/>
        <v>439159</v>
      </c>
      <c r="I16" s="8">
        <f t="shared" si="0"/>
        <v>440374</v>
      </c>
      <c r="J16" s="8">
        <f t="shared" si="0"/>
        <v>524469</v>
      </c>
      <c r="K16" s="8">
        <f t="shared" si="0"/>
        <v>673348</v>
      </c>
      <c r="L16" s="8">
        <f t="shared" si="0"/>
        <v>1232540</v>
      </c>
      <c r="M16" s="8">
        <f t="shared" si="0"/>
        <v>1247472</v>
      </c>
    </row>
    <row r="17" spans="1:13" ht="21" x14ac:dyDescent="0.5">
      <c r="A17" s="16" t="s">
        <v>19</v>
      </c>
      <c r="D17" s="6"/>
      <c r="E17" s="7"/>
      <c r="F17" s="4"/>
      <c r="G17" s="13"/>
      <c r="H17" s="13"/>
      <c r="I17" s="13"/>
      <c r="J17" s="13"/>
      <c r="K17" s="13"/>
      <c r="L17" s="30"/>
      <c r="M17" s="30"/>
    </row>
    <row r="18" spans="1:13" x14ac:dyDescent="0.35">
      <c r="D18" s="4" t="s">
        <v>9</v>
      </c>
      <c r="E18" t="s">
        <v>105</v>
      </c>
      <c r="G18" s="5">
        <v>377075</v>
      </c>
      <c r="H18" s="5">
        <f>2025*270</f>
        <v>546750</v>
      </c>
      <c r="I18" s="5">
        <v>626271</v>
      </c>
      <c r="J18" s="5">
        <v>291183</v>
      </c>
      <c r="K18" s="5">
        <v>422450</v>
      </c>
      <c r="L18" s="5">
        <v>141575</v>
      </c>
      <c r="M18" s="5">
        <f>131*2225</f>
        <v>291475</v>
      </c>
    </row>
    <row r="19" spans="1:13" x14ac:dyDescent="0.35">
      <c r="E19" t="s">
        <v>106</v>
      </c>
      <c r="G19" s="5">
        <v>80640</v>
      </c>
      <c r="H19" s="5">
        <f>60*1920</f>
        <v>115200</v>
      </c>
      <c r="I19" s="5">
        <f>60*1920</f>
        <v>115200</v>
      </c>
      <c r="J19" s="5">
        <v>149100</v>
      </c>
      <c r="K19" s="5">
        <v>157500</v>
      </c>
      <c r="L19" s="5">
        <v>34100</v>
      </c>
      <c r="M19" s="5">
        <f>40*2150</f>
        <v>86000</v>
      </c>
    </row>
    <row r="20" spans="1:13" x14ac:dyDescent="0.35">
      <c r="E20" t="s">
        <v>15</v>
      </c>
      <c r="G20" s="5">
        <v>47180</v>
      </c>
      <c r="H20" s="5">
        <v>60000</v>
      </c>
      <c r="I20" s="5">
        <v>60000</v>
      </c>
      <c r="J20" s="5">
        <v>59785</v>
      </c>
      <c r="K20" s="5">
        <v>61733</v>
      </c>
      <c r="L20" s="5">
        <v>107382</v>
      </c>
      <c r="M20" s="5">
        <f>70000+5000+20000</f>
        <v>95000</v>
      </c>
    </row>
    <row r="21" spans="1:13" s="24" customFormat="1" x14ac:dyDescent="0.35">
      <c r="D21" s="22" t="s">
        <v>111</v>
      </c>
      <c r="E21" t="s">
        <v>46</v>
      </c>
      <c r="F21"/>
      <c r="G21" s="5"/>
      <c r="H21" s="5"/>
      <c r="I21" s="5"/>
      <c r="J21" s="5">
        <v>47432</v>
      </c>
      <c r="K21" s="5">
        <v>37850</v>
      </c>
      <c r="L21" s="5">
        <v>0</v>
      </c>
      <c r="M21" s="5">
        <v>0</v>
      </c>
    </row>
    <row r="22" spans="1:13" s="24" customFormat="1" x14ac:dyDescent="0.35">
      <c r="D22" s="22"/>
      <c r="E22" s="24" t="s">
        <v>126</v>
      </c>
      <c r="G22" s="5"/>
      <c r="H22" s="5"/>
      <c r="I22" s="5"/>
      <c r="J22" s="5"/>
      <c r="K22" s="5"/>
      <c r="L22" s="5"/>
      <c r="M22" s="5">
        <v>100000</v>
      </c>
    </row>
    <row r="23" spans="1:13" s="24" customFormat="1" x14ac:dyDescent="0.35">
      <c r="D23" s="22"/>
      <c r="E23" s="24" t="s">
        <v>101</v>
      </c>
      <c r="G23" s="5"/>
      <c r="H23" s="5"/>
      <c r="I23" s="5"/>
      <c r="J23" s="5">
        <v>85397</v>
      </c>
      <c r="K23" s="5">
        <v>59468</v>
      </c>
      <c r="L23" s="5">
        <v>0</v>
      </c>
      <c r="M23" s="5">
        <v>0</v>
      </c>
    </row>
    <row r="24" spans="1:13" x14ac:dyDescent="0.35">
      <c r="D24" s="22"/>
      <c r="E24" t="s">
        <v>102</v>
      </c>
      <c r="F24" s="7"/>
      <c r="G24" s="5">
        <v>185608</v>
      </c>
      <c r="H24" s="11">
        <v>122236</v>
      </c>
      <c r="I24" s="11">
        <v>122236</v>
      </c>
      <c r="J24" s="11">
        <v>130370</v>
      </c>
      <c r="K24" s="11">
        <f>151537-K23</f>
        <v>92069</v>
      </c>
      <c r="L24" s="11">
        <v>0</v>
      </c>
      <c r="M24" s="11">
        <v>0</v>
      </c>
    </row>
    <row r="25" spans="1:13" ht="18.5" x14ac:dyDescent="0.65">
      <c r="D25" s="24"/>
      <c r="F25" s="7" t="s">
        <v>8</v>
      </c>
      <c r="G25" s="9">
        <f t="shared" ref="G25:M25" si="1">SUM(G18:G24)</f>
        <v>690503</v>
      </c>
      <c r="H25" s="9">
        <f t="shared" si="1"/>
        <v>844186</v>
      </c>
      <c r="I25" s="9">
        <f t="shared" si="1"/>
        <v>923707</v>
      </c>
      <c r="J25" s="9">
        <f t="shared" si="1"/>
        <v>763267</v>
      </c>
      <c r="K25" s="9">
        <f t="shared" si="1"/>
        <v>831070</v>
      </c>
      <c r="L25" s="9">
        <f t="shared" si="1"/>
        <v>283057</v>
      </c>
      <c r="M25" s="9">
        <f t="shared" si="1"/>
        <v>572475</v>
      </c>
    </row>
    <row r="26" spans="1:13" ht="23.5" x14ac:dyDescent="0.55000000000000004">
      <c r="A26" s="16" t="s">
        <v>23</v>
      </c>
      <c r="C26" s="17"/>
      <c r="D26" s="4"/>
      <c r="F26" s="4"/>
      <c r="G26" s="13"/>
      <c r="H26" s="13"/>
      <c r="I26" s="13"/>
      <c r="J26" s="13"/>
      <c r="K26" s="13"/>
      <c r="L26" s="30"/>
      <c r="M26" s="30"/>
    </row>
    <row r="27" spans="1:13" ht="23.5" x14ac:dyDescent="0.55000000000000004">
      <c r="A27" s="16"/>
      <c r="C27" s="17"/>
      <c r="E27" s="12" t="s">
        <v>50</v>
      </c>
      <c r="F27" s="7"/>
      <c r="G27" s="5">
        <v>51700</v>
      </c>
      <c r="H27" s="5">
        <v>51700</v>
      </c>
      <c r="I27" s="5">
        <v>51700</v>
      </c>
      <c r="J27" s="5">
        <v>73091</v>
      </c>
      <c r="K27" s="5">
        <v>73000</v>
      </c>
      <c r="L27" s="5">
        <v>73000</v>
      </c>
      <c r="M27" s="5">
        <v>73000</v>
      </c>
    </row>
    <row r="28" spans="1:13" ht="21" customHeight="1" x14ac:dyDescent="0.35">
      <c r="E28" t="s">
        <v>51</v>
      </c>
      <c r="F28" s="7"/>
      <c r="G28" s="5">
        <v>15000</v>
      </c>
      <c r="H28" s="5">
        <v>15000</v>
      </c>
      <c r="I28" s="5">
        <v>15000</v>
      </c>
      <c r="J28" s="5">
        <v>45000</v>
      </c>
      <c r="K28" s="5">
        <v>49000</v>
      </c>
      <c r="L28" s="5">
        <v>34000</v>
      </c>
      <c r="M28" s="5">
        <v>34000</v>
      </c>
    </row>
    <row r="29" spans="1:13" ht="23.5" x14ac:dyDescent="0.55000000000000004">
      <c r="D29" s="18"/>
      <c r="E29" t="s">
        <v>52</v>
      </c>
      <c r="F29" s="7"/>
      <c r="G29" s="5">
        <v>20000</v>
      </c>
      <c r="H29" s="5">
        <v>20000</v>
      </c>
      <c r="I29" s="5">
        <v>0</v>
      </c>
      <c r="J29" s="11">
        <v>25000</v>
      </c>
      <c r="K29" s="11">
        <v>30000</v>
      </c>
      <c r="L29" s="11">
        <v>30000</v>
      </c>
      <c r="M29" s="11">
        <v>30000</v>
      </c>
    </row>
    <row r="30" spans="1:13" ht="23.5" x14ac:dyDescent="0.55000000000000004">
      <c r="D30" s="18"/>
      <c r="E30" t="s">
        <v>53</v>
      </c>
      <c r="F30" s="7"/>
      <c r="G30" s="5">
        <v>30000</v>
      </c>
      <c r="H30" s="5">
        <v>30000</v>
      </c>
      <c r="I30" s="5">
        <v>30000</v>
      </c>
      <c r="J30" s="5">
        <v>35000</v>
      </c>
      <c r="K30" s="5">
        <v>35000</v>
      </c>
      <c r="L30" s="5">
        <v>45000</v>
      </c>
      <c r="M30" s="5">
        <v>45000</v>
      </c>
    </row>
    <row r="31" spans="1:13" x14ac:dyDescent="0.35">
      <c r="E31" t="s">
        <v>17</v>
      </c>
      <c r="F31" s="7"/>
      <c r="G31" s="5">
        <v>15000</v>
      </c>
      <c r="H31" s="5">
        <v>18000</v>
      </c>
      <c r="I31" s="5">
        <f>9000+18000</f>
        <v>27000</v>
      </c>
      <c r="J31" s="5">
        <v>7392</v>
      </c>
      <c r="K31" s="5">
        <v>36433</v>
      </c>
      <c r="L31" s="5">
        <v>36505</v>
      </c>
      <c r="M31" s="5">
        <f>(20*1232*0.5)+(30*1232*0.5)</f>
        <v>30800</v>
      </c>
    </row>
    <row r="32" spans="1:13" s="24" customFormat="1" x14ac:dyDescent="0.35">
      <c r="D32" s="4"/>
      <c r="E32" s="24" t="s">
        <v>122</v>
      </c>
      <c r="F32" s="7"/>
      <c r="G32" s="5"/>
      <c r="H32" s="5"/>
      <c r="I32" s="5"/>
      <c r="J32" s="5"/>
      <c r="K32" s="5"/>
      <c r="L32" s="5">
        <v>20000</v>
      </c>
      <c r="M32" s="5"/>
    </row>
    <row r="33" spans="1:13" x14ac:dyDescent="0.35">
      <c r="E33" t="s">
        <v>54</v>
      </c>
      <c r="F33" s="7"/>
      <c r="G33" s="5">
        <v>45524</v>
      </c>
      <c r="H33" s="5">
        <v>75000</v>
      </c>
      <c r="I33" s="5">
        <v>45524</v>
      </c>
      <c r="J33" s="5">
        <v>42500</v>
      </c>
      <c r="K33" s="5">
        <v>82000</v>
      </c>
      <c r="L33" s="5">
        <v>92000</v>
      </c>
      <c r="M33" s="5">
        <v>92000</v>
      </c>
    </row>
    <row r="34" spans="1:13" x14ac:dyDescent="0.35">
      <c r="D34" s="24"/>
      <c r="E34" t="s">
        <v>55</v>
      </c>
      <c r="F34" s="7"/>
      <c r="G34" s="5">
        <v>7556</v>
      </c>
      <c r="H34" s="5">
        <v>10000</v>
      </c>
      <c r="I34" s="5">
        <v>9735</v>
      </c>
      <c r="J34" s="11">
        <v>25000</v>
      </c>
      <c r="K34" s="11">
        <v>0</v>
      </c>
      <c r="L34" s="11">
        <v>0</v>
      </c>
      <c r="M34" s="11">
        <v>0</v>
      </c>
    </row>
    <row r="35" spans="1:13" x14ac:dyDescent="0.35">
      <c r="E35" t="s">
        <v>49</v>
      </c>
      <c r="F35" s="7"/>
      <c r="G35" s="5">
        <v>7500</v>
      </c>
      <c r="H35" s="5">
        <v>7500</v>
      </c>
      <c r="I35" s="5">
        <v>0</v>
      </c>
      <c r="J35" s="11">
        <v>7500</v>
      </c>
      <c r="K35" s="11">
        <v>5000</v>
      </c>
      <c r="L35" s="11">
        <v>17500</v>
      </c>
      <c r="M35" s="11">
        <v>7500</v>
      </c>
    </row>
    <row r="36" spans="1:13" s="24" customFormat="1" x14ac:dyDescent="0.35">
      <c r="D36"/>
      <c r="E36" s="24" t="s">
        <v>112</v>
      </c>
      <c r="F36" s="7"/>
      <c r="G36" s="5"/>
      <c r="H36" s="5"/>
      <c r="I36" s="5"/>
      <c r="J36" s="11">
        <v>15000</v>
      </c>
      <c r="K36" s="11"/>
      <c r="L36" s="11"/>
      <c r="M36" s="11"/>
    </row>
    <row r="37" spans="1:13" s="24" customFormat="1" x14ac:dyDescent="0.35">
      <c r="D37"/>
      <c r="E37" s="24" t="s">
        <v>125</v>
      </c>
      <c r="F37" s="7"/>
      <c r="G37" s="5"/>
      <c r="H37" s="5"/>
      <c r="I37" s="5"/>
      <c r="J37" s="11"/>
      <c r="K37" s="11"/>
      <c r="L37" s="11"/>
      <c r="M37" s="11">
        <v>150000</v>
      </c>
    </row>
    <row r="38" spans="1:13" s="24" customFormat="1" x14ac:dyDescent="0.35">
      <c r="E38" s="24" t="s">
        <v>121</v>
      </c>
      <c r="F38" s="7"/>
      <c r="G38" s="5"/>
      <c r="H38" s="5"/>
      <c r="I38" s="5"/>
      <c r="J38" s="11"/>
      <c r="K38" s="11">
        <v>5000</v>
      </c>
      <c r="L38" s="11">
        <v>3500</v>
      </c>
      <c r="M38" s="11"/>
    </row>
    <row r="39" spans="1:13" x14ac:dyDescent="0.35">
      <c r="D39" s="24"/>
      <c r="E39" t="s">
        <v>21</v>
      </c>
      <c r="F39" s="7"/>
      <c r="G39" s="5">
        <v>2500</v>
      </c>
      <c r="H39" s="5">
        <v>5000</v>
      </c>
      <c r="I39" s="5">
        <v>7000</v>
      </c>
      <c r="J39" s="11">
        <v>8750</v>
      </c>
      <c r="K39" s="11">
        <v>5000</v>
      </c>
      <c r="L39" s="11">
        <v>5000</v>
      </c>
      <c r="M39" s="11"/>
    </row>
    <row r="40" spans="1:13" s="24" customFormat="1" x14ac:dyDescent="0.35">
      <c r="E40" s="24" t="s">
        <v>113</v>
      </c>
      <c r="F40" s="7"/>
      <c r="G40" s="5"/>
      <c r="H40" s="5"/>
      <c r="I40" s="5"/>
      <c r="J40" s="11">
        <v>0</v>
      </c>
      <c r="K40" s="11">
        <v>10000</v>
      </c>
      <c r="L40" s="11">
        <v>0</v>
      </c>
      <c r="M40" s="11">
        <v>0</v>
      </c>
    </row>
    <row r="41" spans="1:13" x14ac:dyDescent="0.35">
      <c r="E41" t="s">
        <v>25</v>
      </c>
      <c r="F41" s="7"/>
      <c r="G41" s="5"/>
      <c r="H41" s="5"/>
      <c r="I41" s="5"/>
      <c r="J41" s="11">
        <v>25000</v>
      </c>
      <c r="K41" s="11">
        <v>25000</v>
      </c>
      <c r="L41" s="11">
        <v>25000</v>
      </c>
      <c r="M41" s="11">
        <v>25000</v>
      </c>
    </row>
    <row r="42" spans="1:13" x14ac:dyDescent="0.35">
      <c r="D42" s="24"/>
      <c r="E42" t="s">
        <v>56</v>
      </c>
      <c r="F42" s="7"/>
      <c r="G42" s="5">
        <v>2000</v>
      </c>
      <c r="H42" s="5">
        <v>5000</v>
      </c>
      <c r="I42" s="5">
        <v>5000</v>
      </c>
      <c r="J42" s="11">
        <v>10000</v>
      </c>
      <c r="K42" s="11">
        <v>1619</v>
      </c>
      <c r="L42" s="11">
        <v>4547</v>
      </c>
      <c r="M42" s="11">
        <v>0</v>
      </c>
    </row>
    <row r="43" spans="1:13" ht="18.5" x14ac:dyDescent="0.65">
      <c r="F43" s="7" t="s">
        <v>8</v>
      </c>
      <c r="G43" s="9">
        <f t="shared" ref="G43:M43" si="2">SUM(G27:G42)</f>
        <v>196780</v>
      </c>
      <c r="H43" s="9">
        <f t="shared" si="2"/>
        <v>237200</v>
      </c>
      <c r="I43" s="9">
        <f t="shared" si="2"/>
        <v>190959</v>
      </c>
      <c r="J43" s="9">
        <f t="shared" si="2"/>
        <v>319233</v>
      </c>
      <c r="K43" s="9">
        <f t="shared" si="2"/>
        <v>357052</v>
      </c>
      <c r="L43" s="9">
        <f t="shared" si="2"/>
        <v>386052</v>
      </c>
      <c r="M43" s="9">
        <f t="shared" si="2"/>
        <v>487300</v>
      </c>
    </row>
    <row r="44" spans="1:13" x14ac:dyDescent="0.35">
      <c r="A44" s="4" t="s">
        <v>28</v>
      </c>
      <c r="C44" s="4" t="s">
        <v>27</v>
      </c>
      <c r="F44" s="4"/>
      <c r="G44" s="13"/>
      <c r="H44" s="13"/>
      <c r="I44" s="13"/>
      <c r="J44" s="13"/>
      <c r="K44" s="13"/>
      <c r="L44" s="30"/>
      <c r="M44" s="30"/>
    </row>
    <row r="45" spans="1:13" x14ac:dyDescent="0.35">
      <c r="E45" t="s">
        <v>47</v>
      </c>
      <c r="G45" s="5">
        <v>17785</v>
      </c>
      <c r="H45" s="5">
        <v>54000</v>
      </c>
      <c r="I45" s="5">
        <f>32045+3714+180+907</f>
        <v>36846</v>
      </c>
      <c r="J45" s="11">
        <v>83860</v>
      </c>
      <c r="K45" s="11">
        <f>40000-2461+32000</f>
        <v>69539</v>
      </c>
      <c r="L45" s="11">
        <f>58980+7500-30093</f>
        <v>36387</v>
      </c>
      <c r="M45" s="11">
        <v>40000</v>
      </c>
    </row>
    <row r="46" spans="1:13" x14ac:dyDescent="0.35">
      <c r="E46" t="s">
        <v>10</v>
      </c>
      <c r="G46" s="5">
        <v>40243</v>
      </c>
      <c r="H46" s="5">
        <v>45000</v>
      </c>
      <c r="I46" s="5">
        <v>40000</v>
      </c>
      <c r="J46" s="11">
        <f>70471-J47</f>
        <v>64295</v>
      </c>
      <c r="K46" s="5">
        <f>12504+4818+26468+2689+14359-55</f>
        <v>60783</v>
      </c>
      <c r="L46" s="11">
        <f>77781-L47</f>
        <v>72214</v>
      </c>
      <c r="M46" s="11">
        <v>75000</v>
      </c>
    </row>
    <row r="47" spans="1:13" ht="18.5" x14ac:dyDescent="0.45">
      <c r="A47" s="15"/>
      <c r="E47" t="s">
        <v>12</v>
      </c>
      <c r="G47" s="5">
        <f>4240+4330</f>
        <v>8570</v>
      </c>
      <c r="H47" s="5">
        <v>36000</v>
      </c>
      <c r="I47" s="5">
        <f>6607+6814</f>
        <v>13421</v>
      </c>
      <c r="J47" s="11">
        <f>2597+3579</f>
        <v>6176</v>
      </c>
      <c r="K47" s="11">
        <f>10003+4352</f>
        <v>14355</v>
      </c>
      <c r="L47" s="11">
        <v>5567</v>
      </c>
      <c r="M47" s="11">
        <v>16800</v>
      </c>
    </row>
    <row r="48" spans="1:13" s="24" customFormat="1" x14ac:dyDescent="0.35">
      <c r="D48"/>
      <c r="E48" s="24" t="s">
        <v>48</v>
      </c>
      <c r="G48" s="5">
        <v>13238</v>
      </c>
      <c r="H48" s="5">
        <v>45000</v>
      </c>
      <c r="I48" s="5">
        <f>1740+12424</f>
        <v>14164</v>
      </c>
      <c r="J48" s="11">
        <f>16775+2793</f>
        <v>19568</v>
      </c>
      <c r="K48" s="11">
        <v>20000</v>
      </c>
      <c r="L48" s="11">
        <f>35183+19857-7500</f>
        <v>47540</v>
      </c>
      <c r="M48" s="11">
        <v>63000</v>
      </c>
    </row>
    <row r="49" spans="1:16" s="24" customFormat="1" x14ac:dyDescent="0.35">
      <c r="D49"/>
      <c r="E49" s="24" t="s">
        <v>117</v>
      </c>
      <c r="F49" s="7"/>
      <c r="G49" s="5"/>
      <c r="H49" s="5"/>
      <c r="I49" s="5"/>
      <c r="J49" s="11"/>
      <c r="K49" s="11"/>
      <c r="L49" s="11">
        <v>10000</v>
      </c>
      <c r="M49" s="11"/>
    </row>
    <row r="50" spans="1:16" s="24" customFormat="1" x14ac:dyDescent="0.35">
      <c r="E50" s="24" t="s">
        <v>119</v>
      </c>
      <c r="F50" s="7"/>
      <c r="G50" s="5"/>
      <c r="H50" s="5"/>
      <c r="I50" s="5"/>
      <c r="J50" s="11"/>
      <c r="K50" s="11"/>
      <c r="L50" s="11">
        <v>5900</v>
      </c>
      <c r="M50" s="11"/>
    </row>
    <row r="51" spans="1:16" s="24" customFormat="1" x14ac:dyDescent="0.35">
      <c r="E51" t="s">
        <v>127</v>
      </c>
      <c r="F51"/>
      <c r="G51" s="5">
        <v>13238</v>
      </c>
      <c r="H51" s="5">
        <v>45000</v>
      </c>
      <c r="I51" s="5">
        <f>1740+12424</f>
        <v>14164</v>
      </c>
      <c r="J51" s="11">
        <v>36893</v>
      </c>
      <c r="K51" s="11">
        <v>-51950</v>
      </c>
      <c r="L51" s="11">
        <v>0</v>
      </c>
      <c r="M51" s="11">
        <v>0</v>
      </c>
    </row>
    <row r="52" spans="1:16" s="24" customFormat="1" ht="18.5" x14ac:dyDescent="0.65">
      <c r="E52"/>
      <c r="F52" s="7" t="s">
        <v>8</v>
      </c>
      <c r="G52" s="14">
        <f t="shared" ref="G52:M52" si="3">SUM(G45:G51)</f>
        <v>93074</v>
      </c>
      <c r="H52" s="14">
        <f t="shared" si="3"/>
        <v>225000</v>
      </c>
      <c r="I52" s="14">
        <f t="shared" si="3"/>
        <v>118595</v>
      </c>
      <c r="J52" s="14">
        <f t="shared" si="3"/>
        <v>210792</v>
      </c>
      <c r="K52" s="14">
        <f t="shared" si="3"/>
        <v>112727</v>
      </c>
      <c r="L52" s="14">
        <f t="shared" si="3"/>
        <v>177608</v>
      </c>
      <c r="M52" s="14">
        <f t="shared" si="3"/>
        <v>194800</v>
      </c>
    </row>
    <row r="53" spans="1:16" ht="18.5" x14ac:dyDescent="0.65">
      <c r="A53" s="4" t="s">
        <v>11</v>
      </c>
      <c r="F53" s="4"/>
      <c r="G53" s="9"/>
      <c r="H53" s="9"/>
      <c r="I53" s="9"/>
      <c r="J53" s="9">
        <f>+J52+J43+J25+J16</f>
        <v>1817761</v>
      </c>
      <c r="K53" s="9">
        <f>+K52+K43+K25+K16</f>
        <v>1974197</v>
      </c>
      <c r="L53" s="9">
        <f>+L52+L43+L25+L16</f>
        <v>2079257</v>
      </c>
      <c r="M53" s="9">
        <f>+M52+M43+M25+M16</f>
        <v>2502047</v>
      </c>
    </row>
    <row r="54" spans="1:16" x14ac:dyDescent="0.35">
      <c r="L54" s="33"/>
      <c r="M54" s="33"/>
    </row>
    <row r="55" spans="1:16" x14ac:dyDescent="0.35">
      <c r="D55" s="4"/>
    </row>
    <row r="56" spans="1:16" x14ac:dyDescent="0.35">
      <c r="E56" s="6"/>
      <c r="F56" s="24"/>
      <c r="G56" s="24"/>
      <c r="H56" s="24"/>
      <c r="I56" s="24"/>
      <c r="J56" s="24"/>
    </row>
    <row r="57" spans="1:16" x14ac:dyDescent="0.35">
      <c r="A57" s="22" t="s">
        <v>59</v>
      </c>
      <c r="E57" s="24" t="s">
        <v>60</v>
      </c>
      <c r="F57" s="24"/>
      <c r="G57" s="24"/>
      <c r="H57" s="24"/>
      <c r="I57" s="24"/>
      <c r="J57" s="26">
        <f>+P59*J$83</f>
        <v>331990.07908860641</v>
      </c>
      <c r="K57" s="26">
        <f>+J57/J$64*K$83</f>
        <v>358724.22924121254</v>
      </c>
      <c r="L57" s="26">
        <f>+$K57/K$64*L$83</f>
        <v>377142.45908606099</v>
      </c>
      <c r="M57" s="26">
        <f>+$L57/L$64*M$83</f>
        <v>443769.4431670417</v>
      </c>
    </row>
    <row r="58" spans="1:16" x14ac:dyDescent="0.35">
      <c r="B58" s="24"/>
      <c r="C58" s="24"/>
      <c r="D58" s="24"/>
      <c r="E58" s="24" t="s">
        <v>61</v>
      </c>
      <c r="F58" s="24"/>
      <c r="G58" s="24"/>
      <c r="H58" s="24"/>
      <c r="I58" s="24"/>
      <c r="J58" s="26">
        <f>+P60*J$83</f>
        <v>607476.27957696957</v>
      </c>
      <c r="K58" s="26">
        <f>+J58/J$64*K$83</f>
        <v>656394.49459393939</v>
      </c>
      <c r="L58" s="26">
        <f>+$K58/K$64*L$83</f>
        <v>690096.21776969696</v>
      </c>
      <c r="M58" s="26">
        <f>+$L58/L$64*M$83</f>
        <v>812010.44038761361</v>
      </c>
    </row>
    <row r="59" spans="1:16" x14ac:dyDescent="0.35">
      <c r="A59" s="24"/>
      <c r="B59" s="24"/>
      <c r="C59" s="24"/>
      <c r="D59" s="24"/>
      <c r="E59" s="24" t="s">
        <v>62</v>
      </c>
      <c r="F59" s="24"/>
      <c r="G59" s="24"/>
      <c r="H59" s="24"/>
      <c r="I59" s="24"/>
      <c r="J59" s="26">
        <f>+P61*J$83</f>
        <v>151531.42368951507</v>
      </c>
      <c r="K59" s="26">
        <f>+J59/J$64*K$83</f>
        <v>163733.78782303023</v>
      </c>
      <c r="L59" s="26">
        <f>+$K59/K$64*L$83</f>
        <v>172140.48659515142</v>
      </c>
      <c r="M59" s="26">
        <f>+$L59/L$64*M$83</f>
        <v>202551.2801394822</v>
      </c>
      <c r="P59" s="29">
        <v>0.182347878787879</v>
      </c>
    </row>
    <row r="60" spans="1:16" x14ac:dyDescent="0.35">
      <c r="A60" s="24"/>
      <c r="B60" s="24"/>
      <c r="C60" s="24"/>
      <c r="D60" s="24"/>
      <c r="E60" s="24" t="s">
        <v>63</v>
      </c>
      <c r="F60" s="24"/>
      <c r="G60" s="24"/>
      <c r="H60" s="24"/>
      <c r="I60" s="24"/>
      <c r="J60" s="26">
        <f>+P62*J$83</f>
        <v>431867.15054969682</v>
      </c>
      <c r="K60" s="26">
        <f>+J60/J$64*K$83</f>
        <v>466644.09713939385</v>
      </c>
      <c r="L60" s="26">
        <f>+$K60/K$64*L$83</f>
        <v>490603.33249696955</v>
      </c>
      <c r="M60" s="26">
        <f>+$L60/L$64*M$83</f>
        <v>577274.61449360265</v>
      </c>
      <c r="P60" s="29">
        <v>0.33366060606060599</v>
      </c>
    </row>
    <row r="61" spans="1:16" x14ac:dyDescent="0.35">
      <c r="A61" s="24"/>
      <c r="B61" s="24"/>
      <c r="C61" s="24"/>
      <c r="D61" s="24"/>
      <c r="E61" s="24" t="s">
        <v>64</v>
      </c>
      <c r="F61" s="24"/>
      <c r="G61" s="24"/>
      <c r="H61" s="24"/>
      <c r="I61" s="24"/>
      <c r="J61" s="26">
        <f>+P63*J$83</f>
        <v>109949.07981648481</v>
      </c>
      <c r="K61" s="26">
        <f>+J61/J$64*K$83</f>
        <v>118802.94441696967</v>
      </c>
      <c r="L61" s="26">
        <f>+$K61/K$64*L$83</f>
        <v>124902.72736484844</v>
      </c>
      <c r="M61" s="26">
        <f>+$L61/L$64*M$83</f>
        <v>146968.37345512287</v>
      </c>
      <c r="P61" s="29">
        <v>8.322969696969694E-2</v>
      </c>
    </row>
    <row r="62" spans="1:16" x14ac:dyDescent="0.35">
      <c r="A62" s="24"/>
      <c r="B62" s="24"/>
      <c r="C62" s="24"/>
      <c r="D62" s="24"/>
      <c r="E62" s="24" t="s">
        <v>65</v>
      </c>
      <c r="F62" s="24"/>
      <c r="G62" s="24"/>
      <c r="H62" s="24"/>
      <c r="I62" s="24"/>
      <c r="J62" s="26">
        <f>+P64*J$83</f>
        <v>99286.742312302988</v>
      </c>
      <c r="K62" s="26">
        <f>+J62/J$64*K$83</f>
        <v>107282.00134060603</v>
      </c>
      <c r="L62" s="26">
        <f>+$K62/K$64*L$83</f>
        <v>112790.25642303025</v>
      </c>
      <c r="M62" s="26">
        <f>+$L62/L$64*M$83</f>
        <v>132716.08136832534</v>
      </c>
      <c r="P62" s="29">
        <v>0.23720606060606053</v>
      </c>
    </row>
    <row r="63" spans="1:16" x14ac:dyDescent="0.35">
      <c r="A63" s="24"/>
      <c r="B63" s="24"/>
      <c r="C63" s="22"/>
      <c r="D63" s="24"/>
      <c r="E63" s="24" t="s">
        <v>66</v>
      </c>
      <c r="F63" s="24"/>
      <c r="G63" s="24"/>
      <c r="H63" s="24"/>
      <c r="I63" s="24"/>
      <c r="J63" s="26">
        <f>+P65*J$83</f>
        <v>88540.544966424219</v>
      </c>
      <c r="K63" s="26">
        <f>+J63/J$64*K$83</f>
        <v>95670.445444848461</v>
      </c>
      <c r="L63" s="26">
        <f>+$K63/K$64*L$83</f>
        <v>100582.52026424238</v>
      </c>
      <c r="M63" s="26">
        <f>+$L63/L$64*M$83</f>
        <v>118351.69425942322</v>
      </c>
      <c r="P63" s="29">
        <v>6.0390303030303016E-2</v>
      </c>
    </row>
    <row r="64" spans="1:16" ht="16" thickBot="1" x14ac:dyDescent="0.4">
      <c r="A64" s="24"/>
      <c r="B64" s="24"/>
      <c r="C64" s="22" t="s">
        <v>8</v>
      </c>
      <c r="D64" s="24"/>
      <c r="E64" s="24"/>
      <c r="F64" s="24"/>
      <c r="G64" s="24"/>
      <c r="H64" s="24"/>
      <c r="I64" s="24"/>
      <c r="J64" s="27">
        <f>SUM(J57:J63)</f>
        <v>1820641.2999999998</v>
      </c>
      <c r="K64" s="27">
        <f>SUM(K57:K63)</f>
        <v>1967252.0000000002</v>
      </c>
      <c r="L64" s="27">
        <f>SUM(L57:L63)</f>
        <v>2068257.9999999998</v>
      </c>
      <c r="M64" s="27">
        <f>SUM(M57:M63)</f>
        <v>2433641.9272706117</v>
      </c>
      <c r="P64" s="29">
        <v>5.4533939393939378E-2</v>
      </c>
    </row>
    <row r="65" spans="1:16" x14ac:dyDescent="0.35">
      <c r="A65" s="24"/>
      <c r="B65" s="24"/>
      <c r="C65" s="24"/>
      <c r="D65" s="24"/>
      <c r="E65" s="24"/>
      <c r="F65" s="24"/>
      <c r="G65" s="24"/>
      <c r="H65" s="24"/>
      <c r="I65" s="24"/>
      <c r="J65" s="28"/>
      <c r="P65" s="29">
        <v>4.8631515151515141E-2</v>
      </c>
    </row>
    <row r="66" spans="1:16" x14ac:dyDescent="0.35">
      <c r="A66" s="22" t="s">
        <v>67</v>
      </c>
      <c r="B66" s="24"/>
      <c r="C66" s="24"/>
      <c r="D66" s="24"/>
      <c r="E66" s="24"/>
      <c r="F66" s="24"/>
      <c r="G66" s="24"/>
      <c r="H66" s="24"/>
      <c r="I66" s="24"/>
      <c r="J66" s="28"/>
    </row>
    <row r="67" spans="1:16" x14ac:dyDescent="0.35">
      <c r="A67" s="23" t="s">
        <v>68</v>
      </c>
      <c r="B67" s="24"/>
      <c r="C67" s="24"/>
      <c r="D67" s="24"/>
      <c r="E67" s="24"/>
      <c r="F67" s="24"/>
      <c r="G67" s="24"/>
      <c r="H67" s="24"/>
      <c r="I67" s="24"/>
      <c r="J67" s="26">
        <f>+'[1]7a. P&amp;L Restrict vs Unrestrict'!$D$105</f>
        <v>990314.55</v>
      </c>
      <c r="K67" s="26">
        <v>1088370</v>
      </c>
      <c r="L67" s="26">
        <v>1165299</v>
      </c>
      <c r="M67" s="26">
        <f>+L67/L$53*M$53*1.1</f>
        <v>1542472.2166419544</v>
      </c>
    </row>
    <row r="68" spans="1:16" x14ac:dyDescent="0.35">
      <c r="A68" s="23" t="s">
        <v>69</v>
      </c>
      <c r="B68" s="24"/>
      <c r="C68" s="24"/>
      <c r="D68" s="24"/>
      <c r="E68" s="24"/>
      <c r="F68" s="24"/>
      <c r="G68" s="24"/>
      <c r="H68" s="24"/>
      <c r="I68" s="24"/>
      <c r="J68" s="26">
        <f>+'[1]7a. P&amp;L Restrict vs Unrestrict'!$D$110-J67</f>
        <v>129270.1100000001</v>
      </c>
      <c r="K68" s="26">
        <f>1232507-K67</f>
        <v>144137</v>
      </c>
      <c r="L68" s="26">
        <f>92070+19833+46477</f>
        <v>158380</v>
      </c>
      <c r="M68" s="26">
        <f>+L68/L$53*M$53*1.1</f>
        <v>209642.97546960288</v>
      </c>
    </row>
    <row r="69" spans="1:16" x14ac:dyDescent="0.35">
      <c r="A69" s="23" t="s">
        <v>70</v>
      </c>
      <c r="B69" s="24"/>
      <c r="C69" s="23"/>
      <c r="D69" s="24"/>
      <c r="E69" s="24"/>
      <c r="F69" s="24"/>
      <c r="G69" s="24"/>
      <c r="H69" s="24"/>
      <c r="I69" s="24"/>
      <c r="J69" s="26">
        <f>+'[1]7a. P&amp;L Restrict vs Unrestrict'!$D$145</f>
        <v>19995.650000000001</v>
      </c>
      <c r="K69" s="26">
        <v>28195</v>
      </c>
      <c r="L69" s="26">
        <v>11294</v>
      </c>
      <c r="M69" s="26">
        <f>+K69/K53*M53</f>
        <v>35733.624944724361</v>
      </c>
    </row>
    <row r="70" spans="1:16" x14ac:dyDescent="0.35">
      <c r="A70" s="23" t="s">
        <v>71</v>
      </c>
      <c r="B70" s="24"/>
      <c r="C70" s="23"/>
      <c r="D70" s="24"/>
      <c r="E70" s="24"/>
      <c r="F70" s="24"/>
      <c r="G70" s="24"/>
      <c r="H70" s="24"/>
      <c r="I70" s="24"/>
      <c r="J70" s="26">
        <f>13998</f>
        <v>13998</v>
      </c>
      <c r="K70" s="26">
        <f>5580+9023</f>
        <v>14603</v>
      </c>
      <c r="L70" s="26">
        <f>6035+11408</f>
        <v>17443</v>
      </c>
      <c r="M70" s="26">
        <f>+K70/K$53*M$53</f>
        <v>18507.470298556833</v>
      </c>
    </row>
    <row r="71" spans="1:16" x14ac:dyDescent="0.35">
      <c r="A71" s="23" t="s">
        <v>107</v>
      </c>
      <c r="B71" s="24"/>
      <c r="C71" s="23"/>
      <c r="D71" s="24"/>
      <c r="E71" s="24"/>
      <c r="F71" s="24"/>
      <c r="G71" s="24"/>
      <c r="H71" s="24"/>
      <c r="I71" s="24"/>
      <c r="J71" s="26">
        <f>+'[1]7a. P&amp;L Restrict vs Unrestrict'!$D$134+'[1]7a. P&amp;L Restrict vs Unrestrict'!$D$155+'[1]7a. P&amp;L Restrict vs Unrestrict'!$E$157</f>
        <v>51978.52</v>
      </c>
      <c r="K71" s="26">
        <f>30305+39962</f>
        <v>70267</v>
      </c>
      <c r="L71" s="26">
        <f>20109+36548</f>
        <v>56657</v>
      </c>
      <c r="M71" s="26">
        <f t="shared" ref="M71:M78" si="4">+L71/L$53*M$53</f>
        <v>68177.46766224665</v>
      </c>
    </row>
    <row r="72" spans="1:16" x14ac:dyDescent="0.35">
      <c r="A72" s="23" t="s">
        <v>115</v>
      </c>
      <c r="B72" s="24"/>
      <c r="C72" s="23"/>
      <c r="D72" s="24"/>
      <c r="E72" s="24"/>
      <c r="F72" s="24"/>
      <c r="G72" s="24"/>
      <c r="H72" s="24"/>
      <c r="I72" s="24"/>
      <c r="J72" s="26">
        <v>3918</v>
      </c>
      <c r="K72" s="26">
        <v>7118</v>
      </c>
      <c r="L72" s="26">
        <v>8282</v>
      </c>
      <c r="M72" s="26">
        <v>10000</v>
      </c>
    </row>
    <row r="73" spans="1:16" x14ac:dyDescent="0.35">
      <c r="A73" s="23" t="s">
        <v>72</v>
      </c>
      <c r="B73" s="24"/>
      <c r="C73" s="23"/>
      <c r="D73" s="24"/>
      <c r="E73" s="24"/>
      <c r="F73" s="24"/>
      <c r="G73" s="24"/>
      <c r="H73" s="24"/>
      <c r="I73" s="24"/>
      <c r="J73" s="26">
        <f>+'[1]7a. P&amp;L Restrict vs Unrestrict'!$D$129-J70</f>
        <v>70182.19</v>
      </c>
      <c r="K73" s="26">
        <f>77600-K70</f>
        <v>62997</v>
      </c>
      <c r="L73" s="26">
        <f>88049-L70</f>
        <v>70606</v>
      </c>
      <c r="M73" s="26">
        <f t="shared" si="4"/>
        <v>84962.81627619866</v>
      </c>
    </row>
    <row r="74" spans="1:16" s="24" customFormat="1" x14ac:dyDescent="0.35">
      <c r="A74" s="23" t="s">
        <v>73</v>
      </c>
      <c r="C74" s="23"/>
      <c r="D74" s="23"/>
      <c r="J74" s="26">
        <f>+'[1]7a. P&amp;L Restrict vs Unrestrict'!$D$122</f>
        <v>90389.4</v>
      </c>
      <c r="K74" s="26">
        <v>130978</v>
      </c>
      <c r="L74" s="26">
        <v>152210</v>
      </c>
      <c r="M74" s="26">
        <f t="shared" si="4"/>
        <v>183159.93350990282</v>
      </c>
    </row>
    <row r="75" spans="1:16" x14ac:dyDescent="0.35">
      <c r="A75" s="23" t="s">
        <v>116</v>
      </c>
      <c r="B75" s="24"/>
      <c r="C75" s="23"/>
      <c r="D75" s="23"/>
      <c r="E75" s="24"/>
      <c r="F75" s="24"/>
      <c r="G75" s="24"/>
      <c r="H75" s="24"/>
      <c r="I75" s="24"/>
      <c r="J75" s="26">
        <v>4241</v>
      </c>
      <c r="K75" s="26"/>
      <c r="L75" s="26">
        <v>-13375</v>
      </c>
      <c r="M75" s="26">
        <v>5000</v>
      </c>
    </row>
    <row r="76" spans="1:16" x14ac:dyDescent="0.35">
      <c r="A76" s="23" t="s">
        <v>74</v>
      </c>
      <c r="B76" s="24"/>
      <c r="C76" s="23"/>
      <c r="D76" s="23"/>
      <c r="E76" s="24"/>
      <c r="F76" s="24"/>
      <c r="G76" s="24"/>
      <c r="H76" s="24"/>
      <c r="I76" s="24"/>
      <c r="J76" s="26">
        <f>+'[1]7a. P&amp;L Restrict vs Unrestrict'!$D$160</f>
        <v>44838.2</v>
      </c>
      <c r="K76" s="26">
        <v>48338</v>
      </c>
      <c r="L76" s="26">
        <v>44572</v>
      </c>
      <c r="M76" s="26">
        <f t="shared" si="4"/>
        <v>53635.139323325595</v>
      </c>
    </row>
    <row r="77" spans="1:16" s="24" customFormat="1" x14ac:dyDescent="0.35">
      <c r="A77" s="23" t="s">
        <v>75</v>
      </c>
      <c r="C77" s="23"/>
      <c r="D77" s="23"/>
      <c r="J77" s="26">
        <f>+'[1]7a. P&amp;L Restrict vs Unrestrict'!$D$151</f>
        <v>6358.36</v>
      </c>
      <c r="K77" s="26">
        <v>7660</v>
      </c>
      <c r="L77" s="26">
        <v>6008</v>
      </c>
      <c r="M77" s="26">
        <f>+K77/K$53*M$53</f>
        <v>9708.0889191909409</v>
      </c>
    </row>
    <row r="78" spans="1:16" x14ac:dyDescent="0.35">
      <c r="A78" s="23" t="s">
        <v>76</v>
      </c>
      <c r="B78" s="24"/>
      <c r="C78" s="23"/>
      <c r="D78" s="23"/>
      <c r="E78" s="24"/>
      <c r="F78" s="24"/>
      <c r="G78" s="24"/>
      <c r="H78" s="24"/>
      <c r="I78" s="24"/>
      <c r="J78" s="26">
        <f>+'[1]7a. P&amp;L Restrict vs Unrestrict'!$D$146</f>
        <v>5185.68</v>
      </c>
      <c r="K78" s="26">
        <v>15517</v>
      </c>
      <c r="L78" s="26">
        <v>7400</v>
      </c>
      <c r="M78" s="26">
        <f t="shared" si="4"/>
        <v>8904.694224908224</v>
      </c>
    </row>
    <row r="79" spans="1:16" x14ac:dyDescent="0.35">
      <c r="A79" s="23" t="s">
        <v>77</v>
      </c>
      <c r="B79" s="24"/>
      <c r="C79" s="23"/>
      <c r="D79" s="23"/>
      <c r="E79" s="24"/>
      <c r="F79" s="24"/>
      <c r="G79" s="24"/>
      <c r="H79" s="24"/>
      <c r="I79" s="24"/>
      <c r="J79" s="26">
        <f>+'[1]7a. P&amp;L Restrict vs Unrestrict'!$D$91+'[1]7a. P&amp;L Restrict vs Unrestrict'!$D$94</f>
        <v>82693.64</v>
      </c>
      <c r="K79" s="26">
        <v>68300</v>
      </c>
      <c r="L79" s="26">
        <v>0</v>
      </c>
      <c r="M79" s="26">
        <v>0</v>
      </c>
    </row>
    <row r="80" spans="1:16" x14ac:dyDescent="0.35">
      <c r="A80" s="23" t="s">
        <v>78</v>
      </c>
      <c r="B80" s="24"/>
      <c r="C80" s="23"/>
      <c r="D80" s="23"/>
      <c r="E80" s="24"/>
      <c r="F80" s="24"/>
      <c r="G80" s="24"/>
      <c r="H80" s="24"/>
      <c r="I80" s="24"/>
      <c r="J80" s="26">
        <v>290521</v>
      </c>
      <c r="K80" s="26">
        <f>70524+223560+4003+22810</f>
        <v>320897</v>
      </c>
      <c r="L80" s="26">
        <f>13108+93392+38361+238621</f>
        <v>383482</v>
      </c>
      <c r="M80" s="26">
        <f>+((M18+M19)*0.5)+(15000)</f>
        <v>203737.5</v>
      </c>
    </row>
    <row r="81" spans="1:13" x14ac:dyDescent="0.35">
      <c r="A81" s="23" t="s">
        <v>114</v>
      </c>
      <c r="B81" s="24"/>
      <c r="C81" s="23"/>
      <c r="D81" s="23"/>
      <c r="E81" s="24"/>
      <c r="F81" s="24"/>
      <c r="G81" s="24"/>
      <c r="H81" s="24"/>
      <c r="I81" s="24"/>
      <c r="J81" s="26">
        <v>15411</v>
      </c>
      <c r="K81" s="26">
        <v>0</v>
      </c>
      <c r="L81" s="26"/>
      <c r="M81" s="26">
        <v>0</v>
      </c>
    </row>
    <row r="82" spans="1:13" s="24" customFormat="1" x14ac:dyDescent="0.35">
      <c r="A82" s="23" t="s">
        <v>79</v>
      </c>
      <c r="C82" s="23"/>
      <c r="D82" s="23"/>
      <c r="J82" s="26">
        <v>1346</v>
      </c>
      <c r="K82" s="26">
        <f>-43968+3843</f>
        <v>-40125</v>
      </c>
      <c r="L82" s="26"/>
      <c r="M82" s="26">
        <v>0</v>
      </c>
    </row>
    <row r="83" spans="1:13" s="24" customFormat="1" ht="16" thickBot="1" x14ac:dyDescent="0.4">
      <c r="A83" s="22" t="s">
        <v>11</v>
      </c>
      <c r="C83" s="23"/>
      <c r="D83" s="23"/>
      <c r="E83" s="23"/>
      <c r="J83" s="27">
        <f>SUM(J67:J82)</f>
        <v>1820641.2999999998</v>
      </c>
      <c r="K83" s="27">
        <f>SUM(K67:K82)</f>
        <v>1967252</v>
      </c>
      <c r="L83" s="27">
        <f>SUM(L67:L82)</f>
        <v>2068258</v>
      </c>
      <c r="M83" s="27">
        <f>SUM(M67:M82)</f>
        <v>2433641.9272706113</v>
      </c>
    </row>
    <row r="84" spans="1:13" x14ac:dyDescent="0.35">
      <c r="A84" s="22" t="s">
        <v>80</v>
      </c>
      <c r="B84" s="24"/>
      <c r="C84" s="24"/>
      <c r="D84" s="23"/>
      <c r="E84" s="24"/>
      <c r="F84" s="24"/>
      <c r="G84" s="24"/>
      <c r="H84" s="24"/>
      <c r="I84" s="24"/>
      <c r="J84" s="25">
        <f>150000-(J83-J53)</f>
        <v>147119.70000000019</v>
      </c>
      <c r="K84" s="25">
        <f>+J84+(K53-K83)</f>
        <v>154064.70000000019</v>
      </c>
      <c r="L84" s="25">
        <f>J84+(L53-L83)</f>
        <v>158118.70000000019</v>
      </c>
      <c r="M84" s="25">
        <f>K84+(M53-M83)</f>
        <v>222469.7727293889</v>
      </c>
    </row>
    <row r="85" spans="1:13" x14ac:dyDescent="0.35">
      <c r="B85" s="24"/>
      <c r="C85" s="22"/>
      <c r="D85" s="23"/>
      <c r="E85" s="24"/>
      <c r="F85" s="24"/>
      <c r="G85" s="24"/>
      <c r="H85" s="24"/>
      <c r="I85" s="24"/>
      <c r="J85" s="25"/>
    </row>
    <row r="86" spans="1:13" x14ac:dyDescent="0.35">
      <c r="A86" s="24"/>
      <c r="B86" s="24"/>
      <c r="C86" s="22"/>
      <c r="D86" s="22"/>
      <c r="E86" s="24"/>
      <c r="F86" s="24"/>
      <c r="G86" s="24"/>
      <c r="H86" s="24"/>
      <c r="I86" s="24"/>
      <c r="J86" s="24"/>
    </row>
    <row r="87" spans="1:13" x14ac:dyDescent="0.35">
      <c r="A87" s="22" t="s">
        <v>81</v>
      </c>
      <c r="B87" s="24"/>
      <c r="C87" s="23" t="s">
        <v>82</v>
      </c>
      <c r="D87" s="22"/>
      <c r="E87" s="24"/>
      <c r="F87" s="24"/>
      <c r="G87" s="24"/>
      <c r="H87" s="24"/>
      <c r="I87" s="24"/>
      <c r="J87" s="24"/>
    </row>
    <row r="88" spans="1:13" x14ac:dyDescent="0.35">
      <c r="A88" s="22"/>
      <c r="B88" s="24"/>
      <c r="C88" s="24" t="s">
        <v>83</v>
      </c>
      <c r="D88" s="22"/>
      <c r="E88" s="24"/>
      <c r="F88" s="24"/>
      <c r="G88" s="24"/>
      <c r="H88" s="24"/>
      <c r="I88" s="24"/>
      <c r="J88" s="24"/>
    </row>
    <row r="89" spans="1:13" x14ac:dyDescent="0.35">
      <c r="A89" s="24"/>
      <c r="B89" s="24"/>
      <c r="C89" s="24" t="s">
        <v>84</v>
      </c>
      <c r="D89" s="24"/>
      <c r="E89" s="24"/>
      <c r="F89" s="24"/>
      <c r="G89" s="24"/>
      <c r="H89" s="24"/>
      <c r="I89" s="24"/>
      <c r="J89" s="24"/>
    </row>
    <row r="90" spans="1:13" x14ac:dyDescent="0.35">
      <c r="A90" s="24"/>
      <c r="B90" s="24"/>
      <c r="C90" s="24" t="s">
        <v>85</v>
      </c>
      <c r="D90" s="24"/>
      <c r="E90" s="24"/>
      <c r="F90" s="24"/>
      <c r="G90" s="24"/>
      <c r="H90" s="24"/>
      <c r="I90" s="24"/>
      <c r="J90" s="24"/>
    </row>
    <row r="91" spans="1:13" x14ac:dyDescent="0.35">
      <c r="A91" s="24"/>
      <c r="B91" s="24"/>
      <c r="C91" s="24" t="s">
        <v>86</v>
      </c>
      <c r="D91" s="24"/>
      <c r="E91" s="24"/>
      <c r="F91" s="24"/>
      <c r="G91" s="24"/>
      <c r="H91" s="24"/>
      <c r="I91" s="24"/>
      <c r="J91" s="24"/>
    </row>
    <row r="92" spans="1:13" x14ac:dyDescent="0.35">
      <c r="A92" s="24"/>
      <c r="B92" s="24"/>
      <c r="C92" s="24" t="s">
        <v>87</v>
      </c>
      <c r="D92" s="24"/>
      <c r="E92" s="24"/>
      <c r="F92" s="24"/>
      <c r="G92" s="24"/>
      <c r="H92" s="24"/>
      <c r="I92" s="24"/>
      <c r="J92" s="24"/>
    </row>
    <row r="93" spans="1:13" x14ac:dyDescent="0.35">
      <c r="A93" s="24"/>
      <c r="B93" s="24"/>
      <c r="C93" s="24" t="s">
        <v>88</v>
      </c>
      <c r="D93" s="24"/>
      <c r="E93" s="24"/>
      <c r="F93" s="24"/>
      <c r="G93" s="24"/>
      <c r="H93" s="24"/>
      <c r="I93" s="24"/>
      <c r="J93" s="24"/>
    </row>
    <row r="94" spans="1:13" x14ac:dyDescent="0.35">
      <c r="A94" s="24"/>
      <c r="B94" s="24"/>
      <c r="C94" s="24" t="s">
        <v>89</v>
      </c>
      <c r="D94" s="24"/>
      <c r="E94" s="24"/>
      <c r="F94" s="24"/>
      <c r="G94" s="24"/>
      <c r="H94" s="24"/>
      <c r="I94" s="24"/>
      <c r="J94" s="24"/>
    </row>
    <row r="95" spans="1:13" x14ac:dyDescent="0.35">
      <c r="A95" s="24"/>
      <c r="B95" s="24"/>
      <c r="C95" s="24" t="s">
        <v>90</v>
      </c>
      <c r="D95" s="24"/>
      <c r="E95" s="24"/>
      <c r="F95" s="24"/>
      <c r="G95" s="24"/>
      <c r="H95" s="24"/>
      <c r="I95" s="24"/>
      <c r="J95" s="24"/>
    </row>
    <row r="96" spans="1:13" x14ac:dyDescent="0.35">
      <c r="A96" s="24"/>
      <c r="B96" s="24"/>
      <c r="C96" s="24" t="s">
        <v>91</v>
      </c>
      <c r="D96" s="24"/>
      <c r="E96" s="24"/>
      <c r="F96" s="24"/>
      <c r="G96" s="24"/>
      <c r="H96" s="24"/>
      <c r="I96" s="24"/>
      <c r="J96" s="24"/>
    </row>
    <row r="97" spans="1:10" x14ac:dyDescent="0.35">
      <c r="A97" s="24"/>
      <c r="B97" s="24"/>
      <c r="C97" s="24" t="s">
        <v>92</v>
      </c>
      <c r="D97" s="24"/>
      <c r="E97" s="24"/>
      <c r="F97" s="24"/>
      <c r="G97" s="24"/>
      <c r="H97" s="24"/>
      <c r="I97" s="24"/>
      <c r="J97" s="24"/>
    </row>
    <row r="98" spans="1:10" x14ac:dyDescent="0.35">
      <c r="A98" s="24"/>
      <c r="B98" s="24"/>
      <c r="C98" s="24" t="s">
        <v>93</v>
      </c>
      <c r="D98" s="24"/>
      <c r="E98" s="24"/>
      <c r="F98" s="24"/>
      <c r="G98" s="24"/>
      <c r="H98" s="24"/>
      <c r="I98" s="24"/>
      <c r="J98" s="24"/>
    </row>
    <row r="99" spans="1:10" x14ac:dyDescent="0.35">
      <c r="A99" s="24"/>
      <c r="B99" s="24"/>
      <c r="C99" s="24" t="s">
        <v>94</v>
      </c>
      <c r="D99" s="24"/>
      <c r="E99" s="24"/>
      <c r="F99" s="24"/>
      <c r="G99" s="24"/>
      <c r="H99" s="24"/>
      <c r="I99" s="24"/>
      <c r="J99" s="24"/>
    </row>
    <row r="100" spans="1:10" x14ac:dyDescent="0.35">
      <c r="A100" s="24"/>
      <c r="B100" s="24"/>
      <c r="C100" s="24" t="s">
        <v>95</v>
      </c>
      <c r="D100" s="24"/>
      <c r="E100" s="24"/>
      <c r="F100" s="24"/>
      <c r="G100" s="24"/>
      <c r="H100" s="24"/>
      <c r="I100" s="24"/>
      <c r="J100" s="24"/>
    </row>
    <row r="101" spans="1:10" x14ac:dyDescent="0.35">
      <c r="A101" s="24"/>
      <c r="B101" s="24"/>
      <c r="C101" s="24" t="s">
        <v>96</v>
      </c>
      <c r="D101" s="24"/>
      <c r="E101" s="24"/>
      <c r="F101" s="24"/>
      <c r="G101" s="24"/>
      <c r="H101" s="24"/>
      <c r="I101" s="24"/>
      <c r="J101" s="24"/>
    </row>
    <row r="102" spans="1:10" x14ac:dyDescent="0.35">
      <c r="A102" s="24"/>
      <c r="B102" s="24"/>
      <c r="C102" s="24" t="s">
        <v>97</v>
      </c>
      <c r="D102" s="24"/>
      <c r="E102" s="24"/>
      <c r="F102" s="24"/>
      <c r="G102" s="24"/>
      <c r="H102" s="24"/>
      <c r="I102" s="24"/>
      <c r="J102" s="24"/>
    </row>
    <row r="103" spans="1:10" x14ac:dyDescent="0.35">
      <c r="A103" s="24"/>
      <c r="B103" s="24"/>
      <c r="C103" s="24" t="s">
        <v>98</v>
      </c>
      <c r="D103" s="24"/>
      <c r="E103" s="24"/>
      <c r="F103" s="24"/>
      <c r="G103" s="24"/>
      <c r="H103" s="24"/>
      <c r="I103" s="24"/>
      <c r="J103" s="24"/>
    </row>
    <row r="104" spans="1:10" x14ac:dyDescent="0.35">
      <c r="A104" s="24"/>
      <c r="B104" s="24"/>
      <c r="C104" s="24" t="s">
        <v>99</v>
      </c>
      <c r="D104" s="24"/>
      <c r="E104" s="24"/>
      <c r="F104" s="24"/>
      <c r="G104" s="24"/>
      <c r="H104" s="24"/>
      <c r="I104" s="24"/>
      <c r="J104" s="24"/>
    </row>
    <row r="105" spans="1:10" x14ac:dyDescent="0.35">
      <c r="A105" s="24"/>
      <c r="B105" s="24"/>
      <c r="C105" s="24" t="s">
        <v>100</v>
      </c>
      <c r="D105" s="24"/>
      <c r="E105" s="24"/>
      <c r="F105" s="24"/>
      <c r="G105" s="24"/>
      <c r="H105" s="24"/>
      <c r="I105" s="24"/>
      <c r="J105" s="24"/>
    </row>
    <row r="106" spans="1:10" x14ac:dyDescent="0.35">
      <c r="A106" s="24"/>
    </row>
  </sheetData>
  <pageMargins left="0.25" right="0.25" top="0.75" bottom="0.75" header="0.3" footer="0.3"/>
  <pageSetup scale="69" orientation="portrait" r:id="rId1"/>
  <headerFooter>
    <oddHeader>&amp;L&amp;"Calibri,Regular"&amp;14 &amp;K0000002017 Budget&amp;C&amp;"Calibri,Regular"&amp;14&amp;K000000Nashville International Center for Empowerment&amp;R&amp;"Calibri,Regular"&amp;14&amp;K000000&amp;D</oddHeader>
  </headerFooter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E4" sqref="E4:E5"/>
    </sheetView>
  </sheetViews>
  <sheetFormatPr defaultRowHeight="15.5" x14ac:dyDescent="0.35"/>
  <cols>
    <col min="2" max="2" width="10.83203125" customWidth="1"/>
    <col min="3" max="4" width="13.75" bestFit="1" customWidth="1"/>
    <col min="5" max="5" width="12.08203125" bestFit="1" customWidth="1"/>
    <col min="6" max="6" width="11.33203125" bestFit="1" customWidth="1"/>
  </cols>
  <sheetData>
    <row r="2" spans="1:5" x14ac:dyDescent="0.35">
      <c r="C2" s="4" t="s">
        <v>30</v>
      </c>
    </row>
    <row r="4" spans="1:5" ht="15.75" customHeight="1" x14ac:dyDescent="0.35">
      <c r="C4" s="1" t="s">
        <v>0</v>
      </c>
      <c r="D4" s="1" t="s">
        <v>29</v>
      </c>
      <c r="E4" s="31" t="s">
        <v>37</v>
      </c>
    </row>
    <row r="5" spans="1:5" ht="17.5" x14ac:dyDescent="0.35">
      <c r="C5" s="10" t="s">
        <v>26</v>
      </c>
      <c r="D5" s="10" t="s">
        <v>36</v>
      </c>
      <c r="E5" s="32"/>
    </row>
    <row r="7" spans="1:5" x14ac:dyDescent="0.35">
      <c r="B7" t="s">
        <v>31</v>
      </c>
      <c r="C7" s="20" t="e">
        <f>+Sheet1!#REF!</f>
        <v>#REF!</v>
      </c>
      <c r="D7" s="20" t="e">
        <f>+Sheet1!#REF!</f>
        <v>#REF!</v>
      </c>
      <c r="E7" s="20" t="e">
        <f>+Sheet1!#REF!</f>
        <v>#REF!</v>
      </c>
    </row>
    <row r="8" spans="1:5" x14ac:dyDescent="0.35">
      <c r="B8" t="s">
        <v>32</v>
      </c>
      <c r="C8" s="20" t="e">
        <f>+Sheet1!#REF!-Sheet1!#REF!</f>
        <v>#REF!</v>
      </c>
      <c r="D8" s="20" t="e">
        <f>+Sheet1!#REF!-Sheet1!#REF!</f>
        <v>#REF!</v>
      </c>
      <c r="E8" s="20" t="e">
        <f>+Sheet1!#REF!-Sheet1!#REF!</f>
        <v>#REF!</v>
      </c>
    </row>
    <row r="9" spans="1:5" x14ac:dyDescent="0.35">
      <c r="B9" t="s">
        <v>33</v>
      </c>
      <c r="C9" s="20" t="e">
        <f>+Sheet1!#REF!</f>
        <v>#REF!</v>
      </c>
      <c r="D9" s="20" t="e">
        <f>+Sheet1!#REF!</f>
        <v>#REF!</v>
      </c>
      <c r="E9" s="20" t="e">
        <f>+Sheet1!#REF!</f>
        <v>#REF!</v>
      </c>
    </row>
    <row r="10" spans="1:5" x14ac:dyDescent="0.35">
      <c r="B10" t="s">
        <v>34</v>
      </c>
      <c r="C10" s="20" t="e">
        <f>+Sheet1!#REF!</f>
        <v>#REF!</v>
      </c>
      <c r="D10" s="20" t="e">
        <f>+Sheet1!#REF!</f>
        <v>#REF!</v>
      </c>
      <c r="E10" s="20" t="e">
        <f>+Sheet1!#REF!</f>
        <v>#REF!</v>
      </c>
    </row>
    <row r="11" spans="1:5" x14ac:dyDescent="0.35">
      <c r="B11" t="s">
        <v>35</v>
      </c>
      <c r="C11" s="20" t="e">
        <f>+Sheet1!#REF!</f>
        <v>#REF!</v>
      </c>
      <c r="D11" s="20" t="e">
        <f>+Sheet1!#REF!</f>
        <v>#REF!</v>
      </c>
      <c r="E11" s="20" t="e">
        <f>+Sheet1!#REF!</f>
        <v>#REF!</v>
      </c>
    </row>
    <row r="12" spans="1:5" x14ac:dyDescent="0.35">
      <c r="B12" t="s">
        <v>11</v>
      </c>
      <c r="C12" s="20" t="e">
        <f>SUM(C7:C11)</f>
        <v>#REF!</v>
      </c>
      <c r="D12" s="20" t="e">
        <f>SUM(D7:D11)</f>
        <v>#REF!</v>
      </c>
      <c r="E12" s="20" t="e">
        <f>SUM(E7:E11)</f>
        <v>#REF!</v>
      </c>
    </row>
    <row r="14" spans="1:5" ht="17.5" x14ac:dyDescent="0.35">
      <c r="A14" s="19">
        <v>1</v>
      </c>
      <c r="B14" t="s">
        <v>41</v>
      </c>
    </row>
    <row r="15" spans="1:5" ht="17.5" x14ac:dyDescent="0.35">
      <c r="A15" s="19"/>
      <c r="B15" t="s">
        <v>42</v>
      </c>
    </row>
    <row r="16" spans="1:5" ht="17.5" x14ac:dyDescent="0.35">
      <c r="A16" s="19"/>
      <c r="B16" t="s">
        <v>39</v>
      </c>
    </row>
    <row r="17" spans="1:2" ht="17.5" x14ac:dyDescent="0.35">
      <c r="A17" s="19"/>
      <c r="B17" t="s">
        <v>40</v>
      </c>
    </row>
    <row r="18" spans="1:2" ht="17.5" x14ac:dyDescent="0.35">
      <c r="A18" s="19">
        <v>2</v>
      </c>
      <c r="B18" t="s">
        <v>38</v>
      </c>
    </row>
    <row r="19" spans="1:2" x14ac:dyDescent="0.35">
      <c r="B19" t="s">
        <v>43</v>
      </c>
    </row>
    <row r="20" spans="1:2" x14ac:dyDescent="0.35">
      <c r="B20" t="s">
        <v>40</v>
      </c>
    </row>
    <row r="21" spans="1:2" x14ac:dyDescent="0.35">
      <c r="B21" t="s">
        <v>44</v>
      </c>
    </row>
  </sheetData>
  <mergeCells count="1"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Cunningham</dc:creator>
  <cp:lastModifiedBy>Cindy Cunningham</cp:lastModifiedBy>
  <cp:lastPrinted>2019-12-13T22:32:03Z</cp:lastPrinted>
  <dcterms:created xsi:type="dcterms:W3CDTF">2013-12-04T23:59:56Z</dcterms:created>
  <dcterms:modified xsi:type="dcterms:W3CDTF">2021-01-04T21:46:45Z</dcterms:modified>
</cp:coreProperties>
</file>