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ce\OneDrive - Nashville Youth Sports Club, Inc\STARS\CPA - ACCOUNTING - BUDGETS - 501c3\BUDGETS\2019-20\"/>
    </mc:Choice>
  </mc:AlternateContent>
  <xr:revisionPtr revIDLastSave="221" documentId="114_{AC23AAAF-A97B-4D50-8AF5-85A3437E8042}" xr6:coauthVersionLast="45" xr6:coauthVersionMax="45" xr10:uidLastSave="{3D40180E-4A6F-4307-BFE2-402CBB5F87D6}"/>
  <bookViews>
    <workbookView xWindow="20370" yWindow="-120" windowWidth="29040" windowHeight="16440" firstSheet="1" activeTab="1" xr2:uid="{00000000-000D-0000-FFFF-FFFF00000000}"/>
  </bookViews>
  <sheets>
    <sheet name="18-19 Budget" sheetId="1" r:id="rId1"/>
    <sheet name="19-20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2" l="1"/>
  <c r="G59" i="2"/>
  <c r="K42" i="2"/>
  <c r="K53" i="2"/>
  <c r="J53" i="2"/>
  <c r="J59" i="2" s="1"/>
  <c r="I53" i="2"/>
  <c r="I59" i="2" s="1"/>
  <c r="H53" i="2"/>
  <c r="G53" i="2"/>
  <c r="F53" i="2"/>
  <c r="E53" i="2"/>
  <c r="D53" i="2"/>
  <c r="C53" i="2"/>
  <c r="B53" i="2"/>
  <c r="N53" i="2" s="1"/>
  <c r="B42" i="2" l="1"/>
  <c r="E16" i="2"/>
  <c r="D16" i="2"/>
  <c r="C16" i="2"/>
  <c r="B16" i="2"/>
  <c r="D71" i="2" l="1"/>
  <c r="F71" i="2"/>
  <c r="E71" i="2"/>
  <c r="C71" i="2"/>
  <c r="N47" i="2"/>
  <c r="G9" i="2" l="1"/>
  <c r="F9" i="2"/>
  <c r="C9" i="2"/>
  <c r="H9" i="2"/>
  <c r="D9" i="2"/>
  <c r="B9" i="2"/>
  <c r="M55" i="2" l="1"/>
  <c r="L55" i="2"/>
  <c r="K55" i="2"/>
  <c r="J55" i="2"/>
  <c r="I55" i="2"/>
  <c r="H55" i="2"/>
  <c r="G55" i="2"/>
  <c r="F55" i="2"/>
  <c r="E55" i="2"/>
  <c r="D55" i="2"/>
  <c r="C55" i="2"/>
  <c r="B55" i="2"/>
  <c r="K64" i="2" l="1"/>
  <c r="J64" i="2"/>
  <c r="I64" i="2"/>
  <c r="H64" i="2"/>
  <c r="B48" i="2"/>
  <c r="M60" i="2"/>
  <c r="L60" i="2"/>
  <c r="K60" i="2"/>
  <c r="J60" i="2"/>
  <c r="J58" i="2" s="1"/>
  <c r="I60" i="2"/>
  <c r="I58" i="2" s="1"/>
  <c r="H60" i="2"/>
  <c r="G60" i="2"/>
  <c r="G58" i="2" s="1"/>
  <c r="F60" i="2"/>
  <c r="E60" i="2"/>
  <c r="D60" i="2"/>
  <c r="C60" i="2"/>
  <c r="B60" i="2"/>
  <c r="C61" i="2" l="1"/>
  <c r="L31" i="2" l="1"/>
  <c r="K31" i="2"/>
  <c r="H31" i="2"/>
  <c r="E31" i="2"/>
  <c r="D31" i="2"/>
  <c r="C31" i="2"/>
  <c r="B31" i="2"/>
  <c r="N30" i="2"/>
  <c r="F62" i="2"/>
  <c r="B43" i="2"/>
  <c r="M59" i="2"/>
  <c r="L59" i="2"/>
  <c r="F59" i="2"/>
  <c r="E59" i="2"/>
  <c r="D59" i="2"/>
  <c r="C59" i="2"/>
  <c r="E62" i="2" l="1"/>
  <c r="K59" i="2"/>
  <c r="M42" i="2"/>
  <c r="N42" i="2" s="1"/>
  <c r="N41" i="2" l="1"/>
  <c r="M58" i="2"/>
  <c r="L58" i="2"/>
  <c r="K58" i="2"/>
  <c r="H58" i="2"/>
  <c r="F58" i="2"/>
  <c r="E58" i="2"/>
  <c r="D58" i="2"/>
  <c r="C58" i="2"/>
  <c r="L69" i="2" l="1"/>
  <c r="N69" i="2"/>
  <c r="D75" i="2" l="1"/>
  <c r="N73" i="2"/>
  <c r="N62" i="2"/>
  <c r="D45" i="2"/>
  <c r="E45" i="2"/>
  <c r="C45" i="2"/>
  <c r="B45" i="2"/>
  <c r="N35" i="2" l="1"/>
  <c r="L72" i="2"/>
  <c r="K72" i="2"/>
  <c r="H72" i="2"/>
  <c r="E72" i="2"/>
  <c r="D72" i="2"/>
  <c r="C72" i="2"/>
  <c r="M27" i="2"/>
  <c r="J26" i="2"/>
  <c r="I26" i="2"/>
  <c r="L22" i="2"/>
  <c r="L67" i="2" s="1"/>
  <c r="M15" i="2"/>
  <c r="C15" i="2"/>
  <c r="B15" i="2"/>
  <c r="B17" i="2"/>
  <c r="M31" i="2" l="1"/>
  <c r="M72" i="2" s="1"/>
  <c r="N26" i="2"/>
  <c r="J31" i="2"/>
  <c r="J72" i="2" s="1"/>
  <c r="N14" i="2"/>
  <c r="G17" i="2" l="1"/>
  <c r="F17" i="2"/>
  <c r="E17" i="2"/>
  <c r="J16" i="2"/>
  <c r="I16" i="2"/>
  <c r="H16" i="2"/>
  <c r="G16" i="2"/>
  <c r="G28" i="2"/>
  <c r="F28" i="2"/>
  <c r="G31" i="2" l="1"/>
  <c r="G72" i="2" s="1"/>
  <c r="F31" i="2"/>
  <c r="F72" i="2" s="1"/>
  <c r="G22" i="2"/>
  <c r="G67" i="2" s="1"/>
  <c r="H22" i="2"/>
  <c r="H67" i="2" s="1"/>
  <c r="I45" i="2"/>
  <c r="H45" i="2"/>
  <c r="G45" i="2"/>
  <c r="F45" i="2" l="1"/>
  <c r="I17" i="2" l="1"/>
  <c r="I22" i="2" l="1"/>
  <c r="I67" i="2" s="1"/>
  <c r="I28" i="2"/>
  <c r="I31" i="2" l="1"/>
  <c r="I72" i="2" s="1"/>
  <c r="M12" i="2"/>
  <c r="L12" i="2"/>
  <c r="K12" i="2"/>
  <c r="I12" i="2"/>
  <c r="G12" i="2"/>
  <c r="E12" i="2"/>
  <c r="D12" i="2"/>
  <c r="C12" i="2"/>
  <c r="M16" i="2"/>
  <c r="B22" i="2" l="1"/>
  <c r="B67" i="2" s="1"/>
  <c r="M22" i="2"/>
  <c r="M67" i="2" s="1"/>
  <c r="E22" i="2"/>
  <c r="E67" i="2" s="1"/>
  <c r="F16" i="2"/>
  <c r="N16" i="2" l="1"/>
  <c r="F22" i="2"/>
  <c r="F67" i="2" s="1"/>
  <c r="G46" i="2" l="1"/>
  <c r="H46" i="2"/>
  <c r="I46" i="2"/>
  <c r="J46" i="2"/>
  <c r="N46" i="2" l="1"/>
  <c r="N55" i="2" l="1"/>
  <c r="N11" i="2" l="1"/>
  <c r="J71" i="2"/>
  <c r="I71" i="2"/>
  <c r="N71" i="2" l="1"/>
  <c r="H68" i="2"/>
  <c r="J9" i="2" l="1"/>
  <c r="J12" i="2" s="1"/>
  <c r="H12" i="2"/>
  <c r="F12" i="2"/>
  <c r="M20" i="2"/>
  <c r="J20" i="2"/>
  <c r="N9" i="2" l="1"/>
  <c r="N39" i="2"/>
  <c r="N29" i="2" l="1"/>
  <c r="N75" i="2" l="1"/>
  <c r="N74" i="2" l="1"/>
  <c r="N64" i="2"/>
  <c r="N57" i="2"/>
  <c r="N56" i="2"/>
  <c r="N52" i="2"/>
  <c r="N51" i="2"/>
  <c r="N50" i="2"/>
  <c r="M65" i="2" l="1"/>
  <c r="M76" i="2" s="1"/>
  <c r="L65" i="2"/>
  <c r="K65" i="2"/>
  <c r="J65" i="2"/>
  <c r="I65" i="2"/>
  <c r="H65" i="2"/>
  <c r="G65" i="2"/>
  <c r="F65" i="2"/>
  <c r="E65" i="2"/>
  <c r="D65" i="2"/>
  <c r="C65" i="2"/>
  <c r="B65" i="2"/>
  <c r="N61" i="2"/>
  <c r="L37" i="2"/>
  <c r="L76" i="2" s="1"/>
  <c r="K37" i="2"/>
  <c r="J37" i="2"/>
  <c r="I37" i="2"/>
  <c r="I76" i="2" s="1"/>
  <c r="H37" i="2"/>
  <c r="H76" i="2" s="1"/>
  <c r="G37" i="2"/>
  <c r="G76" i="2" s="1"/>
  <c r="F37" i="2"/>
  <c r="F76" i="2" s="1"/>
  <c r="E37" i="2"/>
  <c r="E76" i="2" s="1"/>
  <c r="D37" i="2"/>
  <c r="C37" i="2"/>
  <c r="B37" i="2"/>
  <c r="M32" i="2"/>
  <c r="L32" i="2"/>
  <c r="I32" i="2"/>
  <c r="H32" i="2"/>
  <c r="F32" i="2"/>
  <c r="E32" i="2"/>
  <c r="D32" i="2"/>
  <c r="I20" i="2"/>
  <c r="H20" i="2"/>
  <c r="G20" i="2"/>
  <c r="F20" i="2"/>
  <c r="E20" i="2"/>
  <c r="D20" i="2"/>
  <c r="M19" i="2"/>
  <c r="M21" i="2" s="1"/>
  <c r="L19" i="2"/>
  <c r="L21" i="2" s="1"/>
  <c r="K19" i="2"/>
  <c r="J19" i="2"/>
  <c r="I19" i="2"/>
  <c r="F19" i="2"/>
  <c r="E19" i="2"/>
  <c r="D19" i="2"/>
  <c r="C19" i="2"/>
  <c r="B19" i="2"/>
  <c r="K17" i="2"/>
  <c r="J17" i="2"/>
  <c r="D17" i="2"/>
  <c r="C17" i="2"/>
  <c r="B8" i="2"/>
  <c r="B12" i="2" s="1"/>
  <c r="E21" i="2" l="1"/>
  <c r="E23" i="2" s="1"/>
  <c r="E33" i="2" s="1"/>
  <c r="N19" i="2"/>
  <c r="B21" i="2"/>
  <c r="B23" i="2" s="1"/>
  <c r="I21" i="2"/>
  <c r="I23" i="2" s="1"/>
  <c r="I33" i="2" s="1"/>
  <c r="G21" i="2"/>
  <c r="G23" i="2" s="1"/>
  <c r="K21" i="2"/>
  <c r="C21" i="2"/>
  <c r="F21" i="2"/>
  <c r="F23" i="2" s="1"/>
  <c r="F33" i="2" s="1"/>
  <c r="D21" i="2"/>
  <c r="J21" i="2"/>
  <c r="H21" i="2"/>
  <c r="H23" i="2" s="1"/>
  <c r="H33" i="2" s="1"/>
  <c r="D22" i="2"/>
  <c r="D67" i="2" s="1"/>
  <c r="D76" i="2" s="1"/>
  <c r="J22" i="2"/>
  <c r="J67" i="2" s="1"/>
  <c r="J76" i="2" s="1"/>
  <c r="K22" i="2"/>
  <c r="K67" i="2" s="1"/>
  <c r="K76" i="2" s="1"/>
  <c r="C22" i="2"/>
  <c r="N17" i="2"/>
  <c r="N6" i="2"/>
  <c r="N7" i="2"/>
  <c r="N8" i="2"/>
  <c r="N15" i="2"/>
  <c r="N20" i="2"/>
  <c r="N65" i="2"/>
  <c r="N27" i="2"/>
  <c r="N28" i="2"/>
  <c r="N36" i="2"/>
  <c r="N37" i="2"/>
  <c r="N38" i="2"/>
  <c r="N40" i="2"/>
  <c r="N43" i="2"/>
  <c r="N44" i="2"/>
  <c r="N45" i="2"/>
  <c r="N48" i="2"/>
  <c r="N49" i="2"/>
  <c r="N63" i="2"/>
  <c r="N66" i="2"/>
  <c r="N68" i="2"/>
  <c r="N70" i="2"/>
  <c r="J32" i="2"/>
  <c r="L23" i="2"/>
  <c r="C32" i="2"/>
  <c r="G32" i="2"/>
  <c r="K32" i="2"/>
  <c r="B72" i="2"/>
  <c r="M23" i="2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L39" i="1" s="1"/>
  <c r="K37" i="1"/>
  <c r="K39" i="1" s="1"/>
  <c r="J37" i="1"/>
  <c r="J39" i="1" s="1"/>
  <c r="I37" i="1"/>
  <c r="H37" i="1"/>
  <c r="H39" i="1" s="1"/>
  <c r="G37" i="1"/>
  <c r="G39" i="1" s="1"/>
  <c r="F37" i="1"/>
  <c r="F39" i="1" s="1"/>
  <c r="E37" i="1"/>
  <c r="D37" i="1"/>
  <c r="D39" i="1" s="1"/>
  <c r="C37" i="1"/>
  <c r="C39" i="1" s="1"/>
  <c r="B37" i="1"/>
  <c r="B39" i="1" s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L27" i="1" s="1"/>
  <c r="L28" i="1" s="1"/>
  <c r="K24" i="1"/>
  <c r="K27" i="1" s="1"/>
  <c r="K28" i="1" s="1"/>
  <c r="J24" i="1"/>
  <c r="J27" i="1" s="1"/>
  <c r="J28" i="1" s="1"/>
  <c r="I24" i="1"/>
  <c r="H24" i="1"/>
  <c r="H27" i="1" s="1"/>
  <c r="H28" i="1" s="1"/>
  <c r="G24" i="1"/>
  <c r="G27" i="1" s="1"/>
  <c r="G28" i="1" s="1"/>
  <c r="F24" i="1"/>
  <c r="F27" i="1" s="1"/>
  <c r="F28" i="1" s="1"/>
  <c r="E24" i="1"/>
  <c r="D24" i="1"/>
  <c r="D27" i="1" s="1"/>
  <c r="D28" i="1" s="1"/>
  <c r="C24" i="1"/>
  <c r="C27" i="1" s="1"/>
  <c r="C28" i="1" s="1"/>
  <c r="B24" i="1"/>
  <c r="B27" i="1" s="1"/>
  <c r="N23" i="1"/>
  <c r="M20" i="1"/>
  <c r="L20" i="1"/>
  <c r="K20" i="1"/>
  <c r="J20" i="1"/>
  <c r="I20" i="1"/>
  <c r="H20" i="1"/>
  <c r="G20" i="1"/>
  <c r="F20" i="1"/>
  <c r="E20" i="1"/>
  <c r="D20" i="1"/>
  <c r="C20" i="1"/>
  <c r="B20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M19" i="1" s="1"/>
  <c r="L13" i="1"/>
  <c r="L19" i="1" s="1"/>
  <c r="K13" i="1"/>
  <c r="K19" i="1" s="1"/>
  <c r="J13" i="1"/>
  <c r="I13" i="1"/>
  <c r="I19" i="1" s="1"/>
  <c r="H13" i="1"/>
  <c r="H19" i="1" s="1"/>
  <c r="G13" i="1"/>
  <c r="G19" i="1" s="1"/>
  <c r="F13" i="1"/>
  <c r="E13" i="1"/>
  <c r="E19" i="1" s="1"/>
  <c r="D13" i="1"/>
  <c r="D19" i="1" s="1"/>
  <c r="C13" i="1"/>
  <c r="C19" i="1" s="1"/>
  <c r="B13" i="1"/>
  <c r="N12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M11" i="1" s="1"/>
  <c r="L7" i="1"/>
  <c r="L11" i="1" s="1"/>
  <c r="K7" i="1"/>
  <c r="K11" i="1" s="1"/>
  <c r="K21" i="1" s="1"/>
  <c r="J7" i="1"/>
  <c r="J11" i="1" s="1"/>
  <c r="I7" i="1"/>
  <c r="I11" i="1" s="1"/>
  <c r="H7" i="1"/>
  <c r="H11" i="1" s="1"/>
  <c r="G7" i="1"/>
  <c r="G11" i="1" s="1"/>
  <c r="G21" i="1" s="1"/>
  <c r="F7" i="1"/>
  <c r="F11" i="1" s="1"/>
  <c r="E7" i="1"/>
  <c r="E11" i="1" s="1"/>
  <c r="D7" i="1"/>
  <c r="D11" i="1" s="1"/>
  <c r="C7" i="1"/>
  <c r="C11" i="1" s="1"/>
  <c r="C21" i="1" s="1"/>
  <c r="B7" i="1"/>
  <c r="D56" i="1" l="1"/>
  <c r="H56" i="1"/>
  <c r="L56" i="1"/>
  <c r="N7" i="1"/>
  <c r="N8" i="1"/>
  <c r="N9" i="1"/>
  <c r="N10" i="1"/>
  <c r="E56" i="1"/>
  <c r="E39" i="1"/>
  <c r="N39" i="1" s="1"/>
  <c r="I39" i="1"/>
  <c r="I56" i="1" s="1"/>
  <c r="M39" i="1"/>
  <c r="M56" i="1" s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C29" i="1"/>
  <c r="G29" i="1"/>
  <c r="G57" i="1" s="1"/>
  <c r="G58" i="1" s="1"/>
  <c r="K29" i="1"/>
  <c r="K57" i="1" s="1"/>
  <c r="K58" i="1" s="1"/>
  <c r="N13" i="1"/>
  <c r="N14" i="1"/>
  <c r="B19" i="1"/>
  <c r="F19" i="1"/>
  <c r="J19" i="1"/>
  <c r="N16" i="1"/>
  <c r="N17" i="1"/>
  <c r="N18" i="1"/>
  <c r="N20" i="1"/>
  <c r="E27" i="1"/>
  <c r="E28" i="1" s="1"/>
  <c r="I27" i="1"/>
  <c r="I28" i="1" s="1"/>
  <c r="M27" i="1"/>
  <c r="M28" i="1" s="1"/>
  <c r="B56" i="1"/>
  <c r="F56" i="1"/>
  <c r="J56" i="1"/>
  <c r="N32" i="1"/>
  <c r="N33" i="1"/>
  <c r="N34" i="1"/>
  <c r="N35" i="1"/>
  <c r="N36" i="1"/>
  <c r="N38" i="1"/>
  <c r="D21" i="1"/>
  <c r="D29" i="1" s="1"/>
  <c r="D57" i="1" s="1"/>
  <c r="D58" i="1" s="1"/>
  <c r="H21" i="1"/>
  <c r="H29" i="1" s="1"/>
  <c r="H57" i="1" s="1"/>
  <c r="H58" i="1" s="1"/>
  <c r="L21" i="1"/>
  <c r="L29" i="1" s="1"/>
  <c r="N25" i="1"/>
  <c r="N26" i="1"/>
  <c r="C56" i="1"/>
  <c r="G56" i="1"/>
  <c r="K56" i="1"/>
  <c r="J23" i="2"/>
  <c r="N21" i="2"/>
  <c r="C23" i="2"/>
  <c r="C33" i="2" s="1"/>
  <c r="C67" i="2"/>
  <c r="C76" i="2" s="1"/>
  <c r="N72" i="2"/>
  <c r="K23" i="2"/>
  <c r="K33" i="2" s="1"/>
  <c r="K77" i="2" s="1"/>
  <c r="B32" i="2"/>
  <c r="N67" i="2"/>
  <c r="D23" i="2"/>
  <c r="D33" i="2" s="1"/>
  <c r="D77" i="2" s="1"/>
  <c r="N22" i="2"/>
  <c r="M33" i="2"/>
  <c r="M77" i="2" s="1"/>
  <c r="L33" i="2"/>
  <c r="L77" i="2" s="1"/>
  <c r="H77" i="2"/>
  <c r="N12" i="2"/>
  <c r="N32" i="2"/>
  <c r="G33" i="2"/>
  <c r="G77" i="2" s="1"/>
  <c r="N31" i="2"/>
  <c r="F77" i="2"/>
  <c r="I77" i="2"/>
  <c r="E77" i="2"/>
  <c r="J33" i="2"/>
  <c r="J77" i="2" s="1"/>
  <c r="F21" i="1"/>
  <c r="F29" i="1" s="1"/>
  <c r="F57" i="1" s="1"/>
  <c r="F58" i="1" s="1"/>
  <c r="J21" i="1"/>
  <c r="J29" i="1" s="1"/>
  <c r="B28" i="1"/>
  <c r="E21" i="1"/>
  <c r="E29" i="1" s="1"/>
  <c r="E57" i="1" s="1"/>
  <c r="E58" i="1" s="1"/>
  <c r="I21" i="1"/>
  <c r="M21" i="1"/>
  <c r="B11" i="1"/>
  <c r="N24" i="1"/>
  <c r="N37" i="1"/>
  <c r="N31" i="1"/>
  <c r="N15" i="1"/>
  <c r="N19" i="1" l="1"/>
  <c r="C57" i="1"/>
  <c r="C58" i="1" s="1"/>
  <c r="N27" i="1"/>
  <c r="M29" i="1"/>
  <c r="M57" i="1" s="1"/>
  <c r="M58" i="1" s="1"/>
  <c r="N28" i="1"/>
  <c r="I29" i="1"/>
  <c r="I57" i="1" s="1"/>
  <c r="I58" i="1" s="1"/>
  <c r="J57" i="1"/>
  <c r="J58" i="1" s="1"/>
  <c r="L57" i="1"/>
  <c r="L58" i="1" s="1"/>
  <c r="N56" i="1"/>
  <c r="C77" i="2"/>
  <c r="N23" i="2"/>
  <c r="B33" i="2"/>
  <c r="N33" i="2" s="1"/>
  <c r="N11" i="1"/>
  <c r="B21" i="1"/>
  <c r="B29" i="1" l="1"/>
  <c r="N21" i="1"/>
  <c r="N29" i="1" l="1"/>
  <c r="B57" i="1"/>
  <c r="B58" i="1" l="1"/>
  <c r="N58" i="1" s="1"/>
  <c r="N57" i="1"/>
  <c r="B58" i="2" l="1"/>
  <c r="N58" i="2" s="1"/>
  <c r="B59" i="2"/>
  <c r="N59" i="2" s="1"/>
  <c r="N60" i="2"/>
  <c r="B76" i="2" l="1"/>
  <c r="N76" i="2" s="1"/>
  <c r="B77" i="2" l="1"/>
  <c r="B78" i="2" s="1"/>
  <c r="C78" i="2" s="1"/>
  <c r="D78" i="2" s="1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N7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Lance</author>
  </authors>
  <commentList>
    <comment ref="A8" authorId="0" shapeId="0" xr:uid="{03CC551D-7437-45FC-B9BA-A9F19BC111B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Banners</t>
        </r>
      </text>
    </comment>
    <comment ref="A9" authorId="0" shapeId="0" xr:uid="{18078E25-BFF1-49E4-ADA6-F54C4FDF15A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MSYS: 4 events
Dru Joyce: 1 event
Tom Insell: 1 event
TN REIGN/Mikki Allen: 1 event
Partner with Kris Hooper/Jim McDowell in JUNE</t>
        </r>
      </text>
    </comment>
    <comment ref="B9" authorId="0" shapeId="0" xr:uid="{30D29DC5-B7CE-4AF9-B4CD-8A39630A9D8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MSYS Deposit - $7,300
$200 - Trainer
</t>
        </r>
      </text>
    </comment>
    <comment ref="C9" authorId="0" shapeId="0" xr:uid="{6CB5A126-5D52-4C7B-87A4-0E07DD94876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Deposit: Tom Insell NEB Tournament - $1,000
Deposit:  Dru Joyce - $1,000
$200 - Trainers
$1,000 - Mikki Allen/Tn Reign
</t>
        </r>
      </text>
    </comment>
    <comment ref="D9" authorId="0" shapeId="0" xr:uid="{93E584AA-F4A5-46E7-BB42-0797256294F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$300 - Trainers</t>
        </r>
      </text>
    </comment>
    <comment ref="E9" authorId="0" shapeId="0" xr:uid="{74A93E47-A968-46D7-A41B-3F0CE452B9C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MSYS Deposit
</t>
        </r>
      </text>
    </comment>
    <comment ref="F9" authorId="0" shapeId="0" xr:uid="{C2ACCA28-953B-43E7-BAD4-80C93C03909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Deposit - Tom Insell - $4,000
Deposit: Dru Joyce - $3,000
Deposit:  Mikki Allen/Tn Reign - $3,000</t>
        </r>
      </text>
    </comment>
    <comment ref="G9" authorId="0" shapeId="0" xr:uid="{E7B7FDF0-C91D-4B4B-AAC6-7B542155076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MSYS Deposit - $5,100
TN Reign/Mikki Allen:  $4,500</t>
        </r>
      </text>
    </comment>
    <comment ref="H9" authorId="0" shapeId="0" xr:uid="{C8D31861-9C00-4511-9B34-683C8F07E96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Tom Insell:  $5,000
Dru Joyce:  $4,500
</t>
        </r>
      </text>
    </comment>
    <comment ref="I9" authorId="0" shapeId="0" xr:uid="{AB74DF19-76D3-4A6E-A48A-20BED25AF79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MSYS-Final Payment</t>
        </r>
      </text>
    </comment>
    <comment ref="J9" authorId="0" shapeId="0" xr:uid="{00D9843B-5673-4770-97D4-73DCEC1390D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Independent Event (partner with Kris Hooper/Jim McDowell)
$500 - Trainer Rentals</t>
        </r>
      </text>
    </comment>
    <comment ref="K9" authorId="0" shapeId="0" xr:uid="{79631B76-4143-4676-9CC5-A4320E2E1E8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$500 - Trainer Rentals
</t>
        </r>
      </text>
    </comment>
    <comment ref="L9" authorId="0" shapeId="0" xr:uid="{C3CA9728-76F3-4E2F-9682-9CADB78856A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$500 - Trainer Rentals
</t>
        </r>
      </text>
    </comment>
    <comment ref="A10" authorId="0" shapeId="0" xr:uid="{9EAACB7B-F8CE-4625-8789-2A756D42DBA5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I did not have this line item in our budget; had a fundraising expense line item and put "revenue" here…GREAT NEWS: $2,000 swing in the budget!</t>
        </r>
      </text>
    </comment>
    <comment ref="N10" authorId="0" shapeId="0" xr:uid="{6CEEC494-164A-479C-91B2-DF0D4D784741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2/4/20: I have actually already did this haha for the past amounts a couple months ago.   For some odd reason I never corrected you, but knew what it was.  So, all good over here.  I been putting it in account 40500 E Other Income – Fundraising. </t>
        </r>
      </text>
    </comment>
    <comment ref="B14" authorId="0" shapeId="0" xr:uid="{255A1E0E-9F4D-41B3-A4E4-6AA2C0508C6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Fall Break Shooting &amp; Skills Competition Clinic</t>
        </r>
      </text>
    </comment>
    <comment ref="C14" authorId="0" shapeId="0" xr:uid="{A378108B-6D85-43BC-9835-E18E0E2C6FE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Thanksgiving Break Shooting and Skills Competition Clinic</t>
        </r>
      </text>
    </comment>
    <comment ref="D14" authorId="0" shapeId="0" xr:uid="{02510814-E3D3-404C-8826-FCB53295E5A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Christmas Break Mini-Camp</t>
        </r>
      </text>
    </comment>
    <comment ref="E14" authorId="0" shapeId="0" xr:uid="{6D9FEE7B-58B3-4AAE-8CBB-12E0E2B6A1C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MLK Clinic</t>
        </r>
      </text>
    </comment>
    <comment ref="F14" authorId="0" shapeId="0" xr:uid="{D7997C1D-F3F4-421E-9854-1BD5E5E1229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President's Day Clinic
</t>
        </r>
      </text>
    </comment>
    <comment ref="G14" authorId="0" shapeId="0" xr:uid="{47EA4D9E-9EB3-46A2-9E75-5C3D654D114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Election Day Clinic
</t>
        </r>
      </text>
    </comment>
    <comment ref="I14" authorId="0" shapeId="0" xr:uid="{19B5DBD9-DBC7-44A9-9E04-0CC55F02D2B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May Revenue - Early Reg. for June (1) or July Camps (2)
</t>
        </r>
      </text>
    </comment>
    <comment ref="J14" authorId="0" shapeId="0" xr:uid="{287CC193-1B74-4663-B718-C906D2E975E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June 2019 - Camp Rev.</t>
        </r>
      </text>
    </comment>
    <comment ref="K14" authorId="0" shapeId="0" xr:uid="{CFA2657D-CF29-4D5A-9F9E-C8467026E1F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July 2019 Camp Revenue</t>
        </r>
      </text>
    </comment>
    <comment ref="B15" authorId="0" shapeId="0" xr:uid="{B3CB5C93-C47A-4EF8-AB02-6E7ACADB2E6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a.  40% of H.S. Hoops League Revenue (Gross - $13,000)
b.  Projected $7,500 revenue/Oct . programming</t>
        </r>
      </text>
    </comment>
    <comment ref="C15" authorId="0" shapeId="0" xr:uid="{62E055ED-EE3E-4FAE-A4F5-22A8CC5A1C5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Nov. Shooting Labs - $4,000 GROSS
Nov. (other programming; e.g. M.S. Prep Clinic) - $5,000
</t>
        </r>
      </text>
    </comment>
    <comment ref="D15" authorId="0" shapeId="0" xr:uid="{54136706-64E0-4105-B0AD-9F34A5F5CAC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Dec. Shooting Labs - $2,500 Gross
</t>
        </r>
      </text>
    </comment>
    <comment ref="E15" authorId="0" shapeId="0" xr:uid="{A297A1B9-4870-4D73-B16A-4104DBEA031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Jan. Shooting Lab - Gross
</t>
        </r>
      </text>
    </comment>
    <comment ref="L15" authorId="0" shapeId="0" xr:uid="{8EA29A1C-A1BD-461A-8757-27445FD57B1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Based on 2019 Developmental Revenue (GROSS); includes ONE Parent's Night Out (Gross -$1,000)</t>
        </r>
      </text>
    </comment>
    <comment ref="M15" authorId="0" shapeId="0" xr:uid="{FBB7799B-2B96-40D8-8CC7-94B321805B4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a.  60% of H.S. Hoops League Revenue (Gross - $13,000)
b.  Projected $12,000 in revenue/cash in Sept (Sept/early Oct. clinics); based on SEPT. 2019 gross revenue
</t>
        </r>
      </text>
    </comment>
    <comment ref="B16" authorId="0" shapeId="0" xr:uid="{CE8BB2F1-463E-4A06-A6E0-DB57F1CAE3A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(8 Teams; $54800/5 months of payment plan)
WNSL Team ($325 per player; 11 players = $3,575; 5 month payment plan)</t>
        </r>
      </text>
    </comment>
    <comment ref="C16" authorId="0" shapeId="0" xr:uid="{8C2C76F9-3CCE-4981-9A0D-A1D6B598087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(8 Teams; $54800/5 months of payment plan)
WNSL Team ($325 per player; 11 players = $3,575; 5 month payment plan)</t>
        </r>
      </text>
    </comment>
    <comment ref="D16" authorId="0" shapeId="0" xr:uid="{E036CD45-AF83-4915-A0DD-148FC2215FF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(8 Teams; $54800/5 months of payment plan)
WNSL Team ($325 per player; 11 players = $3,575; 5 month payment plan)</t>
        </r>
      </text>
    </comment>
    <comment ref="E16" authorId="0" shapeId="0" xr:uid="{9B73E04A-F01E-40D6-95BB-0AE4780BD1E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(8 Teams; $54800/5 months of payment plan)
WNSL Team ($325 per player; 11 players = $3,575; 5 month payment plan)</t>
        </r>
      </text>
    </comment>
    <comment ref="F16" authorId="0" shapeId="0" xr:uid="{0367A582-082C-4DAE-A1C5-4BFAB398FD4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8 Teams (total revenue of $48,250 over four months)
</t>
        </r>
      </text>
    </comment>
    <comment ref="G16" authorId="0" shapeId="0" xr:uid="{208C87D7-A3AD-4E15-9511-1A4EB607585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8 Teams (total revenue of $48,250 over four months)
WILCO:  26 Teams (total revenue of $208850 over 4 months)</t>
        </r>
      </text>
    </comment>
    <comment ref="H16" authorId="0" shapeId="0" xr:uid="{2DA7AA44-EF17-403B-A02D-4F7B38EF2C2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8 Teams (total revenue of $48,250 over four months)
WILCO:  26 Teams (total revenue of $208850 over 4 months)</t>
        </r>
      </text>
    </comment>
    <comment ref="I16" authorId="0" shapeId="0" xr:uid="{7375217F-33A2-44A2-BBC9-48253BBB8D0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8 Teams (total revenue of $48,250 over four months)
WILCO:  26 Teams (total revenue of $208850 over 4 months)
WILCO:  10 Summer Teams ($230 per player; $2,300 revenue per team; $23,000 total revenue - spread over two month)</t>
        </r>
      </text>
    </comment>
    <comment ref="J16" authorId="0" shapeId="0" xr:uid="{D670BC7B-5F2F-4016-86FD-825D87A391F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WILCO:  26 Teams (total revenue of $208850 over 4 months)
WILCO:  10 Summer Teams ($230 per player; $2,300 revenue per team; $23,000 total revenue - spread over two month)</t>
        </r>
      </text>
    </comment>
    <comment ref="M16" authorId="0" shapeId="0" xr:uid="{73C70061-E4CF-4C90-85AB-E0C31EAD0BB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(9 Teams; $61,150/5 months of payment plan)</t>
        </r>
      </text>
    </comment>
    <comment ref="B17" authorId="0" shapeId="0" xr:uid="{B5AB8854-DDE2-419B-94A5-E9A35689524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PREMIER NASVILLE - 2024 Tryouts: $25 - tryout fee; project 25 athletes</t>
        </r>
      </text>
    </comment>
    <comment ref="E17" authorId="0" shapeId="0" xr:uid="{B20A985F-C32E-4B08-9350-54033C748F8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110 kids at $20 per (50% in Jan.;50% in Feb.)
WILCO:  475 kids at $32 per (40% in Jan.; 50% in Feb.; 10% in March)</t>
        </r>
      </text>
    </comment>
    <comment ref="F17" authorId="0" shapeId="0" xr:uid="{87401740-13BF-4511-AC0C-B51770A4E68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110 kids at $20 per (50% in Jan.;50% in Feb.)
WILCO:  475 kids at $32 per (40% in Jan.; 50% in Feb.; 10% in March)</t>
        </r>
      </text>
    </comment>
    <comment ref="G17" authorId="0" shapeId="0" xr:uid="{17750D48-B8FF-470C-85FD-BEE0DC4641C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WILCO:  475 kids at $32 per (40% in Jan.; 50% in Feb.; 10% in March)</t>
        </r>
      </text>
    </comment>
    <comment ref="I17" authorId="0" shapeId="0" xr:uid="{159BF3B0-2071-40FA-9E96-6435683AFD0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Summer Teams:  50 kids at $15 </t>
        </r>
      </text>
    </comment>
    <comment ref="L17" authorId="0" shapeId="0" xr:uid="{58EB1441-2C5E-459F-A428-BC4C0EF79AF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Team Tryouts</t>
        </r>
      </text>
    </comment>
    <comment ref="M17" authorId="0" shapeId="0" xr:uid="{77B7FEFC-8C8D-4494-B772-3AB0FE15D12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Team Tryouts</t>
        </r>
      </text>
    </comment>
    <comment ref="G19" authorId="0" shapeId="0" xr:uid="{C2B0804A-B258-4C65-8F10-1DE7C03BF18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FAN SHOP Sales and JAMBOREE GEAR SALES</t>
        </r>
      </text>
    </comment>
    <comment ref="A20" authorId="0" shapeId="0" xr:uid="{C96E7A1E-E9A6-41A6-9241-28911FEDA8F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GROSS</t>
        </r>
      </text>
    </comment>
    <comment ref="B20" authorId="0" shapeId="0" xr:uid="{1045FE57-767A-416F-A5C1-D7AE04F43D4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HALLOWEEN HOOPS 3 ON 3:
Gross Revenue (includes TEAM FEES &amp; Paying Sponsors)
</t>
        </r>
      </text>
    </comment>
    <comment ref="C20" authorId="0" shapeId="0" xr:uid="{71876F0F-BEDC-4D81-9EFC-67F5A0FB531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Hallow33n Hoops 3 on 3:  GATE/GEAR Sales</t>
        </r>
      </text>
    </comment>
    <comment ref="K20" authorId="0" shapeId="0" xr:uid="{B7314C89-2709-4FF6-AC35-20051F904BF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Paying Sponsors:  Stars &amp; Stripes 3 on 3 </t>
        </r>
      </text>
    </comment>
    <comment ref="L20" authorId="0" shapeId="0" xr:uid="{BDBDDD83-1A40-4550-AD17-D7C51F9E49D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Revenue:  Stars &amp; Stripes 3 on 3 (Team Fees/Gate/Gear)</t>
        </r>
      </text>
    </comment>
    <comment ref="I26" authorId="0" shapeId="0" xr:uid="{036F6308-0429-436C-855D-D63307829CA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50 camp t-shirts (June Camp)</t>
        </r>
      </text>
    </comment>
    <comment ref="J26" authorId="0" shapeId="0" xr:uid="{B8F970D8-6229-4821-99BC-6B2E6C60B6C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100 camp t-shirts (2 July Camps)</t>
        </r>
      </text>
    </comment>
    <comment ref="M27" authorId="0" shapeId="0" xr:uid="{40FDAC7E-7970-4613-839A-17BB9386E3D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110  Reversible jerseys for H.S. Hoops League</t>
        </r>
      </text>
    </comment>
    <comment ref="C28" authorId="0" shapeId="0" xr:uid="{3EC5BE07-E130-4EB5-8F0E-4D685F741CB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Winter Flight League - $3,600 ($400 per team/9 teams)</t>
        </r>
      </text>
    </comment>
    <comment ref="F28" authorId="0" shapeId="0" xr:uid="{BD1B23CF-59D3-465A-828C-2CBCCB4F520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NORTH:  8 Teams ($9,900)
WILCO:  26 Teams ($40,350; 50% in Feb./50% in March)
</t>
        </r>
      </text>
    </comment>
    <comment ref="G28" authorId="0" shapeId="0" xr:uid="{3BB38F8A-7EE4-4C22-84B9-62F250F49DF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WILCO:  26 Teams ($40,350; 50% in Feb./50% in March)
</t>
        </r>
      </text>
    </comment>
    <comment ref="I28" authorId="0" shapeId="0" xr:uid="{FA3A5743-5822-4E9E-89AE-3C2D4A562EA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$20 a player/jersey only; 200 players = 10 teams</t>
        </r>
      </text>
    </comment>
    <comment ref="B29" authorId="0" shapeId="0" xr:uid="{D0E85464-6C33-4A0A-8AD4-2CD88C6235D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483 attended 2019 Spring Wilco Tryouts
NORTH - 165 (will not order for NORTH due to uncertinty and small volume at tryouts</t>
        </r>
      </text>
    </comment>
    <comment ref="D39" authorId="0" shapeId="0" xr:uid="{FDAE35C9-BDA4-4548-93FE-8C85D9CAA11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5.25% per annum; can borrow up to 75% of oustanding A/R Balance</t>
        </r>
      </text>
    </comment>
    <comment ref="B42" authorId="0" shapeId="0" xr:uid="{4F7FC76F-3525-4D77-B53B-61D2542209F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Officials (High School Hoops League) - 2 sessions ($312 per session for officials)</t>
        </r>
      </text>
    </comment>
    <comment ref="C42" authorId="0" shapeId="0" xr:uid="{3BBDA90A-989D-49F9-968F-A817B7DE5B6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$1,300 - Officials for Hallow33n Hoops Tourney
</t>
        </r>
      </text>
    </comment>
    <comment ref="K42" authorId="0" shapeId="0" xr:uid="{5D1AC820-7B24-437F-B3AF-11333E958C1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Officials for 2020 Stars &amp; Stripes 3 on 3)
</t>
        </r>
      </text>
    </comment>
    <comment ref="M42" authorId="0" shapeId="0" xr:uid="{85B5B21E-EBB0-4E46-B8F6-55BB9EB5656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Officials - H.S. Hoops League ($312 per night; 3 sessions in Sept.)
</t>
        </r>
      </text>
    </comment>
    <comment ref="B43" authorId="0" shapeId="0" xr:uid="{E4731878-A59B-4CC5-A017-2A6C48F73C8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20 Basketballs - $25 each
</t>
        </r>
      </text>
    </comment>
    <comment ref="F43" authorId="0" shapeId="0" xr:uid="{51149559-B6BE-4940-8BF6-A7297717A28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Cones/Bags</t>
        </r>
      </text>
    </comment>
    <comment ref="B45" authorId="0" shapeId="0" xr:uid="{38E0AFCA-9639-4B2B-9E83-7B1E188AC4C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ATC - $8,000
2024 Tryouts in October: 3.75 hours ($50 per hour)</t>
        </r>
      </text>
    </comment>
    <comment ref="C45" authorId="0" shapeId="0" xr:uid="{86F293C8-8C13-41A2-ADAF-556FF6441C5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ATC - $8,000
BGA - 7.5 hours (Shooting Program)</t>
        </r>
      </text>
    </comment>
    <comment ref="D45" authorId="0" shapeId="0" xr:uid="{B4135AFE-765B-4637-BF16-993B9407E7F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ATC - $8,000
BGA - 7.5 hours (Shooting Program)</t>
        </r>
      </text>
    </comment>
    <comment ref="E45" authorId="0" shapeId="0" xr:uid="{3384C14D-A316-4932-976C-62FAA79F910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$8,000 - ATC
$500 (BGA - 10 hours of shooting program)</t>
        </r>
      </text>
    </comment>
    <comment ref="F45" authorId="0" shapeId="0" xr:uid="{02B1E87A-90A9-4953-9CB5-E5F6C899C71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$8,000 - ATC
$1,500 - BGA 
</t>
        </r>
      </text>
    </comment>
    <comment ref="G45" authorId="0" shapeId="0" xr:uid="{8A01396D-F5E7-41AB-B78B-549C56A75D1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$8,000 - ATC
$3,000 - BGA
$500 - Oak Hill
</t>
        </r>
      </text>
    </comment>
    <comment ref="H45" authorId="0" shapeId="0" xr:uid="{31D26512-C05D-4665-BD0B-0AED401EC22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$8,000 - ATC
$4,000 - BGA
$500 - Oak Hill</t>
        </r>
      </text>
    </comment>
    <comment ref="I45" authorId="0" shapeId="0" xr:uid="{A1D7EDF5-0F81-4B94-9E9C-6444DA04EA9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$8,000 ATC
$2,000 BGA
$500 - Oak Hill</t>
        </r>
      </text>
    </comment>
    <comment ref="G46" authorId="0" shapeId="0" xr:uid="{A0099544-A88E-46A5-93DF-E9D19B1DEE8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24 hours of tryouts (3 hours per team; at $30 an hour)</t>
        </r>
      </text>
    </comment>
    <comment ref="H46" authorId="0" shapeId="0" xr:uid="{1DF25879-817A-4EF9-A95F-6321E9D8FCB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Projection:
8 teams - $1,000 per team for practices (march-may; pay April-June)</t>
        </r>
      </text>
    </comment>
    <comment ref="A47" authorId="0" shapeId="0" xr:uid="{2CC1F667-B0C5-45FD-9FF2-CCBFE17866EC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Screwed up, as this is actually budgeted revenue; catrice fixed, and she added new revenue account; see above</t>
        </r>
      </text>
    </comment>
    <comment ref="B47" authorId="0" shapeId="0" xr:uid="{11AB4D4C-34B1-4757-AEEC-8EF9AEA90802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Kroger Rewards
</t>
        </r>
      </text>
    </comment>
    <comment ref="E47" authorId="0" shapeId="0" xr:uid="{054B5F49-2225-496F-B973-786DA4D9C432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Kroger Rewards
</t>
        </r>
      </text>
    </comment>
    <comment ref="I47" authorId="0" shapeId="0" xr:uid="{B47EB464-76D7-4321-97A6-D70C1C220E57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Kroger Rewards
</t>
        </r>
      </text>
    </comment>
    <comment ref="M47" authorId="0" shapeId="0" xr:uid="{5C933C74-FC52-4E33-8170-D0D78C1BD663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Kroger Rewards
</t>
        </r>
      </text>
    </comment>
    <comment ref="B48" authorId="0" shapeId="0" xr:uid="{E8A1BAED-48AB-4EA4-BBB7-8EBBC42AF13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Centennial Sponsorship
Summit Sponsorship</t>
        </r>
      </text>
    </comment>
    <comment ref="J48" authorId="0" shapeId="0" xr:uid="{5ABD29AE-2319-4895-8FB3-BACA704C7CC3}">
      <text>
        <r>
          <rPr>
            <b/>
            <sz val="9"/>
            <color indexed="81"/>
            <rFont val="Tahoma"/>
            <family val="2"/>
          </rPr>
          <t>Lance:
Promote 3 on 3 July Tournament, etc.</t>
        </r>
      </text>
    </comment>
    <comment ref="M48" authorId="0" shapeId="0" xr:uid="{9EADF92E-3E8A-4D63-9CBB-40FF2C860F6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Page High School - Booster Club</t>
        </r>
      </text>
    </comment>
    <comment ref="F49" authorId="0" shapeId="0" xr:uid="{36D6A41C-D3B0-4027-A2CD-1D12313A74A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NEW/ROOKIE COACH MEETING - PREPARE FOR SPRING SEASON
</t>
        </r>
      </text>
    </comment>
    <comment ref="L49" authorId="0" shapeId="0" xr:uid="{39D4E4BC-9E39-45FD-B248-71D69D72B2D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Coach Meeting:  
Celebrate Spring/Summer Seasons
</t>
        </r>
      </text>
    </comment>
    <comment ref="B50" authorId="0" shapeId="0" xr:uid="{472EE6B4-A73A-4B5E-9E04-42E10C6E052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C50" authorId="0" shapeId="0" xr:uid="{4DCF03EA-9F42-4A42-95F4-E801F7052C4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D50" authorId="0" shapeId="0" xr:uid="{90E40FB8-3F83-4BFA-A453-218A24DF84A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E50" authorId="0" shapeId="0" xr:uid="{70235724-9DB3-4479-8F97-1A63F76A278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F50" authorId="0" shapeId="0" xr:uid="{8ED09FBD-AF96-472F-8BA8-79F78D385F5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G50" authorId="0" shapeId="0" xr:uid="{B765ECD1-221F-41EE-BC1C-CC00A3AC69A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H50" authorId="0" shapeId="0" xr:uid="{E088F090-D6AE-4FDE-B36E-3A16388889A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I50" authorId="0" shapeId="0" xr:uid="{C889C07A-A18A-49B1-B0EA-0BB999E3F02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J50" authorId="0" shapeId="0" xr:uid="{D30A3E4A-E5DB-4142-9DAE-E5AFA4FB6A5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K50" authorId="0" shapeId="0" xr:uid="{08F2D087-A14C-4B6F-9CEF-CD2E1A9576C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L50" authorId="0" shapeId="0" xr:uid="{E341FA15-C10B-4DF7-8C1B-53B37FEBD7F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M50" authorId="0" shapeId="0" xr:uid="{8150D698-ED6B-497C-9CA4-5E33ACE8EB9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MAILCHIMP - $51
</t>
        </r>
      </text>
    </comment>
    <comment ref="B53" authorId="0" shapeId="0" xr:uid="{FEF5952F-61F6-484E-B38E-FCB6114F59A6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BA Winter Flight League (9 Teams); total coach stipends = $9800 - payable over five months
$3,500 - Misc. Camps, Clinics, Etc.</t>
        </r>
      </text>
    </comment>
    <comment ref="C53" authorId="0" shapeId="0" xr:uid="{AF2EABAF-58FE-404F-902D-C72C58BA098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$1,000 - 3 on 3 staff (Janitors; court supervisors, staff)
PLUS: $1,200 Programming
BA Winter Flight League (9 Teams); total coach stipends = $9800 - payable over five months</t>
        </r>
      </text>
    </comment>
    <comment ref="D53" authorId="0" shapeId="0" xr:uid="{DD698355-F879-43D6-8BEF-E8C23F0DE7BC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BA Winter Flight League (9 Teams); total coach stipends = $9800 - payable over five months
$1,250 - Programming</t>
        </r>
      </text>
    </comment>
    <comment ref="E53" authorId="0" shapeId="0" xr:uid="{24D513C2-CAE4-4385-8730-A938A6627B76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BA Winter Flight League (9 Teams); total coach stipends = $9800 - payable over five months
$1,250 - Programming</t>
        </r>
      </text>
    </comment>
    <comment ref="F53" authorId="0" shapeId="0" xr:uid="{752F57F4-BBCA-4E6B-8E36-25EE1C4A90D8}">
      <text>
        <r>
          <rPr>
            <b/>
            <sz val="9"/>
            <color indexed="81"/>
            <rFont val="Tahoma"/>
            <charset val="1"/>
          </rPr>
          <t>Lance:</t>
        </r>
        <r>
          <rPr>
            <sz val="9"/>
            <color indexed="81"/>
            <rFont val="Tahoma"/>
            <charset val="1"/>
          </rPr>
          <t xml:space="preserve">
BA Winter Flight League (9 Teams); total coach stipends = $9800 - payable over five months
Tryout Labor - 3,000</t>
        </r>
      </text>
    </comment>
    <comment ref="G53" authorId="0" shapeId="0" xr:uid="{FF6FD755-37BF-4A42-BB89-386331E4D80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 Coaches:  8 Teams ($11,450; payable over 4 months)
WILCO Coaches: 26 Teams ($49,500; payable over 4 months)
$2,000 - Misc. Labor (Tryouts)</t>
        </r>
      </text>
    </comment>
    <comment ref="H53" authorId="0" shapeId="0" xr:uid="{253115CB-EBC6-473E-AB54-BBD57EB3207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 Coaches:  8 Teams ($11,450; payable over 4 months)
WILCO Coaches: 26 Teams ($49,500; payable over 4 months)
WILCO SPRING: Hotel Expenses of $11,428 (spread over 4 months)
Facility Supervisor/Janitors:  1,000 - events</t>
        </r>
      </text>
    </comment>
    <comment ref="I53" authorId="0" shapeId="0" xr:uid="{96FA3BF6-4356-4665-98B4-F120B86CD50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 SPRING Coaches:  8 Teams ($11,450; payable over 4 months)
WILCO SPRING Coaches: 26 Teams ($49,500; payable over 4 months)
WILCO SUMMER Coaches:  10 Summer Teams - $500 Each ($5,000 total over 2 months)
WILCO SPRING: Hotel Expenses of $11,428 (spread over 4 months)
Facility Supervisors/staff/janitors -$1,000</t>
        </r>
      </text>
    </comment>
    <comment ref="J53" authorId="0" shapeId="0" xr:uid="{F75F6458-EFD5-4916-8071-A6D6BDA1F4A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NORTH SPRING Coaches:  8 Teams ($11,450; payable over 4 months)
WILCO SPRING Coaches: 26 Teams ($49,500; payable over 4 months)
WILCO SUMMER Coaches:  10 Summer Teams - $500 Each ($5,000 total over 2 months)
WILCO SPRING: Hotel Expenses of $11,428 (spread over 4 months)
Facility Supervisors/janitors/staff - $1000</t>
        </r>
      </text>
    </comment>
    <comment ref="K53" authorId="0" shapeId="0" xr:uid="{183D48DF-9E4C-452D-B8AF-89CBFEC6978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a. $1750 (3 on 3: Court Supervisors; Tourney Staff; Janitors; Gregg W.)
b. $1,000 - Developmental, etc
WILCO SPRING: Hotel Expenses of $11,428 (spread over 4 months)</t>
        </r>
      </text>
    </comment>
    <comment ref="O53" authorId="0" shapeId="0" xr:uid="{126E0820-4714-4EC1-9D2D-7456FF61D46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39000 for non teams on coach payroll sheet</t>
        </r>
      </text>
    </comment>
    <comment ref="B55" authorId="0" shapeId="0" xr:uid="{6FB2438A-1734-40D6-99A9-CFFB63A1087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C55" authorId="0" shapeId="0" xr:uid="{7FC574B5-CE98-4D7E-8A7C-AB85A831535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D55" authorId="0" shapeId="0" xr:uid="{63C41A87-2ABC-4EA2-8167-DF76880D955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E55" authorId="0" shapeId="0" xr:uid="{F6BDA554-AA78-4DD4-A912-44FA773CFFF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F55" authorId="0" shapeId="0" xr:uid="{324321F2-4779-4E4A-A11C-366D36A3B92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G55" authorId="0" shapeId="0" xr:uid="{B7A78D4D-42BF-4F92-9B6F-4752E2F8B3A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H55" authorId="0" shapeId="0" xr:uid="{1D67DCB1-0D6A-4494-A8B0-99FABC3A757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I55" authorId="0" shapeId="0" xr:uid="{93BC6707-85A5-4887-A611-95817A6A851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J55" authorId="0" shapeId="0" xr:uid="{758A4EED-6D5B-4849-AE18-DF243665F4E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K55" authorId="0" shapeId="0" xr:uid="{D65F009A-9876-4B83-8355-5B6133866C9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L55" authorId="0" shapeId="0" xr:uid="{3848CBA0-F072-42EF-9719-6AD6F360514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M55" authorId="0" shapeId="0" xr:uid="{C55181CE-DFA8-4463-B432-76EC38658C8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Best Estimate:
$125 Dental/Vision
$672 - Core Choice</t>
        </r>
      </text>
    </comment>
    <comment ref="B56" authorId="0" shapeId="0" xr:uid="{6FB3B3A3-6CFF-49FB-A208-56153BEF994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C56" authorId="0" shapeId="0" xr:uid="{2CF976B6-14F8-445A-AE42-612A8F0F3C2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D56" authorId="0" shapeId="0" xr:uid="{FD8927BF-4EF2-4831-A53D-E9ADAF020A9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E56" authorId="0" shapeId="0" xr:uid="{B30E6658-1CCE-483C-8BBE-8D0717023A9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F56" authorId="0" shapeId="0" xr:uid="{1A372593-52B2-47F1-B1D0-BE21D62BAF2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G56" authorId="0" shapeId="0" xr:uid="{6900149D-8DA2-4526-ACF8-8841E914D39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H56" authorId="0" shapeId="0" xr:uid="{F0F91B11-F382-4B41-B6C2-34DF65B0832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I56" authorId="0" shapeId="0" xr:uid="{AAF48A24-C449-484A-A704-7A7884692F1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J56" authorId="0" shapeId="0" xr:uid="{7BEBF78B-056F-4170-9C5B-47E905B6122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K56" authorId="0" shapeId="0" xr:uid="{79C3A76A-0BF5-478C-90B8-CBC654274F2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L56" authorId="0" shapeId="0" xr:uid="{4C4AB8BB-B4A1-4A83-A0D7-B33995BA7C6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M56" authorId="0" shapeId="0" xr:uid="{4CFD46EE-0D12-4641-AFB8-269BB179254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Internet Expense
</t>
        </r>
      </text>
    </comment>
    <comment ref="B57" authorId="0" shapeId="0" xr:uid="{D0D29C62-A132-460C-8348-8D31B2487D1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C57" authorId="0" shapeId="0" xr:uid="{9D8FE5F7-E200-4C75-9BE1-9B9B7DB6887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D57" authorId="0" shapeId="0" xr:uid="{13B569E4-4ABD-4E0C-9023-4EA82EDC825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E57" authorId="0" shapeId="0" xr:uid="{566D360E-225E-40D7-921E-B1B753375FE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F57" authorId="0" shapeId="0" xr:uid="{CAA3C6DC-37B7-4FF4-AB2C-833A132F93B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G57" authorId="0" shapeId="0" xr:uid="{406AEC0A-C4AB-40B3-9041-306BBFF1443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H57" authorId="0" shapeId="0" xr:uid="{C7CFE715-EF33-4CB9-B25F-065514BB5B7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I57" authorId="0" shapeId="0" xr:uid="{4CE16675-7598-4367-ACAE-F5F1855A3A9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J57" authorId="0" shapeId="0" xr:uid="{E0176012-72AB-461C-9913-BE627BB57D2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K57" authorId="0" shapeId="0" xr:uid="{AFDE01BF-892D-4D18-AD3F-877E41C40AC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L57" authorId="0" shapeId="0" xr:uid="{E75AC7B2-DB49-46AE-AB58-A8A1F4339F5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M57" authorId="0" shapeId="0" xr:uid="{180990BF-5263-4B12-BCE4-8A8E84ACB18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Cell Phone ($77 a month)</t>
        </r>
      </text>
    </comment>
    <comment ref="B60" authorId="0" shapeId="0" xr:uid="{C6FB22F4-138A-4E4D-B18A-49800080897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C60" authorId="0" shapeId="0" xr:uid="{D2A9B34B-586A-48E0-BE02-7DE815C3F97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D60" authorId="0" shapeId="0" xr:uid="{1CB9438D-96F4-473B-BCEF-CCCAC1F4F22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E60" authorId="0" shapeId="0" xr:uid="{CAA52680-2C0C-404D-A677-169C8ED964E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F60" authorId="0" shapeId="0" xr:uid="{7804DE9A-7EB0-4060-A644-D4A3E504DC9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G60" authorId="0" shapeId="0" xr:uid="{9B838476-16C6-4F89-A217-48E66FD1291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H60" authorId="0" shapeId="0" xr:uid="{90A440FA-58E5-4E69-9269-10D755B870C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I60" authorId="0" shapeId="0" xr:uid="{971E2A4D-6C3E-4AD9-822A-E9E2B740AA7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J60" authorId="0" shapeId="0" xr:uid="{0EFA3541-5691-4DFE-BAC7-69F059617B8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K60" authorId="0" shapeId="0" xr:uid="{AFFB8510-2265-4F56-B058-4A0B2D4708B1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L60" authorId="0" shapeId="0" xr:uid="{DEDB57D2-341A-44D5-A82D-E5A0323588C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M60" authorId="0" shapeId="0" xr:uid="{40F6CFA5-6F6C-4477-BB0F-ED883B1B842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$80,000 Base Salary</t>
        </r>
      </text>
    </comment>
    <comment ref="B61" authorId="0" shapeId="0" xr:uid="{6955EA41-9C41-4EF3-B8D1-0AC08969CDE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C61" authorId="0" shapeId="0" xr:uid="{E2EF3552-141C-4452-81D9-F9F067AE41F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Includes External Audit fee of $3,000 and additional $500 for CPA to assist with the audit; external audit fee includes 990
</t>
        </r>
      </text>
    </comment>
    <comment ref="D61" authorId="0" shapeId="0" xr:uid="{F9843FFC-E800-492C-97B4-594A12B8F1D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E61" authorId="0" shapeId="0" xr:uid="{105D9DA6-0870-40B4-9443-157B8A5A379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F61" authorId="0" shapeId="0" xr:uid="{6279BA49-0C69-468D-B270-B10EF353321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G61" authorId="0" shapeId="0" xr:uid="{543EE689-C520-47B5-8D62-79F676261A35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H61" authorId="0" shapeId="0" xr:uid="{B5F879BE-D62C-4039-B6A2-4FF38FCB69C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I61" authorId="0" shapeId="0" xr:uid="{E9EA3699-9DC4-4970-97B6-60415B267ABB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J61" authorId="0" shapeId="0" xr:uid="{FAAD4D53-C568-4C1B-AA1A-BA63D862497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K61" authorId="0" shapeId="0" xr:uid="{2B72F043-E309-4009-A037-4ACC4BABF0B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L61" authorId="0" shapeId="0" xr:uid="{21D944F6-4536-4D6D-9FBE-5D87DFCD600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M61" authorId="0" shapeId="0" xr:uid="{EE14A656-23A4-43B8-9DFC-43F5FFCB048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Monthly CPA/Bookkeeping Fee</t>
        </r>
      </text>
    </comment>
    <comment ref="E62" authorId="0" shapeId="0" xr:uid="{3BC871CF-5943-4D12-B643-81A6E1A0774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NEW COACH SHIRTS/WITH NEW LOGOS (40 COACHES; $50 PER COACH; SPREAD OUT OVER TWO MONTHS)</t>
        </r>
      </text>
    </comment>
    <comment ref="F62" authorId="0" shapeId="0" xr:uid="{889FD327-0F85-40DC-BD42-1E5AEE2795C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NEW COACH SHIRTS/WITH NEW LOGOS (40 COACHES; $50 PER COACH; SPREAD OUT OVER TWO MONTHS)</t>
        </r>
      </text>
    </comment>
    <comment ref="K62" authorId="0" shapeId="0" xr:uid="{ED30D398-5264-4A4D-AA5D-FF78E4D062B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SUMMER COACH MEETING (GIFT CARDS, DOOR PRIZES, ETC.)</t>
        </r>
      </text>
    </comment>
    <comment ref="B64" authorId="0" shapeId="0" xr:uid="{D8046521-45A0-423F-AA52-D1FDC61E3B7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C64" authorId="0" shapeId="0" xr:uid="{BDEB5E53-597F-4ED2-BC8C-4E43F866C43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D64" authorId="0" shapeId="0" xr:uid="{95D650B7-D3D2-495A-A6B2-1DFF501FF9F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E64" authorId="0" shapeId="0" xr:uid="{DD0CFC39-8C12-4CAA-8F02-3FCB8939BD6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F64" authorId="0" shapeId="0" xr:uid="{B3D10D2C-69DD-47A4-9816-D9C591120AB3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G64" authorId="0" shapeId="0" xr:uid="{0AF7A826-A6AD-4ECF-A2AB-EE17B2C8DF2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H64" authorId="0" shapeId="0" xr:uid="{22374DE3-A9F5-4CBD-9C4F-80D120D9B2B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I64" authorId="0" shapeId="0" xr:uid="{EDDA8623-4EDF-4AD7-85C9-1A4EECB45F97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J64" authorId="0" shapeId="0" xr:uid="{A24A6734-CFF8-4BF5-97CF-C74792D58028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K64" authorId="0" shapeId="0" xr:uid="{517F80C4-9D56-4D0B-940C-CCCC0299AD9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L64" authorId="0" shapeId="0" xr:uid="{4CCA550D-67F6-4DD2-A330-D2DC79BC27F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M64" authorId="0" shapeId="0" xr:uid="{B826C328-08B0-48DE-9A1F-C8D968AAE7D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Avg. Monthly Mileage Reimburse
</t>
        </r>
      </text>
    </comment>
    <comment ref="B65" authorId="0" shapeId="0" xr:uid="{373352C6-1A6F-410C-AD9A-587153F0986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C65" authorId="0" shapeId="0" xr:uid="{759074A7-9C21-4BA4-9A4E-85A1FC87E9B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D65" authorId="0" shapeId="0" xr:uid="{42A72A33-A93F-4B0F-990B-2459E9DEBA2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E65" authorId="0" shapeId="0" xr:uid="{2EF922AC-C611-4C4D-AFDE-F1B75E2190A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F65" authorId="0" shapeId="0" xr:uid="{955EB834-DDF5-4A1E-9F51-35A0949F28EE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G65" authorId="0" shapeId="0" xr:uid="{ADC014CE-3DE9-4528-9725-601032EF9E44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H65" authorId="0" shapeId="0" xr:uid="{13D0936E-024C-4506-9F5D-5030F088659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I65" authorId="0" shapeId="0" xr:uid="{B0E478F1-815A-4776-879A-F63B6E0BBC3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J65" authorId="0" shapeId="0" xr:uid="{6D3477BE-F208-4205-B304-74306F154DA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K65" authorId="0" shapeId="0" xr:uid="{7F9F457B-B4D0-464A-826E-8882DB4EC1B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L65" authorId="0" shapeId="0" xr:uid="{0684E1A5-86A8-46D3-82B5-89BA424C0E6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M65" authorId="0" shapeId="0" xr:uid="{B269C910-AD8C-4057-AE84-B64A399D709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Sadler Insurance Coverage (7/25/19 through 8/25/19); paid $8,423.75 on 7/29/19</t>
        </r>
      </text>
    </comment>
    <comment ref="B69" authorId="0" shapeId="0" xr:uid="{9E972C1D-F7DC-42E8-A8A8-4B690C41B0B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a.  $2,000 for T-Shirts (Halloween Hoops 3 on 3)
</t>
        </r>
      </text>
    </comment>
    <comment ref="C69" authorId="0" shapeId="0" xr:uid="{6E474D43-4A14-4222-81BC-B1DC52DBADE0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b.  $1,000 - Misc. Expenses (sponsor sigange; tournament machine fees, medals, advertising via Facebook, ACA, etc.</t>
        </r>
      </text>
    </comment>
    <comment ref="L69" authorId="0" shapeId="0" xr:uid="{79FD56C0-AD56-4739-AABB-B63C43A7841A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a. $3,000 (3 on 3 T-Shirts)
b.  $450 - Tourney Machine Cost
c.  $1,000 - Misc. (Marekting, Sponsor Signage, Medals, Tablecloths, Advertising, Facebook, etc.</t>
        </r>
      </text>
    </comment>
    <comment ref="C71" authorId="0" shapeId="0" xr:uid="{D85AE603-8511-412C-A15A-17FB52318C06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8 Teams in BA Winter Flight League:
4 Teams at $2,000
4 Teams at $1,150
4 month payment plan
</t>
        </r>
      </text>
    </comment>
    <comment ref="D71" authorId="0" shapeId="0" xr:uid="{02E01C16-807B-4C6C-9081-45B7647D1DAD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9 Teams in BA Winter Flight League:
4 Teams at $2,000
4 Teams at $1,150
4 month payment plan
WNSL Team (Allee): $1,690 (11 Players at $140, plus $150 Christmas Tournament)
</t>
        </r>
      </text>
    </comment>
    <comment ref="E71" authorId="0" shapeId="0" xr:uid="{969D2892-2867-4C7B-A847-47AC55959739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9 Teams in BA Winter Flight League:
4 Teams at $2,000
4 Teams at $1,150
4 month payment plan
</t>
        </r>
      </text>
    </comment>
    <comment ref="F71" authorId="0" shapeId="0" xr:uid="{34B3A497-C67E-4AAB-848F-B9D372CB6C1F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9 Teams in BA Winter Flight League:
4 Teams at $2,000
4 Teams at $1,150
4 month payment plan
</t>
        </r>
      </text>
    </comment>
    <comment ref="I71" authorId="0" shapeId="0" xr:uid="{FF640084-0DCE-4D40-9660-E573F4E06002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BA Summer Flight League: 10 Teams at 700 each; 2 Payments</t>
        </r>
      </text>
    </comment>
    <comment ref="D75" authorId="0" shapeId="0" xr:uid="{BC7564FC-B61A-4E2B-BBA4-332719554F5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Renewal for Registered Agent - $99 - Labyrinth
Filing of Annual Report for NYSC with Sec. of State - $70 (Labyrinth)
Bronze Website - Stack - $199 annually</t>
        </r>
      </text>
    </comment>
    <comment ref="M75" authorId="0" shapeId="0" xr:uid="{B8316B26-A916-4307-B1D4-37EA793284EC}">
      <text>
        <r>
          <rPr>
            <b/>
            <sz val="9"/>
            <color indexed="81"/>
            <rFont val="Tahoma"/>
            <family val="2"/>
          </rPr>
          <t>Lance:</t>
        </r>
        <r>
          <rPr>
            <sz val="9"/>
            <color indexed="81"/>
            <rFont val="Tahoma"/>
            <family val="2"/>
          </rPr>
          <t xml:space="preserve">
Charitable Registration - Labyrinth - $175 annually
</t>
        </r>
      </text>
    </comment>
  </commentList>
</comments>
</file>

<file path=xl/sharedStrings.xml><?xml version="1.0" encoding="utf-8"?>
<sst xmlns="http://schemas.openxmlformats.org/spreadsheetml/2006/main" count="153" uniqueCount="106">
  <si>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</si>
  <si>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</si>
  <si>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</si>
  <si>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</si>
  <si>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</si>
  <si>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</si>
  <si>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</si>
  <si>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</si>
  <si>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</si>
  <si>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</si>
  <si>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</si>
  <si>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</si>
  <si>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Total</t>
  </si>
  <si>
    <t>Income</t>
  </si>
  <si>
    <t xml:space="preserve">   40500 Other Income</t>
  </si>
  <si>
    <t xml:space="preserve">      40500 A Other Income - Donations</t>
  </si>
  <si>
    <t xml:space="preserve">      40500 B Other Income - Sponsorship Income (Facility)</t>
  </si>
  <si>
    <t xml:space="preserve">      40500 C Other Income - Facility Rentals</t>
  </si>
  <si>
    <t xml:space="preserve">   Total 40500 Other Income</t>
  </si>
  <si>
    <t xml:space="preserve">   43400 Revenue</t>
  </si>
  <si>
    <t xml:space="preserve">      43410 Camps/Clinics</t>
  </si>
  <si>
    <t xml:space="preserve">      43420 Developmental</t>
  </si>
  <si>
    <t xml:space="preserve">      43430 Travel Teams</t>
  </si>
  <si>
    <t xml:space="preserve">      43440 Tryouts</t>
  </si>
  <si>
    <t xml:space="preserve">      43460 Merchandise</t>
  </si>
  <si>
    <t xml:space="preserve">      43470 Tournament Host</t>
  </si>
  <si>
    <t xml:space="preserve">   Total 43400 Revenue</t>
  </si>
  <si>
    <t xml:space="preserve">   44000 Sales Discounts</t>
  </si>
  <si>
    <t>Total Income</t>
  </si>
  <si>
    <t>Cost of Goods Sold</t>
  </si>
  <si>
    <t xml:space="preserve">   50000 Cost of Goods Sold</t>
  </si>
  <si>
    <t xml:space="preserve">      50001 Camps/Clinics</t>
  </si>
  <si>
    <t xml:space="preserve">      50002 Developmental</t>
  </si>
  <si>
    <t xml:space="preserve">      50003 Travel Teams</t>
  </si>
  <si>
    <t xml:space="preserve">   Total 50000 Cost of Goods Sold</t>
  </si>
  <si>
    <t>Total Cost of Goods Sold</t>
  </si>
  <si>
    <t>Gross Profit</t>
  </si>
  <si>
    <t>Expenses</t>
  </si>
  <si>
    <t xml:space="preserve">   60001 CPE</t>
  </si>
  <si>
    <t xml:space="preserve">   60002 Bad Debt</t>
  </si>
  <si>
    <t xml:space="preserve">   60004 Bank Charges</t>
  </si>
  <si>
    <t xml:space="preserve">   60006 Board Appreciation</t>
  </si>
  <si>
    <t xml:space="preserve">   60011 Contract Labor</t>
  </si>
  <si>
    <t xml:space="preserve">   60014 Equipment</t>
  </si>
  <si>
    <t xml:space="preserve">   60015 Facility Rentals</t>
  </si>
  <si>
    <t xml:space="preserve">      60015 D WILCO Facility Rentals</t>
  </si>
  <si>
    <t xml:space="preserve">   Total 60015 Facility Rentals</t>
  </si>
  <si>
    <t xml:space="preserve">   60021 Marketing</t>
  </si>
  <si>
    <t xml:space="preserve">   60022 Meetings</t>
  </si>
  <si>
    <t xml:space="preserve">   60023 Membership Expense</t>
  </si>
  <si>
    <t xml:space="preserve">   60024 Ministry</t>
  </si>
  <si>
    <t xml:space="preserve">   60025 Mobile Phone</t>
  </si>
  <si>
    <t xml:space="preserve">   60029 Salaries &amp; Related</t>
  </si>
  <si>
    <t xml:space="preserve">   60030 Professional Fees-Accounting</t>
  </si>
  <si>
    <t xml:space="preserve">   60032 Royalty Fees</t>
  </si>
  <si>
    <t xml:space="preserve">   60033 Supplies</t>
  </si>
  <si>
    <t xml:space="preserve">   60036 Travel Expense</t>
  </si>
  <si>
    <t xml:space="preserve">   60038 Player Insurance</t>
  </si>
  <si>
    <t xml:space="preserve">   60039 Bonzi Admin Fee</t>
  </si>
  <si>
    <t xml:space="preserve">   60040 Bonzi Credit Card Fee</t>
  </si>
  <si>
    <t xml:space="preserve">   60041 Tournament Entry Expense</t>
  </si>
  <si>
    <t xml:space="preserve">   60043 Shipping and Handling</t>
  </si>
  <si>
    <t xml:space="preserve">   60049 Facility Improvements</t>
  </si>
  <si>
    <t>Total Expenses</t>
  </si>
  <si>
    <t>Net Operating Income</t>
  </si>
  <si>
    <t>Net Income</t>
  </si>
  <si>
    <t>Thursday, Aug 01, 2019 11:45:18 AM GMT-7 - Accrual Basis</t>
  </si>
  <si>
    <t>Nashville Youth Sports Club, Inc.</t>
  </si>
  <si>
    <t xml:space="preserve">Budget Overview: Nashville Youth Sports Club FY 2019 - FY19 P&amp;L </t>
  </si>
  <si>
    <t>October 2018 - September 2019</t>
  </si>
  <si>
    <t xml:space="preserve">Budget Overview: Nashville Youth Sports Club FY 2019 - FY20 P&amp;L </t>
  </si>
  <si>
    <t xml:space="preserve">   60038 Insurance (**Name Change)</t>
  </si>
  <si>
    <t xml:space="preserve">   60029 Salaries - President (Name Change)</t>
  </si>
  <si>
    <t xml:space="preserve">   60025 Mobile Phone (remove account)</t>
  </si>
  <si>
    <t xml:space="preserve">   60023 Subscriptions (**Name Change; formerly Membership Exp.)</t>
  </si>
  <si>
    <t xml:space="preserve">   60050  Other Business Expenses</t>
  </si>
  <si>
    <t xml:space="preserve">   60001 CPE (**Remove?)</t>
  </si>
  <si>
    <t xml:space="preserve">   60005  Interest Expense (New Account)</t>
  </si>
  <si>
    <t xml:space="preserve">     60015 A -  WILCO Facility Rentals (*New Account)</t>
  </si>
  <si>
    <t xml:space="preserve">     60015  B -  NORTH Facility Rentals (*New Account)</t>
  </si>
  <si>
    <t xml:space="preserve"> </t>
  </si>
  <si>
    <t xml:space="preserve">      40001 - Interest Earned</t>
  </si>
  <si>
    <t xml:space="preserve">  60027 - Benefits &amp; Related - President (New Account)</t>
  </si>
  <si>
    <t xml:space="preserve">  60027 A -  Insurance Package-Medical/Dental/Vision (New Account)</t>
  </si>
  <si>
    <t xml:space="preserve">  60027  B - Internet (**New Account)</t>
  </si>
  <si>
    <t xml:space="preserve">  60027  C - Mobile Phone  (**New Account) </t>
  </si>
  <si>
    <t xml:space="preserve">   60047 Sales Tax Payable</t>
  </si>
  <si>
    <t xml:space="preserve">      40500 C Other Income - Facility Rentals (&amp; Trainer Rentals)</t>
  </si>
  <si>
    <t xml:space="preserve">    60000 - Licensing Expense (**New Account)</t>
  </si>
  <si>
    <t xml:space="preserve">   60031 Coach Appreciation</t>
  </si>
  <si>
    <t xml:space="preserve">  60048  Stack Payment Plan Fees</t>
  </si>
  <si>
    <t xml:space="preserve">      50006  Merchandise</t>
  </si>
  <si>
    <t xml:space="preserve">    60009 Background Checks</t>
  </si>
  <si>
    <t xml:space="preserve">   60039 STACK Admin Fee</t>
  </si>
  <si>
    <t xml:space="preserve">   60040 STACK Credit Card Fee</t>
  </si>
  <si>
    <t xml:space="preserve">   60044 - League Entry Expense  (***New Account)</t>
  </si>
  <si>
    <t xml:space="preserve">   60042  Tournament Host Expense</t>
  </si>
  <si>
    <t xml:space="preserve">   60026  - Employee Payroll</t>
  </si>
  <si>
    <t xml:space="preserve">      43450  Additional Programming - remove</t>
  </si>
  <si>
    <t xml:space="preserve">   60033 Supplies (office, stamps, etc.)</t>
  </si>
  <si>
    <t xml:space="preserve">  60028 FICA - Payroll Expenses and Taxes (.0765%  -SS and Medicare) - NEW ACCOUNT</t>
  </si>
  <si>
    <t xml:space="preserve">      50004 Tryouts </t>
  </si>
  <si>
    <t>YTD NET INCOME</t>
  </si>
  <si>
    <t xml:space="preserve">   60028 - A  SUTA (TN) - 2%  - NEW ACCOUNT</t>
  </si>
  <si>
    <t xml:space="preserve">  #60016 - Fundraising</t>
  </si>
  <si>
    <t xml:space="preserve">   40500 E 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</si>
</sst>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3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164" fontId="3" fillId="0" borderId="0" xfId="0" applyNumberFormat="1" applyFont="1" applyFill="1" applyAlignment="1">
      <alignment horizontal="right" wrapText="1"/>
    </xf>
    <xf numFmtId="0" fontId="0" fillId="0" borderId="0" xfId="0"/>
    <xf numFmtId="0" fontId="0" fillId="0" borderId="0" xfId="0" applyFill="1"/>
    <xf numFmtId="0" fontId="9" fillId="3" borderId="0" xfId="0" applyFont="1" applyFill="1" applyAlignment="1">
      <alignment horizontal="left" wrapText="1"/>
    </xf>
    <xf numFmtId="17" fontId="1" fillId="0" borderId="1" xfId="0" applyNumberFormat="1" applyFont="1" applyBorder="1" applyAlignment="1">
      <alignment horizontal="center" wrapText="1"/>
    </xf>
    <xf numFmtId="0" fontId="2" fillId="4" borderId="0" xfId="0" applyFont="1" applyFill="1" applyAlignment="1">
      <alignment horizontal="left" wrapText="1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 wrapText="1"/>
    </xf>
    <xf numFmtId="164" fontId="10" fillId="0" borderId="0" xfId="0" applyNumberFormat="1" applyFont="1" applyAlignment="1">
      <alignment horizontal="right" wrapText="1"/>
    </xf>
    <xf numFmtId="0" fontId="0" fillId="0" borderId="0" xfId="0"/>
    <xf numFmtId="164" fontId="3" fillId="0" borderId="1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2" fillId="5" borderId="0" xfId="0" applyFont="1" applyFill="1" applyAlignment="1">
      <alignment horizontal="left" wrapText="1"/>
    </xf>
    <xf numFmtId="0" fontId="0" fillId="0" borderId="0" xfId="0"/>
    <xf numFmtId="0" fontId="2" fillId="6" borderId="0" xfId="0" applyFont="1" applyFill="1" applyAlignment="1">
      <alignment horizontal="left" wrapText="1"/>
    </xf>
    <xf numFmtId="0" fontId="8" fillId="6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right" wrapText="1"/>
    </xf>
    <xf numFmtId="0" fontId="0" fillId="0" borderId="0" xfId="0"/>
    <xf numFmtId="0" fontId="2" fillId="7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workbookViewId="0">
      <selection sqref="A1:XFD1048576"/>
    </sheetView>
  </sheetViews>
  <sheetFormatPr defaultRowHeight="15" x14ac:dyDescent="0.25"/>
  <cols>
    <col min="1" max="1" width="50.7109375" customWidth="1"/>
    <col min="2" max="4" width="10.28515625" customWidth="1"/>
    <col min="5" max="5" width="9.42578125" customWidth="1"/>
    <col min="6" max="6" width="10.28515625" customWidth="1"/>
    <col min="7" max="7" width="11.140625" customWidth="1"/>
    <col min="8" max="10" width="9.42578125" customWidth="1"/>
    <col min="11" max="11" width="11.140625" customWidth="1"/>
    <col min="12" max="12" width="10.28515625" customWidth="1"/>
    <col min="13" max="14" width="11.140625" customWidth="1"/>
  </cols>
  <sheetData>
    <row r="1" spans="1:14" ht="18" x14ac:dyDescent="0.25">
      <c r="A1" s="41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 x14ac:dyDescent="0.25">
      <c r="A2" s="41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42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14</v>
      </c>
      <c r="B7" s="5">
        <f>750</f>
        <v>750</v>
      </c>
      <c r="C7" s="5">
        <f>750</f>
        <v>750</v>
      </c>
      <c r="D7" s="5">
        <f>750</f>
        <v>750</v>
      </c>
      <c r="E7" s="5">
        <f>750</f>
        <v>750</v>
      </c>
      <c r="F7" s="5">
        <f>750</f>
        <v>750</v>
      </c>
      <c r="G7" s="5">
        <f>750</f>
        <v>750</v>
      </c>
      <c r="H7" s="5">
        <f>750</f>
        <v>750</v>
      </c>
      <c r="I7" s="5">
        <f>750</f>
        <v>750</v>
      </c>
      <c r="J7" s="5">
        <f>750</f>
        <v>750</v>
      </c>
      <c r="K7" s="5">
        <f>750</f>
        <v>750</v>
      </c>
      <c r="L7" s="5">
        <f>750</f>
        <v>750</v>
      </c>
      <c r="M7" s="5">
        <f>750</f>
        <v>750</v>
      </c>
      <c r="N7" s="5">
        <f t="shared" ref="N7:N21" si="0">(((((((((((B7)+(C7))+(D7))+(E7))+(F7))+(G7))+(H7))+(I7))+(J7))+(K7))+(L7))+(M7)</f>
        <v>9000</v>
      </c>
    </row>
    <row r="8" spans="1:14" x14ac:dyDescent="0.25">
      <c r="A8" s="3" t="s">
        <v>15</v>
      </c>
      <c r="B8" s="5">
        <f>200</f>
        <v>200</v>
      </c>
      <c r="C8" s="5">
        <f>200</f>
        <v>200</v>
      </c>
      <c r="D8" s="5">
        <f>200</f>
        <v>200</v>
      </c>
      <c r="E8" s="5">
        <f>10000</f>
        <v>10000</v>
      </c>
      <c r="F8" s="5">
        <f>200</f>
        <v>200</v>
      </c>
      <c r="G8" s="5">
        <f>200</f>
        <v>200</v>
      </c>
      <c r="H8" s="5">
        <f>200</f>
        <v>200</v>
      </c>
      <c r="I8" s="5">
        <f>200</f>
        <v>200</v>
      </c>
      <c r="J8" s="5">
        <f>200</f>
        <v>200</v>
      </c>
      <c r="K8" s="5">
        <f>200</f>
        <v>200</v>
      </c>
      <c r="L8" s="5">
        <f>5000</f>
        <v>5000</v>
      </c>
      <c r="M8" s="5">
        <f>200</f>
        <v>200</v>
      </c>
      <c r="N8" s="5">
        <f t="shared" si="0"/>
        <v>17000</v>
      </c>
    </row>
    <row r="9" spans="1:14" x14ac:dyDescent="0.25">
      <c r="A9" s="3" t="s">
        <v>16</v>
      </c>
      <c r="B9" s="5">
        <f>0</f>
        <v>0</v>
      </c>
      <c r="C9" s="5">
        <f>0</f>
        <v>0</v>
      </c>
      <c r="D9" s="5">
        <f>0</f>
        <v>0</v>
      </c>
      <c r="E9" s="5">
        <f>0</f>
        <v>0</v>
      </c>
      <c r="F9" s="5">
        <f>0</f>
        <v>0</v>
      </c>
      <c r="G9" s="5">
        <f>1000</f>
        <v>1000</v>
      </c>
      <c r="H9" s="5">
        <f>1000</f>
        <v>1000</v>
      </c>
      <c r="I9" s="5">
        <f>1000</f>
        <v>1000</v>
      </c>
      <c r="J9" s="5">
        <f>1000</f>
        <v>1000</v>
      </c>
      <c r="K9" s="5">
        <f>1000</f>
        <v>1000</v>
      </c>
      <c r="L9" s="5">
        <f>1000</f>
        <v>1000</v>
      </c>
      <c r="M9" s="5">
        <f>1000</f>
        <v>1000</v>
      </c>
      <c r="N9" s="5">
        <f t="shared" si="0"/>
        <v>7000</v>
      </c>
    </row>
    <row r="10" spans="1:14" x14ac:dyDescent="0.25">
      <c r="A10" s="3" t="s">
        <v>17</v>
      </c>
      <c r="B10" s="5">
        <f>0</f>
        <v>0</v>
      </c>
      <c r="C10" s="5">
        <f>0</f>
        <v>0</v>
      </c>
      <c r="D10" s="5">
        <f>0</f>
        <v>0</v>
      </c>
      <c r="E10" s="5">
        <f>0</f>
        <v>0</v>
      </c>
      <c r="F10" s="5">
        <f>0</f>
        <v>0</v>
      </c>
      <c r="G10" s="5">
        <f>500</f>
        <v>500</v>
      </c>
      <c r="H10" s="5">
        <f>6500</f>
        <v>6500</v>
      </c>
      <c r="I10" s="5">
        <f>6500</f>
        <v>6500</v>
      </c>
      <c r="J10" s="5">
        <f>6500</f>
        <v>6500</v>
      </c>
      <c r="K10" s="5">
        <f>1500</f>
        <v>1500</v>
      </c>
      <c r="L10" s="5">
        <f>1500</f>
        <v>1500</v>
      </c>
      <c r="M10" s="5">
        <f>1500</f>
        <v>1500</v>
      </c>
      <c r="N10" s="5">
        <f t="shared" si="0"/>
        <v>24500</v>
      </c>
    </row>
    <row r="11" spans="1:14" x14ac:dyDescent="0.25">
      <c r="A11" s="3" t="s">
        <v>18</v>
      </c>
      <c r="B11" s="6">
        <f t="shared" ref="B11:M11" si="1">(((B7)+(B8))+(B9))+(B10)</f>
        <v>950</v>
      </c>
      <c r="C11" s="6">
        <f t="shared" si="1"/>
        <v>950</v>
      </c>
      <c r="D11" s="6">
        <f t="shared" si="1"/>
        <v>950</v>
      </c>
      <c r="E11" s="6">
        <f t="shared" si="1"/>
        <v>10750</v>
      </c>
      <c r="F11" s="6">
        <f t="shared" si="1"/>
        <v>950</v>
      </c>
      <c r="G11" s="6">
        <f t="shared" si="1"/>
        <v>2450</v>
      </c>
      <c r="H11" s="6">
        <f t="shared" si="1"/>
        <v>8450</v>
      </c>
      <c r="I11" s="6">
        <f t="shared" si="1"/>
        <v>8450</v>
      </c>
      <c r="J11" s="6">
        <f t="shared" si="1"/>
        <v>8450</v>
      </c>
      <c r="K11" s="6">
        <f t="shared" si="1"/>
        <v>3450</v>
      </c>
      <c r="L11" s="6">
        <f t="shared" si="1"/>
        <v>8250</v>
      </c>
      <c r="M11" s="6">
        <f t="shared" si="1"/>
        <v>3450</v>
      </c>
      <c r="N11" s="6">
        <f t="shared" si="0"/>
        <v>57500</v>
      </c>
    </row>
    <row r="12" spans="1:14" x14ac:dyDescent="0.2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</row>
    <row r="13" spans="1:14" x14ac:dyDescent="0.25">
      <c r="A13" s="3" t="s">
        <v>20</v>
      </c>
      <c r="B13" s="5">
        <f>2813</f>
        <v>2813</v>
      </c>
      <c r="C13" s="5">
        <f>4923</f>
        <v>4923</v>
      </c>
      <c r="D13" s="5">
        <f>5626</f>
        <v>5626</v>
      </c>
      <c r="E13" s="5">
        <f>7033</f>
        <v>7033</v>
      </c>
      <c r="F13" s="5">
        <f>0</f>
        <v>0</v>
      </c>
      <c r="G13" s="5">
        <f>0</f>
        <v>0</v>
      </c>
      <c r="H13" s="5">
        <f>0</f>
        <v>0</v>
      </c>
      <c r="I13" s="5">
        <f>0</f>
        <v>0</v>
      </c>
      <c r="J13" s="5">
        <f>5275</f>
        <v>5275</v>
      </c>
      <c r="K13" s="5">
        <f>9495</f>
        <v>9495</v>
      </c>
      <c r="L13" s="5">
        <f>0</f>
        <v>0</v>
      </c>
      <c r="M13" s="5">
        <f>0</f>
        <v>0</v>
      </c>
      <c r="N13" s="5">
        <f t="shared" si="0"/>
        <v>35165</v>
      </c>
    </row>
    <row r="14" spans="1:14" x14ac:dyDescent="0.25">
      <c r="A14" s="3" t="s">
        <v>21</v>
      </c>
      <c r="B14" s="5">
        <f>2275</f>
        <v>2275</v>
      </c>
      <c r="C14" s="5">
        <f>1820</f>
        <v>1820</v>
      </c>
      <c r="D14" s="5">
        <f>1820</f>
        <v>1820</v>
      </c>
      <c r="E14" s="5">
        <f>455</f>
        <v>455</v>
      </c>
      <c r="F14" s="5">
        <f>0</f>
        <v>0</v>
      </c>
      <c r="G14" s="5">
        <f>2275</f>
        <v>2275</v>
      </c>
      <c r="H14" s="5">
        <f>3184</f>
        <v>3184</v>
      </c>
      <c r="I14" s="5">
        <f>4094</f>
        <v>4094</v>
      </c>
      <c r="J14" s="5">
        <f>3184</f>
        <v>3184</v>
      </c>
      <c r="K14" s="5">
        <f>3184</f>
        <v>3184</v>
      </c>
      <c r="L14" s="5">
        <f>11828</f>
        <v>11828</v>
      </c>
      <c r="M14" s="5">
        <f>11373</f>
        <v>11373</v>
      </c>
      <c r="N14" s="5">
        <f t="shared" si="0"/>
        <v>45492</v>
      </c>
    </row>
    <row r="15" spans="1:14" x14ac:dyDescent="0.25">
      <c r="A15" s="3" t="s">
        <v>22</v>
      </c>
      <c r="B15" s="5">
        <f>6785</f>
        <v>6785</v>
      </c>
      <c r="C15" s="5">
        <f>6785</f>
        <v>6785</v>
      </c>
      <c r="D15" s="5">
        <f>6785</f>
        <v>6785</v>
      </c>
      <c r="E15" s="5">
        <f>6785</f>
        <v>6785</v>
      </c>
      <c r="F15" s="5">
        <f>16963</f>
        <v>16963</v>
      </c>
      <c r="G15" s="5">
        <f>64458</f>
        <v>64458</v>
      </c>
      <c r="H15" s="5">
        <f>67850</f>
        <v>67850</v>
      </c>
      <c r="I15" s="5">
        <f>74634</f>
        <v>74634</v>
      </c>
      <c r="J15" s="5">
        <f>74635</f>
        <v>74635</v>
      </c>
      <c r="K15" s="5">
        <f>6785</f>
        <v>6785</v>
      </c>
      <c r="L15" s="5">
        <f>0</f>
        <v>0</v>
      </c>
      <c r="M15" s="5">
        <f>6785</f>
        <v>6785</v>
      </c>
      <c r="N15" s="5">
        <f t="shared" si="0"/>
        <v>339250</v>
      </c>
    </row>
    <row r="16" spans="1:14" x14ac:dyDescent="0.25">
      <c r="A16" s="3" t="s">
        <v>23</v>
      </c>
      <c r="B16" s="5">
        <f>0</f>
        <v>0</v>
      </c>
      <c r="C16" s="5">
        <f>0</f>
        <v>0</v>
      </c>
      <c r="D16" s="5">
        <f>0</f>
        <v>0</v>
      </c>
      <c r="E16" s="5">
        <f>3000</f>
        <v>3000</v>
      </c>
      <c r="F16" s="5">
        <f>14000</f>
        <v>14000</v>
      </c>
      <c r="G16" s="5">
        <f>0</f>
        <v>0</v>
      </c>
      <c r="H16" s="5">
        <f>0</f>
        <v>0</v>
      </c>
      <c r="I16" s="5">
        <f>2500</f>
        <v>2500</v>
      </c>
      <c r="J16" s="5">
        <f>0</f>
        <v>0</v>
      </c>
      <c r="K16" s="5">
        <f>0</f>
        <v>0</v>
      </c>
      <c r="L16" s="5">
        <f>2500</f>
        <v>2500</v>
      </c>
      <c r="M16" s="5">
        <f>0</f>
        <v>0</v>
      </c>
      <c r="N16" s="5">
        <f t="shared" si="0"/>
        <v>22000</v>
      </c>
    </row>
    <row r="17" spans="1:14" x14ac:dyDescent="0.25">
      <c r="A17" s="3" t="s">
        <v>24</v>
      </c>
      <c r="B17" s="5">
        <f>0</f>
        <v>0</v>
      </c>
      <c r="C17" s="5">
        <f>0</f>
        <v>0</v>
      </c>
      <c r="D17" s="5">
        <f>500</f>
        <v>500</v>
      </c>
      <c r="E17" s="5">
        <f>0</f>
        <v>0</v>
      </c>
      <c r="F17" s="5">
        <f>0</f>
        <v>0</v>
      </c>
      <c r="G17" s="5">
        <f>350</f>
        <v>350</v>
      </c>
      <c r="H17" s="5">
        <f>0</f>
        <v>0</v>
      </c>
      <c r="I17" s="5">
        <f>0</f>
        <v>0</v>
      </c>
      <c r="J17" s="5">
        <f>0</f>
        <v>0</v>
      </c>
      <c r="K17" s="5">
        <f>0</f>
        <v>0</v>
      </c>
      <c r="L17" s="5">
        <f>0</f>
        <v>0</v>
      </c>
      <c r="M17" s="5">
        <f>0</f>
        <v>0</v>
      </c>
      <c r="N17" s="5">
        <f t="shared" si="0"/>
        <v>850</v>
      </c>
    </row>
    <row r="18" spans="1:14" x14ac:dyDescent="0.25">
      <c r="A18" s="3" t="s">
        <v>25</v>
      </c>
      <c r="B18" s="5">
        <f>1000</f>
        <v>1000</v>
      </c>
      <c r="C18" s="5">
        <f>8000</f>
        <v>8000</v>
      </c>
      <c r="D18" s="5">
        <f>0</f>
        <v>0</v>
      </c>
      <c r="E18" s="5">
        <f>0</f>
        <v>0</v>
      </c>
      <c r="F18" s="5">
        <f>0</f>
        <v>0</v>
      </c>
      <c r="G18" s="5">
        <f>0</f>
        <v>0</v>
      </c>
      <c r="H18" s="5">
        <f>0</f>
        <v>0</v>
      </c>
      <c r="I18" s="5">
        <f>0</f>
        <v>0</v>
      </c>
      <c r="J18" s="5">
        <f>6000</f>
        <v>6000</v>
      </c>
      <c r="K18" s="5">
        <f>1000</f>
        <v>1000</v>
      </c>
      <c r="L18" s="5">
        <f>7000</f>
        <v>7000</v>
      </c>
      <c r="M18" s="5">
        <f>0</f>
        <v>0</v>
      </c>
      <c r="N18" s="5">
        <f t="shared" si="0"/>
        <v>23000</v>
      </c>
    </row>
    <row r="19" spans="1:14" x14ac:dyDescent="0.25">
      <c r="A19" s="3" t="s">
        <v>26</v>
      </c>
      <c r="B19" s="6">
        <f t="shared" ref="B19:M19" si="2">((((((B12)+(B13))+(B14))+(B15))+(B16))+(B17))+(B18)</f>
        <v>12873</v>
      </c>
      <c r="C19" s="6">
        <f t="shared" si="2"/>
        <v>21528</v>
      </c>
      <c r="D19" s="6">
        <f t="shared" si="2"/>
        <v>14731</v>
      </c>
      <c r="E19" s="6">
        <f t="shared" si="2"/>
        <v>17273</v>
      </c>
      <c r="F19" s="6">
        <f t="shared" si="2"/>
        <v>30963</v>
      </c>
      <c r="G19" s="6">
        <f t="shared" si="2"/>
        <v>67083</v>
      </c>
      <c r="H19" s="6">
        <f t="shared" si="2"/>
        <v>71034</v>
      </c>
      <c r="I19" s="6">
        <f t="shared" si="2"/>
        <v>81228</v>
      </c>
      <c r="J19" s="6">
        <f t="shared" si="2"/>
        <v>89094</v>
      </c>
      <c r="K19" s="6">
        <f t="shared" si="2"/>
        <v>20464</v>
      </c>
      <c r="L19" s="6">
        <f t="shared" si="2"/>
        <v>21328</v>
      </c>
      <c r="M19" s="6">
        <f t="shared" si="2"/>
        <v>18158</v>
      </c>
      <c r="N19" s="6">
        <f t="shared" si="0"/>
        <v>465757</v>
      </c>
    </row>
    <row r="20" spans="1:14" x14ac:dyDescent="0.25">
      <c r="A20" s="3" t="s">
        <v>27</v>
      </c>
      <c r="B20" s="5">
        <f>-200</f>
        <v>-200</v>
      </c>
      <c r="C20" s="5">
        <f>-200</f>
        <v>-200</v>
      </c>
      <c r="D20" s="5">
        <f>-500</f>
        <v>-500</v>
      </c>
      <c r="E20" s="5">
        <f>-500</f>
        <v>-500</v>
      </c>
      <c r="F20" s="5">
        <f>-12000</f>
        <v>-12000</v>
      </c>
      <c r="G20" s="5">
        <f>-13000</f>
        <v>-13000</v>
      </c>
      <c r="H20" s="5">
        <f>0</f>
        <v>0</v>
      </c>
      <c r="I20" s="5">
        <f>-1000</f>
        <v>-1000</v>
      </c>
      <c r="J20" s="5">
        <f>-1000</f>
        <v>-1000</v>
      </c>
      <c r="K20" s="5">
        <f>-1000</f>
        <v>-1000</v>
      </c>
      <c r="L20" s="5">
        <f>-600</f>
        <v>-600</v>
      </c>
      <c r="M20" s="5">
        <f>-2000</f>
        <v>-2000</v>
      </c>
      <c r="N20" s="5">
        <f t="shared" si="0"/>
        <v>-32000</v>
      </c>
    </row>
    <row r="21" spans="1:14" x14ac:dyDescent="0.25">
      <c r="A21" s="3" t="s">
        <v>28</v>
      </c>
      <c r="B21" s="6">
        <f t="shared" ref="B21:M21" si="3">((B11)+(B19))+(B20)</f>
        <v>13623</v>
      </c>
      <c r="C21" s="6">
        <f t="shared" si="3"/>
        <v>22278</v>
      </c>
      <c r="D21" s="6">
        <f t="shared" si="3"/>
        <v>15181</v>
      </c>
      <c r="E21" s="6">
        <f t="shared" si="3"/>
        <v>27523</v>
      </c>
      <c r="F21" s="6">
        <f t="shared" si="3"/>
        <v>19913</v>
      </c>
      <c r="G21" s="6">
        <f t="shared" si="3"/>
        <v>56533</v>
      </c>
      <c r="H21" s="6">
        <f t="shared" si="3"/>
        <v>79484</v>
      </c>
      <c r="I21" s="6">
        <f t="shared" si="3"/>
        <v>88678</v>
      </c>
      <c r="J21" s="6">
        <f t="shared" si="3"/>
        <v>96544</v>
      </c>
      <c r="K21" s="6">
        <f t="shared" si="3"/>
        <v>22914</v>
      </c>
      <c r="L21" s="6">
        <f t="shared" si="3"/>
        <v>28978</v>
      </c>
      <c r="M21" s="6">
        <f t="shared" si="3"/>
        <v>19608</v>
      </c>
      <c r="N21" s="6">
        <f t="shared" si="0"/>
        <v>491257</v>
      </c>
    </row>
    <row r="22" spans="1:14" x14ac:dyDescent="0.25">
      <c r="A22" s="3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3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ref="N23:N29" si="4">(((((((((((B23)+(C23))+(D23))+(E23))+(F23))+(G23))+(H23))+(I23))+(J23))+(K23))+(L23))+(M23)</f>
        <v>0</v>
      </c>
    </row>
    <row r="24" spans="1:14" x14ac:dyDescent="0.25">
      <c r="A24" s="3" t="s">
        <v>31</v>
      </c>
      <c r="B24" s="5">
        <f>80</f>
        <v>80</v>
      </c>
      <c r="C24" s="5">
        <f>140</f>
        <v>140</v>
      </c>
      <c r="D24" s="5">
        <f>160</f>
        <v>160</v>
      </c>
      <c r="E24" s="5">
        <f>200</f>
        <v>200</v>
      </c>
      <c r="F24" s="5">
        <f>0</f>
        <v>0</v>
      </c>
      <c r="G24" s="5">
        <f>0</f>
        <v>0</v>
      </c>
      <c r="H24" s="5">
        <f>0</f>
        <v>0</v>
      </c>
      <c r="I24" s="5">
        <f>0</f>
        <v>0</v>
      </c>
      <c r="J24" s="5">
        <f>150</f>
        <v>150</v>
      </c>
      <c r="K24" s="5">
        <f>270</f>
        <v>270</v>
      </c>
      <c r="L24" s="5">
        <f>0</f>
        <v>0</v>
      </c>
      <c r="M24" s="5">
        <f>0</f>
        <v>0</v>
      </c>
      <c r="N24" s="5">
        <f t="shared" si="4"/>
        <v>1000</v>
      </c>
    </row>
    <row r="25" spans="1:14" x14ac:dyDescent="0.25">
      <c r="A25" s="3" t="s">
        <v>32</v>
      </c>
      <c r="B25" s="5">
        <f>79</f>
        <v>79</v>
      </c>
      <c r="C25" s="5">
        <f>63</f>
        <v>63</v>
      </c>
      <c r="D25" s="5">
        <f>63</f>
        <v>63</v>
      </c>
      <c r="E25" s="5">
        <f>16</f>
        <v>16</v>
      </c>
      <c r="F25" s="5">
        <f>0</f>
        <v>0</v>
      </c>
      <c r="G25" s="5">
        <f>79</f>
        <v>79</v>
      </c>
      <c r="H25" s="5">
        <f>111</f>
        <v>111</v>
      </c>
      <c r="I25" s="5">
        <f>143</f>
        <v>143</v>
      </c>
      <c r="J25" s="5">
        <f>112</f>
        <v>112</v>
      </c>
      <c r="K25" s="5">
        <f>111</f>
        <v>111</v>
      </c>
      <c r="L25" s="5">
        <f>412</f>
        <v>412</v>
      </c>
      <c r="M25" s="5">
        <f>397</f>
        <v>397</v>
      </c>
      <c r="N25" s="5">
        <f t="shared" si="4"/>
        <v>1586</v>
      </c>
    </row>
    <row r="26" spans="1:14" x14ac:dyDescent="0.25">
      <c r="A26" s="3" t="s">
        <v>33</v>
      </c>
      <c r="B26" s="5">
        <f>434</f>
        <v>434</v>
      </c>
      <c r="C26" s="5">
        <f>434</f>
        <v>434</v>
      </c>
      <c r="D26" s="5">
        <f>434</f>
        <v>434</v>
      </c>
      <c r="E26" s="5">
        <f>652</f>
        <v>652</v>
      </c>
      <c r="F26" s="5">
        <f>1086</f>
        <v>1086</v>
      </c>
      <c r="G26" s="5">
        <f>8688</f>
        <v>8688</v>
      </c>
      <c r="H26" s="5">
        <f>3041</f>
        <v>3041</v>
      </c>
      <c r="I26" s="5">
        <f>3041</f>
        <v>3041</v>
      </c>
      <c r="J26" s="5">
        <f>3041</f>
        <v>3041</v>
      </c>
      <c r="K26" s="5">
        <f>869</f>
        <v>869</v>
      </c>
      <c r="L26" s="5">
        <f>0</f>
        <v>0</v>
      </c>
      <c r="M26" s="5">
        <f>0</f>
        <v>0</v>
      </c>
      <c r="N26" s="5">
        <f t="shared" si="4"/>
        <v>21720</v>
      </c>
    </row>
    <row r="27" spans="1:14" x14ac:dyDescent="0.25">
      <c r="A27" s="3" t="s">
        <v>34</v>
      </c>
      <c r="B27" s="6">
        <f t="shared" ref="B27:M27" si="5">(((B23)+(B24))+(B25))+(B26)</f>
        <v>593</v>
      </c>
      <c r="C27" s="6">
        <f t="shared" si="5"/>
        <v>637</v>
      </c>
      <c r="D27" s="6">
        <f t="shared" si="5"/>
        <v>657</v>
      </c>
      <c r="E27" s="6">
        <f t="shared" si="5"/>
        <v>868</v>
      </c>
      <c r="F27" s="6">
        <f t="shared" si="5"/>
        <v>1086</v>
      </c>
      <c r="G27" s="6">
        <f t="shared" si="5"/>
        <v>8767</v>
      </c>
      <c r="H27" s="6">
        <f t="shared" si="5"/>
        <v>3152</v>
      </c>
      <c r="I27" s="6">
        <f t="shared" si="5"/>
        <v>3184</v>
      </c>
      <c r="J27" s="6">
        <f t="shared" si="5"/>
        <v>3303</v>
      </c>
      <c r="K27" s="6">
        <f t="shared" si="5"/>
        <v>1250</v>
      </c>
      <c r="L27" s="6">
        <f t="shared" si="5"/>
        <v>412</v>
      </c>
      <c r="M27" s="6">
        <f t="shared" si="5"/>
        <v>397</v>
      </c>
      <c r="N27" s="6">
        <f t="shared" si="4"/>
        <v>24306</v>
      </c>
    </row>
    <row r="28" spans="1:14" x14ac:dyDescent="0.25">
      <c r="A28" s="3" t="s">
        <v>35</v>
      </c>
      <c r="B28" s="6">
        <f t="shared" ref="B28:M28" si="6">B27</f>
        <v>593</v>
      </c>
      <c r="C28" s="6">
        <f t="shared" si="6"/>
        <v>637</v>
      </c>
      <c r="D28" s="6">
        <f t="shared" si="6"/>
        <v>657</v>
      </c>
      <c r="E28" s="6">
        <f t="shared" si="6"/>
        <v>868</v>
      </c>
      <c r="F28" s="6">
        <f t="shared" si="6"/>
        <v>1086</v>
      </c>
      <c r="G28" s="6">
        <f t="shared" si="6"/>
        <v>8767</v>
      </c>
      <c r="H28" s="6">
        <f t="shared" si="6"/>
        <v>3152</v>
      </c>
      <c r="I28" s="6">
        <f t="shared" si="6"/>
        <v>3184</v>
      </c>
      <c r="J28" s="6">
        <f t="shared" si="6"/>
        <v>3303</v>
      </c>
      <c r="K28" s="6">
        <f t="shared" si="6"/>
        <v>1250</v>
      </c>
      <c r="L28" s="6">
        <f t="shared" si="6"/>
        <v>412</v>
      </c>
      <c r="M28" s="6">
        <f t="shared" si="6"/>
        <v>397</v>
      </c>
      <c r="N28" s="6">
        <f t="shared" si="4"/>
        <v>24306</v>
      </c>
    </row>
    <row r="29" spans="1:14" x14ac:dyDescent="0.25">
      <c r="A29" s="3" t="s">
        <v>36</v>
      </c>
      <c r="B29" s="6">
        <f t="shared" ref="B29:M29" si="7">(B21)-(B28)</f>
        <v>13030</v>
      </c>
      <c r="C29" s="6">
        <f t="shared" si="7"/>
        <v>21641</v>
      </c>
      <c r="D29" s="6">
        <f t="shared" si="7"/>
        <v>14524</v>
      </c>
      <c r="E29" s="6">
        <f t="shared" si="7"/>
        <v>26655</v>
      </c>
      <c r="F29" s="6">
        <f t="shared" si="7"/>
        <v>18827</v>
      </c>
      <c r="G29" s="6">
        <f t="shared" si="7"/>
        <v>47766</v>
      </c>
      <c r="H29" s="6">
        <f t="shared" si="7"/>
        <v>76332</v>
      </c>
      <c r="I29" s="6">
        <f t="shared" si="7"/>
        <v>85494</v>
      </c>
      <c r="J29" s="6">
        <f t="shared" si="7"/>
        <v>93241</v>
      </c>
      <c r="K29" s="6">
        <f t="shared" si="7"/>
        <v>21664</v>
      </c>
      <c r="L29" s="6">
        <f t="shared" si="7"/>
        <v>28566</v>
      </c>
      <c r="M29" s="6">
        <f t="shared" si="7"/>
        <v>19211</v>
      </c>
      <c r="N29" s="6">
        <f t="shared" si="4"/>
        <v>466951</v>
      </c>
    </row>
    <row r="30" spans="1:14" x14ac:dyDescent="0.25">
      <c r="A30" s="3" t="s">
        <v>37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3" t="s">
        <v>38</v>
      </c>
      <c r="B31" s="5">
        <f>15</f>
        <v>15</v>
      </c>
      <c r="C31" s="5">
        <f>15</f>
        <v>15</v>
      </c>
      <c r="D31" s="5">
        <f>15</f>
        <v>15</v>
      </c>
      <c r="E31" s="5">
        <f>15</f>
        <v>15</v>
      </c>
      <c r="F31" s="5">
        <f>15</f>
        <v>15</v>
      </c>
      <c r="G31" s="5">
        <f>15</f>
        <v>15</v>
      </c>
      <c r="H31" s="5">
        <f>15</f>
        <v>15</v>
      </c>
      <c r="I31" s="5">
        <f>15</f>
        <v>15</v>
      </c>
      <c r="J31" s="5">
        <f>15</f>
        <v>15</v>
      </c>
      <c r="K31" s="5">
        <f>15</f>
        <v>15</v>
      </c>
      <c r="L31" s="5">
        <f>15</f>
        <v>15</v>
      </c>
      <c r="M31" s="5">
        <f>15</f>
        <v>15</v>
      </c>
      <c r="N31" s="5">
        <f t="shared" ref="N31:N58" si="8">(((((((((((B31)+(C31))+(D31))+(E31))+(F31))+(G31))+(H31))+(I31))+(J31))+(K31))+(L31))+(M31)</f>
        <v>180</v>
      </c>
    </row>
    <row r="32" spans="1:14" x14ac:dyDescent="0.25">
      <c r="A32" s="3" t="s">
        <v>39</v>
      </c>
      <c r="B32" s="5">
        <f>0</f>
        <v>0</v>
      </c>
      <c r="C32" s="5">
        <f>0</f>
        <v>0</v>
      </c>
      <c r="D32" s="5">
        <f>0</f>
        <v>0</v>
      </c>
      <c r="E32" s="5">
        <f>0</f>
        <v>0</v>
      </c>
      <c r="F32" s="5">
        <f>0</f>
        <v>0</v>
      </c>
      <c r="G32" s="5">
        <f>0</f>
        <v>0</v>
      </c>
      <c r="H32" s="5">
        <f>0</f>
        <v>0</v>
      </c>
      <c r="I32" s="5">
        <f>0</f>
        <v>0</v>
      </c>
      <c r="J32" s="5">
        <f>0</f>
        <v>0</v>
      </c>
      <c r="K32" s="5">
        <f>0</f>
        <v>0</v>
      </c>
      <c r="L32" s="5">
        <f>0</f>
        <v>0</v>
      </c>
      <c r="M32" s="5">
        <f>2500</f>
        <v>2500</v>
      </c>
      <c r="N32" s="5">
        <f t="shared" si="8"/>
        <v>2500</v>
      </c>
    </row>
    <row r="33" spans="1:14" x14ac:dyDescent="0.25">
      <c r="A33" s="3" t="s">
        <v>40</v>
      </c>
      <c r="B33" s="5">
        <f>10</f>
        <v>10</v>
      </c>
      <c r="C33" s="5">
        <f>10</f>
        <v>10</v>
      </c>
      <c r="D33" s="5">
        <f>10</f>
        <v>10</v>
      </c>
      <c r="E33" s="5">
        <f>10</f>
        <v>10</v>
      </c>
      <c r="F33" s="5">
        <f>10</f>
        <v>10</v>
      </c>
      <c r="G33" s="5">
        <f>10</f>
        <v>10</v>
      </c>
      <c r="H33" s="5">
        <f>10</f>
        <v>10</v>
      </c>
      <c r="I33" s="5">
        <f>10</f>
        <v>10</v>
      </c>
      <c r="J33" s="5">
        <f>10</f>
        <v>10</v>
      </c>
      <c r="K33" s="5">
        <f>10</f>
        <v>10</v>
      </c>
      <c r="L33" s="5">
        <f>10</f>
        <v>10</v>
      </c>
      <c r="M33" s="5">
        <f>10</f>
        <v>10</v>
      </c>
      <c r="N33" s="5">
        <f t="shared" si="8"/>
        <v>120</v>
      </c>
    </row>
    <row r="34" spans="1:14" x14ac:dyDescent="0.25">
      <c r="A34" s="3" t="s">
        <v>41</v>
      </c>
      <c r="B34" s="5">
        <f>40</f>
        <v>40</v>
      </c>
      <c r="C34" s="5">
        <f>40</f>
        <v>40</v>
      </c>
      <c r="D34" s="5">
        <f>200</f>
        <v>200</v>
      </c>
      <c r="E34" s="5">
        <f>500</f>
        <v>500</v>
      </c>
      <c r="F34" s="5">
        <f>40</f>
        <v>40</v>
      </c>
      <c r="G34" s="5">
        <f>40</f>
        <v>40</v>
      </c>
      <c r="H34" s="5">
        <f>40</f>
        <v>40</v>
      </c>
      <c r="I34" s="5">
        <f>40</f>
        <v>40</v>
      </c>
      <c r="J34" s="5">
        <f>40</f>
        <v>40</v>
      </c>
      <c r="K34" s="5">
        <f>500</f>
        <v>500</v>
      </c>
      <c r="L34" s="5">
        <f>40</f>
        <v>40</v>
      </c>
      <c r="M34" s="5">
        <f>40</f>
        <v>40</v>
      </c>
      <c r="N34" s="5">
        <f t="shared" si="8"/>
        <v>1560</v>
      </c>
    </row>
    <row r="35" spans="1:14" x14ac:dyDescent="0.25">
      <c r="A35" s="3" t="s">
        <v>42</v>
      </c>
      <c r="B35" s="5">
        <f>3394.55</f>
        <v>3394.55</v>
      </c>
      <c r="C35" s="5">
        <f>3778.8</f>
        <v>3778.8</v>
      </c>
      <c r="D35" s="5">
        <f>3955.8</f>
        <v>3955.8</v>
      </c>
      <c r="E35" s="5">
        <f>4046.55</f>
        <v>4046.55</v>
      </c>
      <c r="F35" s="5">
        <f>4847</f>
        <v>4847</v>
      </c>
      <c r="G35" s="5">
        <f>18237.35</f>
        <v>18237.349999999999</v>
      </c>
      <c r="H35" s="5">
        <f>19434.25</f>
        <v>19434.25</v>
      </c>
      <c r="I35" s="5">
        <f>21533.55</f>
        <v>21533.55</v>
      </c>
      <c r="J35" s="5">
        <f>22318.05</f>
        <v>22318.05</v>
      </c>
      <c r="K35" s="5">
        <f>5290.05</f>
        <v>5290.05</v>
      </c>
      <c r="L35" s="5">
        <f>3863.5</f>
        <v>3863.5</v>
      </c>
      <c r="M35" s="5">
        <f>5527.55</f>
        <v>5527.55</v>
      </c>
      <c r="N35" s="5">
        <f t="shared" si="8"/>
        <v>116227.00000000001</v>
      </c>
    </row>
    <row r="36" spans="1:14" x14ac:dyDescent="0.25">
      <c r="A36" s="3" t="s">
        <v>43</v>
      </c>
      <c r="B36" s="5">
        <f>1000</f>
        <v>1000</v>
      </c>
      <c r="C36" s="5">
        <f>2000</f>
        <v>2000</v>
      </c>
      <c r="D36" s="5">
        <f>1000</f>
        <v>1000</v>
      </c>
      <c r="E36" s="5">
        <f>1300</f>
        <v>1300</v>
      </c>
      <c r="F36" s="5">
        <f>1000</f>
        <v>1000</v>
      </c>
      <c r="G36" s="5">
        <f>100</f>
        <v>100</v>
      </c>
      <c r="H36" s="5">
        <f>100</f>
        <v>100</v>
      </c>
      <c r="I36" s="5">
        <f>100</f>
        <v>100</v>
      </c>
      <c r="J36" s="5">
        <f>100</f>
        <v>100</v>
      </c>
      <c r="K36" s="5">
        <f>100</f>
        <v>100</v>
      </c>
      <c r="L36" s="5">
        <f>100</f>
        <v>100</v>
      </c>
      <c r="M36" s="5">
        <f>100</f>
        <v>100</v>
      </c>
      <c r="N36" s="5">
        <f t="shared" si="8"/>
        <v>7000</v>
      </c>
    </row>
    <row r="37" spans="1:14" x14ac:dyDescent="0.25">
      <c r="A37" s="3" t="s">
        <v>44</v>
      </c>
      <c r="B37" s="5">
        <f>276.68</f>
        <v>276.68</v>
      </c>
      <c r="C37" s="5">
        <f>436.8</f>
        <v>436.8</v>
      </c>
      <c r="D37" s="5">
        <f>493.5</f>
        <v>493.5</v>
      </c>
      <c r="E37" s="5">
        <f>576.98</f>
        <v>576.98</v>
      </c>
      <c r="F37" s="5">
        <f>525</f>
        <v>525</v>
      </c>
      <c r="G37" s="5">
        <f>2549.88</f>
        <v>2549.88</v>
      </c>
      <c r="H37" s="5">
        <f>2569.83</f>
        <v>2569.83</v>
      </c>
      <c r="I37" s="5">
        <f>2589.78</f>
        <v>2589.7800000000002</v>
      </c>
      <c r="J37" s="5">
        <f>495.54</f>
        <v>495.54</v>
      </c>
      <c r="K37" s="5">
        <f>835.28</f>
        <v>835.28</v>
      </c>
      <c r="L37" s="5">
        <f>259.35</f>
        <v>259.35000000000002</v>
      </c>
      <c r="M37" s="5">
        <f>249.38</f>
        <v>249.38</v>
      </c>
      <c r="N37" s="5">
        <f t="shared" si="8"/>
        <v>11858.000000000002</v>
      </c>
    </row>
    <row r="38" spans="1:14" x14ac:dyDescent="0.25">
      <c r="A38" s="3" t="s">
        <v>45</v>
      </c>
      <c r="B38" s="5">
        <f>0</f>
        <v>0</v>
      </c>
      <c r="C38" s="5">
        <f>3975</f>
        <v>3975</v>
      </c>
      <c r="D38" s="5">
        <f>3600</f>
        <v>3600</v>
      </c>
      <c r="E38" s="5">
        <f>5000</f>
        <v>5000</v>
      </c>
      <c r="F38" s="5">
        <f>6000</f>
        <v>6000</v>
      </c>
      <c r="G38" s="5">
        <f>24017</f>
        <v>24017</v>
      </c>
      <c r="H38" s="5">
        <f>21017</f>
        <v>21017</v>
      </c>
      <c r="I38" s="5">
        <f>20642</f>
        <v>20642</v>
      </c>
      <c r="J38" s="5">
        <f>13667</f>
        <v>13667</v>
      </c>
      <c r="K38" s="5">
        <f>13667</f>
        <v>13667</v>
      </c>
      <c r="L38" s="5">
        <f>13667</f>
        <v>13667</v>
      </c>
      <c r="M38" s="5">
        <f>13667</f>
        <v>13667</v>
      </c>
      <c r="N38" s="5">
        <f t="shared" si="8"/>
        <v>138919</v>
      </c>
    </row>
    <row r="39" spans="1:14" x14ac:dyDescent="0.25">
      <c r="A39" s="3" t="s">
        <v>46</v>
      </c>
      <c r="B39" s="6">
        <f t="shared" ref="B39:M39" si="9">(B37)+(B38)</f>
        <v>276.68</v>
      </c>
      <c r="C39" s="6">
        <f t="shared" si="9"/>
        <v>4411.8</v>
      </c>
      <c r="D39" s="6">
        <f t="shared" si="9"/>
        <v>4093.5</v>
      </c>
      <c r="E39" s="6">
        <f t="shared" si="9"/>
        <v>5576.98</v>
      </c>
      <c r="F39" s="6">
        <f t="shared" si="9"/>
        <v>6525</v>
      </c>
      <c r="G39" s="6">
        <f t="shared" si="9"/>
        <v>26566.880000000001</v>
      </c>
      <c r="H39" s="6">
        <f t="shared" si="9"/>
        <v>23586.83</v>
      </c>
      <c r="I39" s="6">
        <f t="shared" si="9"/>
        <v>23231.78</v>
      </c>
      <c r="J39" s="6">
        <f t="shared" si="9"/>
        <v>14162.54</v>
      </c>
      <c r="K39" s="6">
        <f t="shared" si="9"/>
        <v>14502.28</v>
      </c>
      <c r="L39" s="6">
        <f t="shared" si="9"/>
        <v>13926.35</v>
      </c>
      <c r="M39" s="6">
        <f t="shared" si="9"/>
        <v>13916.38</v>
      </c>
      <c r="N39" s="6">
        <f t="shared" si="8"/>
        <v>150777</v>
      </c>
    </row>
    <row r="40" spans="1:14" x14ac:dyDescent="0.25">
      <c r="A40" s="3" t="s">
        <v>47</v>
      </c>
      <c r="B40" s="5">
        <f>75</f>
        <v>75</v>
      </c>
      <c r="C40" s="5">
        <f>75</f>
        <v>75</v>
      </c>
      <c r="D40" s="5">
        <f>75</f>
        <v>75</v>
      </c>
      <c r="E40" s="5">
        <f>75</f>
        <v>75</v>
      </c>
      <c r="F40" s="5">
        <f>75</f>
        <v>75</v>
      </c>
      <c r="G40" s="5">
        <f>75</f>
        <v>75</v>
      </c>
      <c r="H40" s="5">
        <f>75</f>
        <v>75</v>
      </c>
      <c r="I40" s="5">
        <f>75</f>
        <v>75</v>
      </c>
      <c r="J40" s="5">
        <f>75</f>
        <v>75</v>
      </c>
      <c r="K40" s="5">
        <f>500</f>
        <v>500</v>
      </c>
      <c r="L40" s="5">
        <f>500</f>
        <v>500</v>
      </c>
      <c r="M40" s="5">
        <f>75</f>
        <v>75</v>
      </c>
      <c r="N40" s="5">
        <f t="shared" si="8"/>
        <v>1750</v>
      </c>
    </row>
    <row r="41" spans="1:14" x14ac:dyDescent="0.25">
      <c r="A41" s="3" t="s">
        <v>48</v>
      </c>
      <c r="B41" s="5">
        <f>125</f>
        <v>125</v>
      </c>
      <c r="C41" s="5">
        <f>125</f>
        <v>125</v>
      </c>
      <c r="D41" s="5">
        <f>125</f>
        <v>125</v>
      </c>
      <c r="E41" s="5">
        <f>125</f>
        <v>125</v>
      </c>
      <c r="F41" s="5">
        <f>125</f>
        <v>125</v>
      </c>
      <c r="G41" s="5">
        <f>125</f>
        <v>125</v>
      </c>
      <c r="H41" s="5">
        <f>125</f>
        <v>125</v>
      </c>
      <c r="I41" s="5">
        <f>125</f>
        <v>125</v>
      </c>
      <c r="J41" s="5">
        <f>125</f>
        <v>125</v>
      </c>
      <c r="K41" s="5">
        <f>125</f>
        <v>125</v>
      </c>
      <c r="L41" s="5">
        <f>125</f>
        <v>125</v>
      </c>
      <c r="M41" s="5">
        <f>125</f>
        <v>125</v>
      </c>
      <c r="N41" s="5">
        <f t="shared" si="8"/>
        <v>1500</v>
      </c>
    </row>
    <row r="42" spans="1:14" x14ac:dyDescent="0.25">
      <c r="A42" s="3" t="s">
        <v>49</v>
      </c>
      <c r="B42" s="5">
        <f>50</f>
        <v>50</v>
      </c>
      <c r="C42" s="5">
        <f>50</f>
        <v>50</v>
      </c>
      <c r="D42" s="5">
        <f>50</f>
        <v>50</v>
      </c>
      <c r="E42" s="5">
        <f>50</f>
        <v>50</v>
      </c>
      <c r="F42" s="5">
        <f>350</f>
        <v>350</v>
      </c>
      <c r="G42" s="5">
        <f>1106</f>
        <v>1106</v>
      </c>
      <c r="H42" s="5">
        <f>50</f>
        <v>50</v>
      </c>
      <c r="I42" s="5">
        <f>50</f>
        <v>50</v>
      </c>
      <c r="J42" s="5">
        <f>50</f>
        <v>50</v>
      </c>
      <c r="K42" s="5">
        <f>50</f>
        <v>50</v>
      </c>
      <c r="L42" s="5">
        <f>50</f>
        <v>50</v>
      </c>
      <c r="M42" s="5">
        <f>50</f>
        <v>50</v>
      </c>
      <c r="N42" s="5">
        <f t="shared" si="8"/>
        <v>1956</v>
      </c>
    </row>
    <row r="43" spans="1:14" x14ac:dyDescent="0.25">
      <c r="A43" s="3" t="s">
        <v>50</v>
      </c>
      <c r="B43" s="5">
        <f>30</f>
        <v>30</v>
      </c>
      <c r="C43" s="5">
        <f>30</f>
        <v>30</v>
      </c>
      <c r="D43" s="5">
        <f>30</f>
        <v>30</v>
      </c>
      <c r="E43" s="5">
        <f>30</f>
        <v>30</v>
      </c>
      <c r="F43" s="5">
        <f>30</f>
        <v>30</v>
      </c>
      <c r="G43" s="5">
        <f>30</f>
        <v>30</v>
      </c>
      <c r="H43" s="5">
        <f>30</f>
        <v>30</v>
      </c>
      <c r="I43" s="5">
        <f>30</f>
        <v>30</v>
      </c>
      <c r="J43" s="5">
        <f>30</f>
        <v>30</v>
      </c>
      <c r="K43" s="5">
        <f>30</f>
        <v>30</v>
      </c>
      <c r="L43" s="5">
        <f>30</f>
        <v>30</v>
      </c>
      <c r="M43" s="5">
        <f>30</f>
        <v>30</v>
      </c>
      <c r="N43" s="5">
        <f t="shared" si="8"/>
        <v>360</v>
      </c>
    </row>
    <row r="44" spans="1:14" x14ac:dyDescent="0.25">
      <c r="A44" s="3" t="s">
        <v>51</v>
      </c>
      <c r="B44" s="5">
        <f>150</f>
        <v>150</v>
      </c>
      <c r="C44" s="5">
        <f>150</f>
        <v>150</v>
      </c>
      <c r="D44" s="5">
        <f>150</f>
        <v>150</v>
      </c>
      <c r="E44" s="5">
        <f>150</f>
        <v>150</v>
      </c>
      <c r="F44" s="5">
        <f>150</f>
        <v>150</v>
      </c>
      <c r="G44" s="5">
        <f>150</f>
        <v>150</v>
      </c>
      <c r="H44" s="5">
        <f>150</f>
        <v>150</v>
      </c>
      <c r="I44" s="5">
        <f>150</f>
        <v>150</v>
      </c>
      <c r="J44" s="5">
        <f>150</f>
        <v>150</v>
      </c>
      <c r="K44" s="5">
        <f>150</f>
        <v>150</v>
      </c>
      <c r="L44" s="5">
        <f>150</f>
        <v>150</v>
      </c>
      <c r="M44" s="5">
        <f>150</f>
        <v>150</v>
      </c>
      <c r="N44" s="5">
        <f t="shared" si="8"/>
        <v>1800</v>
      </c>
    </row>
    <row r="45" spans="1:14" x14ac:dyDescent="0.25">
      <c r="A45" s="3" t="s">
        <v>52</v>
      </c>
      <c r="B45" s="5">
        <f>7624</f>
        <v>7624</v>
      </c>
      <c r="C45" s="5">
        <f>7624</f>
        <v>7624</v>
      </c>
      <c r="D45" s="5">
        <f>7624</f>
        <v>7624</v>
      </c>
      <c r="E45" s="5">
        <f>7624</f>
        <v>7624</v>
      </c>
      <c r="F45" s="5">
        <f>7624</f>
        <v>7624</v>
      </c>
      <c r="G45" s="5">
        <f>11436</f>
        <v>11436</v>
      </c>
      <c r="H45" s="5">
        <f>7624</f>
        <v>7624</v>
      </c>
      <c r="I45" s="5">
        <f>7624</f>
        <v>7624</v>
      </c>
      <c r="J45" s="5">
        <f>7624</f>
        <v>7624</v>
      </c>
      <c r="K45" s="5">
        <f>7624</f>
        <v>7624</v>
      </c>
      <c r="L45" s="5">
        <f>11436</f>
        <v>11436</v>
      </c>
      <c r="M45" s="5">
        <f>7620</f>
        <v>7620</v>
      </c>
      <c r="N45" s="5">
        <f t="shared" si="8"/>
        <v>99108</v>
      </c>
    </row>
    <row r="46" spans="1:14" x14ac:dyDescent="0.25">
      <c r="A46" s="3" t="s">
        <v>53</v>
      </c>
      <c r="B46" s="5">
        <f>775</f>
        <v>775</v>
      </c>
      <c r="C46" s="5">
        <f>775</f>
        <v>775</v>
      </c>
      <c r="D46" s="5">
        <f>775</f>
        <v>775</v>
      </c>
      <c r="E46" s="5">
        <f>775</f>
        <v>775</v>
      </c>
      <c r="F46" s="5">
        <f>775</f>
        <v>775</v>
      </c>
      <c r="G46" s="5">
        <f>775</f>
        <v>775</v>
      </c>
      <c r="H46" s="5">
        <f>775</f>
        <v>775</v>
      </c>
      <c r="I46" s="5">
        <f>775</f>
        <v>775</v>
      </c>
      <c r="J46" s="5">
        <f>775</f>
        <v>775</v>
      </c>
      <c r="K46" s="5">
        <f>775</f>
        <v>775</v>
      </c>
      <c r="L46" s="5">
        <f>775</f>
        <v>775</v>
      </c>
      <c r="M46" s="5">
        <f>775</f>
        <v>775</v>
      </c>
      <c r="N46" s="5">
        <f t="shared" si="8"/>
        <v>9300</v>
      </c>
    </row>
    <row r="47" spans="1:14" x14ac:dyDescent="0.25">
      <c r="A47" s="3" t="s">
        <v>54</v>
      </c>
      <c r="B47" s="5">
        <f>892</f>
        <v>892</v>
      </c>
      <c r="C47" s="5">
        <f>1585</f>
        <v>1585</v>
      </c>
      <c r="D47" s="5">
        <f>1017</f>
        <v>1017</v>
      </c>
      <c r="E47" s="5">
        <f>1764</f>
        <v>1764</v>
      </c>
      <c r="F47" s="5">
        <f>275</f>
        <v>275</v>
      </c>
      <c r="G47" s="5">
        <f>4325</f>
        <v>4325</v>
      </c>
      <c r="H47" s="5">
        <f>6161</f>
        <v>6161</v>
      </c>
      <c r="I47" s="5">
        <f>6697</f>
        <v>6697</v>
      </c>
      <c r="J47" s="5">
        <f>7526</f>
        <v>7526</v>
      </c>
      <c r="K47" s="5">
        <f>1636</f>
        <v>1636</v>
      </c>
      <c r="L47" s="5">
        <f>1922</f>
        <v>1922</v>
      </c>
      <c r="M47" s="5">
        <f>1200</f>
        <v>1200</v>
      </c>
      <c r="N47" s="5">
        <f t="shared" si="8"/>
        <v>35000</v>
      </c>
    </row>
    <row r="48" spans="1:14" x14ac:dyDescent="0.25">
      <c r="A48" s="3" t="s">
        <v>55</v>
      </c>
      <c r="B48" s="5">
        <f>75</f>
        <v>75</v>
      </c>
      <c r="C48" s="5">
        <f>75</f>
        <v>75</v>
      </c>
      <c r="D48" s="5">
        <f>75</f>
        <v>75</v>
      </c>
      <c r="E48" s="5">
        <f>75</f>
        <v>75</v>
      </c>
      <c r="F48" s="5">
        <f>75</f>
        <v>75</v>
      </c>
      <c r="G48" s="5">
        <f>75</f>
        <v>75</v>
      </c>
      <c r="H48" s="5">
        <f>75</f>
        <v>75</v>
      </c>
      <c r="I48" s="5">
        <f>75</f>
        <v>75</v>
      </c>
      <c r="J48" s="5">
        <f>75</f>
        <v>75</v>
      </c>
      <c r="K48" s="5">
        <f>75</f>
        <v>75</v>
      </c>
      <c r="L48" s="5">
        <f>75</f>
        <v>75</v>
      </c>
      <c r="M48" s="5">
        <f>75</f>
        <v>75</v>
      </c>
      <c r="N48" s="5">
        <f t="shared" si="8"/>
        <v>900</v>
      </c>
    </row>
    <row r="49" spans="1:14" x14ac:dyDescent="0.25">
      <c r="A49" s="3" t="s">
        <v>56</v>
      </c>
      <c r="B49" s="5">
        <f>100</f>
        <v>100</v>
      </c>
      <c r="C49" s="5">
        <f>100</f>
        <v>100</v>
      </c>
      <c r="D49" s="5">
        <f>100</f>
        <v>100</v>
      </c>
      <c r="E49" s="5">
        <f>100</f>
        <v>100</v>
      </c>
      <c r="F49" s="5">
        <f>100</f>
        <v>100</v>
      </c>
      <c r="G49" s="5">
        <f>100</f>
        <v>100</v>
      </c>
      <c r="H49" s="5">
        <f>100</f>
        <v>100</v>
      </c>
      <c r="I49" s="5">
        <f>100</f>
        <v>100</v>
      </c>
      <c r="J49" s="5">
        <f>100</f>
        <v>100</v>
      </c>
      <c r="K49" s="5">
        <f>600</f>
        <v>600</v>
      </c>
      <c r="L49" s="5">
        <f>100</f>
        <v>100</v>
      </c>
      <c r="M49" s="5">
        <f>100</f>
        <v>100</v>
      </c>
      <c r="N49" s="5">
        <f t="shared" si="8"/>
        <v>1700</v>
      </c>
    </row>
    <row r="50" spans="1:14" x14ac:dyDescent="0.25">
      <c r="A50" s="3" t="s">
        <v>57</v>
      </c>
      <c r="B50" s="5">
        <f>383.64</f>
        <v>383.64</v>
      </c>
      <c r="C50" s="5">
        <f>486.31</f>
        <v>486.31</v>
      </c>
      <c r="D50" s="5">
        <f>530.31</f>
        <v>530.30999999999995</v>
      </c>
      <c r="E50" s="5">
        <f>554.33</f>
        <v>554.33000000000004</v>
      </c>
      <c r="F50" s="5">
        <f>134</f>
        <v>134</v>
      </c>
      <c r="G50" s="5">
        <f>1222.64</f>
        <v>1222.6400000000001</v>
      </c>
      <c r="H50" s="5">
        <f>587.29</f>
        <v>587.29</v>
      </c>
      <c r="I50" s="5">
        <f>646.19</f>
        <v>646.19000000000005</v>
      </c>
      <c r="J50" s="5">
        <f>920.29</f>
        <v>920.29</v>
      </c>
      <c r="K50" s="5">
        <f>918.29</f>
        <v>918.29</v>
      </c>
      <c r="L50" s="5">
        <f>788.52</f>
        <v>788.52</v>
      </c>
      <c r="M50" s="5">
        <f>758.19</f>
        <v>758.19</v>
      </c>
      <c r="N50" s="5">
        <f t="shared" si="8"/>
        <v>7930.0000000000018</v>
      </c>
    </row>
    <row r="51" spans="1:14" x14ac:dyDescent="0.25">
      <c r="A51" s="3" t="s">
        <v>58</v>
      </c>
      <c r="B51" s="5">
        <f>75.85</f>
        <v>75.849999999999994</v>
      </c>
      <c r="C51" s="5">
        <f>95.88</f>
        <v>95.88</v>
      </c>
      <c r="D51" s="5">
        <f>104.88</f>
        <v>104.88</v>
      </c>
      <c r="E51" s="5">
        <f>108.97</f>
        <v>108.97</v>
      </c>
      <c r="F51" s="5">
        <f>26</f>
        <v>26</v>
      </c>
      <c r="G51" s="5">
        <f>240.85</f>
        <v>240.85</v>
      </c>
      <c r="H51" s="5">
        <f>115.79</f>
        <v>115.79</v>
      </c>
      <c r="I51" s="5">
        <f>127.73</f>
        <v>127.73</v>
      </c>
      <c r="J51" s="5">
        <f>181.79</f>
        <v>181.79</v>
      </c>
      <c r="K51" s="5">
        <f>180.79</f>
        <v>180.79</v>
      </c>
      <c r="L51" s="5">
        <f>153.22</f>
        <v>153.22</v>
      </c>
      <c r="M51" s="5">
        <f>149.25</f>
        <v>149.25</v>
      </c>
      <c r="N51" s="5">
        <f t="shared" si="8"/>
        <v>1561</v>
      </c>
    </row>
    <row r="52" spans="1:14" x14ac:dyDescent="0.25">
      <c r="A52" s="3" t="s">
        <v>59</v>
      </c>
      <c r="B52" s="5">
        <f>369</f>
        <v>369</v>
      </c>
      <c r="C52" s="5">
        <f>420</f>
        <v>420</v>
      </c>
      <c r="D52" s="5">
        <f>441</f>
        <v>441</v>
      </c>
      <c r="E52" s="5">
        <f>550</f>
        <v>550</v>
      </c>
      <c r="F52" s="5">
        <f>542</f>
        <v>542</v>
      </c>
      <c r="G52" s="5">
        <f>4403</f>
        <v>4403</v>
      </c>
      <c r="H52" s="5">
        <f>1613</f>
        <v>1613</v>
      </c>
      <c r="I52" s="5">
        <f>1640</f>
        <v>1640</v>
      </c>
      <c r="J52" s="5">
        <f>1771</f>
        <v>1771</v>
      </c>
      <c r="K52" s="5">
        <f>815</f>
        <v>815</v>
      </c>
      <c r="L52" s="5">
        <f>351</f>
        <v>351</v>
      </c>
      <c r="M52" s="5">
        <f>341</f>
        <v>341</v>
      </c>
      <c r="N52" s="5">
        <f t="shared" si="8"/>
        <v>13256</v>
      </c>
    </row>
    <row r="53" spans="1:14" x14ac:dyDescent="0.25">
      <c r="A53" s="3" t="s">
        <v>60</v>
      </c>
      <c r="B53" s="5">
        <f>1233.3</f>
        <v>1233.3</v>
      </c>
      <c r="C53" s="5">
        <f>1233.3</f>
        <v>1233.3</v>
      </c>
      <c r="D53" s="5">
        <f>1233.3</f>
        <v>1233.3</v>
      </c>
      <c r="E53" s="5">
        <f>1849.95</f>
        <v>1849.95</v>
      </c>
      <c r="F53" s="5">
        <f>3083.25</f>
        <v>3083.25</v>
      </c>
      <c r="G53" s="5">
        <f>24666</f>
        <v>24666</v>
      </c>
      <c r="H53" s="5">
        <f>8633.1</f>
        <v>8633.1</v>
      </c>
      <c r="I53" s="5">
        <f>8633.1</f>
        <v>8633.1</v>
      </c>
      <c r="J53" s="5">
        <f>8633.1</f>
        <v>8633.1</v>
      </c>
      <c r="K53" s="5">
        <f>2466.6</f>
        <v>2466.6</v>
      </c>
      <c r="L53" s="5">
        <f>0</f>
        <v>0</v>
      </c>
      <c r="M53" s="5">
        <f>0</f>
        <v>0</v>
      </c>
      <c r="N53" s="5">
        <f t="shared" si="8"/>
        <v>61664.999999999993</v>
      </c>
    </row>
    <row r="54" spans="1:14" x14ac:dyDescent="0.25">
      <c r="A54" s="3" t="s">
        <v>61</v>
      </c>
      <c r="B54" s="5">
        <f>25</f>
        <v>25</v>
      </c>
      <c r="C54" s="5">
        <f>25</f>
        <v>25</v>
      </c>
      <c r="D54" s="5">
        <f>25</f>
        <v>25</v>
      </c>
      <c r="E54" s="5">
        <f>25</f>
        <v>25</v>
      </c>
      <c r="F54" s="5">
        <f>25</f>
        <v>25</v>
      </c>
      <c r="G54" s="5">
        <f>250</f>
        <v>250</v>
      </c>
      <c r="H54" s="5">
        <f>50</f>
        <v>50</v>
      </c>
      <c r="I54" s="5">
        <f>25</f>
        <v>25</v>
      </c>
      <c r="J54" s="5">
        <f>50</f>
        <v>50</v>
      </c>
      <c r="K54" s="5">
        <f>25</f>
        <v>25</v>
      </c>
      <c r="L54" s="5">
        <f>25</f>
        <v>25</v>
      </c>
      <c r="M54" s="5">
        <f>0</f>
        <v>0</v>
      </c>
      <c r="N54" s="5">
        <f t="shared" si="8"/>
        <v>550</v>
      </c>
    </row>
    <row r="55" spans="1:14" x14ac:dyDescent="0.25">
      <c r="A55" s="3" t="s">
        <v>62</v>
      </c>
      <c r="B55" s="5">
        <f>2000</f>
        <v>2000</v>
      </c>
      <c r="C55" s="5">
        <f>2000</f>
        <v>2000</v>
      </c>
      <c r="D55" s="5">
        <f>1000</f>
        <v>1000</v>
      </c>
      <c r="E55" s="5">
        <f>1000</f>
        <v>1000</v>
      </c>
      <c r="F55" s="5">
        <f>0</f>
        <v>0</v>
      </c>
      <c r="G55" s="5">
        <f>0</f>
        <v>0</v>
      </c>
      <c r="H55" s="5">
        <f>0</f>
        <v>0</v>
      </c>
      <c r="I55" s="5">
        <f>0</f>
        <v>0</v>
      </c>
      <c r="J55" s="5">
        <f>0</f>
        <v>0</v>
      </c>
      <c r="K55" s="5">
        <f>0</f>
        <v>0</v>
      </c>
      <c r="L55" s="5">
        <f>0</f>
        <v>0</v>
      </c>
      <c r="M55" s="5">
        <f>0</f>
        <v>0</v>
      </c>
      <c r="N55" s="5">
        <f t="shared" si="8"/>
        <v>6000</v>
      </c>
    </row>
    <row r="56" spans="1:14" x14ac:dyDescent="0.25">
      <c r="A56" s="3" t="s">
        <v>63</v>
      </c>
      <c r="B56" s="6">
        <f t="shared" ref="B56:M56" si="10">((((((((((((((((((((((B31)+(B32))+(B33))+(B34))+(B35))+(B36))+(B39))+(B40))+(B41))+(B42))+(B43))+(B44))+(B45))+(B46))+(B47))+(B48))+(B49))+(B50))+(B51))+(B52))+(B53))+(B54))+(B55)</f>
        <v>18719.02</v>
      </c>
      <c r="C56" s="6">
        <f t="shared" si="10"/>
        <v>25105.09</v>
      </c>
      <c r="D56" s="6">
        <f t="shared" si="10"/>
        <v>22629.79</v>
      </c>
      <c r="E56" s="6">
        <f t="shared" si="10"/>
        <v>26304.780000000002</v>
      </c>
      <c r="F56" s="6">
        <f t="shared" si="10"/>
        <v>25826.25</v>
      </c>
      <c r="G56" s="6">
        <f t="shared" si="10"/>
        <v>93948.72</v>
      </c>
      <c r="H56" s="6">
        <f t="shared" si="10"/>
        <v>69350.260000000009</v>
      </c>
      <c r="I56" s="6">
        <f t="shared" si="10"/>
        <v>71703.350000000006</v>
      </c>
      <c r="J56" s="6">
        <f t="shared" si="10"/>
        <v>64731.77</v>
      </c>
      <c r="K56" s="6">
        <f t="shared" si="10"/>
        <v>36388.01</v>
      </c>
      <c r="L56" s="6">
        <f t="shared" si="10"/>
        <v>34435.589999999997</v>
      </c>
      <c r="M56" s="6">
        <f t="shared" si="10"/>
        <v>33557.370000000003</v>
      </c>
      <c r="N56" s="6">
        <f t="shared" si="8"/>
        <v>522700</v>
      </c>
    </row>
    <row r="57" spans="1:14" x14ac:dyDescent="0.25">
      <c r="A57" s="3" t="s">
        <v>64</v>
      </c>
      <c r="B57" s="6">
        <f t="shared" ref="B57:M57" si="11">(B29)-(B56)</f>
        <v>-5689.02</v>
      </c>
      <c r="C57" s="6">
        <f t="shared" si="11"/>
        <v>-3464.09</v>
      </c>
      <c r="D57" s="6">
        <f t="shared" si="11"/>
        <v>-8105.7900000000009</v>
      </c>
      <c r="E57" s="6">
        <f t="shared" si="11"/>
        <v>350.21999999999753</v>
      </c>
      <c r="F57" s="6">
        <f t="shared" si="11"/>
        <v>-6999.25</v>
      </c>
      <c r="G57" s="6">
        <f t="shared" si="11"/>
        <v>-46182.720000000001</v>
      </c>
      <c r="H57" s="6">
        <f t="shared" si="11"/>
        <v>6981.7399999999907</v>
      </c>
      <c r="I57" s="6">
        <f t="shared" si="11"/>
        <v>13790.649999999994</v>
      </c>
      <c r="J57" s="6">
        <f t="shared" si="11"/>
        <v>28509.230000000003</v>
      </c>
      <c r="K57" s="6">
        <f t="shared" si="11"/>
        <v>-14724.010000000002</v>
      </c>
      <c r="L57" s="6">
        <f t="shared" si="11"/>
        <v>-5869.5899999999965</v>
      </c>
      <c r="M57" s="6">
        <f t="shared" si="11"/>
        <v>-14346.370000000003</v>
      </c>
      <c r="N57" s="6">
        <f t="shared" si="8"/>
        <v>-55749.000000000022</v>
      </c>
    </row>
    <row r="58" spans="1:14" x14ac:dyDescent="0.25">
      <c r="A58" s="3" t="s">
        <v>65</v>
      </c>
      <c r="B58" s="7">
        <f t="shared" ref="B58:M58" si="12">(B57)+(0)</f>
        <v>-5689.02</v>
      </c>
      <c r="C58" s="7">
        <f t="shared" si="12"/>
        <v>-3464.09</v>
      </c>
      <c r="D58" s="7">
        <f t="shared" si="12"/>
        <v>-8105.7900000000009</v>
      </c>
      <c r="E58" s="7">
        <f t="shared" si="12"/>
        <v>350.21999999999753</v>
      </c>
      <c r="F58" s="7">
        <f t="shared" si="12"/>
        <v>-6999.25</v>
      </c>
      <c r="G58" s="7">
        <f t="shared" si="12"/>
        <v>-46182.720000000001</v>
      </c>
      <c r="H58" s="7">
        <f t="shared" si="12"/>
        <v>6981.7399999999907</v>
      </c>
      <c r="I58" s="7">
        <f t="shared" si="12"/>
        <v>13790.649999999994</v>
      </c>
      <c r="J58" s="7">
        <f t="shared" si="12"/>
        <v>28509.230000000003</v>
      </c>
      <c r="K58" s="7">
        <f t="shared" si="12"/>
        <v>-14724.010000000002</v>
      </c>
      <c r="L58" s="7">
        <f t="shared" si="12"/>
        <v>-5869.5899999999965</v>
      </c>
      <c r="M58" s="7">
        <f t="shared" si="12"/>
        <v>-14346.370000000003</v>
      </c>
      <c r="N58" s="7">
        <f t="shared" si="8"/>
        <v>-55749.000000000022</v>
      </c>
    </row>
    <row r="59" spans="1:14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2" spans="1:14" x14ac:dyDescent="0.25">
      <c r="A62" s="39" t="s">
        <v>66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</sheetData>
  <mergeCells count="4">
    <mergeCell ref="A62:N62"/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0FD72-9BB5-400B-A7B0-F9BB10B3E680}">
  <sheetPr>
    <pageSetUpPr fitToPage="1"/>
  </sheetPr>
  <dimension ref="A1:T82"/>
  <sheetViews>
    <sheetView tabSelected="1" topLeftCell="A4" workbookViewId="0">
      <pane ySplit="1" topLeftCell="A8" activePane="bottomLeft" state="frozen"/>
      <selection activeCell="A4" sqref="A4"/>
      <selection pane="bottomLeft" activeCell="A10" sqref="A10"/>
    </sheetView>
  </sheetViews>
  <sheetFormatPr defaultRowHeight="15" x14ac:dyDescent="0.25"/>
  <cols>
    <col min="1" max="1" width="54" style="8" customWidth="1"/>
    <col min="2" max="4" width="10.28515625" style="8" customWidth="1"/>
    <col min="5" max="5" width="9.42578125" style="8" customWidth="1"/>
    <col min="6" max="6" width="10.28515625" style="8" customWidth="1"/>
    <col min="7" max="7" width="11.140625" style="8" customWidth="1"/>
    <col min="8" max="8" width="12.28515625" style="8" customWidth="1"/>
    <col min="9" max="10" width="9.42578125" style="8" customWidth="1"/>
    <col min="11" max="11" width="11.140625" style="8" customWidth="1"/>
    <col min="12" max="12" width="10.28515625" style="8" customWidth="1"/>
    <col min="13" max="14" width="11.140625" style="8" customWidth="1"/>
    <col min="15" max="16384" width="9.140625" style="8"/>
  </cols>
  <sheetData>
    <row r="1" spans="1:15" ht="18" x14ac:dyDescent="0.25">
      <c r="A1" s="41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8" x14ac:dyDescent="0.25">
      <c r="A2" s="41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x14ac:dyDescent="0.25">
      <c r="A3" s="42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5">
      <c r="A4" s="1"/>
      <c r="B4" s="15">
        <v>43739</v>
      </c>
      <c r="C4" s="15">
        <v>43770</v>
      </c>
      <c r="D4" s="15">
        <v>43800</v>
      </c>
      <c r="E4" s="15">
        <v>43831</v>
      </c>
      <c r="F4" s="15">
        <v>43862</v>
      </c>
      <c r="G4" s="15">
        <v>43891</v>
      </c>
      <c r="H4" s="15">
        <v>43922</v>
      </c>
      <c r="I4" s="15">
        <v>43952</v>
      </c>
      <c r="J4" s="15">
        <v>43983</v>
      </c>
      <c r="K4" s="15">
        <v>44013</v>
      </c>
      <c r="L4" s="15">
        <v>44044</v>
      </c>
      <c r="M4" s="15">
        <v>44075</v>
      </c>
      <c r="N4" s="2" t="s">
        <v>12</v>
      </c>
    </row>
    <row r="5" spans="1:15" x14ac:dyDescent="0.25">
      <c r="A5" s="19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x14ac:dyDescent="0.25">
      <c r="A6" s="19" t="s">
        <v>14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>B6+C6+D6+E6+F6+G6+H6+I6+J6+K6+L6+M6</f>
        <v>0</v>
      </c>
    </row>
    <row r="7" spans="1:15" x14ac:dyDescent="0.25">
      <c r="A7" s="19" t="s">
        <v>15</v>
      </c>
      <c r="B7" s="5">
        <v>1500</v>
      </c>
      <c r="C7" s="5">
        <v>2000</v>
      </c>
      <c r="D7" s="5">
        <v>4000</v>
      </c>
      <c r="E7" s="5">
        <v>1500</v>
      </c>
      <c r="F7" s="5">
        <v>1500</v>
      </c>
      <c r="G7" s="5">
        <v>1500</v>
      </c>
      <c r="H7" s="5">
        <v>1500</v>
      </c>
      <c r="I7" s="5">
        <v>1500</v>
      </c>
      <c r="J7" s="5">
        <v>1500</v>
      </c>
      <c r="K7" s="5">
        <v>1500</v>
      </c>
      <c r="L7" s="5">
        <v>1500</v>
      </c>
      <c r="M7" s="5">
        <v>1500</v>
      </c>
      <c r="N7" s="5">
        <f t="shared" ref="N7:N11" si="0">B7+C7+D7+E7+F7+G7+H7+I7+J7+K7+L7+M7</f>
        <v>21000</v>
      </c>
    </row>
    <row r="8" spans="1:15" x14ac:dyDescent="0.25">
      <c r="A8" s="19" t="s">
        <v>16</v>
      </c>
      <c r="B8" s="5">
        <f>0</f>
        <v>0</v>
      </c>
      <c r="C8" s="5">
        <v>0</v>
      </c>
      <c r="D8" s="5">
        <v>250</v>
      </c>
      <c r="E8" s="5">
        <v>250</v>
      </c>
      <c r="F8" s="5">
        <v>250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750</v>
      </c>
    </row>
    <row r="9" spans="1:15" x14ac:dyDescent="0.25">
      <c r="A9" s="19" t="s">
        <v>87</v>
      </c>
      <c r="B9" s="5">
        <f>7300+200</f>
        <v>7500</v>
      </c>
      <c r="C9" s="5">
        <f>1000+1000+200+1000</f>
        <v>3200</v>
      </c>
      <c r="D9" s="5">
        <f>300</f>
        <v>300</v>
      </c>
      <c r="E9" s="5">
        <v>8000</v>
      </c>
      <c r="F9" s="5">
        <f>4000+3000+3000</f>
        <v>10000</v>
      </c>
      <c r="G9" s="5">
        <f>5100+4500</f>
        <v>9600</v>
      </c>
      <c r="H9" s="5">
        <f>5000+4500</f>
        <v>9500</v>
      </c>
      <c r="I9" s="5">
        <v>2700</v>
      </c>
      <c r="J9" s="5">
        <f>5000+500</f>
        <v>5500</v>
      </c>
      <c r="K9" s="5">
        <v>500</v>
      </c>
      <c r="L9" s="5">
        <v>500</v>
      </c>
      <c r="M9" s="5">
        <v>200</v>
      </c>
      <c r="N9" s="5">
        <f t="shared" si="0"/>
        <v>57500</v>
      </c>
    </row>
    <row r="10" spans="1:15" s="36" customFormat="1" x14ac:dyDescent="0.25">
      <c r="A10" s="37" t="s">
        <v>105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s="10" customFormat="1" x14ac:dyDescent="0.25">
      <c r="A11" s="19" t="s">
        <v>81</v>
      </c>
      <c r="B11" s="5">
        <v>75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175</v>
      </c>
      <c r="I11" s="5">
        <v>150</v>
      </c>
      <c r="J11" s="5">
        <v>125</v>
      </c>
      <c r="K11" s="5">
        <v>100</v>
      </c>
      <c r="L11" s="5">
        <v>75</v>
      </c>
      <c r="M11" s="11">
        <v>0</v>
      </c>
      <c r="N11" s="5">
        <f t="shared" si="0"/>
        <v>700</v>
      </c>
    </row>
    <row r="12" spans="1:15" x14ac:dyDescent="0.25">
      <c r="A12" s="16" t="s">
        <v>18</v>
      </c>
      <c r="B12" s="6">
        <f>(((B6)+(B7))+(B8))+(B9)+B11</f>
        <v>9075</v>
      </c>
      <c r="C12" s="6">
        <f t="shared" ref="C12:M12" si="1">(((C6)+(C7))+(C8))+(C9)+C11</f>
        <v>5200</v>
      </c>
      <c r="D12" s="6">
        <f t="shared" si="1"/>
        <v>4550</v>
      </c>
      <c r="E12" s="6">
        <f t="shared" si="1"/>
        <v>9750</v>
      </c>
      <c r="F12" s="6">
        <f t="shared" si="1"/>
        <v>11750</v>
      </c>
      <c r="G12" s="6">
        <f t="shared" si="1"/>
        <v>11100</v>
      </c>
      <c r="H12" s="6">
        <f t="shared" si="1"/>
        <v>11175</v>
      </c>
      <c r="I12" s="6">
        <f t="shared" si="1"/>
        <v>4350</v>
      </c>
      <c r="J12" s="6">
        <f t="shared" si="1"/>
        <v>7125</v>
      </c>
      <c r="K12" s="6">
        <f t="shared" si="1"/>
        <v>2100</v>
      </c>
      <c r="L12" s="6">
        <f t="shared" si="1"/>
        <v>2075</v>
      </c>
      <c r="M12" s="6">
        <f t="shared" si="1"/>
        <v>1700</v>
      </c>
      <c r="N12" s="6">
        <f>B12+C12+D12+E12+F12+G12+H12+I12+J12+K12+L12+M12</f>
        <v>79950</v>
      </c>
    </row>
    <row r="13" spans="1:15" x14ac:dyDescent="0.25">
      <c r="A13" s="19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5" x14ac:dyDescent="0.25">
      <c r="A14" s="19" t="s">
        <v>20</v>
      </c>
      <c r="B14" s="5">
        <v>2500</v>
      </c>
      <c r="C14" s="5">
        <v>2500</v>
      </c>
      <c r="D14" s="5">
        <v>7000</v>
      </c>
      <c r="E14" s="5">
        <v>5000</v>
      </c>
      <c r="F14" s="5">
        <v>5000</v>
      </c>
      <c r="G14" s="5">
        <v>4000</v>
      </c>
      <c r="H14" s="5">
        <v>0</v>
      </c>
      <c r="I14" s="5">
        <v>5000</v>
      </c>
      <c r="J14" s="5">
        <v>9500</v>
      </c>
      <c r="K14" s="5">
        <v>7000</v>
      </c>
      <c r="L14" s="5">
        <v>0</v>
      </c>
      <c r="M14" s="5">
        <v>0</v>
      </c>
      <c r="N14" s="5">
        <f t="shared" ref="N14:N23" si="2">B14+C14+D14+E14+F14+G14+H14+I14+J14+K14+L14+M14</f>
        <v>47500</v>
      </c>
    </row>
    <row r="15" spans="1:15" x14ac:dyDescent="0.25">
      <c r="A15" s="19" t="s">
        <v>21</v>
      </c>
      <c r="B15" s="11">
        <f>(13000*0.4)+7500</f>
        <v>12700</v>
      </c>
      <c r="C15" s="11">
        <f>4000+5000</f>
        <v>9000</v>
      </c>
      <c r="D15" s="11">
        <v>2500</v>
      </c>
      <c r="E15" s="11">
        <v>3500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5">
        <v>24700</v>
      </c>
      <c r="M15" s="11">
        <f>(13000*0.6)+12000</f>
        <v>19800</v>
      </c>
      <c r="N15" s="5">
        <f t="shared" si="2"/>
        <v>72200</v>
      </c>
    </row>
    <row r="16" spans="1:15" x14ac:dyDescent="0.25">
      <c r="A16" s="19" t="s">
        <v>22</v>
      </c>
      <c r="B16" s="5">
        <f>(54800/5)+(3575/5)</f>
        <v>11675</v>
      </c>
      <c r="C16" s="5">
        <f t="shared" ref="C16:E16" si="3">(54800/5)+(3575/5)</f>
        <v>11675</v>
      </c>
      <c r="D16" s="5">
        <f t="shared" si="3"/>
        <v>11675</v>
      </c>
      <c r="E16" s="5">
        <f t="shared" si="3"/>
        <v>11675</v>
      </c>
      <c r="F16" s="5">
        <f>48250/4</f>
        <v>12062.5</v>
      </c>
      <c r="G16" s="5">
        <f>(48250/4)+(208850/4)</f>
        <v>64275</v>
      </c>
      <c r="H16" s="5">
        <f>(48250/4)+(208850/4)</f>
        <v>64275</v>
      </c>
      <c r="I16" s="5">
        <f>(48250/4)+(208850/4)+(23000/2)</f>
        <v>75775</v>
      </c>
      <c r="J16" s="5">
        <f>(208850/4)+(23000/2)</f>
        <v>63712.5</v>
      </c>
      <c r="K16" s="5">
        <v>0</v>
      </c>
      <c r="L16" s="5">
        <v>0</v>
      </c>
      <c r="M16" s="5">
        <f>61150/5</f>
        <v>12230</v>
      </c>
      <c r="N16" s="5">
        <f t="shared" si="2"/>
        <v>339030</v>
      </c>
      <c r="O16" s="17"/>
    </row>
    <row r="17" spans="1:14" x14ac:dyDescent="0.25">
      <c r="A17" s="19" t="s">
        <v>23</v>
      </c>
      <c r="B17" s="11">
        <f>25*25</f>
        <v>625</v>
      </c>
      <c r="C17" s="5">
        <f>0</f>
        <v>0</v>
      </c>
      <c r="D17" s="5">
        <f>0</f>
        <v>0</v>
      </c>
      <c r="E17" s="5">
        <f>(0.5*2200)+(475*32*0.4)</f>
        <v>7180</v>
      </c>
      <c r="F17" s="5">
        <f>(0.5*2200)+(475*32*0.5)</f>
        <v>8700</v>
      </c>
      <c r="G17" s="5">
        <f>(475*32*0.1)</f>
        <v>1520</v>
      </c>
      <c r="H17" s="5">
        <v>0</v>
      </c>
      <c r="I17" s="5">
        <f>50*15</f>
        <v>750</v>
      </c>
      <c r="J17" s="5">
        <f>0</f>
        <v>0</v>
      </c>
      <c r="K17" s="5">
        <f>0</f>
        <v>0</v>
      </c>
      <c r="L17" s="5">
        <v>2600</v>
      </c>
      <c r="M17" s="5">
        <v>1600</v>
      </c>
      <c r="N17" s="5">
        <f t="shared" si="2"/>
        <v>22975</v>
      </c>
    </row>
    <row r="18" spans="1:14" s="18" customFormat="1" x14ac:dyDescent="0.25">
      <c r="A18" s="19" t="s">
        <v>98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x14ac:dyDescent="0.25">
      <c r="A19" s="19" t="s">
        <v>24</v>
      </c>
      <c r="B19" s="5">
        <f>0</f>
        <v>0</v>
      </c>
      <c r="C19" s="5">
        <f>0</f>
        <v>0</v>
      </c>
      <c r="D19" s="5">
        <f>500</f>
        <v>500</v>
      </c>
      <c r="E19" s="5">
        <f>0</f>
        <v>0</v>
      </c>
      <c r="F19" s="5">
        <f>0</f>
        <v>0</v>
      </c>
      <c r="G19" s="5">
        <v>2000</v>
      </c>
      <c r="H19" s="5">
        <v>0</v>
      </c>
      <c r="I19" s="5">
        <f>0</f>
        <v>0</v>
      </c>
      <c r="J19" s="5">
        <f>0</f>
        <v>0</v>
      </c>
      <c r="K19" s="5">
        <f>0</f>
        <v>0</v>
      </c>
      <c r="L19" s="5">
        <f>0</f>
        <v>0</v>
      </c>
      <c r="M19" s="5">
        <f>0</f>
        <v>0</v>
      </c>
      <c r="N19" s="5">
        <f t="shared" si="2"/>
        <v>2500</v>
      </c>
    </row>
    <row r="20" spans="1:14" x14ac:dyDescent="0.25">
      <c r="A20" s="19" t="s">
        <v>25</v>
      </c>
      <c r="B20" s="5">
        <v>11000</v>
      </c>
      <c r="C20" s="5">
        <v>4000</v>
      </c>
      <c r="D20" s="5">
        <f>0</f>
        <v>0</v>
      </c>
      <c r="E20" s="5">
        <f>0</f>
        <v>0</v>
      </c>
      <c r="F20" s="5">
        <f>0</f>
        <v>0</v>
      </c>
      <c r="G20" s="5">
        <f>0</f>
        <v>0</v>
      </c>
      <c r="H20" s="5">
        <f>0</f>
        <v>0</v>
      </c>
      <c r="I20" s="5">
        <f>0</f>
        <v>0</v>
      </c>
      <c r="J20" s="5">
        <f>0</f>
        <v>0</v>
      </c>
      <c r="K20" s="5">
        <v>1000</v>
      </c>
      <c r="L20" s="5">
        <v>18000</v>
      </c>
      <c r="M20" s="5">
        <f>0</f>
        <v>0</v>
      </c>
      <c r="N20" s="5">
        <f t="shared" si="2"/>
        <v>34000</v>
      </c>
    </row>
    <row r="21" spans="1:14" x14ac:dyDescent="0.25">
      <c r="A21" s="16" t="s">
        <v>26</v>
      </c>
      <c r="B21" s="6">
        <f>SUM(B14:B20)</f>
        <v>38500</v>
      </c>
      <c r="C21" s="6">
        <f t="shared" ref="C21:M21" si="4">SUM(C14:C20)</f>
        <v>27175</v>
      </c>
      <c r="D21" s="6">
        <f t="shared" si="4"/>
        <v>21675</v>
      </c>
      <c r="E21" s="6">
        <f t="shared" si="4"/>
        <v>27355</v>
      </c>
      <c r="F21" s="6">
        <f t="shared" si="4"/>
        <v>25762.5</v>
      </c>
      <c r="G21" s="6">
        <f t="shared" si="4"/>
        <v>71795</v>
      </c>
      <c r="H21" s="6">
        <f t="shared" si="4"/>
        <v>64275</v>
      </c>
      <c r="I21" s="6">
        <f t="shared" si="4"/>
        <v>81525</v>
      </c>
      <c r="J21" s="6">
        <f t="shared" si="4"/>
        <v>73212.5</v>
      </c>
      <c r="K21" s="6">
        <f t="shared" si="4"/>
        <v>8000</v>
      </c>
      <c r="L21" s="6">
        <f t="shared" si="4"/>
        <v>45300</v>
      </c>
      <c r="M21" s="6">
        <f t="shared" si="4"/>
        <v>33630</v>
      </c>
      <c r="N21" s="6">
        <f>SUM(N14:N20)</f>
        <v>518205</v>
      </c>
    </row>
    <row r="22" spans="1:14" x14ac:dyDescent="0.25">
      <c r="A22" s="30" t="s">
        <v>27</v>
      </c>
      <c r="B22" s="20">
        <f>-0.1*(B14+B15+B16+B17)</f>
        <v>-2750</v>
      </c>
      <c r="C22" s="20">
        <f t="shared" ref="C22:M22" si="5">-0.1*(C14+C15+C16+C17)</f>
        <v>-2317.5</v>
      </c>
      <c r="D22" s="20">
        <f t="shared" si="5"/>
        <v>-2117.5</v>
      </c>
      <c r="E22" s="20">
        <f t="shared" si="5"/>
        <v>-2735.5</v>
      </c>
      <c r="F22" s="20">
        <f t="shared" si="5"/>
        <v>-2576.25</v>
      </c>
      <c r="G22" s="20">
        <f t="shared" si="5"/>
        <v>-6979.5</v>
      </c>
      <c r="H22" s="20">
        <f t="shared" si="5"/>
        <v>-6427.5</v>
      </c>
      <c r="I22" s="20">
        <f t="shared" si="5"/>
        <v>-8152.5</v>
      </c>
      <c r="J22" s="20">
        <f t="shared" si="5"/>
        <v>-7321.25</v>
      </c>
      <c r="K22" s="20">
        <f t="shared" si="5"/>
        <v>-700</v>
      </c>
      <c r="L22" s="20">
        <f t="shared" si="5"/>
        <v>-2730</v>
      </c>
      <c r="M22" s="20">
        <f t="shared" si="5"/>
        <v>-3363</v>
      </c>
      <c r="N22" s="20">
        <f t="shared" si="2"/>
        <v>-48170.5</v>
      </c>
    </row>
    <row r="23" spans="1:14" x14ac:dyDescent="0.25">
      <c r="A23" s="16" t="s">
        <v>28</v>
      </c>
      <c r="B23" s="6">
        <f>((B12)+(B21))+(B22)</f>
        <v>44825</v>
      </c>
      <c r="C23" s="6">
        <f t="shared" ref="C23:M23" si="6">((C12)+(C21))+(C22)</f>
        <v>30057.5</v>
      </c>
      <c r="D23" s="6">
        <f t="shared" si="6"/>
        <v>24107.5</v>
      </c>
      <c r="E23" s="6">
        <f t="shared" si="6"/>
        <v>34369.5</v>
      </c>
      <c r="F23" s="6">
        <f t="shared" si="6"/>
        <v>34936.25</v>
      </c>
      <c r="G23" s="6">
        <f t="shared" si="6"/>
        <v>75915.5</v>
      </c>
      <c r="H23" s="6">
        <f t="shared" si="6"/>
        <v>69022.5</v>
      </c>
      <c r="I23" s="6">
        <f t="shared" si="6"/>
        <v>77722.5</v>
      </c>
      <c r="J23" s="6">
        <f t="shared" si="6"/>
        <v>73016.25</v>
      </c>
      <c r="K23" s="6">
        <f t="shared" si="6"/>
        <v>9400</v>
      </c>
      <c r="L23" s="6">
        <f t="shared" si="6"/>
        <v>44645</v>
      </c>
      <c r="M23" s="6">
        <f t="shared" si="6"/>
        <v>31967</v>
      </c>
      <c r="N23" s="6">
        <f t="shared" si="2"/>
        <v>549984.5</v>
      </c>
    </row>
    <row r="24" spans="1:14" ht="21.75" customHeight="1" x14ac:dyDescent="0.25">
      <c r="A24" s="14" t="s">
        <v>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3" t="s">
        <v>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x14ac:dyDescent="0.25">
      <c r="A26" s="19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50*8</f>
        <v>400</v>
      </c>
      <c r="J26" s="5">
        <f>100*8</f>
        <v>800</v>
      </c>
      <c r="K26" s="5">
        <v>0</v>
      </c>
      <c r="L26" s="5">
        <v>0</v>
      </c>
      <c r="M26" s="5">
        <v>0</v>
      </c>
      <c r="N26" s="5">
        <f t="shared" ref="N26:N35" si="7">B26+C26+D26+E26+F26+G26+H26+I26+J26+K26+L26+M26</f>
        <v>1200</v>
      </c>
    </row>
    <row r="27" spans="1:14" x14ac:dyDescent="0.25">
      <c r="A27" s="19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>110*13</f>
        <v>1430</v>
      </c>
      <c r="N27" s="5">
        <f t="shared" si="7"/>
        <v>1430</v>
      </c>
    </row>
    <row r="28" spans="1:14" x14ac:dyDescent="0.25">
      <c r="A28" s="19" t="s">
        <v>33</v>
      </c>
      <c r="B28" s="5">
        <v>0</v>
      </c>
      <c r="C28" s="5">
        <v>3600</v>
      </c>
      <c r="D28" s="5">
        <v>0</v>
      </c>
      <c r="E28" s="5">
        <v>0</v>
      </c>
      <c r="F28" s="5">
        <f>9900+(40350/2)</f>
        <v>30075</v>
      </c>
      <c r="G28" s="5">
        <f>40350/2</f>
        <v>20175</v>
      </c>
      <c r="H28" s="5">
        <v>0</v>
      </c>
      <c r="I28" s="5">
        <f>20*100</f>
        <v>2000</v>
      </c>
      <c r="J28" s="5">
        <v>0</v>
      </c>
      <c r="K28" s="5">
        <v>0</v>
      </c>
      <c r="L28" s="5">
        <v>0</v>
      </c>
      <c r="M28" s="5">
        <v>0</v>
      </c>
      <c r="N28" s="5">
        <f t="shared" si="7"/>
        <v>55850</v>
      </c>
    </row>
    <row r="29" spans="1:14" s="9" customFormat="1" x14ac:dyDescent="0.25">
      <c r="A29" s="19" t="s">
        <v>101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7"/>
        <v>0</v>
      </c>
    </row>
    <row r="30" spans="1:14" s="18" customFormat="1" x14ac:dyDescent="0.25">
      <c r="A30" s="19" t="s">
        <v>91</v>
      </c>
      <c r="B30" s="11">
        <v>0</v>
      </c>
      <c r="C30" s="11">
        <v>0</v>
      </c>
      <c r="D30" s="11">
        <v>300</v>
      </c>
      <c r="E30" s="11">
        <v>0</v>
      </c>
      <c r="F30" s="11">
        <v>0</v>
      </c>
      <c r="G30" s="11">
        <v>1200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7"/>
        <v>1500</v>
      </c>
    </row>
    <row r="31" spans="1:14" x14ac:dyDescent="0.25">
      <c r="A31" s="3" t="s">
        <v>34</v>
      </c>
      <c r="B31" s="6">
        <f>SUM(B26:B30)</f>
        <v>0</v>
      </c>
      <c r="C31" s="6">
        <f t="shared" ref="C31:M31" si="8">SUM(C26:C30)</f>
        <v>3600</v>
      </c>
      <c r="D31" s="6">
        <f t="shared" si="8"/>
        <v>300</v>
      </c>
      <c r="E31" s="6">
        <f t="shared" si="8"/>
        <v>0</v>
      </c>
      <c r="F31" s="6">
        <f t="shared" si="8"/>
        <v>30075</v>
      </c>
      <c r="G31" s="6">
        <f t="shared" si="8"/>
        <v>21375</v>
      </c>
      <c r="H31" s="6">
        <f t="shared" si="8"/>
        <v>0</v>
      </c>
      <c r="I31" s="6">
        <f t="shared" si="8"/>
        <v>2400</v>
      </c>
      <c r="J31" s="6">
        <f t="shared" si="8"/>
        <v>800</v>
      </c>
      <c r="K31" s="6">
        <f t="shared" si="8"/>
        <v>0</v>
      </c>
      <c r="L31" s="6">
        <f t="shared" si="8"/>
        <v>0</v>
      </c>
      <c r="M31" s="6">
        <f t="shared" si="8"/>
        <v>1430</v>
      </c>
      <c r="N31" s="6">
        <f t="shared" si="7"/>
        <v>59980</v>
      </c>
    </row>
    <row r="32" spans="1:14" x14ac:dyDescent="0.25">
      <c r="A32" s="3" t="s">
        <v>35</v>
      </c>
      <c r="B32" s="6">
        <f t="shared" ref="B32:M32" si="9">B31</f>
        <v>0</v>
      </c>
      <c r="C32" s="6">
        <f t="shared" si="9"/>
        <v>3600</v>
      </c>
      <c r="D32" s="6">
        <f t="shared" si="9"/>
        <v>300</v>
      </c>
      <c r="E32" s="6">
        <f t="shared" si="9"/>
        <v>0</v>
      </c>
      <c r="F32" s="6">
        <f t="shared" si="9"/>
        <v>30075</v>
      </c>
      <c r="G32" s="6">
        <f t="shared" si="9"/>
        <v>21375</v>
      </c>
      <c r="H32" s="6">
        <f t="shared" si="9"/>
        <v>0</v>
      </c>
      <c r="I32" s="6">
        <f t="shared" si="9"/>
        <v>2400</v>
      </c>
      <c r="J32" s="6">
        <f t="shared" si="9"/>
        <v>800</v>
      </c>
      <c r="K32" s="6">
        <f t="shared" si="9"/>
        <v>0</v>
      </c>
      <c r="L32" s="6">
        <f t="shared" si="9"/>
        <v>0</v>
      </c>
      <c r="M32" s="6">
        <f t="shared" si="9"/>
        <v>1430</v>
      </c>
      <c r="N32" s="6">
        <f t="shared" si="7"/>
        <v>59980</v>
      </c>
    </row>
    <row r="33" spans="1:15" x14ac:dyDescent="0.25">
      <c r="A33" s="3" t="s">
        <v>36</v>
      </c>
      <c r="B33" s="6">
        <f t="shared" ref="B33:M33" si="10">(B23)-(B32)</f>
        <v>44825</v>
      </c>
      <c r="C33" s="6">
        <f t="shared" si="10"/>
        <v>26457.5</v>
      </c>
      <c r="D33" s="6">
        <f t="shared" si="10"/>
        <v>23807.5</v>
      </c>
      <c r="E33" s="6">
        <f t="shared" si="10"/>
        <v>34369.5</v>
      </c>
      <c r="F33" s="6">
        <f t="shared" si="10"/>
        <v>4861.25</v>
      </c>
      <c r="G33" s="6">
        <f t="shared" si="10"/>
        <v>54540.5</v>
      </c>
      <c r="H33" s="6">
        <f t="shared" si="10"/>
        <v>69022.5</v>
      </c>
      <c r="I33" s="6">
        <f t="shared" si="10"/>
        <v>75322.5</v>
      </c>
      <c r="J33" s="6">
        <f t="shared" si="10"/>
        <v>72216.25</v>
      </c>
      <c r="K33" s="6">
        <f t="shared" si="10"/>
        <v>9400</v>
      </c>
      <c r="L33" s="6">
        <f t="shared" si="10"/>
        <v>44645</v>
      </c>
      <c r="M33" s="6">
        <f t="shared" si="10"/>
        <v>30537</v>
      </c>
      <c r="N33" s="6">
        <f t="shared" si="7"/>
        <v>490004.5</v>
      </c>
    </row>
    <row r="34" spans="1:15" x14ac:dyDescent="0.25">
      <c r="A34" s="3" t="s">
        <v>37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s="12" customFormat="1" x14ac:dyDescent="0.25">
      <c r="A35" s="27" t="s">
        <v>88</v>
      </c>
      <c r="B35" s="34">
        <v>3000</v>
      </c>
      <c r="C35" s="34">
        <v>3000</v>
      </c>
      <c r="D35" s="34">
        <v>3000</v>
      </c>
      <c r="E35" s="34">
        <v>3000</v>
      </c>
      <c r="F35" s="34">
        <v>3000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f t="shared" si="7"/>
        <v>15000</v>
      </c>
    </row>
    <row r="36" spans="1:15" x14ac:dyDescent="0.25">
      <c r="A36" s="27" t="s">
        <v>76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ref="N36:N77" si="11">B36+C36+D36+E36+F36+G36+H36+I36+J36+K36+L36+M36</f>
        <v>0</v>
      </c>
    </row>
    <row r="37" spans="1:15" x14ac:dyDescent="0.25">
      <c r="A37" s="19" t="s">
        <v>39</v>
      </c>
      <c r="B37" s="5">
        <f>0</f>
        <v>0</v>
      </c>
      <c r="C37" s="5">
        <f>0</f>
        <v>0</v>
      </c>
      <c r="D37" s="5">
        <f>0</f>
        <v>0</v>
      </c>
      <c r="E37" s="5">
        <f>0</f>
        <v>0</v>
      </c>
      <c r="F37" s="5">
        <f>0</f>
        <v>0</v>
      </c>
      <c r="G37" s="5">
        <f>0</f>
        <v>0</v>
      </c>
      <c r="H37" s="5">
        <f>0</f>
        <v>0</v>
      </c>
      <c r="I37" s="5">
        <f>0</f>
        <v>0</v>
      </c>
      <c r="J37" s="5">
        <f>0</f>
        <v>0</v>
      </c>
      <c r="K37" s="5">
        <f>0</f>
        <v>0</v>
      </c>
      <c r="L37" s="5">
        <f>0</f>
        <v>0</v>
      </c>
      <c r="M37" s="5">
        <v>1000</v>
      </c>
      <c r="N37" s="5">
        <f t="shared" si="11"/>
        <v>1000</v>
      </c>
    </row>
    <row r="38" spans="1:15" x14ac:dyDescent="0.25">
      <c r="A38" s="19" t="s">
        <v>40</v>
      </c>
      <c r="B38" s="5">
        <v>10</v>
      </c>
      <c r="C38" s="5">
        <v>10</v>
      </c>
      <c r="D38" s="5">
        <v>10</v>
      </c>
      <c r="E38" s="5">
        <v>10</v>
      </c>
      <c r="F38" s="5">
        <v>10</v>
      </c>
      <c r="G38" s="5">
        <v>10</v>
      </c>
      <c r="H38" s="5">
        <v>10</v>
      </c>
      <c r="I38" s="5">
        <v>10</v>
      </c>
      <c r="J38" s="5">
        <v>10</v>
      </c>
      <c r="K38" s="5">
        <v>10</v>
      </c>
      <c r="L38" s="5">
        <v>10</v>
      </c>
      <c r="M38" s="5">
        <v>10</v>
      </c>
      <c r="N38" s="5">
        <f t="shared" si="11"/>
        <v>120</v>
      </c>
    </row>
    <row r="39" spans="1:15" s="9" customFormat="1" x14ac:dyDescent="0.25">
      <c r="A39" s="27" t="s">
        <v>77</v>
      </c>
      <c r="B39" s="5">
        <v>0</v>
      </c>
      <c r="C39" s="5">
        <v>0</v>
      </c>
      <c r="D39" s="5">
        <v>70</v>
      </c>
      <c r="E39" s="5">
        <v>70</v>
      </c>
      <c r="F39" s="5">
        <v>70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11"/>
        <v>210</v>
      </c>
    </row>
    <row r="40" spans="1:15" x14ac:dyDescent="0.25">
      <c r="A40" s="19" t="s">
        <v>41</v>
      </c>
      <c r="B40" s="5">
        <v>25</v>
      </c>
      <c r="C40" s="5">
        <v>25</v>
      </c>
      <c r="D40" s="5">
        <v>300</v>
      </c>
      <c r="E40" s="5">
        <v>25</v>
      </c>
      <c r="F40" s="5">
        <v>25</v>
      </c>
      <c r="G40" s="5">
        <v>25</v>
      </c>
      <c r="H40" s="5">
        <v>25</v>
      </c>
      <c r="I40" s="5">
        <v>25</v>
      </c>
      <c r="J40" s="5">
        <v>25</v>
      </c>
      <c r="K40" s="5">
        <v>25</v>
      </c>
      <c r="L40" s="5">
        <v>25</v>
      </c>
      <c r="M40" s="5">
        <v>25</v>
      </c>
      <c r="N40" s="5">
        <f t="shared" si="11"/>
        <v>575</v>
      </c>
    </row>
    <row r="41" spans="1:15" s="18" customFormat="1" x14ac:dyDescent="0.25">
      <c r="A41" s="19" t="s">
        <v>92</v>
      </c>
      <c r="B41" s="5">
        <v>49</v>
      </c>
      <c r="C41" s="5">
        <v>49</v>
      </c>
      <c r="D41" s="5">
        <v>49</v>
      </c>
      <c r="E41" s="5">
        <v>49</v>
      </c>
      <c r="F41" s="5">
        <v>21</v>
      </c>
      <c r="G41" s="5">
        <v>0</v>
      </c>
      <c r="H41" s="5">
        <v>0</v>
      </c>
      <c r="I41" s="5">
        <v>21</v>
      </c>
      <c r="J41" s="5">
        <v>0</v>
      </c>
      <c r="K41" s="5">
        <v>0</v>
      </c>
      <c r="L41" s="5">
        <v>0</v>
      </c>
      <c r="M41" s="5">
        <v>77</v>
      </c>
      <c r="N41" s="5">
        <f t="shared" si="11"/>
        <v>315</v>
      </c>
    </row>
    <row r="42" spans="1:15" x14ac:dyDescent="0.25">
      <c r="A42" s="32" t="s">
        <v>42</v>
      </c>
      <c r="B42" s="11">
        <f>(312*2)</f>
        <v>624</v>
      </c>
      <c r="C42" s="11">
        <v>1300</v>
      </c>
      <c r="D42" s="11">
        <v>0</v>
      </c>
      <c r="E42" s="11">
        <v>0</v>
      </c>
      <c r="F42" s="11">
        <v>0</v>
      </c>
      <c r="G42" s="5">
        <v>0</v>
      </c>
      <c r="H42" s="11">
        <v>0</v>
      </c>
      <c r="I42" s="5">
        <v>0</v>
      </c>
      <c r="J42" s="5">
        <v>0</v>
      </c>
      <c r="K42" s="11">
        <f>1800</f>
        <v>1800</v>
      </c>
      <c r="L42" s="11">
        <v>0</v>
      </c>
      <c r="M42" s="11">
        <f>312*3</f>
        <v>936</v>
      </c>
      <c r="N42" s="5">
        <f t="shared" si="11"/>
        <v>4660</v>
      </c>
      <c r="O42" s="18"/>
    </row>
    <row r="43" spans="1:15" x14ac:dyDescent="0.25">
      <c r="A43" s="19" t="s">
        <v>43</v>
      </c>
      <c r="B43" s="5">
        <f>25*20</f>
        <v>500</v>
      </c>
      <c r="C43" s="5">
        <v>40</v>
      </c>
      <c r="D43" s="5">
        <v>40</v>
      </c>
      <c r="E43" s="5">
        <v>40</v>
      </c>
      <c r="F43" s="5">
        <v>100</v>
      </c>
      <c r="G43" s="5">
        <v>40</v>
      </c>
      <c r="H43" s="5">
        <v>40</v>
      </c>
      <c r="I43" s="5">
        <v>40</v>
      </c>
      <c r="J43" s="5">
        <v>40</v>
      </c>
      <c r="K43" s="5">
        <v>40</v>
      </c>
      <c r="L43" s="5">
        <v>40</v>
      </c>
      <c r="M43" s="5">
        <v>40</v>
      </c>
      <c r="N43" s="5">
        <f t="shared" si="11"/>
        <v>1000</v>
      </c>
    </row>
    <row r="44" spans="1:15" x14ac:dyDescent="0.25">
      <c r="A44" s="19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1"/>
        <v>0</v>
      </c>
    </row>
    <row r="45" spans="1:15" x14ac:dyDescent="0.25">
      <c r="A45" s="27" t="s">
        <v>78</v>
      </c>
      <c r="B45" s="5">
        <f>8000+(3.75*50)</f>
        <v>8187.5</v>
      </c>
      <c r="C45" s="5">
        <f>8000+(7.5*50)</f>
        <v>8375</v>
      </c>
      <c r="D45" s="5">
        <f>8000+(7.5*50)</f>
        <v>8375</v>
      </c>
      <c r="E45" s="5">
        <f>8000+(10*50)</f>
        <v>8500</v>
      </c>
      <c r="F45" s="5">
        <f>8000+1500</f>
        <v>9500</v>
      </c>
      <c r="G45" s="5">
        <f>8000+3000+500</f>
        <v>11500</v>
      </c>
      <c r="H45" s="5">
        <f>8000+4000+500</f>
        <v>12500</v>
      </c>
      <c r="I45" s="5">
        <f>8000+2000+500</f>
        <v>10500</v>
      </c>
      <c r="J45" s="5">
        <v>8000</v>
      </c>
      <c r="K45" s="5">
        <v>8000</v>
      </c>
      <c r="L45" s="5">
        <v>8000</v>
      </c>
      <c r="M45" s="5">
        <v>8000</v>
      </c>
      <c r="N45" s="5">
        <f t="shared" si="11"/>
        <v>109437.5</v>
      </c>
    </row>
    <row r="46" spans="1:15" s="9" customFormat="1" x14ac:dyDescent="0.25">
      <c r="A46" s="27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>24*30</f>
        <v>720</v>
      </c>
      <c r="H46" s="5">
        <f>(8*1000)/3</f>
        <v>2666.6666666666665</v>
      </c>
      <c r="I46" s="5">
        <f t="shared" ref="I46:J46" si="12">(8*1000)/3</f>
        <v>2666.6666666666665</v>
      </c>
      <c r="J46" s="5">
        <f t="shared" si="12"/>
        <v>2666.6666666666665</v>
      </c>
      <c r="K46" s="5">
        <v>0</v>
      </c>
      <c r="L46" s="5">
        <v>0</v>
      </c>
      <c r="M46" s="5">
        <v>0</v>
      </c>
      <c r="N46" s="5">
        <f t="shared" si="11"/>
        <v>8720</v>
      </c>
    </row>
    <row r="47" spans="1:15" s="31" customFormat="1" x14ac:dyDescent="0.25">
      <c r="A47" s="38" t="s">
        <v>104</v>
      </c>
      <c r="B47" s="5">
        <v>250</v>
      </c>
      <c r="C47" s="5">
        <v>0</v>
      </c>
      <c r="D47" s="5">
        <v>0</v>
      </c>
      <c r="E47" s="5">
        <v>250</v>
      </c>
      <c r="F47" s="5">
        <v>0</v>
      </c>
      <c r="G47" s="5">
        <v>0</v>
      </c>
      <c r="H47" s="5">
        <v>0</v>
      </c>
      <c r="I47" s="5">
        <v>250</v>
      </c>
      <c r="J47" s="5">
        <v>0</v>
      </c>
      <c r="K47" s="5">
        <v>0</v>
      </c>
      <c r="L47" s="5">
        <v>0</v>
      </c>
      <c r="M47" s="5">
        <v>250</v>
      </c>
      <c r="N47" s="5">
        <f t="shared" si="11"/>
        <v>1000</v>
      </c>
    </row>
    <row r="48" spans="1:15" x14ac:dyDescent="0.25">
      <c r="A48" s="19" t="s">
        <v>47</v>
      </c>
      <c r="B48" s="5">
        <f>300+300</f>
        <v>600</v>
      </c>
      <c r="C48" s="5">
        <v>50</v>
      </c>
      <c r="D48" s="5">
        <v>50</v>
      </c>
      <c r="E48" s="5">
        <v>50</v>
      </c>
      <c r="F48" s="5">
        <v>50</v>
      </c>
      <c r="G48" s="5">
        <v>50</v>
      </c>
      <c r="H48" s="5">
        <v>50</v>
      </c>
      <c r="I48" s="5">
        <v>50</v>
      </c>
      <c r="J48" s="5">
        <v>250</v>
      </c>
      <c r="K48" s="5">
        <v>50</v>
      </c>
      <c r="L48" s="5">
        <v>50</v>
      </c>
      <c r="M48" s="5">
        <v>500</v>
      </c>
      <c r="N48" s="5">
        <f t="shared" si="11"/>
        <v>1800</v>
      </c>
    </row>
    <row r="49" spans="1:20" x14ac:dyDescent="0.25">
      <c r="A49" s="19" t="s">
        <v>48</v>
      </c>
      <c r="B49" s="5">
        <v>75</v>
      </c>
      <c r="C49" s="5">
        <v>75</v>
      </c>
      <c r="D49" s="5">
        <v>75</v>
      </c>
      <c r="E49" s="5">
        <v>75</v>
      </c>
      <c r="F49" s="5">
        <v>250</v>
      </c>
      <c r="G49" s="5">
        <v>75</v>
      </c>
      <c r="H49" s="5">
        <v>75</v>
      </c>
      <c r="I49" s="5">
        <v>75</v>
      </c>
      <c r="J49" s="5">
        <v>75</v>
      </c>
      <c r="K49" s="5">
        <v>75</v>
      </c>
      <c r="L49" s="5">
        <v>250</v>
      </c>
      <c r="M49" s="5">
        <v>75</v>
      </c>
      <c r="N49" s="5">
        <f t="shared" si="11"/>
        <v>1250</v>
      </c>
    </row>
    <row r="50" spans="1:20" ht="23.25" x14ac:dyDescent="0.25">
      <c r="A50" s="27" t="s">
        <v>74</v>
      </c>
      <c r="B50" s="5">
        <v>51</v>
      </c>
      <c r="C50" s="5">
        <v>51</v>
      </c>
      <c r="D50" s="5">
        <v>51</v>
      </c>
      <c r="E50" s="5">
        <v>51</v>
      </c>
      <c r="F50" s="5">
        <v>51</v>
      </c>
      <c r="G50" s="5">
        <v>51</v>
      </c>
      <c r="H50" s="5">
        <v>51</v>
      </c>
      <c r="I50" s="5">
        <v>51</v>
      </c>
      <c r="J50" s="5">
        <v>51</v>
      </c>
      <c r="K50" s="5">
        <v>51</v>
      </c>
      <c r="L50" s="5">
        <v>51</v>
      </c>
      <c r="M50" s="5">
        <v>51</v>
      </c>
      <c r="N50" s="5">
        <f t="shared" si="11"/>
        <v>612</v>
      </c>
    </row>
    <row r="51" spans="1:20" x14ac:dyDescent="0.25">
      <c r="A51" s="19" t="s">
        <v>50</v>
      </c>
      <c r="B51" s="5">
        <v>30</v>
      </c>
      <c r="C51" s="5">
        <v>30</v>
      </c>
      <c r="D51" s="5">
        <v>30</v>
      </c>
      <c r="E51" s="5">
        <v>30</v>
      </c>
      <c r="F51" s="5">
        <v>30</v>
      </c>
      <c r="G51" s="5">
        <v>30</v>
      </c>
      <c r="H51" s="5">
        <v>30</v>
      </c>
      <c r="I51" s="5">
        <v>30</v>
      </c>
      <c r="J51" s="5">
        <v>30</v>
      </c>
      <c r="K51" s="5">
        <v>30</v>
      </c>
      <c r="L51" s="5">
        <v>30</v>
      </c>
      <c r="M51" s="5">
        <v>30</v>
      </c>
      <c r="N51" s="5">
        <f t="shared" si="11"/>
        <v>360</v>
      </c>
    </row>
    <row r="52" spans="1:20" x14ac:dyDescent="0.25">
      <c r="A52" s="26" t="s">
        <v>73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1"/>
        <v>0</v>
      </c>
    </row>
    <row r="53" spans="1:20" s="18" customFormat="1" x14ac:dyDescent="0.25">
      <c r="A53" s="33" t="s">
        <v>97</v>
      </c>
      <c r="B53" s="11">
        <f>3500+(9800/5)</f>
        <v>5460</v>
      </c>
      <c r="C53" s="11">
        <f>1000+1200+(9800/5)</f>
        <v>4160</v>
      </c>
      <c r="D53" s="11">
        <f>1250+(9800/5)</f>
        <v>3210</v>
      </c>
      <c r="E53" s="11">
        <f>1250+(9800/5)</f>
        <v>3210</v>
      </c>
      <c r="F53" s="11">
        <f>3000+(9800/5)</f>
        <v>4960</v>
      </c>
      <c r="G53" s="11">
        <f>(11450/4)+(49500/4)+2000</f>
        <v>17237.5</v>
      </c>
      <c r="H53" s="11">
        <f>(11450/4)+(49500/4)+(11428/4)+1000</f>
        <v>19094.5</v>
      </c>
      <c r="I53" s="11">
        <f>(11450/4)+(49500/4)+(5000/2)+(11428/4)+1000</f>
        <v>21594.5</v>
      </c>
      <c r="J53" s="11">
        <f>(11450/4)+(49500/4)+(5000/2)+(11428/4)+1000</f>
        <v>21594.5</v>
      </c>
      <c r="K53" s="11">
        <f>1750+1000+(11428/4)</f>
        <v>5607</v>
      </c>
      <c r="L53" s="11">
        <v>8000</v>
      </c>
      <c r="M53" s="11">
        <v>4500</v>
      </c>
      <c r="N53" s="11">
        <f t="shared" si="11"/>
        <v>118628</v>
      </c>
      <c r="O53" s="13" t="s">
        <v>80</v>
      </c>
      <c r="T53" s="18" t="s">
        <v>80</v>
      </c>
    </row>
    <row r="54" spans="1:20" s="9" customFormat="1" x14ac:dyDescent="0.25">
      <c r="A54" s="27" t="s">
        <v>82</v>
      </c>
      <c r="N54" s="5" t="s">
        <v>80</v>
      </c>
      <c r="P54" s="5" t="s">
        <v>80</v>
      </c>
    </row>
    <row r="55" spans="1:20" s="9" customFormat="1" ht="23.25" x14ac:dyDescent="0.25">
      <c r="A55" s="27" t="s">
        <v>83</v>
      </c>
      <c r="B55" s="11">
        <f>125+672</f>
        <v>797</v>
      </c>
      <c r="C55" s="11">
        <f t="shared" ref="C55:M55" si="13">125+672</f>
        <v>797</v>
      </c>
      <c r="D55" s="11">
        <f t="shared" si="13"/>
        <v>797</v>
      </c>
      <c r="E55" s="11">
        <f t="shared" si="13"/>
        <v>797</v>
      </c>
      <c r="F55" s="11">
        <f t="shared" si="13"/>
        <v>797</v>
      </c>
      <c r="G55" s="11">
        <f t="shared" si="13"/>
        <v>797</v>
      </c>
      <c r="H55" s="11">
        <f t="shared" si="13"/>
        <v>797</v>
      </c>
      <c r="I55" s="11">
        <f t="shared" si="13"/>
        <v>797</v>
      </c>
      <c r="J55" s="11">
        <f t="shared" si="13"/>
        <v>797</v>
      </c>
      <c r="K55" s="11">
        <f t="shared" si="13"/>
        <v>797</v>
      </c>
      <c r="L55" s="11">
        <f t="shared" si="13"/>
        <v>797</v>
      </c>
      <c r="M55" s="11">
        <f t="shared" si="13"/>
        <v>797</v>
      </c>
      <c r="N55" s="5">
        <f t="shared" si="11"/>
        <v>9564</v>
      </c>
    </row>
    <row r="56" spans="1:20" s="9" customFormat="1" x14ac:dyDescent="0.25">
      <c r="A56" s="27" t="s">
        <v>84</v>
      </c>
      <c r="B56" s="11">
        <v>70</v>
      </c>
      <c r="C56" s="11">
        <v>70</v>
      </c>
      <c r="D56" s="11">
        <v>70</v>
      </c>
      <c r="E56" s="11">
        <v>70</v>
      </c>
      <c r="F56" s="11">
        <v>70</v>
      </c>
      <c r="G56" s="11">
        <v>70</v>
      </c>
      <c r="H56" s="11">
        <v>70</v>
      </c>
      <c r="I56" s="11">
        <v>70</v>
      </c>
      <c r="J56" s="11">
        <v>70</v>
      </c>
      <c r="K56" s="11">
        <v>70</v>
      </c>
      <c r="L56" s="11">
        <v>70</v>
      </c>
      <c r="M56" s="11">
        <v>70</v>
      </c>
      <c r="N56" s="5">
        <f t="shared" si="11"/>
        <v>840</v>
      </c>
    </row>
    <row r="57" spans="1:20" s="9" customFormat="1" x14ac:dyDescent="0.25">
      <c r="A57" s="27" t="s">
        <v>85</v>
      </c>
      <c r="B57" s="28">
        <v>77</v>
      </c>
      <c r="C57" s="28">
        <v>77</v>
      </c>
      <c r="D57" s="28">
        <v>77</v>
      </c>
      <c r="E57" s="28">
        <v>77</v>
      </c>
      <c r="F57" s="28">
        <v>77</v>
      </c>
      <c r="G57" s="28">
        <v>77</v>
      </c>
      <c r="H57" s="28">
        <v>77</v>
      </c>
      <c r="I57" s="28">
        <v>77</v>
      </c>
      <c r="J57" s="28">
        <v>77</v>
      </c>
      <c r="K57" s="28">
        <v>77</v>
      </c>
      <c r="L57" s="28">
        <v>77</v>
      </c>
      <c r="M57" s="28">
        <v>77</v>
      </c>
      <c r="N57" s="29">
        <f t="shared" si="11"/>
        <v>924</v>
      </c>
    </row>
    <row r="58" spans="1:20" s="12" customFormat="1" ht="23.25" x14ac:dyDescent="0.25">
      <c r="A58" s="27" t="s">
        <v>100</v>
      </c>
      <c r="B58" s="11">
        <f t="shared" ref="B58:M58" si="14">0.0765*(B53+B60)</f>
        <v>927.69</v>
      </c>
      <c r="C58" s="11">
        <f t="shared" si="14"/>
        <v>828.24000000000012</v>
      </c>
      <c r="D58" s="11">
        <f t="shared" si="14"/>
        <v>755.56500000000005</v>
      </c>
      <c r="E58" s="11">
        <f t="shared" si="14"/>
        <v>755.56500000000005</v>
      </c>
      <c r="F58" s="11">
        <f t="shared" si="14"/>
        <v>889.44</v>
      </c>
      <c r="G58" s="11">
        <f t="shared" si="14"/>
        <v>1828.66875</v>
      </c>
      <c r="H58" s="11">
        <f t="shared" si="14"/>
        <v>1970.7292500000001</v>
      </c>
      <c r="I58" s="11">
        <f t="shared" si="14"/>
        <v>2161.9792499999999</v>
      </c>
      <c r="J58" s="11">
        <f t="shared" si="14"/>
        <v>2161.9792499999999</v>
      </c>
      <c r="K58" s="11">
        <f t="shared" si="14"/>
        <v>938.93550000000005</v>
      </c>
      <c r="L58" s="11">
        <f t="shared" si="14"/>
        <v>1122</v>
      </c>
      <c r="M58" s="11">
        <f t="shared" si="14"/>
        <v>854.25000000000011</v>
      </c>
      <c r="N58" s="29">
        <f t="shared" si="11"/>
        <v>15195.041999999999</v>
      </c>
      <c r="O58" s="13"/>
    </row>
    <row r="59" spans="1:20" s="21" customFormat="1" x14ac:dyDescent="0.25">
      <c r="A59" s="27" t="s">
        <v>103</v>
      </c>
      <c r="B59" s="11">
        <f>0.02*(B60+B53)</f>
        <v>242.53333333333336</v>
      </c>
      <c r="C59" s="11">
        <f t="shared" ref="C59:M59" si="15">0.02*C53</f>
        <v>83.2</v>
      </c>
      <c r="D59" s="11">
        <f t="shared" si="15"/>
        <v>64.2</v>
      </c>
      <c r="E59" s="11">
        <f t="shared" si="15"/>
        <v>64.2</v>
      </c>
      <c r="F59" s="11">
        <f t="shared" si="15"/>
        <v>99.2</v>
      </c>
      <c r="G59" s="11">
        <f t="shared" si="15"/>
        <v>344.75</v>
      </c>
      <c r="H59" s="11">
        <f t="shared" si="15"/>
        <v>381.89</v>
      </c>
      <c r="I59" s="11">
        <f t="shared" si="15"/>
        <v>431.89</v>
      </c>
      <c r="J59" s="11">
        <f t="shared" si="15"/>
        <v>431.89</v>
      </c>
      <c r="K59" s="11">
        <f t="shared" si="15"/>
        <v>112.14</v>
      </c>
      <c r="L59" s="11">
        <f t="shared" si="15"/>
        <v>160</v>
      </c>
      <c r="M59" s="11">
        <f t="shared" si="15"/>
        <v>90</v>
      </c>
      <c r="N59" s="29">
        <f t="shared" si="11"/>
        <v>2505.893333333333</v>
      </c>
      <c r="O59" s="13"/>
    </row>
    <row r="60" spans="1:20" x14ac:dyDescent="0.25">
      <c r="A60" s="27" t="s">
        <v>72</v>
      </c>
      <c r="B60" s="5">
        <f>80000/12</f>
        <v>6666.666666666667</v>
      </c>
      <c r="C60" s="5">
        <f t="shared" ref="C60:M60" si="16">80000/12</f>
        <v>6666.666666666667</v>
      </c>
      <c r="D60" s="5">
        <f t="shared" si="16"/>
        <v>6666.666666666667</v>
      </c>
      <c r="E60" s="5">
        <f t="shared" si="16"/>
        <v>6666.666666666667</v>
      </c>
      <c r="F60" s="5">
        <f t="shared" si="16"/>
        <v>6666.666666666667</v>
      </c>
      <c r="G60" s="5">
        <f t="shared" si="16"/>
        <v>6666.666666666667</v>
      </c>
      <c r="H60" s="5">
        <f t="shared" si="16"/>
        <v>6666.666666666667</v>
      </c>
      <c r="I60" s="5">
        <f t="shared" si="16"/>
        <v>6666.666666666667</v>
      </c>
      <c r="J60" s="5">
        <f t="shared" si="16"/>
        <v>6666.666666666667</v>
      </c>
      <c r="K60" s="5">
        <f t="shared" si="16"/>
        <v>6666.666666666667</v>
      </c>
      <c r="L60" s="5">
        <f t="shared" si="16"/>
        <v>6666.666666666667</v>
      </c>
      <c r="M60" s="5">
        <f t="shared" si="16"/>
        <v>6666.666666666667</v>
      </c>
      <c r="N60" s="5">
        <f t="shared" si="11"/>
        <v>80000</v>
      </c>
    </row>
    <row r="61" spans="1:20" x14ac:dyDescent="0.25">
      <c r="A61" s="19" t="s">
        <v>53</v>
      </c>
      <c r="B61" s="5">
        <v>550</v>
      </c>
      <c r="C61" s="5">
        <f>550+3000+500</f>
        <v>4050</v>
      </c>
      <c r="D61" s="5">
        <v>550</v>
      </c>
      <c r="E61" s="5">
        <v>550</v>
      </c>
      <c r="F61" s="5">
        <v>550</v>
      </c>
      <c r="G61" s="5">
        <v>550</v>
      </c>
      <c r="H61" s="5">
        <v>550</v>
      </c>
      <c r="I61" s="5">
        <v>550</v>
      </c>
      <c r="J61" s="5">
        <v>550</v>
      </c>
      <c r="K61" s="5">
        <v>550</v>
      </c>
      <c r="L61" s="5">
        <v>550</v>
      </c>
      <c r="M61" s="5">
        <v>550</v>
      </c>
      <c r="N61" s="5">
        <f t="shared" si="11"/>
        <v>10100</v>
      </c>
    </row>
    <row r="62" spans="1:20" s="18" customFormat="1" x14ac:dyDescent="0.25">
      <c r="A62" s="19" t="s">
        <v>89</v>
      </c>
      <c r="B62" s="5">
        <v>0</v>
      </c>
      <c r="C62" s="5">
        <v>0</v>
      </c>
      <c r="D62" s="5">
        <v>0</v>
      </c>
      <c r="E62" s="5">
        <f>(40*50)/2</f>
        <v>1000</v>
      </c>
      <c r="F62" s="5">
        <f>(40*50)/2</f>
        <v>1000</v>
      </c>
      <c r="G62" s="5">
        <v>0</v>
      </c>
      <c r="H62" s="5">
        <v>0</v>
      </c>
      <c r="I62" s="5">
        <v>0</v>
      </c>
      <c r="J62" s="5">
        <v>0</v>
      </c>
      <c r="K62" s="5">
        <v>250</v>
      </c>
      <c r="L62" s="5">
        <v>0</v>
      </c>
      <c r="M62" s="5">
        <v>0</v>
      </c>
      <c r="N62" s="5">
        <f t="shared" si="11"/>
        <v>2250</v>
      </c>
    </row>
    <row r="63" spans="1:20" x14ac:dyDescent="0.25">
      <c r="A63" s="19" t="s">
        <v>99</v>
      </c>
      <c r="B63" s="5">
        <v>80</v>
      </c>
      <c r="C63" s="5">
        <v>80</v>
      </c>
      <c r="D63" s="5">
        <v>80</v>
      </c>
      <c r="E63" s="5">
        <v>80</v>
      </c>
      <c r="F63" s="5">
        <v>80</v>
      </c>
      <c r="G63" s="5">
        <v>80</v>
      </c>
      <c r="H63" s="5">
        <v>80</v>
      </c>
      <c r="I63" s="5">
        <v>80</v>
      </c>
      <c r="J63" s="5">
        <v>80</v>
      </c>
      <c r="K63" s="5">
        <v>80</v>
      </c>
      <c r="L63" s="5">
        <v>80</v>
      </c>
      <c r="M63" s="5">
        <v>80</v>
      </c>
      <c r="N63" s="5">
        <f t="shared" si="11"/>
        <v>960</v>
      </c>
    </row>
    <row r="64" spans="1:20" x14ac:dyDescent="0.25">
      <c r="A64" s="19" t="s">
        <v>56</v>
      </c>
      <c r="B64" s="5">
        <v>130</v>
      </c>
      <c r="C64" s="5">
        <v>130</v>
      </c>
      <c r="D64" s="5">
        <v>130</v>
      </c>
      <c r="E64" s="5">
        <v>130</v>
      </c>
      <c r="F64" s="5">
        <v>130</v>
      </c>
      <c r="G64" s="5">
        <v>130</v>
      </c>
      <c r="H64" s="11">
        <f>130</f>
        <v>130</v>
      </c>
      <c r="I64" s="11">
        <f>130</f>
        <v>130</v>
      </c>
      <c r="J64" s="11">
        <f>130</f>
        <v>130</v>
      </c>
      <c r="K64" s="11">
        <f>130</f>
        <v>130</v>
      </c>
      <c r="L64" s="5">
        <v>130</v>
      </c>
      <c r="M64" s="5">
        <v>130</v>
      </c>
      <c r="N64" s="5">
        <f t="shared" si="11"/>
        <v>1560</v>
      </c>
    </row>
    <row r="65" spans="1:18" x14ac:dyDescent="0.25">
      <c r="A65" s="27" t="s">
        <v>71</v>
      </c>
      <c r="B65" s="5">
        <f>8423.75/12</f>
        <v>701.97916666666663</v>
      </c>
      <c r="C65" s="5">
        <f t="shared" ref="C65:M65" si="17">8423.75/12</f>
        <v>701.97916666666663</v>
      </c>
      <c r="D65" s="5">
        <f t="shared" si="17"/>
        <v>701.97916666666663</v>
      </c>
      <c r="E65" s="5">
        <f t="shared" si="17"/>
        <v>701.97916666666663</v>
      </c>
      <c r="F65" s="5">
        <f t="shared" si="17"/>
        <v>701.97916666666663</v>
      </c>
      <c r="G65" s="5">
        <f t="shared" si="17"/>
        <v>701.97916666666663</v>
      </c>
      <c r="H65" s="5">
        <f t="shared" si="17"/>
        <v>701.97916666666663</v>
      </c>
      <c r="I65" s="5">
        <f t="shared" si="17"/>
        <v>701.97916666666663</v>
      </c>
      <c r="J65" s="5">
        <f t="shared" si="17"/>
        <v>701.97916666666663</v>
      </c>
      <c r="K65" s="5">
        <f t="shared" si="17"/>
        <v>701.97916666666663</v>
      </c>
      <c r="L65" s="5">
        <f t="shared" si="17"/>
        <v>701.97916666666663</v>
      </c>
      <c r="M65" s="5">
        <f t="shared" si="17"/>
        <v>701.97916666666663</v>
      </c>
      <c r="N65" s="5">
        <f t="shared" si="11"/>
        <v>8423.7500000000018</v>
      </c>
    </row>
    <row r="66" spans="1:18" x14ac:dyDescent="0.25">
      <c r="A66" s="19" t="s">
        <v>93</v>
      </c>
      <c r="B66" s="11">
        <v>400</v>
      </c>
      <c r="C66" s="11">
        <v>225</v>
      </c>
      <c r="D66" s="11">
        <v>125</v>
      </c>
      <c r="E66" s="11">
        <v>140</v>
      </c>
      <c r="F66" s="11">
        <v>350</v>
      </c>
      <c r="G66" s="11">
        <v>610</v>
      </c>
      <c r="H66" s="11">
        <v>250</v>
      </c>
      <c r="I66" s="11">
        <v>100</v>
      </c>
      <c r="J66" s="11">
        <v>300</v>
      </c>
      <c r="K66" s="11">
        <v>100</v>
      </c>
      <c r="L66" s="11">
        <v>100</v>
      </c>
      <c r="M66" s="11">
        <v>400</v>
      </c>
      <c r="N66" s="11">
        <f t="shared" si="11"/>
        <v>3100</v>
      </c>
      <c r="O66" s="13"/>
      <c r="P66" s="13"/>
      <c r="Q66" s="13"/>
      <c r="R66" s="13"/>
    </row>
    <row r="67" spans="1:18" x14ac:dyDescent="0.25">
      <c r="A67" s="19" t="s">
        <v>94</v>
      </c>
      <c r="B67" s="11">
        <f t="shared" ref="B67:M67" si="18">0.0295*(B14+B15+B16+B17+B22)</f>
        <v>730.125</v>
      </c>
      <c r="C67" s="11">
        <f t="shared" si="18"/>
        <v>615.29624999999999</v>
      </c>
      <c r="D67" s="11">
        <f t="shared" si="18"/>
        <v>562.19624999999996</v>
      </c>
      <c r="E67" s="11">
        <f t="shared" si="18"/>
        <v>726.27524999999991</v>
      </c>
      <c r="F67" s="11">
        <f t="shared" si="18"/>
        <v>683.99437499999999</v>
      </c>
      <c r="G67" s="11">
        <f t="shared" si="18"/>
        <v>1853.0572499999998</v>
      </c>
      <c r="H67" s="11">
        <f t="shared" si="18"/>
        <v>1706.5012499999998</v>
      </c>
      <c r="I67" s="11">
        <f t="shared" si="18"/>
        <v>2164.48875</v>
      </c>
      <c r="J67" s="11">
        <f t="shared" si="18"/>
        <v>1943.7918749999999</v>
      </c>
      <c r="K67" s="11">
        <f t="shared" si="18"/>
        <v>185.85</v>
      </c>
      <c r="L67" s="11">
        <f t="shared" si="18"/>
        <v>724.81499999999994</v>
      </c>
      <c r="M67" s="11">
        <f t="shared" si="18"/>
        <v>892.87649999999996</v>
      </c>
      <c r="N67" s="11">
        <f t="shared" si="11"/>
        <v>12789.267750000001</v>
      </c>
      <c r="O67" s="13"/>
      <c r="P67" s="13"/>
      <c r="Q67" s="13"/>
      <c r="R67" s="13"/>
    </row>
    <row r="68" spans="1:18" x14ac:dyDescent="0.25">
      <c r="A68" s="19" t="s">
        <v>60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f>1500+4000</f>
        <v>5500</v>
      </c>
      <c r="I68" s="5">
        <v>18000</v>
      </c>
      <c r="J68" s="5">
        <v>15000</v>
      </c>
      <c r="K68" s="5">
        <v>1000</v>
      </c>
      <c r="L68" s="5">
        <v>500</v>
      </c>
      <c r="M68" s="5">
        <v>0</v>
      </c>
      <c r="N68" s="5">
        <f t="shared" si="11"/>
        <v>40000</v>
      </c>
      <c r="O68" s="13"/>
      <c r="P68" s="13"/>
      <c r="Q68" s="13"/>
      <c r="R68" s="13"/>
    </row>
    <row r="69" spans="1:18" s="18" customFormat="1" x14ac:dyDescent="0.25">
      <c r="A69" s="19" t="s">
        <v>96</v>
      </c>
      <c r="B69" s="11">
        <v>2000</v>
      </c>
      <c r="C69" s="11">
        <v>1000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f>3000+450+1000</f>
        <v>4450</v>
      </c>
      <c r="M69" s="11">
        <v>0</v>
      </c>
      <c r="N69" s="5">
        <f t="shared" si="11"/>
        <v>7450</v>
      </c>
      <c r="O69" s="13"/>
      <c r="P69" s="13"/>
      <c r="Q69" s="13"/>
      <c r="R69" s="13"/>
    </row>
    <row r="70" spans="1:18" x14ac:dyDescent="0.25">
      <c r="A70" s="19" t="s">
        <v>61</v>
      </c>
      <c r="B70" s="5">
        <v>50</v>
      </c>
      <c r="C70" s="5">
        <v>25</v>
      </c>
      <c r="D70" s="5">
        <v>0</v>
      </c>
      <c r="E70" s="5">
        <v>0</v>
      </c>
      <c r="F70" s="5">
        <v>250</v>
      </c>
      <c r="G70" s="5">
        <v>25</v>
      </c>
      <c r="H70" s="5">
        <v>0</v>
      </c>
      <c r="I70" s="5">
        <v>25</v>
      </c>
      <c r="J70" s="5">
        <v>0</v>
      </c>
      <c r="K70" s="5">
        <v>0</v>
      </c>
      <c r="L70" s="5">
        <v>25</v>
      </c>
      <c r="M70" s="5">
        <v>0</v>
      </c>
      <c r="N70" s="5">
        <f>B70+C70+D70+E70+F70+G70+H70+I70+J70+K70+L70+M70</f>
        <v>400</v>
      </c>
    </row>
    <row r="71" spans="1:18" s="10" customFormat="1" x14ac:dyDescent="0.25">
      <c r="A71" s="27" t="s">
        <v>95</v>
      </c>
      <c r="B71" s="5">
        <v>0</v>
      </c>
      <c r="C71" s="5">
        <f>((4*2000)+(4*1150))/4</f>
        <v>3150</v>
      </c>
      <c r="D71" s="5">
        <f>(((4*2000)+(4*1150))/4)+1690</f>
        <v>4840</v>
      </c>
      <c r="E71" s="5">
        <f>((4*2000)+(4*1150))/4</f>
        <v>3150</v>
      </c>
      <c r="F71" s="5">
        <f>((4*2000)+(4*1150))/4</f>
        <v>3150</v>
      </c>
      <c r="G71" s="5">
        <v>0</v>
      </c>
      <c r="H71" s="5">
        <v>0</v>
      </c>
      <c r="I71" s="5">
        <f>(10*700)/2</f>
        <v>3500</v>
      </c>
      <c r="J71" s="5">
        <f>(10*700)/2</f>
        <v>3500</v>
      </c>
      <c r="K71" s="5">
        <v>0</v>
      </c>
      <c r="L71" s="5">
        <v>0</v>
      </c>
      <c r="M71" s="5">
        <v>0</v>
      </c>
      <c r="N71" s="5">
        <f t="shared" si="11"/>
        <v>21290</v>
      </c>
      <c r="O71" s="13"/>
      <c r="P71" s="13"/>
      <c r="Q71" s="13"/>
      <c r="R71" s="13"/>
    </row>
    <row r="72" spans="1:18" s="12" customFormat="1" x14ac:dyDescent="0.25">
      <c r="A72" s="26" t="s">
        <v>86</v>
      </c>
      <c r="B72" s="35">
        <f t="shared" ref="B72:M72" si="19">0.0925*B31</f>
        <v>0</v>
      </c>
      <c r="C72" s="35">
        <f t="shared" si="19"/>
        <v>333</v>
      </c>
      <c r="D72" s="35">
        <f t="shared" si="19"/>
        <v>27.75</v>
      </c>
      <c r="E72" s="35">
        <f t="shared" si="19"/>
        <v>0</v>
      </c>
      <c r="F72" s="35">
        <f t="shared" si="19"/>
        <v>2781.9375</v>
      </c>
      <c r="G72" s="35">
        <f t="shared" si="19"/>
        <v>1977.1875</v>
      </c>
      <c r="H72" s="35">
        <f t="shared" si="19"/>
        <v>0</v>
      </c>
      <c r="I72" s="35">
        <f t="shared" si="19"/>
        <v>222</v>
      </c>
      <c r="J72" s="35">
        <f t="shared" si="19"/>
        <v>74</v>
      </c>
      <c r="K72" s="35">
        <f t="shared" si="19"/>
        <v>0</v>
      </c>
      <c r="L72" s="35">
        <f t="shared" si="19"/>
        <v>0</v>
      </c>
      <c r="M72" s="35">
        <f t="shared" si="19"/>
        <v>132.27500000000001</v>
      </c>
      <c r="N72" s="35">
        <f>SUM(B72:M72)</f>
        <v>5548.15</v>
      </c>
    </row>
    <row r="73" spans="1:18" s="18" customFormat="1" x14ac:dyDescent="0.25">
      <c r="A73" s="19" t="s">
        <v>90</v>
      </c>
      <c r="B73" s="11">
        <v>90</v>
      </c>
      <c r="C73" s="11">
        <v>90</v>
      </c>
      <c r="D73" s="11">
        <v>90</v>
      </c>
      <c r="E73" s="11">
        <v>90</v>
      </c>
      <c r="F73" s="11">
        <v>100</v>
      </c>
      <c r="G73" s="11">
        <v>125</v>
      </c>
      <c r="H73" s="11">
        <v>300</v>
      </c>
      <c r="I73" s="11">
        <v>300</v>
      </c>
      <c r="J73" s="11">
        <v>300</v>
      </c>
      <c r="K73" s="11">
        <v>250</v>
      </c>
      <c r="L73" s="11">
        <v>0</v>
      </c>
      <c r="M73" s="11">
        <v>90</v>
      </c>
      <c r="N73" s="5">
        <f>SUM(B73:M73)</f>
        <v>1825</v>
      </c>
    </row>
    <row r="74" spans="1:18" x14ac:dyDescent="0.25">
      <c r="A74" s="19" t="s">
        <v>62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11"/>
        <v>0</v>
      </c>
    </row>
    <row r="75" spans="1:18" s="9" customFormat="1" x14ac:dyDescent="0.25">
      <c r="A75" s="19" t="s">
        <v>75</v>
      </c>
      <c r="B75" s="5">
        <v>0</v>
      </c>
      <c r="C75" s="5">
        <v>0</v>
      </c>
      <c r="D75" s="5">
        <f>99+70+199</f>
        <v>368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175</v>
      </c>
      <c r="N75" s="22">
        <f t="shared" si="11"/>
        <v>543</v>
      </c>
    </row>
    <row r="76" spans="1:18" x14ac:dyDescent="0.25">
      <c r="A76" s="3" t="s">
        <v>63</v>
      </c>
      <c r="B76" s="6">
        <f t="shared" ref="B76:M76" si="20">SUM(B35:B75)</f>
        <v>32374.494166666667</v>
      </c>
      <c r="C76" s="6">
        <f t="shared" si="20"/>
        <v>36087.382083333338</v>
      </c>
      <c r="D76" s="6">
        <f t="shared" si="20"/>
        <v>31165.357083333336</v>
      </c>
      <c r="E76" s="6">
        <f t="shared" si="20"/>
        <v>30358.686083333334</v>
      </c>
      <c r="F76" s="6">
        <f t="shared" si="20"/>
        <v>36444.217708333337</v>
      </c>
      <c r="G76" s="6">
        <f t="shared" si="20"/>
        <v>45574.809333333324</v>
      </c>
      <c r="H76" s="6">
        <f t="shared" si="20"/>
        <v>53723.93299999999</v>
      </c>
      <c r="I76" s="6">
        <f t="shared" si="20"/>
        <v>71291.170499999978</v>
      </c>
      <c r="J76" s="6">
        <f t="shared" si="20"/>
        <v>65526.473624999991</v>
      </c>
      <c r="K76" s="6">
        <f t="shared" si="20"/>
        <v>27597.571333333333</v>
      </c>
      <c r="L76" s="6">
        <f t="shared" si="20"/>
        <v>32610.460833333334</v>
      </c>
      <c r="M76" s="6">
        <f t="shared" si="20"/>
        <v>27201.047333333336</v>
      </c>
      <c r="N76" s="6">
        <f t="shared" si="11"/>
        <v>489955.60308333335</v>
      </c>
    </row>
    <row r="77" spans="1:18" x14ac:dyDescent="0.25">
      <c r="A77" s="3" t="s">
        <v>64</v>
      </c>
      <c r="B77" s="6">
        <f t="shared" ref="B77:M77" si="21">(B33)-(B76)</f>
        <v>12450.505833333333</v>
      </c>
      <c r="C77" s="6">
        <f t="shared" si="21"/>
        <v>-9629.8820833333375</v>
      </c>
      <c r="D77" s="6">
        <f t="shared" si="21"/>
        <v>-7357.857083333336</v>
      </c>
      <c r="E77" s="6">
        <f t="shared" si="21"/>
        <v>4010.813916666666</v>
      </c>
      <c r="F77" s="6">
        <f t="shared" si="21"/>
        <v>-31582.967708333337</v>
      </c>
      <c r="G77" s="6">
        <f t="shared" si="21"/>
        <v>8965.6906666666764</v>
      </c>
      <c r="H77" s="6">
        <f t="shared" si="21"/>
        <v>15298.56700000001</v>
      </c>
      <c r="I77" s="6">
        <f t="shared" si="21"/>
        <v>4031.3295000000217</v>
      </c>
      <c r="J77" s="6">
        <f t="shared" si="21"/>
        <v>6689.7763750000086</v>
      </c>
      <c r="K77" s="6">
        <f t="shared" si="21"/>
        <v>-18197.571333333333</v>
      </c>
      <c r="L77" s="6">
        <f t="shared" si="21"/>
        <v>12034.539166666666</v>
      </c>
      <c r="M77" s="6">
        <f t="shared" si="21"/>
        <v>3335.9526666666643</v>
      </c>
      <c r="N77" s="23">
        <f t="shared" si="11"/>
        <v>48.896916666701145</v>
      </c>
    </row>
    <row r="78" spans="1:18" ht="15.75" thickBot="1" x14ac:dyDescent="0.3">
      <c r="A78" s="3" t="s">
        <v>102</v>
      </c>
      <c r="B78" s="25">
        <f t="shared" ref="B78" si="22">(B77)+(0)</f>
        <v>12450.505833333333</v>
      </c>
      <c r="C78" s="25">
        <f>B78+C77</f>
        <v>2820.6237499999952</v>
      </c>
      <c r="D78" s="25">
        <f>C78+D77</f>
        <v>-4537.2333333333409</v>
      </c>
      <c r="E78" s="25">
        <f>D78+E77</f>
        <v>-526.41941666667481</v>
      </c>
      <c r="F78" s="25">
        <f>E78+F77</f>
        <v>-32109.387125000012</v>
      </c>
      <c r="G78" s="25">
        <f t="shared" ref="G78:M78" si="23">F78+G77</f>
        <v>-23143.696458333336</v>
      </c>
      <c r="H78" s="25">
        <f t="shared" si="23"/>
        <v>-7845.1294583333256</v>
      </c>
      <c r="I78" s="25">
        <f t="shared" si="23"/>
        <v>-3813.7999583333039</v>
      </c>
      <c r="J78" s="25">
        <f t="shared" si="23"/>
        <v>2875.9764166667046</v>
      </c>
      <c r="K78" s="25">
        <f t="shared" si="23"/>
        <v>-15321.594916666629</v>
      </c>
      <c r="L78" s="25">
        <f t="shared" si="23"/>
        <v>-3287.0557499999632</v>
      </c>
      <c r="M78" s="25">
        <f t="shared" si="23"/>
        <v>48.896916666701145</v>
      </c>
      <c r="N78" s="24">
        <f>M78</f>
        <v>48.896916666701145</v>
      </c>
    </row>
    <row r="79" spans="1:18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2" spans="1:14" x14ac:dyDescent="0.25">
      <c r="A82" s="39" t="s">
        <v>66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</sheetData>
  <mergeCells count="4">
    <mergeCell ref="A1:N1"/>
    <mergeCell ref="A2:N2"/>
    <mergeCell ref="A3:N3"/>
    <mergeCell ref="A82:N82"/>
  </mergeCells>
  <conditionalFormatting sqref="B77:N78">
    <cfRule type="cellIs" dxfId="0" priority="1" operator="lessThan">
      <formula>0</formula>
    </cfRule>
  </conditionalFormatting>
  <pageMargins left="0.2" right="0.2" top="0.25" bottom="0.25" header="0.3" footer="0.3"/>
  <pageSetup scale="47" orientation="landscape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F809B926CF7439D272B93A9DDD852" ma:contentTypeVersion="10" ma:contentTypeDescription="Create a new document." ma:contentTypeScope="" ma:versionID="f8655b4196f57a6b22edd11e7d94a43d">
  <xsd:schema xmlns:xsd="http://www.w3.org/2001/XMLSchema" xmlns:xs="http://www.w3.org/2001/XMLSchema" xmlns:p="http://schemas.microsoft.com/office/2006/metadata/properties" xmlns:ns3="4d36fbe1-c665-4b1f-a847-a1cbc7f7e9b1" targetNamespace="http://schemas.microsoft.com/office/2006/metadata/properties" ma:root="true" ma:fieldsID="6d80ab793d12a7d183aa427b19cc2471" ns3:_="">
    <xsd:import namespace="4d36fbe1-c665-4b1f-a847-a1cbc7f7e9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6fbe1-c665-4b1f-a847-a1cbc7f7e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B4C2E-2EE9-485E-A86F-37CA73C06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6fbe1-c665-4b1f-a847-a1cbc7f7e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5E3A4-E80A-470C-A07A-7849AFED8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D78AB7-E344-4F5B-8512-D6DBB5ED4503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4d36fbe1-c665-4b1f-a847-a1cbc7f7e9b1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18-19 Budget</vt:lpstr>
      <vt:lpstr>19-20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Lance Akridge</cp:lastModifiedBy>
  <cp:lastPrinted>2019-10-16T11:02:34Z</cp:lastPrinted>
  <dcterms:created xsi:type="dcterms:W3CDTF">2019-08-01T18:45:18Z</dcterms:created>
  <dcterms:modified xsi:type="dcterms:W3CDTF">2020-03-21T14:04:39Z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0x010100D0DF809B926CF7439D272B93A9DDD852</vt:lpwstr>
  </property>
</Properties>
</file>