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ykelly/Documents/CONTRIBUTOR/FINANCIALS /"/>
    </mc:Choice>
  </mc:AlternateContent>
  <xr:revisionPtr revIDLastSave="0" documentId="13_ncr:1_{FFDEAA39-A00B-9C46-B938-791BE6D4399D}" xr6:coauthVersionLast="45" xr6:coauthVersionMax="45" xr10:uidLastSave="{00000000-0000-0000-0000-000000000000}"/>
  <bookViews>
    <workbookView xWindow="0" yWindow="460" windowWidth="28800" windowHeight="16620" xr2:uid="{00000000-000D-0000-FFFF-FFFF00000000}"/>
  </bookViews>
  <sheets>
    <sheet name="Profit and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18" i="1" l="1"/>
  <c r="B117" i="1"/>
  <c r="B116" i="1"/>
  <c r="B110" i="1"/>
  <c r="B111" i="1" s="1"/>
  <c r="B108" i="1"/>
  <c r="B107" i="1"/>
  <c r="B106" i="1"/>
  <c r="B104" i="1"/>
  <c r="B103" i="1"/>
  <c r="B105" i="1" s="1"/>
  <c r="B99" i="1"/>
  <c r="B98" i="1"/>
  <c r="B97" i="1"/>
  <c r="B92" i="1"/>
  <c r="B91" i="1"/>
  <c r="B90" i="1"/>
  <c r="B89" i="1"/>
  <c r="B88" i="1"/>
  <c r="B87" i="1"/>
  <c r="B83" i="1"/>
  <c r="B82" i="1"/>
  <c r="B81" i="1"/>
  <c r="B80" i="1"/>
  <c r="B78" i="1"/>
  <c r="B76" i="1"/>
  <c r="B75" i="1"/>
  <c r="B74" i="1"/>
  <c r="B73" i="1"/>
  <c r="B69" i="1"/>
  <c r="B70" i="1" s="1"/>
  <c r="B66" i="1"/>
  <c r="B65" i="1"/>
  <c r="B64" i="1"/>
  <c r="B61" i="1"/>
  <c r="B62" i="1" s="1"/>
  <c r="B57" i="1"/>
  <c r="B56" i="1"/>
  <c r="B54" i="1"/>
  <c r="B53" i="1"/>
  <c r="B52" i="1"/>
  <c r="B49" i="1"/>
  <c r="B48" i="1"/>
  <c r="B47" i="1"/>
  <c r="B46" i="1"/>
  <c r="B45" i="1"/>
  <c r="B50" i="1" s="1"/>
  <c r="B41" i="1"/>
  <c r="B40" i="1"/>
  <c r="B42" i="1" s="1"/>
  <c r="B38" i="1"/>
  <c r="B37" i="1"/>
  <c r="B33" i="1"/>
  <c r="B32" i="1"/>
  <c r="B30" i="1"/>
  <c r="B29" i="1"/>
  <c r="B28" i="1"/>
  <c r="B27" i="1"/>
  <c r="B26" i="1"/>
  <c r="B23" i="1"/>
  <c r="B22" i="1"/>
  <c r="B21" i="1"/>
  <c r="B20" i="1"/>
  <c r="B19" i="1"/>
  <c r="B18" i="1"/>
  <c r="B14" i="1"/>
  <c r="B13" i="1"/>
  <c r="B12" i="1"/>
  <c r="B8" i="1"/>
  <c r="B11" i="1" s="1"/>
  <c r="B67" i="1" l="1"/>
  <c r="B71" i="1" s="1"/>
  <c r="B31" i="1"/>
  <c r="B93" i="1"/>
  <c r="B94" i="1" s="1"/>
  <c r="B112" i="1"/>
  <c r="B24" i="1"/>
  <c r="B34" i="1" s="1"/>
  <c r="B35" i="1" s="1"/>
  <c r="B55" i="1"/>
  <c r="B58" i="1" s="1"/>
  <c r="B113" i="1" s="1"/>
  <c r="B100" i="1"/>
  <c r="B101" i="1" s="1"/>
  <c r="B84" i="1"/>
  <c r="B119" i="1"/>
  <c r="B120" i="1" s="1"/>
  <c r="B77" i="1"/>
  <c r="B85" i="1"/>
  <c r="B114" i="1" l="1"/>
  <c r="B121" i="1" s="1"/>
</calcChain>
</file>

<file path=xl/sharedStrings.xml><?xml version="1.0" encoding="utf-8"?>
<sst xmlns="http://schemas.openxmlformats.org/spreadsheetml/2006/main" count="121" uniqueCount="121">
  <si>
    <t>Total</t>
  </si>
  <si>
    <t>Income</t>
  </si>
  <si>
    <t xml:space="preserve">   4060 Miscellaneous Income</t>
  </si>
  <si>
    <t xml:space="preserve">      4015 Discounts to Vendors</t>
  </si>
  <si>
    <t xml:space="preserve">      4030 Disposable Photography Sales</t>
  </si>
  <si>
    <t xml:space="preserve">      Gear Sales Income</t>
  </si>
  <si>
    <t xml:space="preserve">   Total 4060 Miscellaneous Income</t>
  </si>
  <si>
    <t xml:space="preserve">   Advertising Income</t>
  </si>
  <si>
    <t xml:space="preserve">   Newspaper Sales Income</t>
  </si>
  <si>
    <t xml:space="preserve">   Sales</t>
  </si>
  <si>
    <t>Total Income</t>
  </si>
  <si>
    <t>Cost of Goods Sold</t>
  </si>
  <si>
    <t xml:space="preserve">   5000 Newspaper Costs</t>
  </si>
  <si>
    <t xml:space="preserve">      5005 Freelance Feature Writers</t>
  </si>
  <si>
    <t xml:space="preserve">      5010 Printing Costs</t>
  </si>
  <si>
    <t xml:space="preserve">      5015 Font &amp; Stock Photo COGS</t>
  </si>
  <si>
    <t xml:space="preserve">      5020 Vendor Editorial Payments</t>
  </si>
  <si>
    <t xml:space="preserve">      5025 Freelance Photographer</t>
  </si>
  <si>
    <t xml:space="preserve">      5060 Managing Editor</t>
  </si>
  <si>
    <t xml:space="preserve">   Total 5000 Newspaper Costs</t>
  </si>
  <si>
    <t xml:space="preserve">   5100 Vendor Costs</t>
  </si>
  <si>
    <t xml:space="preserve">      5110 Clear Plastic Bags</t>
  </si>
  <si>
    <t xml:space="preserve">      5118 Vendor Meeting Costs</t>
  </si>
  <si>
    <t xml:space="preserve">      5125 Permanent Badges</t>
  </si>
  <si>
    <t xml:space="preserve">      5140 T-shirts</t>
  </si>
  <si>
    <t xml:space="preserve">      5145 Temporary Badges</t>
  </si>
  <si>
    <t xml:space="preserve">   Total 5100 Vendor Costs</t>
  </si>
  <si>
    <t xml:space="preserve">   5300 Bumper Stickers</t>
  </si>
  <si>
    <t xml:space="preserve">   5500 Subscriptions Postage COGS</t>
  </si>
  <si>
    <t>Total Cost of Goods Sold</t>
  </si>
  <si>
    <t>Gross Profit</t>
  </si>
  <si>
    <t>Expenses</t>
  </si>
  <si>
    <t xml:space="preserve">   8300.12 Disposables</t>
  </si>
  <si>
    <t xml:space="preserve">   8810 Charitable Donations</t>
  </si>
  <si>
    <t xml:space="preserve">   8900 Tax Expenses</t>
  </si>
  <si>
    <t xml:space="preserve">      8900.05 Corporate Annual Reports</t>
  </si>
  <si>
    <t xml:space="preserve">      8900.10 Tax - TN Charitable Solicitat</t>
  </si>
  <si>
    <t xml:space="preserve">   Total 8900 Tax Expenses</t>
  </si>
  <si>
    <t xml:space="preserve">   Business Expenses</t>
  </si>
  <si>
    <t xml:space="preserve">      8500 IT &amp; Communication Expenses</t>
  </si>
  <si>
    <t xml:space="preserve">         8500.10 Internet Expense</t>
  </si>
  <si>
    <t xml:space="preserve">         8500.15 Online subscription software</t>
  </si>
  <si>
    <t xml:space="preserve">         8500.20 Website Expense</t>
  </si>
  <si>
    <t xml:space="preserve">         8500.45 IT Expenses</t>
  </si>
  <si>
    <t xml:space="preserve">         8500.50 Quickbooks software</t>
  </si>
  <si>
    <t xml:space="preserve">      Total 8500 IT &amp; Communication Expenses</t>
  </si>
  <si>
    <t xml:space="preserve">      8800 Business Insurance</t>
  </si>
  <si>
    <t xml:space="preserve">         8800.05 Directors &amp; Officers Insurance</t>
  </si>
  <si>
    <t xml:space="preserve">         8800.10 General Liability Insurance</t>
  </si>
  <si>
    <t xml:space="preserve">         8800.20 Multi Media Liability</t>
  </si>
  <si>
    <t xml:space="preserve">      Total 8800 Business Insurance</t>
  </si>
  <si>
    <t xml:space="preserve">      8850 Database Expenses</t>
  </si>
  <si>
    <t xml:space="preserve">      8855 Small Equipment &lt;500</t>
  </si>
  <si>
    <t xml:space="preserve">   Total Business Expenses</t>
  </si>
  <si>
    <t xml:space="preserve">   Labor Wages &amp; Benefits</t>
  </si>
  <si>
    <t xml:space="preserve">      8000 Gross Wages &amp; Benefits</t>
  </si>
  <si>
    <t xml:space="preserve">         8000.45 Health &amp; Dental Insurance</t>
  </si>
  <si>
    <t xml:space="preserve">      Total 8000 Gross Wages &amp; Benefits</t>
  </si>
  <si>
    <t xml:space="preserve">      8100 Contract Labor Fees</t>
  </si>
  <si>
    <t xml:space="preserve">         8100.05 CPA 990 &amp; 1099 Preparation</t>
  </si>
  <si>
    <t xml:space="preserve">         8100.20 Legal Fees</t>
  </si>
  <si>
    <t xml:space="preserve">         8100.55 Webmaster Fees</t>
  </si>
  <si>
    <t xml:space="preserve">      Total 8100 Contract Labor Fees</t>
  </si>
  <si>
    <t xml:space="preserve">      8750 Volunteer Expenses</t>
  </si>
  <si>
    <t xml:space="preserve">         8750.15 Volunteer Recruiting</t>
  </si>
  <si>
    <t xml:space="preserve">      Total 8750 Volunteer Expenses</t>
  </si>
  <si>
    <t xml:space="preserve">   Total Labor Wages &amp; Benefits</t>
  </si>
  <si>
    <t xml:space="preserve">   Marketing &amp; Advertising</t>
  </si>
  <si>
    <t xml:space="preserve">      7000 Adv/Promotional Exp</t>
  </si>
  <si>
    <t xml:space="preserve">         7000.05 Thank you cards</t>
  </si>
  <si>
    <t xml:space="preserve">         7000.10 Promotional Expense</t>
  </si>
  <si>
    <t xml:space="preserve">         7000.35 T-Shirt for Donors</t>
  </si>
  <si>
    <t xml:space="preserve">      Total 7000 Adv/Promotional Exp</t>
  </si>
  <si>
    <t xml:space="preserve">      8200 Membership Expense</t>
  </si>
  <si>
    <t xml:space="preserve">      8300 Fundraising Expense</t>
  </si>
  <si>
    <t xml:space="preserve">         8300.05 Postage Expense</t>
  </si>
  <si>
    <t xml:space="preserve">         8300.10 Breakfast Event</t>
  </si>
  <si>
    <t xml:space="preserve">         8300.30 Printing Costs</t>
  </si>
  <si>
    <t xml:space="preserve">         8300.45 Professional Development</t>
  </si>
  <si>
    <t xml:space="preserve">      Total 8300 Fundraising Expense</t>
  </si>
  <si>
    <t xml:space="preserve">   Total Marketing &amp; Advertising</t>
  </si>
  <si>
    <t xml:space="preserve">   Office Exp</t>
  </si>
  <si>
    <t xml:space="preserve">      8700 Office Expenses</t>
  </si>
  <si>
    <t xml:space="preserve">         8700.05 Office Supplies</t>
  </si>
  <si>
    <t xml:space="preserve">         8700.10 Bank Charges</t>
  </si>
  <si>
    <t xml:space="preserve">         8700.15 Post Office Box Expense</t>
  </si>
  <si>
    <t xml:space="preserve">         8700.18 Postage (G&amp;A)</t>
  </si>
  <si>
    <t xml:space="preserve">         8700.30 Office/General Administrative Expenses</t>
  </si>
  <si>
    <t xml:space="preserve">      Total 8700 Office Expenses</t>
  </si>
  <si>
    <t xml:space="preserve">   Total Office Exp</t>
  </si>
  <si>
    <t xml:space="preserve">   Other Exp</t>
  </si>
  <si>
    <t xml:space="preserve">      8775 Other Expenses</t>
  </si>
  <si>
    <t xml:space="preserve">         8775.05 Staff Appreciation &amp; Meetings</t>
  </si>
  <si>
    <t xml:space="preserve">         8775.15 Vendor Recognition</t>
  </si>
  <si>
    <t xml:space="preserve">         8775.50 Vendor water/lunch/handwarmers</t>
  </si>
  <si>
    <t xml:space="preserve">      Total 8775 Other Expenses</t>
  </si>
  <si>
    <t xml:space="preserve">   Total Other Exp</t>
  </si>
  <si>
    <t xml:space="preserve">   Payroll Expenses</t>
  </si>
  <si>
    <t xml:space="preserve">      Taxes</t>
  </si>
  <si>
    <t xml:space="preserve">      Wages</t>
  </si>
  <si>
    <t xml:space="preserve">   Total Payroll Expenses</t>
  </si>
  <si>
    <t xml:space="preserve">   Purchases</t>
  </si>
  <si>
    <t xml:space="preserve">   QuickBooks Payments Fees</t>
  </si>
  <si>
    <t xml:space="preserve">   Travel &amp; Entertainment Exp</t>
  </si>
  <si>
    <t xml:space="preserve">      8600 Travel &amp; Entertainment</t>
  </si>
  <si>
    <t xml:space="preserve">         8600.20 Parking Expense</t>
  </si>
  <si>
    <t xml:space="preserve">      Total 8600 Travel &amp; Entertainment</t>
  </si>
  <si>
    <t xml:space="preserve">   Total Travel &amp; Entertainment Exp</t>
  </si>
  <si>
    <t>Total Expenses</t>
  </si>
  <si>
    <t>Net Operating Income</t>
  </si>
  <si>
    <t>Other Income</t>
  </si>
  <si>
    <t xml:space="preserve">   Donations Income - Bus/Ind</t>
  </si>
  <si>
    <t xml:space="preserve">   Foundation Income</t>
  </si>
  <si>
    <t xml:space="preserve">   Interest Income</t>
  </si>
  <si>
    <t>Total Other Income</t>
  </si>
  <si>
    <t>Net Other Income</t>
  </si>
  <si>
    <t>Net Income</t>
  </si>
  <si>
    <t>Tuesday, Feb 18, 2020 07:56:46 AM GMT-8 - Accrual Basis</t>
  </si>
  <si>
    <t>The Contributor, Inc.</t>
  </si>
  <si>
    <t>Profit and Loss</t>
  </si>
  <si>
    <t>January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</si>
</sst>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5"/>
  <sheetViews>
    <sheetView tabSelected="1" topLeftCell="A98" workbookViewId="0">
      <selection sqref="A1:B121"/>
    </sheetView>
  </sheetViews>
  <sheetFormatPr baseColWidth="10" defaultColWidth="8.83203125" defaultRowHeight="15" x14ac:dyDescent="0.2"/>
  <cols>
    <col min="1" max="1" width="48.1640625" customWidth="1"/>
    <col min="2" max="2" width="18.83203125" customWidth="1"/>
  </cols>
  <sheetData>
    <row r="1" spans="1:2" ht="18" x14ac:dyDescent="0.2">
      <c r="A1" s="10" t="s">
        <v>118</v>
      </c>
      <c r="B1" s="9"/>
    </row>
    <row r="2" spans="1:2" ht="18" x14ac:dyDescent="0.2">
      <c r="A2" s="10" t="s">
        <v>119</v>
      </c>
      <c r="B2" s="9"/>
    </row>
    <row r="3" spans="1:2" x14ac:dyDescent="0.2">
      <c r="A3" s="11" t="s">
        <v>120</v>
      </c>
      <c r="B3" s="9"/>
    </row>
    <row r="5" spans="1:2" x14ac:dyDescent="0.2">
      <c r="A5" s="1"/>
      <c r="B5" s="2" t="s">
        <v>0</v>
      </c>
    </row>
    <row r="6" spans="1:2" x14ac:dyDescent="0.2">
      <c r="A6" s="3" t="s">
        <v>1</v>
      </c>
      <c r="B6" s="4"/>
    </row>
    <row r="7" spans="1:2" x14ac:dyDescent="0.2">
      <c r="A7" s="3" t="s">
        <v>2</v>
      </c>
      <c r="B7" s="4"/>
    </row>
    <row r="8" spans="1:2" x14ac:dyDescent="0.2">
      <c r="A8" s="3" t="s">
        <v>3</v>
      </c>
      <c r="B8" s="5">
        <f>-10764</f>
        <v>-10764</v>
      </c>
    </row>
    <row r="9" spans="1:2" x14ac:dyDescent="0.2">
      <c r="A9" s="3" t="s">
        <v>4</v>
      </c>
      <c r="B9" s="5">
        <v>374</v>
      </c>
    </row>
    <row r="10" spans="1:2" x14ac:dyDescent="0.2">
      <c r="A10" s="3" t="s">
        <v>5</v>
      </c>
      <c r="B10" s="5">
        <v>400</v>
      </c>
    </row>
    <row r="11" spans="1:2" x14ac:dyDescent="0.2">
      <c r="A11" s="3" t="s">
        <v>6</v>
      </c>
      <c r="B11" s="6">
        <f>(((B7)+(B8))+(B9))+(B10)</f>
        <v>-9990</v>
      </c>
    </row>
    <row r="12" spans="1:2" x14ac:dyDescent="0.2">
      <c r="A12" s="3" t="s">
        <v>7</v>
      </c>
      <c r="B12" s="5">
        <f>29884.81</f>
        <v>29884.81</v>
      </c>
    </row>
    <row r="13" spans="1:2" x14ac:dyDescent="0.2">
      <c r="A13" s="3" t="s">
        <v>8</v>
      </c>
      <c r="B13" s="5">
        <f>98426.77</f>
        <v>98426.77</v>
      </c>
    </row>
    <row r="14" spans="1:2" x14ac:dyDescent="0.2">
      <c r="A14" s="3" t="s">
        <v>9</v>
      </c>
      <c r="B14" s="5">
        <f>400</f>
        <v>400</v>
      </c>
    </row>
    <row r="15" spans="1:2" x14ac:dyDescent="0.2">
      <c r="A15" s="3" t="s">
        <v>10</v>
      </c>
      <c r="B15" s="6">
        <f>((((B11)+(B12)))+(B13))+(B14)</f>
        <v>118721.58</v>
      </c>
    </row>
    <row r="16" spans="1:2" x14ac:dyDescent="0.2">
      <c r="A16" s="3" t="s">
        <v>11</v>
      </c>
      <c r="B16" s="4"/>
    </row>
    <row r="17" spans="1:2" x14ac:dyDescent="0.2">
      <c r="A17" s="3" t="s">
        <v>12</v>
      </c>
      <c r="B17" s="4"/>
    </row>
    <row r="18" spans="1:2" x14ac:dyDescent="0.2">
      <c r="A18" s="3" t="s">
        <v>13</v>
      </c>
      <c r="B18" s="5">
        <f>5636.5</f>
        <v>5636.5</v>
      </c>
    </row>
    <row r="19" spans="1:2" x14ac:dyDescent="0.2">
      <c r="A19" s="3" t="s">
        <v>14</v>
      </c>
      <c r="B19" s="5">
        <f>56892.67</f>
        <v>56892.67</v>
      </c>
    </row>
    <row r="20" spans="1:2" x14ac:dyDescent="0.2">
      <c r="A20" s="3" t="s">
        <v>15</v>
      </c>
      <c r="B20" s="5">
        <f>438</f>
        <v>438</v>
      </c>
    </row>
    <row r="21" spans="1:2" x14ac:dyDescent="0.2">
      <c r="A21" s="3" t="s">
        <v>16</v>
      </c>
      <c r="B21" s="5">
        <f>6520</f>
        <v>6520</v>
      </c>
    </row>
    <row r="22" spans="1:2" x14ac:dyDescent="0.2">
      <c r="A22" s="3" t="s">
        <v>17</v>
      </c>
      <c r="B22" s="5">
        <f>850</f>
        <v>850</v>
      </c>
    </row>
    <row r="23" spans="1:2" x14ac:dyDescent="0.2">
      <c r="A23" s="3" t="s">
        <v>18</v>
      </c>
      <c r="B23" s="5">
        <f>39750</f>
        <v>39750</v>
      </c>
    </row>
    <row r="24" spans="1:2" x14ac:dyDescent="0.2">
      <c r="A24" s="3" t="s">
        <v>19</v>
      </c>
      <c r="B24" s="6">
        <f>((((((B17)+(B18))+(B19))+(B20))+(B21))+(B22))+(B23)</f>
        <v>110087.17</v>
      </c>
    </row>
    <row r="25" spans="1:2" x14ac:dyDescent="0.2">
      <c r="A25" s="3" t="s">
        <v>20</v>
      </c>
      <c r="B25" s="4"/>
    </row>
    <row r="26" spans="1:2" x14ac:dyDescent="0.2">
      <c r="A26" s="3" t="s">
        <v>21</v>
      </c>
      <c r="B26" s="5">
        <f>347.66</f>
        <v>347.66</v>
      </c>
    </row>
    <row r="27" spans="1:2" x14ac:dyDescent="0.2">
      <c r="A27" s="3" t="s">
        <v>22</v>
      </c>
      <c r="B27" s="5">
        <f>991.03</f>
        <v>991.03</v>
      </c>
    </row>
    <row r="28" spans="1:2" x14ac:dyDescent="0.2">
      <c r="A28" s="3" t="s">
        <v>23</v>
      </c>
      <c r="B28" s="5">
        <f>909</f>
        <v>909</v>
      </c>
    </row>
    <row r="29" spans="1:2" x14ac:dyDescent="0.2">
      <c r="A29" s="3" t="s">
        <v>24</v>
      </c>
      <c r="B29" s="5">
        <f>1943.87</f>
        <v>1943.87</v>
      </c>
    </row>
    <row r="30" spans="1:2" x14ac:dyDescent="0.2">
      <c r="A30" s="3" t="s">
        <v>25</v>
      </c>
      <c r="B30" s="5">
        <f>427.33</f>
        <v>427.33</v>
      </c>
    </row>
    <row r="31" spans="1:2" x14ac:dyDescent="0.2">
      <c r="A31" s="3" t="s">
        <v>26</v>
      </c>
      <c r="B31" s="6">
        <f>(((((B25)+(B26))+(B27))+(B28))+(B29))+(B30)</f>
        <v>4618.8899999999994</v>
      </c>
    </row>
    <row r="32" spans="1:2" x14ac:dyDescent="0.2">
      <c r="A32" s="3" t="s">
        <v>27</v>
      </c>
      <c r="B32" s="5">
        <f>437.86</f>
        <v>437.86</v>
      </c>
    </row>
    <row r="33" spans="1:2" x14ac:dyDescent="0.2">
      <c r="A33" s="3" t="s">
        <v>28</v>
      </c>
      <c r="B33" s="5">
        <f>11.49</f>
        <v>11.49</v>
      </c>
    </row>
    <row r="34" spans="1:2" x14ac:dyDescent="0.2">
      <c r="A34" s="3" t="s">
        <v>29</v>
      </c>
      <c r="B34" s="6">
        <f>(((B24)+(B31))+(B32))+(B33)</f>
        <v>115155.41</v>
      </c>
    </row>
    <row r="35" spans="1:2" x14ac:dyDescent="0.2">
      <c r="A35" s="3" t="s">
        <v>30</v>
      </c>
      <c r="B35" s="6">
        <f>(B15)-(B34)</f>
        <v>3566.1699999999983</v>
      </c>
    </row>
    <row r="36" spans="1:2" x14ac:dyDescent="0.2">
      <c r="A36" s="3" t="s">
        <v>31</v>
      </c>
      <c r="B36" s="4"/>
    </row>
    <row r="37" spans="1:2" x14ac:dyDescent="0.2">
      <c r="A37" s="3" t="s">
        <v>32</v>
      </c>
      <c r="B37" s="5">
        <f>3103.25</f>
        <v>3103.25</v>
      </c>
    </row>
    <row r="38" spans="1:2" x14ac:dyDescent="0.2">
      <c r="A38" s="3" t="s">
        <v>33</v>
      </c>
      <c r="B38" s="5">
        <f>1025</f>
        <v>1025</v>
      </c>
    </row>
    <row r="39" spans="1:2" x14ac:dyDescent="0.2">
      <c r="A39" s="3" t="s">
        <v>34</v>
      </c>
      <c r="B39" s="4"/>
    </row>
    <row r="40" spans="1:2" x14ac:dyDescent="0.2">
      <c r="A40" s="3" t="s">
        <v>35</v>
      </c>
      <c r="B40" s="5">
        <f>40</f>
        <v>40</v>
      </c>
    </row>
    <row r="41" spans="1:2" x14ac:dyDescent="0.2">
      <c r="A41" s="3" t="s">
        <v>36</v>
      </c>
      <c r="B41" s="5">
        <f>200</f>
        <v>200</v>
      </c>
    </row>
    <row r="42" spans="1:2" x14ac:dyDescent="0.2">
      <c r="A42" s="3" t="s">
        <v>37</v>
      </c>
      <c r="B42" s="6">
        <f>((B39)+(B40))+(B41)</f>
        <v>240</v>
      </c>
    </row>
    <row r="43" spans="1:2" x14ac:dyDescent="0.2">
      <c r="A43" s="3" t="s">
        <v>38</v>
      </c>
      <c r="B43" s="4"/>
    </row>
    <row r="44" spans="1:2" x14ac:dyDescent="0.2">
      <c r="A44" s="3" t="s">
        <v>39</v>
      </c>
      <c r="B44" s="4"/>
    </row>
    <row r="45" spans="1:2" x14ac:dyDescent="0.2">
      <c r="A45" s="3" t="s">
        <v>40</v>
      </c>
      <c r="B45" s="5">
        <f>947.65</f>
        <v>947.65</v>
      </c>
    </row>
    <row r="46" spans="1:2" x14ac:dyDescent="0.2">
      <c r="A46" s="3" t="s">
        <v>41</v>
      </c>
      <c r="B46" s="5">
        <f>665.35</f>
        <v>665.35</v>
      </c>
    </row>
    <row r="47" spans="1:2" x14ac:dyDescent="0.2">
      <c r="A47" s="3" t="s">
        <v>42</v>
      </c>
      <c r="B47" s="5">
        <f>573.08</f>
        <v>573.08000000000004</v>
      </c>
    </row>
    <row r="48" spans="1:2" x14ac:dyDescent="0.2">
      <c r="A48" s="3" t="s">
        <v>43</v>
      </c>
      <c r="B48" s="5">
        <f>1733.55</f>
        <v>1733.55</v>
      </c>
    </row>
    <row r="49" spans="1:2" x14ac:dyDescent="0.2">
      <c r="A49" s="3" t="s">
        <v>44</v>
      </c>
      <c r="B49" s="5">
        <f>573.55</f>
        <v>573.54999999999995</v>
      </c>
    </row>
    <row r="50" spans="1:2" x14ac:dyDescent="0.2">
      <c r="A50" s="3" t="s">
        <v>45</v>
      </c>
      <c r="B50" s="6">
        <f>(((((B44)+(B45))+(B46))+(B47))+(B48))+(B49)</f>
        <v>4493.18</v>
      </c>
    </row>
    <row r="51" spans="1:2" x14ac:dyDescent="0.2">
      <c r="A51" s="3" t="s">
        <v>46</v>
      </c>
      <c r="B51" s="4"/>
    </row>
    <row r="52" spans="1:2" x14ac:dyDescent="0.2">
      <c r="A52" s="3" t="s">
        <v>47</v>
      </c>
      <c r="B52" s="5">
        <f>3644</f>
        <v>3644</v>
      </c>
    </row>
    <row r="53" spans="1:2" x14ac:dyDescent="0.2">
      <c r="A53" s="3" t="s">
        <v>48</v>
      </c>
      <c r="B53" s="5">
        <f>982</f>
        <v>982</v>
      </c>
    </row>
    <row r="54" spans="1:2" x14ac:dyDescent="0.2">
      <c r="A54" s="3" t="s">
        <v>49</v>
      </c>
      <c r="B54" s="5">
        <f>2607</f>
        <v>2607</v>
      </c>
    </row>
    <row r="55" spans="1:2" x14ac:dyDescent="0.2">
      <c r="A55" s="3" t="s">
        <v>50</v>
      </c>
      <c r="B55" s="6">
        <f>(((B51)+(B52))+(B53))+(B54)</f>
        <v>7233</v>
      </c>
    </row>
    <row r="56" spans="1:2" x14ac:dyDescent="0.2">
      <c r="A56" s="3" t="s">
        <v>51</v>
      </c>
      <c r="B56" s="5">
        <f>8477.5</f>
        <v>8477.5</v>
      </c>
    </row>
    <row r="57" spans="1:2" x14ac:dyDescent="0.2">
      <c r="A57" s="3" t="s">
        <v>52</v>
      </c>
      <c r="B57" s="5">
        <f>2075.83</f>
        <v>2075.83</v>
      </c>
    </row>
    <row r="58" spans="1:2" x14ac:dyDescent="0.2">
      <c r="A58" s="3" t="s">
        <v>53</v>
      </c>
      <c r="B58" s="6">
        <f>((((B43)+(B50))+(B55))+(B56))+(B57)</f>
        <v>22279.510000000002</v>
      </c>
    </row>
    <row r="59" spans="1:2" x14ac:dyDescent="0.2">
      <c r="A59" s="3" t="s">
        <v>54</v>
      </c>
      <c r="B59" s="4"/>
    </row>
    <row r="60" spans="1:2" x14ac:dyDescent="0.2">
      <c r="A60" s="3" t="s">
        <v>55</v>
      </c>
      <c r="B60" s="4"/>
    </row>
    <row r="61" spans="1:2" x14ac:dyDescent="0.2">
      <c r="A61" s="3" t="s">
        <v>56</v>
      </c>
      <c r="B61" s="5">
        <f>-3328.01</f>
        <v>-3328.01</v>
      </c>
    </row>
    <row r="62" spans="1:2" x14ac:dyDescent="0.2">
      <c r="A62" s="3" t="s">
        <v>57</v>
      </c>
      <c r="B62" s="6">
        <f>(B60)+(B61)</f>
        <v>-3328.01</v>
      </c>
    </row>
    <row r="63" spans="1:2" x14ac:dyDescent="0.2">
      <c r="A63" s="3" t="s">
        <v>58</v>
      </c>
      <c r="B63" s="4"/>
    </row>
    <row r="64" spans="1:2" x14ac:dyDescent="0.2">
      <c r="A64" s="3" t="s">
        <v>59</v>
      </c>
      <c r="B64" s="5">
        <f>1400</f>
        <v>1400</v>
      </c>
    </row>
    <row r="65" spans="1:2" x14ac:dyDescent="0.2">
      <c r="A65" s="3" t="s">
        <v>60</v>
      </c>
      <c r="B65" s="5">
        <f>775</f>
        <v>775</v>
      </c>
    </row>
    <row r="66" spans="1:2" x14ac:dyDescent="0.2">
      <c r="A66" s="3" t="s">
        <v>61</v>
      </c>
      <c r="B66" s="5">
        <f>1125</f>
        <v>1125</v>
      </c>
    </row>
    <row r="67" spans="1:2" x14ac:dyDescent="0.2">
      <c r="A67" s="3" t="s">
        <v>62</v>
      </c>
      <c r="B67" s="6">
        <f>(((B63)+(B64))+(B65))+(B66)</f>
        <v>3300</v>
      </c>
    </row>
    <row r="68" spans="1:2" x14ac:dyDescent="0.2">
      <c r="A68" s="3" t="s">
        <v>63</v>
      </c>
      <c r="B68" s="4"/>
    </row>
    <row r="69" spans="1:2" x14ac:dyDescent="0.2">
      <c r="A69" s="3" t="s">
        <v>64</v>
      </c>
      <c r="B69" s="5">
        <f>125</f>
        <v>125</v>
      </c>
    </row>
    <row r="70" spans="1:2" x14ac:dyDescent="0.2">
      <c r="A70" s="3" t="s">
        <v>65</v>
      </c>
      <c r="B70" s="6">
        <f>(B68)+(B69)</f>
        <v>125</v>
      </c>
    </row>
    <row r="71" spans="1:2" x14ac:dyDescent="0.2">
      <c r="A71" s="3" t="s">
        <v>66</v>
      </c>
      <c r="B71" s="6">
        <f>(((B59)+(B62))+(B67))+(B70)</f>
        <v>96.989999999999782</v>
      </c>
    </row>
    <row r="72" spans="1:2" x14ac:dyDescent="0.2">
      <c r="A72" s="3" t="s">
        <v>67</v>
      </c>
      <c r="B72" s="4"/>
    </row>
    <row r="73" spans="1:2" x14ac:dyDescent="0.2">
      <c r="A73" s="3" t="s">
        <v>68</v>
      </c>
      <c r="B73" s="5">
        <f>329.71</f>
        <v>329.71</v>
      </c>
    </row>
    <row r="74" spans="1:2" x14ac:dyDescent="0.2">
      <c r="A74" s="3" t="s">
        <v>69</v>
      </c>
      <c r="B74" s="5">
        <f>157</f>
        <v>157</v>
      </c>
    </row>
    <row r="75" spans="1:2" x14ac:dyDescent="0.2">
      <c r="A75" s="3" t="s">
        <v>70</v>
      </c>
      <c r="B75" s="5">
        <f>1209.82</f>
        <v>1209.82</v>
      </c>
    </row>
    <row r="76" spans="1:2" x14ac:dyDescent="0.2">
      <c r="A76" s="3" t="s">
        <v>71</v>
      </c>
      <c r="B76" s="5">
        <f>1183.94</f>
        <v>1183.94</v>
      </c>
    </row>
    <row r="77" spans="1:2" x14ac:dyDescent="0.2">
      <c r="A77" s="3" t="s">
        <v>72</v>
      </c>
      <c r="B77" s="6">
        <f>(((B73)+(B74))+(B75))+(B76)</f>
        <v>2880.4700000000003</v>
      </c>
    </row>
    <row r="78" spans="1:2" x14ac:dyDescent="0.2">
      <c r="A78" s="3" t="s">
        <v>73</v>
      </c>
      <c r="B78" s="5">
        <f>1336.41</f>
        <v>1336.41</v>
      </c>
    </row>
    <row r="79" spans="1:2" x14ac:dyDescent="0.2">
      <c r="A79" s="3" t="s">
        <v>74</v>
      </c>
      <c r="B79" s="4"/>
    </row>
    <row r="80" spans="1:2" x14ac:dyDescent="0.2">
      <c r="A80" s="3" t="s">
        <v>75</v>
      </c>
      <c r="B80" s="5">
        <f>531.75</f>
        <v>531.75</v>
      </c>
    </row>
    <row r="81" spans="1:2" x14ac:dyDescent="0.2">
      <c r="A81" s="3" t="s">
        <v>76</v>
      </c>
      <c r="B81" s="5">
        <f>5009.55</f>
        <v>5009.55</v>
      </c>
    </row>
    <row r="82" spans="1:2" x14ac:dyDescent="0.2">
      <c r="A82" s="3" t="s">
        <v>77</v>
      </c>
      <c r="B82" s="5">
        <f>1555.66</f>
        <v>1555.66</v>
      </c>
    </row>
    <row r="83" spans="1:2" x14ac:dyDescent="0.2">
      <c r="A83" s="3" t="s">
        <v>78</v>
      </c>
      <c r="B83" s="5">
        <f>65</f>
        <v>65</v>
      </c>
    </row>
    <row r="84" spans="1:2" x14ac:dyDescent="0.2">
      <c r="A84" s="3" t="s">
        <v>79</v>
      </c>
      <c r="B84" s="6">
        <f>((((B79)+(B80))+(B81))+(B82))+(B83)</f>
        <v>7161.96</v>
      </c>
    </row>
    <row r="85" spans="1:2" x14ac:dyDescent="0.2">
      <c r="A85" s="3" t="s">
        <v>80</v>
      </c>
      <c r="B85" s="6">
        <f>(((B72)+(B77))+(B78))+(B84)</f>
        <v>11378.84</v>
      </c>
    </row>
    <row r="86" spans="1:2" x14ac:dyDescent="0.2">
      <c r="A86" s="3" t="s">
        <v>81</v>
      </c>
      <c r="B86" s="4"/>
    </row>
    <row r="87" spans="1:2" x14ac:dyDescent="0.2">
      <c r="A87" s="3" t="s">
        <v>82</v>
      </c>
      <c r="B87" s="5">
        <f>0.99</f>
        <v>0.99</v>
      </c>
    </row>
    <row r="88" spans="1:2" x14ac:dyDescent="0.2">
      <c r="A88" s="3" t="s">
        <v>83</v>
      </c>
      <c r="B88" s="5">
        <f>1625.58</f>
        <v>1625.58</v>
      </c>
    </row>
    <row r="89" spans="1:2" x14ac:dyDescent="0.2">
      <c r="A89" s="3" t="s">
        <v>84</v>
      </c>
      <c r="B89" s="5">
        <f>30.95</f>
        <v>30.95</v>
      </c>
    </row>
    <row r="90" spans="1:2" x14ac:dyDescent="0.2">
      <c r="A90" s="3" t="s">
        <v>85</v>
      </c>
      <c r="B90" s="5">
        <f>134</f>
        <v>134</v>
      </c>
    </row>
    <row r="91" spans="1:2" x14ac:dyDescent="0.2">
      <c r="A91" s="3" t="s">
        <v>86</v>
      </c>
      <c r="B91" s="5">
        <f>235.27</f>
        <v>235.27</v>
      </c>
    </row>
    <row r="92" spans="1:2" x14ac:dyDescent="0.2">
      <c r="A92" s="3" t="s">
        <v>87</v>
      </c>
      <c r="B92" s="5">
        <f>255.26</f>
        <v>255.26</v>
      </c>
    </row>
    <row r="93" spans="1:2" x14ac:dyDescent="0.2">
      <c r="A93" s="3" t="s">
        <v>88</v>
      </c>
      <c r="B93" s="6">
        <f>(((((B87)+(B88))+(B89))+(B90))+(B91))+(B92)</f>
        <v>2282.0500000000002</v>
      </c>
    </row>
    <row r="94" spans="1:2" x14ac:dyDescent="0.2">
      <c r="A94" s="3" t="s">
        <v>89</v>
      </c>
      <c r="B94" s="6">
        <f>(B86)+(B93)</f>
        <v>2282.0500000000002</v>
      </c>
    </row>
    <row r="95" spans="1:2" x14ac:dyDescent="0.2">
      <c r="A95" s="3" t="s">
        <v>90</v>
      </c>
      <c r="B95" s="4"/>
    </row>
    <row r="96" spans="1:2" x14ac:dyDescent="0.2">
      <c r="A96" s="3" t="s">
        <v>91</v>
      </c>
      <c r="B96" s="4"/>
    </row>
    <row r="97" spans="1:2" x14ac:dyDescent="0.2">
      <c r="A97" s="3" t="s">
        <v>92</v>
      </c>
      <c r="B97" s="5">
        <f>52.94</f>
        <v>52.94</v>
      </c>
    </row>
    <row r="98" spans="1:2" x14ac:dyDescent="0.2">
      <c r="A98" s="3" t="s">
        <v>93</v>
      </c>
      <c r="B98" s="5">
        <f>2195</f>
        <v>2195</v>
      </c>
    </row>
    <row r="99" spans="1:2" x14ac:dyDescent="0.2">
      <c r="A99" s="3" t="s">
        <v>94</v>
      </c>
      <c r="B99" s="5">
        <f>1336.28</f>
        <v>1336.28</v>
      </c>
    </row>
    <row r="100" spans="1:2" x14ac:dyDescent="0.2">
      <c r="A100" s="3" t="s">
        <v>95</v>
      </c>
      <c r="B100" s="6">
        <f>(((B96)+(B97))+(B98))+(B99)</f>
        <v>3584.2200000000003</v>
      </c>
    </row>
    <row r="101" spans="1:2" x14ac:dyDescent="0.2">
      <c r="A101" s="3" t="s">
        <v>96</v>
      </c>
      <c r="B101" s="6">
        <f>(B95)+(B100)</f>
        <v>3584.2200000000003</v>
      </c>
    </row>
    <row r="102" spans="1:2" x14ac:dyDescent="0.2">
      <c r="A102" s="3" t="s">
        <v>97</v>
      </c>
      <c r="B102" s="4"/>
    </row>
    <row r="103" spans="1:2" x14ac:dyDescent="0.2">
      <c r="A103" s="3" t="s">
        <v>98</v>
      </c>
      <c r="B103" s="5">
        <f>2733.73</f>
        <v>2733.73</v>
      </c>
    </row>
    <row r="104" spans="1:2" x14ac:dyDescent="0.2">
      <c r="A104" s="3" t="s">
        <v>99</v>
      </c>
      <c r="B104" s="5">
        <f>37056.57</f>
        <v>37056.57</v>
      </c>
    </row>
    <row r="105" spans="1:2" x14ac:dyDescent="0.2">
      <c r="A105" s="3" t="s">
        <v>100</v>
      </c>
      <c r="B105" s="6">
        <f>((B102)+(B103))+(B104)</f>
        <v>39790.300000000003</v>
      </c>
    </row>
    <row r="106" spans="1:2" x14ac:dyDescent="0.2">
      <c r="A106" s="3" t="s">
        <v>101</v>
      </c>
      <c r="B106" s="5">
        <f>4162.38</f>
        <v>4162.38</v>
      </c>
    </row>
    <row r="107" spans="1:2" x14ac:dyDescent="0.2">
      <c r="A107" s="3" t="s">
        <v>102</v>
      </c>
      <c r="B107" s="5">
        <f>334.01</f>
        <v>334.01</v>
      </c>
    </row>
    <row r="108" spans="1:2" x14ac:dyDescent="0.2">
      <c r="A108" s="3" t="s">
        <v>103</v>
      </c>
      <c r="B108" s="5">
        <f>14.73</f>
        <v>14.73</v>
      </c>
    </row>
    <row r="109" spans="1:2" x14ac:dyDescent="0.2">
      <c r="A109" s="3" t="s">
        <v>104</v>
      </c>
      <c r="B109" s="4"/>
    </row>
    <row r="110" spans="1:2" x14ac:dyDescent="0.2">
      <c r="A110" s="3" t="s">
        <v>105</v>
      </c>
      <c r="B110" s="5">
        <f>6700</f>
        <v>6700</v>
      </c>
    </row>
    <row r="111" spans="1:2" x14ac:dyDescent="0.2">
      <c r="A111" s="3" t="s">
        <v>106</v>
      </c>
      <c r="B111" s="6">
        <f>(B109)+(B110)</f>
        <v>6700</v>
      </c>
    </row>
    <row r="112" spans="1:2" x14ac:dyDescent="0.2">
      <c r="A112" s="3" t="s">
        <v>107</v>
      </c>
      <c r="B112" s="6">
        <f>(B108)+(B111)</f>
        <v>6714.73</v>
      </c>
    </row>
    <row r="113" spans="1:2" x14ac:dyDescent="0.2">
      <c r="A113" s="3" t="s">
        <v>108</v>
      </c>
      <c r="B113" s="6">
        <f>(((((((((((B37)+(B38))+(B42))+(B58))+(B71))+(B85))+(B94))+(B101))+(B105))+(B106))+(B107))+(B112)</f>
        <v>94991.28</v>
      </c>
    </row>
    <row r="114" spans="1:2" x14ac:dyDescent="0.2">
      <c r="A114" s="3" t="s">
        <v>109</v>
      </c>
      <c r="B114" s="6">
        <f>(B35)-(B113)</f>
        <v>-91425.11</v>
      </c>
    </row>
    <row r="115" spans="1:2" x14ac:dyDescent="0.2">
      <c r="A115" s="3" t="s">
        <v>110</v>
      </c>
      <c r="B115" s="4"/>
    </row>
    <row r="116" spans="1:2" x14ac:dyDescent="0.2">
      <c r="A116" s="3" t="s">
        <v>111</v>
      </c>
      <c r="B116" s="5">
        <f>145669.09</f>
        <v>145669.09</v>
      </c>
    </row>
    <row r="117" spans="1:2" x14ac:dyDescent="0.2">
      <c r="A117" s="3" t="s">
        <v>112</v>
      </c>
      <c r="B117" s="5">
        <f>98809.41</f>
        <v>98809.41</v>
      </c>
    </row>
    <row r="118" spans="1:2" x14ac:dyDescent="0.2">
      <c r="A118" s="3" t="s">
        <v>113</v>
      </c>
      <c r="B118" s="5">
        <f>0.36</f>
        <v>0.36</v>
      </c>
    </row>
    <row r="119" spans="1:2" x14ac:dyDescent="0.2">
      <c r="A119" s="3" t="s">
        <v>114</v>
      </c>
      <c r="B119" s="6">
        <f>((B116)+(B117))+(B118)</f>
        <v>244478.86</v>
      </c>
    </row>
    <row r="120" spans="1:2" x14ac:dyDescent="0.2">
      <c r="A120" s="3" t="s">
        <v>115</v>
      </c>
      <c r="B120" s="6">
        <f>(B119)-(0)</f>
        <v>244478.86</v>
      </c>
    </row>
    <row r="121" spans="1:2" x14ac:dyDescent="0.2">
      <c r="A121" s="3" t="s">
        <v>116</v>
      </c>
      <c r="B121" s="7">
        <f>(B114)+(B120)</f>
        <v>153053.75</v>
      </c>
    </row>
    <row r="122" spans="1:2" x14ac:dyDescent="0.2">
      <c r="A122" s="3"/>
      <c r="B122" s="4"/>
    </row>
    <row r="125" spans="1:2" x14ac:dyDescent="0.2">
      <c r="A125" s="8" t="s">
        <v>117</v>
      </c>
      <c r="B125" s="9"/>
    </row>
  </sheetData>
  <mergeCells count="4">
    <mergeCell ref="A125:B125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catherine jennings</cp:lastModifiedBy>
  <dcterms:created xsi:type="dcterms:W3CDTF">2020-02-18T15:56:46Z</dcterms:created>
  <dcterms:modified xsi:type="dcterms:W3CDTF">2020-03-12T02:51:44Z</dcterms:modified>
</cp:coreProperties>
</file>